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MARCUS2019\EESC-USP\2° Semestre\Segurança Hídrica\"/>
    </mc:Choice>
  </mc:AlternateContent>
  <xr:revisionPtr revIDLastSave="0" documentId="13_ncr:1_{6CB17F01-6CEE-48DE-B688-2B5A8A5CAE94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Dados_de_entrada" sheetId="3" r:id="rId1"/>
    <sheet name="VBA" sheetId="8" r:id="rId2"/>
    <sheet name="Gráficos" sheetId="9" r:id="rId3"/>
    <sheet name="Hidrograma afluente" sheetId="5" r:id="rId4"/>
    <sheet name="Simulação" sheetId="6" r:id="rId5"/>
    <sheet name="Base de dados" sheetId="7" r:id="rId6"/>
    <sheet name="Regressão" sheetId="4" r:id="rId7"/>
  </sheets>
  <definedNames>
    <definedName name="a">Dados_de_entrada!$F$8</definedName>
    <definedName name="Ad_i">Dados_de_entrada!$B$16</definedName>
    <definedName name="alfa_1_quad">Regressão!$AF$15</definedName>
    <definedName name="alfa_2_quad">Regressão!$AF$16</definedName>
    <definedName name="alot_i">Dados_de_entrada!$B$18</definedName>
    <definedName name="Altura">OFFSET(Simulação!$I$5,0,0,COUNT(Simulação!$A$5:$A$1048576),1)</definedName>
    <definedName name="Area">Dados_de_entrada!$B$6</definedName>
    <definedName name="_xlnm.Print_Area" localSheetId="0">Dados_de_entrada!$A$1:$H$295</definedName>
    <definedName name="Area_quad">OFFSET(Regressão!$J$5,0,0,COUNT(Regressão!$B$5:$B$1048576),1)</definedName>
    <definedName name="b">Dados_de_entrada!$F$10</definedName>
    <definedName name="b_0">Dados_de_entrada!$B$28</definedName>
    <definedName name="c_">Dados_de_entrada!$F$12</definedName>
    <definedName name="c_0">Dados_de_entrada!$B$30</definedName>
    <definedName name="Cargas">'Base de dados'!$A$5:$A$14</definedName>
    <definedName name="Cd_sr">Dados_de_entrada!$B$38</definedName>
    <definedName name="chuva_bacia">Dados_de_entrada!$B$99</definedName>
    <definedName name="CN_pos">Dados_de_entrada!$B$22</definedName>
    <definedName name="coef_IA">Dados_de_entrada!$B$24</definedName>
    <definedName name="Coluna_fih">IF(fi_h&lt;20,1,IF(fi_h&gt;60,5,MATCH(fi_h,Diametros_Cd,1)))</definedName>
    <definedName name="Coluna_fis">IF(fi_s&lt;20,20,IF(fi_s&gt;60,5,MATCH(fi_s,Diametros_Cd,1)))</definedName>
    <definedName name="cota_s">Dados_de_entrada!$B$34</definedName>
    <definedName name="declividade_afluente">'Hidrograma afluente'!$E$6</definedName>
    <definedName name="Diametros_Cd">'Base de dados'!$B$4:$F$4</definedName>
    <definedName name="Fator_armazenamento">OFFSET(Simulação!$M$5,0,0,COUNT(Simulação!$M$5:$M$1048576),1)</definedName>
    <definedName name="fi_h">Dados_de_entrada!$B$36</definedName>
    <definedName name="fi_s">Dados_de_entrada!$B$42</definedName>
    <definedName name="h_0">Dados_de_entrada!$B$44</definedName>
    <definedName name="h_max_puls">Dados_de_entrada!$F$20</definedName>
    <definedName name="h_obs_quad">OFFSET(Regressão!$A$5,0,0,COUNT(Regressão!$B$5:$B$1048576),1)</definedName>
    <definedName name="hmax">Simulação!$AP$6</definedName>
    <definedName name="hmax_max">Dados_de_entrada!$B$32</definedName>
    <definedName name="I_a">Dados_de_entrada!$B$130</definedName>
    <definedName name="k">Dados_de_entrada!$F$6</definedName>
    <definedName name="k_2">Regressão!$AT$6</definedName>
    <definedName name="Lef_sr">Dados_de_entrada!$B$40</definedName>
    <definedName name="matriz_cd">'Base de dados'!$A$4:$F$14</definedName>
    <definedName name="N_obs">COUNT(Regressão!$A$5:$A$1048576)</definedName>
    <definedName name="Orificio">OFFSET(Simulação!$E$5,0,0,COUNT(Simulação!$A$5:$A$1048576),1)</definedName>
    <definedName name="Outflow">OFFSET(Simulação!$G$5,0,0,COUNT(Simulação!$A$5:$A$1048576),1)</definedName>
    <definedName name="Passo">Dados_de_entrada!$F$18</definedName>
    <definedName name="passo_altura">Dados_de_entrada!$F$22</definedName>
    <definedName name="Pef">Dados_de_entrada!$B$134</definedName>
    <definedName name="Ptotal">Dados_de_entrada!$B$132</definedName>
    <definedName name="Q_max_i">Dados_de_entrada!$B$110</definedName>
    <definedName name="q_sis_q_ref">OFFSET('Hidrograma afluente'!$I$12,0,0,COUNT('Hidrograma afluente'!$H$12:$H$1048576),1)</definedName>
    <definedName name="Qmax">Dados_de_entrada!$B$105</definedName>
    <definedName name="qmax_i">Dados_de_entrada!$B$115</definedName>
    <definedName name="Qmax_lot_i">Dados_de_entrada!$B$142</definedName>
    <definedName name="Qref_i">Dados_de_entrada!$B$122</definedName>
    <definedName name="Qsis_efl">OFFSET(Simulação!$AF$5,0,0,COUNT(Simulação!$AF$5:$AF$1048576),1)</definedName>
    <definedName name="qsis_exut">OFFSET('Hidrograma afluente'!$F$12,0,0,COUNT('Hidrograma afluente'!$F$12:$F$1048576),1)</definedName>
    <definedName name="qsis_i">OFFSET('Hidrograma afluente'!$G$12,0,0,COUNT('Hidrograma afluente'!$G$12:$G$1048576),1)</definedName>
    <definedName name="Runoff">Dados_de_entrada!$B$14</definedName>
    <definedName name="Runoff_pos">Dados_de_entrada!$B$136</definedName>
    <definedName name="S_i">Dados_de_entrada!$B$128</definedName>
    <definedName name="solver_adj" localSheetId="0" hidden="1">Dados_de_entrada!$B$36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Dados_de_entrada!$AE$3</definedName>
    <definedName name="solver_lhs10" localSheetId="0" hidden="1">Dados_de_entrada!$B$36</definedName>
    <definedName name="solver_lhs11" localSheetId="0" hidden="1">Dados_de_entrada!$B$36</definedName>
    <definedName name="solver_lhs12" localSheetId="0" hidden="1">Dados_de_entrada!$B$36</definedName>
    <definedName name="solver_lhs13" localSheetId="0" hidden="1">Dados_de_entrada!$B$36</definedName>
    <definedName name="solver_lhs2" localSheetId="0" hidden="1">Dados_de_entrada!$AE$5</definedName>
    <definedName name="solver_lhs3" localSheetId="0" hidden="1">Dados_de_entrada!$AE$6</definedName>
    <definedName name="solver_lhs4" localSheetId="0" hidden="1">Dados_de_entrada!$B$34</definedName>
    <definedName name="solver_lhs5" localSheetId="0" hidden="1">Dados_de_entrada!$B$34</definedName>
    <definedName name="solver_lhs6" localSheetId="0" hidden="1">Dados_de_entrada!$B$36</definedName>
    <definedName name="solver_lhs7" localSheetId="0" hidden="1">Dados_de_entrada!$B$36</definedName>
    <definedName name="solver_lhs8" localSheetId="0" hidden="1">Dados_de_entrada!$B$36</definedName>
    <definedName name="solver_lhs9" localSheetId="0" hidden="1">Dados_de_entrada!$B$36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Dados_de_entrada!$F$30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2" localSheetId="0" hidden="1">3</definedName>
    <definedName name="solver_rel3" localSheetId="0" hidden="1">3</definedName>
    <definedName name="solver_rel4" localSheetId="0" hidden="1">1</definedName>
    <definedName name="solver_rel5" localSheetId="0" hidden="1">1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Dados_de_entrada!$AI$4</definedName>
    <definedName name="solver_rhs10" localSheetId="0" hidden="1">Dados_de_entrada!$E$40</definedName>
    <definedName name="solver_rhs11" localSheetId="0" hidden="1">Dados_de_entrada!#REF!</definedName>
    <definedName name="solver_rhs12" localSheetId="0" hidden="1">Dados_de_entrada!#REF!</definedName>
    <definedName name="solver_rhs13" localSheetId="0" hidden="1">Dados_de_entrada!#REF!</definedName>
    <definedName name="solver_rhs2" localSheetId="0" hidden="1">Dados_de_entrada!$AI$5</definedName>
    <definedName name="solver_rhs3" localSheetId="0" hidden="1">Dados_de_entrada!$AI$6</definedName>
    <definedName name="solver_rhs4" localSheetId="0" hidden="1">Dados_de_entrada!$B$32</definedName>
    <definedName name="solver_rhs5" localSheetId="0" hidden="1">Dados_de_entrada!$B$32</definedName>
    <definedName name="solver_rhs6" localSheetId="0" hidden="1">Dados_de_entrada!$E$40</definedName>
    <definedName name="solver_rhs7" localSheetId="0" hidden="1">Dados_de_entrada!$E$40</definedName>
    <definedName name="solver_rhs8" localSheetId="0" hidden="1">Dados_de_entrada!$E$40</definedName>
    <definedName name="solver_rhs9" localSheetId="0" hidden="1">Dados_de_entrada!$E$40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_base">Dados_de_entrada!#REF!</definedName>
    <definedName name="t_c">Dados_de_entrada!$B$78</definedName>
    <definedName name="tabela_auxiliar">OFFSET(Simulação!$M$5,0,0,COUNT(Simulação!$O$5:$O$1048576),7)</definedName>
    <definedName name="tc">Dados_de_entrada!$B$78</definedName>
    <definedName name="tc_1">Dados_de_entrada!$B$93</definedName>
    <definedName name="tc_lot_i">Dados_de_entrada!$F$26</definedName>
    <definedName name="tc_min">Dados_de_entrada!$F$16</definedName>
    <definedName name="Tempo_afluente">OFFSET('Hidrograma afluente'!$A$12,0,0,COUNT('Hidrograma afluente'!$B$12:$B$1048576),1)</definedName>
    <definedName name="Tempo_exutório">OFFSET('Hidrograma afluente'!$A$12,0,0,COUNT('Hidrograma afluente'!$A$12:$A$1048576),1)</definedName>
    <definedName name="tempo_PULS">OFFSET(Simulação!$A$5,0,0,COUNT(Simulação!$A$5:$A$1048576),1)</definedName>
    <definedName name="tempo_simul">Dados_de_entrada!$F$24</definedName>
    <definedName name="Tempo_sistema_i">OFFSET('Hidrograma afluente'!$A$12,0,0,COUNT('Hidrograma afluente'!$E$12:$E$1048576),1)</definedName>
    <definedName name="Tipo_Vertedor">Dados_de_entrada!$B$46</definedName>
    <definedName name="TR">Dados_de_entrada!$F$14</definedName>
    <definedName name="Vazao_afluente">OFFSET('Hidrograma afluente'!$B$12,0,0,COUNT('Hidrograma afluente'!$A$12:$B$1048576),1)</definedName>
    <definedName name="Vazão_de_saida">OFFSET(Simulação!$R$5,0,0,COUNT(Simulação!$M$5:$M$1048576),1)</definedName>
    <definedName name="Vazao_exutorio">OFFSET('Hidrograma afluente'!$D$12,0,0,COUNT('Hidrograma afluente'!$A$12:$A$1048576),1)</definedName>
    <definedName name="Vazao_ref_i">OFFSET('Hidrograma afluente'!$H$12,0,0,COUNT('Hidrograma afluente'!$H$12:$H$1048576),1)</definedName>
    <definedName name="Vazao_secao_i">OFFSET('Hidrograma afluente'!$E$12,0,0,COUNT('Hidrograma afluente'!$E$12:$E$1048576),1)</definedName>
    <definedName name="Vcalc_quad">OFFSET(Regressão!$H$5,0,0,COUNT(Regressão!$B$5:$B$1048576),1)</definedName>
    <definedName name="Vertedor">OFFSET(Simulação!$F$5,0,0,COUNT(Simulação!$A$5:$A$1048576),1)</definedName>
    <definedName name="Vol_obs_quad">OFFSET(Regressão!$B$5,0,0,COUNT(Regressão!$B$5:$B$1048576),1)</definedName>
    <definedName name="Vol_p">'Hidrograma afluente'!$H$3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76" i="5" l="1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L376" i="5" l="1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AS28" i="7" l="1"/>
  <c r="AS29" i="7"/>
  <c r="AS30" i="7"/>
  <c r="B48" i="3" l="1"/>
  <c r="P40" i="7"/>
  <c r="P39" i="7"/>
  <c r="P38" i="7"/>
  <c r="P37" i="7"/>
  <c r="P36" i="7"/>
  <c r="P35" i="7"/>
  <c r="P34" i="7"/>
  <c r="P33" i="7"/>
  <c r="P32" i="7"/>
  <c r="P31" i="7"/>
  <c r="P30" i="7"/>
  <c r="P29" i="7"/>
  <c r="P28" i="7"/>
  <c r="AS31" i="7" l="1"/>
  <c r="D31" i="8" l="1"/>
  <c r="AS32" i="7" l="1"/>
  <c r="AS33" i="7"/>
  <c r="AS34" i="7"/>
  <c r="AS35" i="7"/>
  <c r="AS36" i="7"/>
  <c r="AS37" i="7"/>
  <c r="AS38" i="7"/>
  <c r="AS39" i="7"/>
  <c r="AS40" i="7"/>
  <c r="E2" i="8" l="1"/>
  <c r="S29" i="7" l="1"/>
  <c r="S30" i="7"/>
  <c r="S31" i="7"/>
  <c r="S32" i="7"/>
  <c r="S33" i="7"/>
  <c r="S34" i="7"/>
  <c r="S35" i="7"/>
  <c r="S36" i="7"/>
  <c r="S37" i="7"/>
  <c r="S38" i="7"/>
  <c r="S39" i="7"/>
  <c r="S40" i="7"/>
  <c r="S28" i="7"/>
  <c r="AE28" i="7" l="1"/>
  <c r="B46" i="3"/>
  <c r="N66" i="3" l="1"/>
  <c r="M63" i="3"/>
  <c r="A60" i="3" s="1"/>
  <c r="I9" i="4"/>
  <c r="I10" i="4"/>
  <c r="I11" i="4"/>
  <c r="I12" i="4"/>
  <c r="I13" i="4"/>
  <c r="I14" i="4"/>
  <c r="I15" i="4"/>
  <c r="I16" i="4"/>
  <c r="C9" i="4"/>
  <c r="C10" i="4"/>
  <c r="C11" i="4"/>
  <c r="C12" i="4"/>
  <c r="C13" i="4"/>
  <c r="C14" i="4"/>
  <c r="C15" i="4"/>
  <c r="C16" i="4"/>
  <c r="E20" i="7" l="1"/>
  <c r="E21" i="7"/>
  <c r="E22" i="7"/>
  <c r="B42" i="3" s="1"/>
  <c r="F5" i="6" s="1"/>
  <c r="E23" i="7"/>
  <c r="E24" i="7"/>
  <c r="E25" i="7"/>
  <c r="E26" i="7"/>
  <c r="E27" i="7"/>
  <c r="E28" i="7"/>
  <c r="E29" i="7"/>
  <c r="E30" i="7"/>
  <c r="E31" i="7"/>
  <c r="B36" i="3" s="1"/>
  <c r="E19" i="7"/>
  <c r="P5" i="6" l="1"/>
  <c r="Q5" i="6"/>
  <c r="E6" i="4"/>
  <c r="E7" i="4"/>
  <c r="E8" i="4"/>
  <c r="E9" i="4"/>
  <c r="E10" i="4"/>
  <c r="E11" i="4"/>
  <c r="E12" i="4"/>
  <c r="E13" i="4"/>
  <c r="E14" i="4"/>
  <c r="E15" i="4"/>
  <c r="E16" i="4"/>
  <c r="E17" i="4"/>
  <c r="E5" i="4"/>
  <c r="D6" i="4"/>
  <c r="D7" i="4"/>
  <c r="D8" i="4"/>
  <c r="D9" i="4"/>
  <c r="D10" i="4"/>
  <c r="D11" i="4"/>
  <c r="D12" i="4"/>
  <c r="G12" i="4" s="1"/>
  <c r="D13" i="4"/>
  <c r="G13" i="4" s="1"/>
  <c r="D14" i="4"/>
  <c r="G14" i="4" s="1"/>
  <c r="D15" i="4"/>
  <c r="D16" i="4"/>
  <c r="D17" i="4"/>
  <c r="G17" i="4" s="1"/>
  <c r="D5" i="4"/>
  <c r="F5" i="4" s="1"/>
  <c r="V3" i="4" l="1"/>
  <c r="C7" i="4" s="1"/>
  <c r="G6" i="4"/>
  <c r="F17" i="4"/>
  <c r="G11" i="4"/>
  <c r="G16" i="4"/>
  <c r="G8" i="4"/>
  <c r="G10" i="4"/>
  <c r="G15" i="4"/>
  <c r="G7" i="4"/>
  <c r="F16" i="4"/>
  <c r="F15" i="4"/>
  <c r="F13" i="4"/>
  <c r="F12" i="4"/>
  <c r="F14" i="4"/>
  <c r="F11" i="4"/>
  <c r="F10" i="4"/>
  <c r="G9" i="4"/>
  <c r="F9" i="4"/>
  <c r="F7" i="4"/>
  <c r="F6" i="4"/>
  <c r="F8" i="4"/>
  <c r="G5" i="4"/>
  <c r="C6" i="4" l="1"/>
  <c r="C5" i="4"/>
  <c r="C8" i="4"/>
  <c r="AF13" i="4" l="1"/>
  <c r="AF11" i="4"/>
  <c r="AF12" i="4"/>
  <c r="AF14" i="4" l="1"/>
  <c r="AI9" i="4" s="1"/>
  <c r="AI6" i="4" l="1"/>
  <c r="AF15" i="4" s="1"/>
  <c r="B27" i="8" s="1"/>
  <c r="B28" i="3" s="1"/>
  <c r="AF16" i="4"/>
  <c r="B29" i="8" s="1"/>
  <c r="B30" i="3" s="1"/>
  <c r="J6" i="4" l="1"/>
  <c r="J14" i="4"/>
  <c r="H12" i="4"/>
  <c r="J16" i="4"/>
  <c r="H14" i="4"/>
  <c r="J5" i="4"/>
  <c r="H16" i="4"/>
  <c r="H17" i="4"/>
  <c r="I17" i="4" s="1"/>
  <c r="J7" i="4"/>
  <c r="J15" i="4"/>
  <c r="H13" i="4"/>
  <c r="J8" i="4"/>
  <c r="H6" i="4"/>
  <c r="I6" i="4" s="1"/>
  <c r="J9" i="4"/>
  <c r="J17" i="4"/>
  <c r="H7" i="4"/>
  <c r="I7" i="4" s="1"/>
  <c r="H15" i="4"/>
  <c r="J10" i="4"/>
  <c r="H8" i="4"/>
  <c r="I8" i="4" s="1"/>
  <c r="J11" i="4"/>
  <c r="H9" i="4"/>
  <c r="J12" i="4"/>
  <c r="H10" i="4"/>
  <c r="H5" i="4"/>
  <c r="I5" i="4" s="1"/>
  <c r="J13" i="4"/>
  <c r="H11" i="4"/>
  <c r="AE19" i="4"/>
  <c r="AE3" i="4"/>
  <c r="AF17" i="4" l="1"/>
  <c r="L4" i="4" s="1"/>
  <c r="E5" i="6"/>
  <c r="AG5" i="3" l="1"/>
  <c r="C485" i="6" l="1"/>
  <c r="AE6" i="3" l="1"/>
  <c r="A6" i="6" l="1"/>
  <c r="I5" i="6"/>
  <c r="N5" i="6"/>
  <c r="O6" i="6"/>
  <c r="P6" i="6" s="1"/>
  <c r="D5" i="6"/>
  <c r="Q6" i="6" l="1"/>
  <c r="A7" i="6"/>
  <c r="N6" i="6"/>
  <c r="O7" i="6"/>
  <c r="P7" i="6" s="1"/>
  <c r="Q7" i="6" l="1"/>
  <c r="A8" i="6"/>
  <c r="R6" i="6"/>
  <c r="M6" i="6" s="1"/>
  <c r="S6" i="6" s="1"/>
  <c r="N7" i="6"/>
  <c r="O8" i="6"/>
  <c r="P8" i="6" s="1"/>
  <c r="Q8" i="6" l="1"/>
  <c r="A9" i="6"/>
  <c r="R7" i="6"/>
  <c r="M7" i="6" s="1"/>
  <c r="S7" i="6" s="1"/>
  <c r="N8" i="6"/>
  <c r="O9" i="6"/>
  <c r="P9" i="6" s="1"/>
  <c r="Q9" i="6" l="1"/>
  <c r="A10" i="6"/>
  <c r="R8" i="6"/>
  <c r="M8" i="6" s="1"/>
  <c r="S8" i="6" s="1"/>
  <c r="N9" i="6"/>
  <c r="O10" i="6"/>
  <c r="P10" i="6" s="1"/>
  <c r="Q10" i="6" l="1"/>
  <c r="A11" i="6"/>
  <c r="R9" i="6"/>
  <c r="M9" i="6" s="1"/>
  <c r="S9" i="6" s="1"/>
  <c r="N10" i="6"/>
  <c r="O11" i="6"/>
  <c r="P11" i="6" s="1"/>
  <c r="Q11" i="6" l="1"/>
  <c r="A12" i="6"/>
  <c r="R10" i="6"/>
  <c r="M10" i="6" s="1"/>
  <c r="S10" i="6" s="1"/>
  <c r="N11" i="6"/>
  <c r="O12" i="6"/>
  <c r="P12" i="6" s="1"/>
  <c r="Q12" i="6" l="1"/>
  <c r="A13" i="6"/>
  <c r="R11" i="6"/>
  <c r="M11" i="6" s="1"/>
  <c r="S11" i="6" s="1"/>
  <c r="N12" i="6"/>
  <c r="O13" i="6"/>
  <c r="P13" i="6" s="1"/>
  <c r="Q13" i="6" l="1"/>
  <c r="A14" i="6"/>
  <c r="R12" i="6"/>
  <c r="M12" i="6" s="1"/>
  <c r="S12" i="6" s="1"/>
  <c r="N13" i="6"/>
  <c r="O14" i="6"/>
  <c r="P14" i="6" s="1"/>
  <c r="Q14" i="6" l="1"/>
  <c r="A15" i="6"/>
  <c r="R13" i="6"/>
  <c r="M13" i="6" s="1"/>
  <c r="S13" i="6" s="1"/>
  <c r="N14" i="6"/>
  <c r="O15" i="6"/>
  <c r="P15" i="6" s="1"/>
  <c r="Q15" i="6" l="1"/>
  <c r="A16" i="6"/>
  <c r="R14" i="6"/>
  <c r="M14" i="6" s="1"/>
  <c r="S14" i="6" s="1"/>
  <c r="N15" i="6"/>
  <c r="O16" i="6"/>
  <c r="P16" i="6" s="1"/>
  <c r="Q16" i="6" l="1"/>
  <c r="A17" i="6"/>
  <c r="R15" i="6"/>
  <c r="M15" i="6" s="1"/>
  <c r="S15" i="6" s="1"/>
  <c r="N16" i="6"/>
  <c r="O17" i="6"/>
  <c r="P17" i="6" s="1"/>
  <c r="Q17" i="6" l="1"/>
  <c r="R16" i="6"/>
  <c r="M16" i="6" s="1"/>
  <c r="S16" i="6" s="1"/>
  <c r="A18" i="6"/>
  <c r="N17" i="6"/>
  <c r="O18" i="6"/>
  <c r="P18" i="6" s="1"/>
  <c r="Q18" i="6" l="1"/>
  <c r="A19" i="6"/>
  <c r="R17" i="6"/>
  <c r="M17" i="6" s="1"/>
  <c r="S17" i="6" s="1"/>
  <c r="N18" i="6"/>
  <c r="O19" i="6"/>
  <c r="P19" i="6" s="1"/>
  <c r="Q19" i="6" l="1"/>
  <c r="A20" i="6"/>
  <c r="R18" i="6"/>
  <c r="M18" i="6" s="1"/>
  <c r="S18" i="6" s="1"/>
  <c r="N19" i="6"/>
  <c r="O20" i="6"/>
  <c r="P20" i="6" s="1"/>
  <c r="Q20" i="6" l="1"/>
  <c r="A21" i="6"/>
  <c r="R19" i="6"/>
  <c r="M19" i="6" s="1"/>
  <c r="S19" i="6" s="1"/>
  <c r="N20" i="6"/>
  <c r="O21" i="6"/>
  <c r="P21" i="6" s="1"/>
  <c r="Q21" i="6" l="1"/>
  <c r="A22" i="6"/>
  <c r="R20" i="6"/>
  <c r="M20" i="6" s="1"/>
  <c r="S20" i="6" s="1"/>
  <c r="N21" i="6"/>
  <c r="O22" i="6"/>
  <c r="P22" i="6" s="1"/>
  <c r="Q22" i="6" l="1"/>
  <c r="A23" i="6"/>
  <c r="R21" i="6"/>
  <c r="M21" i="6" s="1"/>
  <c r="S21" i="6" s="1"/>
  <c r="N22" i="6"/>
  <c r="O23" i="6"/>
  <c r="P23" i="6" s="1"/>
  <c r="Q23" i="6" l="1"/>
  <c r="A24" i="6"/>
  <c r="R22" i="6"/>
  <c r="M22" i="6" s="1"/>
  <c r="S22" i="6" s="1"/>
  <c r="N23" i="6"/>
  <c r="O24" i="6"/>
  <c r="P24" i="6" s="1"/>
  <c r="Q24" i="6" l="1"/>
  <c r="A25" i="6"/>
  <c r="R23" i="6"/>
  <c r="M23" i="6" s="1"/>
  <c r="S23" i="6" s="1"/>
  <c r="N24" i="6"/>
  <c r="O25" i="6"/>
  <c r="P25" i="6" s="1"/>
  <c r="Q25" i="6" l="1"/>
  <c r="A26" i="6"/>
  <c r="R24" i="6"/>
  <c r="M24" i="6" s="1"/>
  <c r="S24" i="6" s="1"/>
  <c r="N25" i="6"/>
  <c r="O26" i="6"/>
  <c r="P26" i="6" s="1"/>
  <c r="Q26" i="6" l="1"/>
  <c r="A27" i="6"/>
  <c r="R25" i="6"/>
  <c r="M25" i="6" s="1"/>
  <c r="S25" i="6" s="1"/>
  <c r="N26" i="6"/>
  <c r="O27" i="6"/>
  <c r="P27" i="6" s="1"/>
  <c r="Q27" i="6" l="1"/>
  <c r="A28" i="6"/>
  <c r="R26" i="6"/>
  <c r="M26" i="6" s="1"/>
  <c r="S26" i="6" s="1"/>
  <c r="N27" i="6"/>
  <c r="O28" i="6"/>
  <c r="P28" i="6" s="1"/>
  <c r="Q28" i="6" l="1"/>
  <c r="A29" i="6"/>
  <c r="R27" i="6"/>
  <c r="M27" i="6" s="1"/>
  <c r="S27" i="6" s="1"/>
  <c r="N28" i="6"/>
  <c r="O29" i="6"/>
  <c r="P29" i="6" s="1"/>
  <c r="Q29" i="6" l="1"/>
  <c r="A30" i="6"/>
  <c r="R28" i="6"/>
  <c r="M28" i="6" s="1"/>
  <c r="S28" i="6" s="1"/>
  <c r="N29" i="6"/>
  <c r="O30" i="6"/>
  <c r="P30" i="6" s="1"/>
  <c r="Q30" i="6" l="1"/>
  <c r="R29" i="6"/>
  <c r="M29" i="6" s="1"/>
  <c r="S29" i="6" s="1"/>
  <c r="A31" i="6"/>
  <c r="N30" i="6"/>
  <c r="O31" i="6"/>
  <c r="P31" i="6" s="1"/>
  <c r="Q31" i="6" l="1"/>
  <c r="A32" i="6"/>
  <c r="R30" i="6"/>
  <c r="M30" i="6" s="1"/>
  <c r="S30" i="6" s="1"/>
  <c r="N31" i="6"/>
  <c r="O32" i="6"/>
  <c r="P32" i="6" s="1"/>
  <c r="Q32" i="6" l="1"/>
  <c r="A33" i="6"/>
  <c r="R31" i="6"/>
  <c r="M31" i="6" s="1"/>
  <c r="S31" i="6" s="1"/>
  <c r="N32" i="6"/>
  <c r="O33" i="6"/>
  <c r="P33" i="6" s="1"/>
  <c r="Q33" i="6" l="1"/>
  <c r="A34" i="6"/>
  <c r="R32" i="6"/>
  <c r="M32" i="6" s="1"/>
  <c r="S32" i="6" s="1"/>
  <c r="N33" i="6"/>
  <c r="O34" i="6"/>
  <c r="P34" i="6" s="1"/>
  <c r="Q34" i="6" l="1"/>
  <c r="A35" i="6"/>
  <c r="R33" i="6"/>
  <c r="M33" i="6" s="1"/>
  <c r="S33" i="6" s="1"/>
  <c r="N34" i="6"/>
  <c r="O35" i="6"/>
  <c r="P35" i="6" s="1"/>
  <c r="Q35" i="6" l="1"/>
  <c r="A36" i="6"/>
  <c r="R34" i="6"/>
  <c r="M34" i="6" s="1"/>
  <c r="S34" i="6" s="1"/>
  <c r="N35" i="6"/>
  <c r="O36" i="6"/>
  <c r="P36" i="6" s="1"/>
  <c r="Q36" i="6" l="1"/>
  <c r="A37" i="6"/>
  <c r="R35" i="6"/>
  <c r="M35" i="6" s="1"/>
  <c r="S35" i="6" s="1"/>
  <c r="N36" i="6"/>
  <c r="O37" i="6"/>
  <c r="P37" i="6" s="1"/>
  <c r="Q37" i="6" l="1"/>
  <c r="A38" i="6"/>
  <c r="R36" i="6"/>
  <c r="M36" i="6" s="1"/>
  <c r="S36" i="6" s="1"/>
  <c r="N37" i="6"/>
  <c r="O38" i="6"/>
  <c r="P38" i="6" s="1"/>
  <c r="Q38" i="6" l="1"/>
  <c r="A39" i="6"/>
  <c r="R37" i="6"/>
  <c r="M37" i="6" s="1"/>
  <c r="S37" i="6" s="1"/>
  <c r="N38" i="6"/>
  <c r="O39" i="6"/>
  <c r="P39" i="6" s="1"/>
  <c r="Q39" i="6" l="1"/>
  <c r="A40" i="6"/>
  <c r="R38" i="6"/>
  <c r="M38" i="6" s="1"/>
  <c r="S38" i="6" s="1"/>
  <c r="N39" i="6"/>
  <c r="O40" i="6"/>
  <c r="P40" i="6" s="1"/>
  <c r="Q40" i="6" l="1"/>
  <c r="A41" i="6"/>
  <c r="R39" i="6"/>
  <c r="M39" i="6" s="1"/>
  <c r="S39" i="6" s="1"/>
  <c r="N40" i="6"/>
  <c r="O41" i="6"/>
  <c r="P41" i="6" s="1"/>
  <c r="Q41" i="6" l="1"/>
  <c r="A42" i="6"/>
  <c r="R40" i="6"/>
  <c r="M40" i="6" s="1"/>
  <c r="S40" i="6" s="1"/>
  <c r="N41" i="6"/>
  <c r="O42" i="6"/>
  <c r="P42" i="6" s="1"/>
  <c r="Q42" i="6" l="1"/>
  <c r="A43" i="6"/>
  <c r="R41" i="6"/>
  <c r="M41" i="6" s="1"/>
  <c r="S41" i="6" s="1"/>
  <c r="N42" i="6"/>
  <c r="O43" i="6"/>
  <c r="P43" i="6" s="1"/>
  <c r="Q43" i="6" l="1"/>
  <c r="A44" i="6"/>
  <c r="R42" i="6"/>
  <c r="M42" i="6" s="1"/>
  <c r="S42" i="6" s="1"/>
  <c r="N43" i="6"/>
  <c r="O44" i="6"/>
  <c r="P44" i="6" s="1"/>
  <c r="Q44" i="6" l="1"/>
  <c r="A45" i="6"/>
  <c r="R43" i="6"/>
  <c r="M43" i="6" s="1"/>
  <c r="S43" i="6" s="1"/>
  <c r="N44" i="6"/>
  <c r="O45" i="6"/>
  <c r="P45" i="6" s="1"/>
  <c r="Q45" i="6" l="1"/>
  <c r="A46" i="6"/>
  <c r="R44" i="6"/>
  <c r="M44" i="6" s="1"/>
  <c r="S44" i="6" s="1"/>
  <c r="N45" i="6"/>
  <c r="O46" i="6"/>
  <c r="P46" i="6" s="1"/>
  <c r="Q46" i="6" l="1"/>
  <c r="A47" i="6"/>
  <c r="R45" i="6"/>
  <c r="M45" i="6" s="1"/>
  <c r="S45" i="6" s="1"/>
  <c r="N46" i="6"/>
  <c r="O47" i="6"/>
  <c r="P47" i="6" s="1"/>
  <c r="Q47" i="6" l="1"/>
  <c r="A48" i="6"/>
  <c r="R46" i="6"/>
  <c r="M46" i="6" s="1"/>
  <c r="S46" i="6" s="1"/>
  <c r="N47" i="6"/>
  <c r="O48" i="6"/>
  <c r="P48" i="6" s="1"/>
  <c r="Q48" i="6" l="1"/>
  <c r="A49" i="6"/>
  <c r="R47" i="6"/>
  <c r="M47" i="6" s="1"/>
  <c r="S47" i="6" s="1"/>
  <c r="N48" i="6"/>
  <c r="O49" i="6"/>
  <c r="P49" i="6" s="1"/>
  <c r="Q49" i="6" l="1"/>
  <c r="A50" i="6"/>
  <c r="R48" i="6"/>
  <c r="M48" i="6" s="1"/>
  <c r="S48" i="6" s="1"/>
  <c r="N49" i="6"/>
  <c r="O50" i="6"/>
  <c r="P50" i="6" s="1"/>
  <c r="Q50" i="6" l="1"/>
  <c r="A51" i="6"/>
  <c r="R49" i="6"/>
  <c r="M49" i="6" s="1"/>
  <c r="S49" i="6" s="1"/>
  <c r="N50" i="6"/>
  <c r="O51" i="6"/>
  <c r="P51" i="6" s="1"/>
  <c r="Q51" i="6" l="1"/>
  <c r="A52" i="6"/>
  <c r="R50" i="6"/>
  <c r="M50" i="6" s="1"/>
  <c r="S50" i="6" s="1"/>
  <c r="N51" i="6"/>
  <c r="O52" i="6"/>
  <c r="P52" i="6" s="1"/>
  <c r="Q52" i="6" l="1"/>
  <c r="A53" i="6"/>
  <c r="R51" i="6"/>
  <c r="M51" i="6" s="1"/>
  <c r="S51" i="6" s="1"/>
  <c r="N52" i="6"/>
  <c r="O53" i="6"/>
  <c r="P53" i="6" s="1"/>
  <c r="Q53" i="6" l="1"/>
  <c r="A54" i="6"/>
  <c r="R52" i="6"/>
  <c r="M52" i="6" s="1"/>
  <c r="S52" i="6" s="1"/>
  <c r="N53" i="6"/>
  <c r="O54" i="6"/>
  <c r="P54" i="6" s="1"/>
  <c r="Q54" i="6" l="1"/>
  <c r="A55" i="6"/>
  <c r="R53" i="6"/>
  <c r="M53" i="6" s="1"/>
  <c r="S53" i="6" s="1"/>
  <c r="N54" i="6"/>
  <c r="O55" i="6"/>
  <c r="P55" i="6" s="1"/>
  <c r="Q55" i="6" l="1"/>
  <c r="A56" i="6"/>
  <c r="R54" i="6"/>
  <c r="M54" i="6" s="1"/>
  <c r="S54" i="6" s="1"/>
  <c r="N55" i="6"/>
  <c r="O56" i="6"/>
  <c r="P56" i="6" s="1"/>
  <c r="Q56" i="6" l="1"/>
  <c r="A57" i="6"/>
  <c r="R55" i="6"/>
  <c r="M55" i="6" s="1"/>
  <c r="S55" i="6" s="1"/>
  <c r="N56" i="6"/>
  <c r="O57" i="6"/>
  <c r="P57" i="6" s="1"/>
  <c r="Q57" i="6" l="1"/>
  <c r="A58" i="6"/>
  <c r="R56" i="6"/>
  <c r="M56" i="6" s="1"/>
  <c r="S56" i="6" s="1"/>
  <c r="N57" i="6"/>
  <c r="O58" i="6"/>
  <c r="P58" i="6" s="1"/>
  <c r="Q58" i="6" l="1"/>
  <c r="A59" i="6"/>
  <c r="R57" i="6"/>
  <c r="M57" i="6" s="1"/>
  <c r="S57" i="6" s="1"/>
  <c r="N58" i="6"/>
  <c r="O59" i="6"/>
  <c r="P59" i="6" s="1"/>
  <c r="Q59" i="6" l="1"/>
  <c r="A60" i="6"/>
  <c r="R58" i="6"/>
  <c r="M58" i="6" s="1"/>
  <c r="S58" i="6" s="1"/>
  <c r="N59" i="6"/>
  <c r="O60" i="6"/>
  <c r="P60" i="6" s="1"/>
  <c r="Q60" i="6" l="1"/>
  <c r="A61" i="6"/>
  <c r="R59" i="6"/>
  <c r="M59" i="6" s="1"/>
  <c r="S59" i="6" s="1"/>
  <c r="N60" i="6"/>
  <c r="O61" i="6"/>
  <c r="P61" i="6" s="1"/>
  <c r="Q61" i="6" l="1"/>
  <c r="A62" i="6"/>
  <c r="R60" i="6"/>
  <c r="M60" i="6" s="1"/>
  <c r="S60" i="6" s="1"/>
  <c r="N61" i="6"/>
  <c r="O62" i="6"/>
  <c r="P62" i="6" s="1"/>
  <c r="Q62" i="6" l="1"/>
  <c r="A63" i="6"/>
  <c r="R61" i="6"/>
  <c r="M61" i="6" s="1"/>
  <c r="S61" i="6" s="1"/>
  <c r="N62" i="6"/>
  <c r="O63" i="6"/>
  <c r="P63" i="6" s="1"/>
  <c r="Q63" i="6" l="1"/>
  <c r="A64" i="6"/>
  <c r="R62" i="6"/>
  <c r="M62" i="6" s="1"/>
  <c r="S62" i="6" s="1"/>
  <c r="N63" i="6"/>
  <c r="O64" i="6"/>
  <c r="P64" i="6" s="1"/>
  <c r="Q64" i="6" l="1"/>
  <c r="A65" i="6"/>
  <c r="R63" i="6"/>
  <c r="M63" i="6" s="1"/>
  <c r="S63" i="6" s="1"/>
  <c r="N64" i="6"/>
  <c r="O65" i="6"/>
  <c r="P65" i="6" s="1"/>
  <c r="Q65" i="6" l="1"/>
  <c r="R64" i="6"/>
  <c r="M64" i="6" s="1"/>
  <c r="S64" i="6" s="1"/>
  <c r="A66" i="6"/>
  <c r="N65" i="6"/>
  <c r="O66" i="6"/>
  <c r="P66" i="6" s="1"/>
  <c r="Q66" i="6" l="1"/>
  <c r="A67" i="6"/>
  <c r="R65" i="6"/>
  <c r="M65" i="6" s="1"/>
  <c r="S65" i="6" s="1"/>
  <c r="N66" i="6"/>
  <c r="O67" i="6"/>
  <c r="P67" i="6" s="1"/>
  <c r="Q67" i="6" l="1"/>
  <c r="A68" i="6"/>
  <c r="R66" i="6"/>
  <c r="M66" i="6" s="1"/>
  <c r="S66" i="6" s="1"/>
  <c r="N67" i="6"/>
  <c r="O68" i="6"/>
  <c r="P68" i="6" s="1"/>
  <c r="Q68" i="6" l="1"/>
  <c r="A69" i="6"/>
  <c r="R67" i="6"/>
  <c r="M67" i="6" s="1"/>
  <c r="S67" i="6" s="1"/>
  <c r="N68" i="6"/>
  <c r="O69" i="6"/>
  <c r="P69" i="6" s="1"/>
  <c r="Q69" i="6" l="1"/>
  <c r="A70" i="6"/>
  <c r="R68" i="6"/>
  <c r="M68" i="6" s="1"/>
  <c r="S68" i="6" s="1"/>
  <c r="N69" i="6"/>
  <c r="O70" i="6"/>
  <c r="P70" i="6" s="1"/>
  <c r="Q70" i="6" l="1"/>
  <c r="A71" i="6"/>
  <c r="R69" i="6"/>
  <c r="M69" i="6" s="1"/>
  <c r="S69" i="6" s="1"/>
  <c r="N70" i="6"/>
  <c r="O71" i="6"/>
  <c r="P71" i="6" s="1"/>
  <c r="Q71" i="6" l="1"/>
  <c r="A72" i="6"/>
  <c r="R70" i="6"/>
  <c r="M70" i="6" s="1"/>
  <c r="S70" i="6" s="1"/>
  <c r="N71" i="6"/>
  <c r="O72" i="6"/>
  <c r="P72" i="6" s="1"/>
  <c r="Q72" i="6" l="1"/>
  <c r="A73" i="6"/>
  <c r="R71" i="6"/>
  <c r="M71" i="6" s="1"/>
  <c r="S71" i="6" s="1"/>
  <c r="N72" i="6"/>
  <c r="O73" i="6"/>
  <c r="P73" i="6" s="1"/>
  <c r="Q73" i="6" l="1"/>
  <c r="A74" i="6"/>
  <c r="R72" i="6"/>
  <c r="M72" i="6" s="1"/>
  <c r="S72" i="6" s="1"/>
  <c r="N73" i="6"/>
  <c r="O74" i="6"/>
  <c r="P74" i="6" s="1"/>
  <c r="Q74" i="6" l="1"/>
  <c r="A75" i="6"/>
  <c r="R73" i="6"/>
  <c r="M73" i="6" s="1"/>
  <c r="S73" i="6" s="1"/>
  <c r="N74" i="6"/>
  <c r="O75" i="6"/>
  <c r="P75" i="6" s="1"/>
  <c r="Q75" i="6" l="1"/>
  <c r="A76" i="6"/>
  <c r="R74" i="6"/>
  <c r="M74" i="6" s="1"/>
  <c r="S74" i="6" s="1"/>
  <c r="N75" i="6"/>
  <c r="O76" i="6"/>
  <c r="P76" i="6" s="1"/>
  <c r="Q76" i="6" l="1"/>
  <c r="A77" i="6"/>
  <c r="R75" i="6"/>
  <c r="M75" i="6" s="1"/>
  <c r="S75" i="6" s="1"/>
  <c r="N76" i="6"/>
  <c r="O77" i="6"/>
  <c r="P77" i="6" s="1"/>
  <c r="Q77" i="6" l="1"/>
  <c r="A78" i="6"/>
  <c r="R76" i="6"/>
  <c r="M76" i="6" s="1"/>
  <c r="S76" i="6" s="1"/>
  <c r="N77" i="6"/>
  <c r="O78" i="6"/>
  <c r="P78" i="6" s="1"/>
  <c r="Q78" i="6" l="1"/>
  <c r="A79" i="6"/>
  <c r="R77" i="6"/>
  <c r="M77" i="6" s="1"/>
  <c r="S77" i="6" s="1"/>
  <c r="N78" i="6"/>
  <c r="O79" i="6"/>
  <c r="P79" i="6" s="1"/>
  <c r="Q79" i="6" l="1"/>
  <c r="A80" i="6"/>
  <c r="R78" i="6"/>
  <c r="M78" i="6" s="1"/>
  <c r="S78" i="6" s="1"/>
  <c r="N79" i="6"/>
  <c r="O80" i="6"/>
  <c r="P80" i="6" s="1"/>
  <c r="Q80" i="6" l="1"/>
  <c r="A81" i="6"/>
  <c r="R79" i="6"/>
  <c r="M79" i="6" s="1"/>
  <c r="S79" i="6" s="1"/>
  <c r="N80" i="6"/>
  <c r="O81" i="6"/>
  <c r="P81" i="6" s="1"/>
  <c r="Q81" i="6" l="1"/>
  <c r="A82" i="6"/>
  <c r="R80" i="6"/>
  <c r="M80" i="6" s="1"/>
  <c r="S80" i="6" s="1"/>
  <c r="N81" i="6"/>
  <c r="O82" i="6"/>
  <c r="P82" i="6" s="1"/>
  <c r="Q82" i="6" l="1"/>
  <c r="A83" i="6"/>
  <c r="N82" i="6"/>
  <c r="O83" i="6"/>
  <c r="P83" i="6" s="1"/>
  <c r="Q83" i="6" l="1"/>
  <c r="A84" i="6"/>
  <c r="N83" i="6"/>
  <c r="O84" i="6"/>
  <c r="P84" i="6" s="1"/>
  <c r="Q84" i="6" l="1"/>
  <c r="A85" i="6"/>
  <c r="N84" i="6"/>
  <c r="O85" i="6"/>
  <c r="P85" i="6" s="1"/>
  <c r="Q85" i="6" l="1"/>
  <c r="A86" i="6"/>
  <c r="N85" i="6"/>
  <c r="O86" i="6"/>
  <c r="P86" i="6" s="1"/>
  <c r="Q86" i="6" l="1"/>
  <c r="A87" i="6"/>
  <c r="N86" i="6"/>
  <c r="O87" i="6"/>
  <c r="P87" i="6" s="1"/>
  <c r="Q87" i="6" l="1"/>
  <c r="A88" i="6"/>
  <c r="N87" i="6"/>
  <c r="O88" i="6"/>
  <c r="P88" i="6" s="1"/>
  <c r="Q88" i="6" l="1"/>
  <c r="A89" i="6"/>
  <c r="N88" i="6"/>
  <c r="O89" i="6"/>
  <c r="P89" i="6" s="1"/>
  <c r="Q89" i="6" l="1"/>
  <c r="A90" i="6"/>
  <c r="N89" i="6"/>
  <c r="O90" i="6"/>
  <c r="P90" i="6" s="1"/>
  <c r="Q90" i="6" l="1"/>
  <c r="A91" i="6"/>
  <c r="N90" i="6"/>
  <c r="O91" i="6"/>
  <c r="P91" i="6" s="1"/>
  <c r="Q91" i="6" l="1"/>
  <c r="A92" i="6"/>
  <c r="N91" i="6"/>
  <c r="O92" i="6"/>
  <c r="P92" i="6" s="1"/>
  <c r="Q92" i="6" l="1"/>
  <c r="A93" i="6"/>
  <c r="N92" i="6"/>
  <c r="O93" i="6"/>
  <c r="P93" i="6" s="1"/>
  <c r="Q93" i="6" l="1"/>
  <c r="A94" i="6"/>
  <c r="N93" i="6"/>
  <c r="O94" i="6"/>
  <c r="P94" i="6" s="1"/>
  <c r="Q94" i="6" l="1"/>
  <c r="A95" i="6"/>
  <c r="N94" i="6"/>
  <c r="O95" i="6"/>
  <c r="P95" i="6" s="1"/>
  <c r="Q95" i="6" l="1"/>
  <c r="A96" i="6"/>
  <c r="N95" i="6"/>
  <c r="O96" i="6"/>
  <c r="P96" i="6" s="1"/>
  <c r="Q96" i="6" l="1"/>
  <c r="A97" i="6"/>
  <c r="N96" i="6"/>
  <c r="O97" i="6"/>
  <c r="P97" i="6" s="1"/>
  <c r="Q97" i="6" l="1"/>
  <c r="A98" i="6"/>
  <c r="N97" i="6"/>
  <c r="O98" i="6"/>
  <c r="P98" i="6" s="1"/>
  <c r="Q98" i="6" l="1"/>
  <c r="A99" i="6"/>
  <c r="N98" i="6"/>
  <c r="O99" i="6"/>
  <c r="P99" i="6" s="1"/>
  <c r="Q99" i="6" l="1"/>
  <c r="A100" i="6"/>
  <c r="N99" i="6"/>
  <c r="O100" i="6"/>
  <c r="P100" i="6" s="1"/>
  <c r="Q100" i="6" l="1"/>
  <c r="A101" i="6"/>
  <c r="N100" i="6"/>
  <c r="O101" i="6"/>
  <c r="P101" i="6" s="1"/>
  <c r="Q101" i="6" l="1"/>
  <c r="A102" i="6"/>
  <c r="N101" i="6"/>
  <c r="O102" i="6"/>
  <c r="P102" i="6" s="1"/>
  <c r="Q102" i="6" l="1"/>
  <c r="A103" i="6"/>
  <c r="N102" i="6"/>
  <c r="O103" i="6"/>
  <c r="P103" i="6" s="1"/>
  <c r="Q103" i="6" l="1"/>
  <c r="A104" i="6"/>
  <c r="N103" i="6"/>
  <c r="O104" i="6"/>
  <c r="P104" i="6" s="1"/>
  <c r="Q104" i="6" l="1"/>
  <c r="A105" i="6"/>
  <c r="N104" i="6"/>
  <c r="O105" i="6"/>
  <c r="P105" i="6" s="1"/>
  <c r="Q105" i="6" l="1"/>
  <c r="A106" i="6"/>
  <c r="N105" i="6"/>
  <c r="O106" i="6"/>
  <c r="P106" i="6" s="1"/>
  <c r="Q106" i="6" l="1"/>
  <c r="A107" i="6"/>
  <c r="N106" i="6"/>
  <c r="O107" i="6"/>
  <c r="P107" i="6" s="1"/>
  <c r="Q107" i="6" l="1"/>
  <c r="A108" i="6"/>
  <c r="N107" i="6"/>
  <c r="O108" i="6"/>
  <c r="P108" i="6" s="1"/>
  <c r="Q108" i="6" l="1"/>
  <c r="A109" i="6"/>
  <c r="N108" i="6"/>
  <c r="O109" i="6"/>
  <c r="P109" i="6" s="1"/>
  <c r="Q109" i="6" l="1"/>
  <c r="A110" i="6"/>
  <c r="N109" i="6"/>
  <c r="O110" i="6"/>
  <c r="P110" i="6" s="1"/>
  <c r="Q110" i="6" l="1"/>
  <c r="A111" i="6"/>
  <c r="N110" i="6"/>
  <c r="O111" i="6"/>
  <c r="P111" i="6" s="1"/>
  <c r="Q111" i="6" l="1"/>
  <c r="A112" i="6"/>
  <c r="N111" i="6"/>
  <c r="O112" i="6"/>
  <c r="P112" i="6" s="1"/>
  <c r="Q112" i="6" l="1"/>
  <c r="A113" i="6"/>
  <c r="N112" i="6"/>
  <c r="O113" i="6"/>
  <c r="P113" i="6" s="1"/>
  <c r="Q113" i="6" l="1"/>
  <c r="A114" i="6"/>
  <c r="N113" i="6"/>
  <c r="O114" i="6"/>
  <c r="P114" i="6" s="1"/>
  <c r="Q114" i="6" l="1"/>
  <c r="A115" i="6"/>
  <c r="N114" i="6"/>
  <c r="O115" i="6"/>
  <c r="P115" i="6" s="1"/>
  <c r="Q115" i="6" l="1"/>
  <c r="A116" i="6"/>
  <c r="N115" i="6"/>
  <c r="O116" i="6"/>
  <c r="P116" i="6" s="1"/>
  <c r="Q116" i="6" l="1"/>
  <c r="A117" i="6"/>
  <c r="N116" i="6"/>
  <c r="O117" i="6"/>
  <c r="P117" i="6" s="1"/>
  <c r="Q117" i="6" l="1"/>
  <c r="A118" i="6"/>
  <c r="N117" i="6"/>
  <c r="O118" i="6"/>
  <c r="P118" i="6" s="1"/>
  <c r="Q118" i="6" l="1"/>
  <c r="A119" i="6"/>
  <c r="N118" i="6"/>
  <c r="O119" i="6"/>
  <c r="P119" i="6" s="1"/>
  <c r="Q119" i="6" l="1"/>
  <c r="A120" i="6"/>
  <c r="N119" i="6"/>
  <c r="O120" i="6"/>
  <c r="P120" i="6" s="1"/>
  <c r="Q120" i="6" l="1"/>
  <c r="A121" i="6"/>
  <c r="N120" i="6"/>
  <c r="O121" i="6"/>
  <c r="P121" i="6" s="1"/>
  <c r="Q121" i="6" l="1"/>
  <c r="A122" i="6"/>
  <c r="N121" i="6"/>
  <c r="O122" i="6"/>
  <c r="P122" i="6" s="1"/>
  <c r="Q122" i="6" l="1"/>
  <c r="A123" i="6"/>
  <c r="N122" i="6"/>
  <c r="O123" i="6"/>
  <c r="P123" i="6" s="1"/>
  <c r="Q123" i="6" l="1"/>
  <c r="A124" i="6"/>
  <c r="N123" i="6"/>
  <c r="O124" i="6"/>
  <c r="P124" i="6" s="1"/>
  <c r="Q124" i="6" l="1"/>
  <c r="A125" i="6"/>
  <c r="N124" i="6"/>
  <c r="O125" i="6"/>
  <c r="P125" i="6" s="1"/>
  <c r="Q125" i="6" l="1"/>
  <c r="A126" i="6"/>
  <c r="N125" i="6"/>
  <c r="O126" i="6"/>
  <c r="P126" i="6" s="1"/>
  <c r="Q126" i="6" l="1"/>
  <c r="A127" i="6"/>
  <c r="N126" i="6"/>
  <c r="O127" i="6"/>
  <c r="P127" i="6" s="1"/>
  <c r="Q127" i="6" l="1"/>
  <c r="A128" i="6"/>
  <c r="N127" i="6"/>
  <c r="O128" i="6"/>
  <c r="P128" i="6" s="1"/>
  <c r="Q128" i="6" l="1"/>
  <c r="A129" i="6"/>
  <c r="N128" i="6"/>
  <c r="O129" i="6"/>
  <c r="P129" i="6" s="1"/>
  <c r="Q129" i="6" l="1"/>
  <c r="A130" i="6"/>
  <c r="N129" i="6"/>
  <c r="O130" i="6"/>
  <c r="P130" i="6" s="1"/>
  <c r="Q130" i="6" l="1"/>
  <c r="A131" i="6"/>
  <c r="N130" i="6"/>
  <c r="O131" i="6"/>
  <c r="P131" i="6" s="1"/>
  <c r="Q131" i="6" l="1"/>
  <c r="A132" i="6"/>
  <c r="N131" i="6"/>
  <c r="O132" i="6"/>
  <c r="P132" i="6" s="1"/>
  <c r="Q132" i="6" l="1"/>
  <c r="A133" i="6"/>
  <c r="N132" i="6"/>
  <c r="O133" i="6"/>
  <c r="P133" i="6" s="1"/>
  <c r="Q133" i="6" l="1"/>
  <c r="A134" i="6"/>
  <c r="N133" i="6"/>
  <c r="O134" i="6"/>
  <c r="P134" i="6" s="1"/>
  <c r="Q134" i="6" l="1"/>
  <c r="A135" i="6"/>
  <c r="N134" i="6"/>
  <c r="O135" i="6"/>
  <c r="P135" i="6" s="1"/>
  <c r="Q135" i="6" l="1"/>
  <c r="A136" i="6"/>
  <c r="N135" i="6"/>
  <c r="O136" i="6"/>
  <c r="P136" i="6" s="1"/>
  <c r="Q136" i="6" l="1"/>
  <c r="A137" i="6"/>
  <c r="N136" i="6"/>
  <c r="O137" i="6"/>
  <c r="P137" i="6" s="1"/>
  <c r="Q137" i="6" l="1"/>
  <c r="A138" i="6"/>
  <c r="N137" i="6"/>
  <c r="O138" i="6"/>
  <c r="P138" i="6" s="1"/>
  <c r="Q138" i="6" l="1"/>
  <c r="A139" i="6"/>
  <c r="N138" i="6"/>
  <c r="O139" i="6"/>
  <c r="P139" i="6" s="1"/>
  <c r="Q139" i="6" l="1"/>
  <c r="A140" i="6"/>
  <c r="N139" i="6"/>
  <c r="O140" i="6"/>
  <c r="P140" i="6" s="1"/>
  <c r="Q140" i="6" l="1"/>
  <c r="A141" i="6"/>
  <c r="N140" i="6"/>
  <c r="O141" i="6"/>
  <c r="P141" i="6" s="1"/>
  <c r="Q141" i="6" l="1"/>
  <c r="A142" i="6"/>
  <c r="N141" i="6"/>
  <c r="O142" i="6"/>
  <c r="P142" i="6" s="1"/>
  <c r="Q142" i="6" l="1"/>
  <c r="A143" i="6"/>
  <c r="N142" i="6"/>
  <c r="O143" i="6"/>
  <c r="P143" i="6" s="1"/>
  <c r="Q143" i="6" l="1"/>
  <c r="A144" i="6"/>
  <c r="N143" i="6"/>
  <c r="O144" i="6"/>
  <c r="P144" i="6" s="1"/>
  <c r="Q144" i="6" l="1"/>
  <c r="A145" i="6"/>
  <c r="N144" i="6"/>
  <c r="O145" i="6"/>
  <c r="P145" i="6" s="1"/>
  <c r="Q145" i="6" l="1"/>
  <c r="A146" i="6"/>
  <c r="N145" i="6"/>
  <c r="O146" i="6"/>
  <c r="P146" i="6" s="1"/>
  <c r="Q146" i="6" l="1"/>
  <c r="A147" i="6"/>
  <c r="N146" i="6"/>
  <c r="O147" i="6"/>
  <c r="P147" i="6" s="1"/>
  <c r="Q147" i="6" l="1"/>
  <c r="A148" i="6"/>
  <c r="N147" i="6"/>
  <c r="O148" i="6"/>
  <c r="P148" i="6" s="1"/>
  <c r="Q148" i="6" l="1"/>
  <c r="A149" i="6"/>
  <c r="N148" i="6"/>
  <c r="O149" i="6"/>
  <c r="P149" i="6" s="1"/>
  <c r="Q149" i="6" l="1"/>
  <c r="A150" i="6"/>
  <c r="N149" i="6"/>
  <c r="O150" i="6"/>
  <c r="P150" i="6" s="1"/>
  <c r="Q150" i="6" l="1"/>
  <c r="A151" i="6"/>
  <c r="N150" i="6"/>
  <c r="O151" i="6"/>
  <c r="P151" i="6" s="1"/>
  <c r="Q151" i="6" l="1"/>
  <c r="A152" i="6"/>
  <c r="N151" i="6"/>
  <c r="O152" i="6"/>
  <c r="P152" i="6" s="1"/>
  <c r="Q152" i="6" l="1"/>
  <c r="A153" i="6"/>
  <c r="N152" i="6"/>
  <c r="O153" i="6"/>
  <c r="P153" i="6" s="1"/>
  <c r="Q153" i="6" l="1"/>
  <c r="A154" i="6"/>
  <c r="N153" i="6"/>
  <c r="O154" i="6"/>
  <c r="P154" i="6" s="1"/>
  <c r="Q154" i="6" l="1"/>
  <c r="A155" i="6"/>
  <c r="N154" i="6"/>
  <c r="O155" i="6"/>
  <c r="P155" i="6" s="1"/>
  <c r="Q155" i="6" l="1"/>
  <c r="A156" i="6"/>
  <c r="N155" i="6"/>
  <c r="O156" i="6"/>
  <c r="P156" i="6" s="1"/>
  <c r="Q156" i="6" l="1"/>
  <c r="A157" i="6"/>
  <c r="N156" i="6"/>
  <c r="O157" i="6"/>
  <c r="P157" i="6" s="1"/>
  <c r="Q157" i="6" l="1"/>
  <c r="A158" i="6"/>
  <c r="N157" i="6"/>
  <c r="O158" i="6"/>
  <c r="P158" i="6" s="1"/>
  <c r="Q158" i="6" l="1"/>
  <c r="A159" i="6"/>
  <c r="N158" i="6"/>
  <c r="O159" i="6"/>
  <c r="P159" i="6" s="1"/>
  <c r="Q159" i="6" l="1"/>
  <c r="A160" i="6"/>
  <c r="N159" i="6"/>
  <c r="O160" i="6"/>
  <c r="P160" i="6" s="1"/>
  <c r="Q160" i="6" l="1"/>
  <c r="A161" i="6"/>
  <c r="N160" i="6"/>
  <c r="O161" i="6"/>
  <c r="P161" i="6" s="1"/>
  <c r="Q161" i="6" l="1"/>
  <c r="A162" i="6"/>
  <c r="N161" i="6"/>
  <c r="O162" i="6"/>
  <c r="P162" i="6" s="1"/>
  <c r="Q162" i="6" l="1"/>
  <c r="A163" i="6"/>
  <c r="N162" i="6"/>
  <c r="O163" i="6"/>
  <c r="P163" i="6" s="1"/>
  <c r="Q163" i="6" l="1"/>
  <c r="A164" i="6"/>
  <c r="N163" i="6"/>
  <c r="O164" i="6"/>
  <c r="P164" i="6" s="1"/>
  <c r="Q164" i="6" l="1"/>
  <c r="A165" i="6"/>
  <c r="N164" i="6"/>
  <c r="O165" i="6"/>
  <c r="P165" i="6" s="1"/>
  <c r="Q165" i="6" l="1"/>
  <c r="A166" i="6"/>
  <c r="N165" i="6"/>
  <c r="O166" i="6"/>
  <c r="P166" i="6" s="1"/>
  <c r="Q166" i="6" l="1"/>
  <c r="A167" i="6"/>
  <c r="N166" i="6"/>
  <c r="O167" i="6"/>
  <c r="P167" i="6" s="1"/>
  <c r="Q167" i="6" l="1"/>
  <c r="A168" i="6"/>
  <c r="N167" i="6"/>
  <c r="O168" i="6"/>
  <c r="P168" i="6" s="1"/>
  <c r="Q168" i="6" l="1"/>
  <c r="V168" i="6"/>
  <c r="A169" i="6"/>
  <c r="N168" i="6"/>
  <c r="O169" i="6"/>
  <c r="P169" i="6" s="1"/>
  <c r="Q169" i="6" l="1"/>
  <c r="A170" i="6"/>
  <c r="N169" i="6"/>
  <c r="O170" i="6"/>
  <c r="P170" i="6" s="1"/>
  <c r="Q170" i="6" l="1"/>
  <c r="A171" i="6"/>
  <c r="N170" i="6"/>
  <c r="O171" i="6"/>
  <c r="P171" i="6" s="1"/>
  <c r="Q171" i="6" l="1"/>
  <c r="A172" i="6"/>
  <c r="N171" i="6"/>
  <c r="O172" i="6"/>
  <c r="P172" i="6" s="1"/>
  <c r="Q172" i="6" l="1"/>
  <c r="A173" i="6"/>
  <c r="N172" i="6"/>
  <c r="O173" i="6"/>
  <c r="P173" i="6" s="1"/>
  <c r="Q173" i="6" l="1"/>
  <c r="A174" i="6"/>
  <c r="N173" i="6"/>
  <c r="O174" i="6"/>
  <c r="P174" i="6" s="1"/>
  <c r="Q174" i="6" l="1"/>
  <c r="A175" i="6"/>
  <c r="N174" i="6"/>
  <c r="O175" i="6"/>
  <c r="P175" i="6" s="1"/>
  <c r="Q175" i="6" l="1"/>
  <c r="A176" i="6"/>
  <c r="N175" i="6"/>
  <c r="O176" i="6"/>
  <c r="P176" i="6" s="1"/>
  <c r="Q176" i="6" l="1"/>
  <c r="A177" i="6"/>
  <c r="N176" i="6"/>
  <c r="O177" i="6"/>
  <c r="P177" i="6" s="1"/>
  <c r="Q177" i="6" l="1"/>
  <c r="A178" i="6"/>
  <c r="N177" i="6"/>
  <c r="O178" i="6"/>
  <c r="P178" i="6" s="1"/>
  <c r="Q178" i="6" l="1"/>
  <c r="A179" i="6"/>
  <c r="N178" i="6"/>
  <c r="O179" i="6"/>
  <c r="P179" i="6" s="1"/>
  <c r="Q179" i="6" l="1"/>
  <c r="A180" i="6"/>
  <c r="N179" i="6"/>
  <c r="O180" i="6"/>
  <c r="P180" i="6" s="1"/>
  <c r="Q180" i="6" l="1"/>
  <c r="A181" i="6"/>
  <c r="N180" i="6"/>
  <c r="O181" i="6"/>
  <c r="P181" i="6" s="1"/>
  <c r="Q181" i="6" l="1"/>
  <c r="A182" i="6"/>
  <c r="N181" i="6"/>
  <c r="O182" i="6"/>
  <c r="P182" i="6" s="1"/>
  <c r="Q182" i="6" l="1"/>
  <c r="A183" i="6"/>
  <c r="N182" i="6"/>
  <c r="O183" i="6"/>
  <c r="P183" i="6" s="1"/>
  <c r="Q183" i="6" l="1"/>
  <c r="A184" i="6"/>
  <c r="N183" i="6"/>
  <c r="O184" i="6"/>
  <c r="P184" i="6" s="1"/>
  <c r="Q184" i="6" l="1"/>
  <c r="A185" i="6"/>
  <c r="N184" i="6"/>
  <c r="O185" i="6"/>
  <c r="P185" i="6" s="1"/>
  <c r="Q185" i="6" l="1"/>
  <c r="A186" i="6"/>
  <c r="AK186" i="6" s="1"/>
  <c r="N185" i="6"/>
  <c r="O186" i="6"/>
  <c r="P186" i="6" s="1"/>
  <c r="Q186" i="6" l="1"/>
  <c r="A187" i="6"/>
  <c r="AK187" i="6" s="1"/>
  <c r="N186" i="6"/>
  <c r="O187" i="6"/>
  <c r="P187" i="6" s="1"/>
  <c r="Q187" i="6" l="1"/>
  <c r="A188" i="6"/>
  <c r="AK188" i="6" s="1"/>
  <c r="N187" i="6"/>
  <c r="O188" i="6"/>
  <c r="P188" i="6" s="1"/>
  <c r="Q188" i="6" l="1"/>
  <c r="A189" i="6"/>
  <c r="AK189" i="6" s="1"/>
  <c r="N188" i="6"/>
  <c r="O189" i="6"/>
  <c r="P189" i="6" s="1"/>
  <c r="Q189" i="6" l="1"/>
  <c r="A190" i="6"/>
  <c r="AK190" i="6" s="1"/>
  <c r="N189" i="6"/>
  <c r="O190" i="6"/>
  <c r="P190" i="6" s="1"/>
  <c r="Q190" i="6" l="1"/>
  <c r="A191" i="6"/>
  <c r="AK191" i="6" s="1"/>
  <c r="N190" i="6"/>
  <c r="O191" i="6"/>
  <c r="P191" i="6" s="1"/>
  <c r="Q191" i="6" l="1"/>
  <c r="A192" i="6"/>
  <c r="AK192" i="6" s="1"/>
  <c r="N191" i="6"/>
  <c r="O192" i="6"/>
  <c r="P192" i="6" s="1"/>
  <c r="Q192" i="6" l="1"/>
  <c r="A193" i="6"/>
  <c r="AK193" i="6" s="1"/>
  <c r="N192" i="6"/>
  <c r="O193" i="6"/>
  <c r="P193" i="6" s="1"/>
  <c r="Q193" i="6" l="1"/>
  <c r="A194" i="6"/>
  <c r="AK194" i="6" s="1"/>
  <c r="N193" i="6"/>
  <c r="O194" i="6"/>
  <c r="P194" i="6" s="1"/>
  <c r="Q194" i="6" l="1"/>
  <c r="A195" i="6"/>
  <c r="AK195" i="6" s="1"/>
  <c r="N194" i="6"/>
  <c r="O195" i="6"/>
  <c r="P195" i="6" s="1"/>
  <c r="Q195" i="6" l="1"/>
  <c r="A196" i="6"/>
  <c r="AK196" i="6" s="1"/>
  <c r="N195" i="6"/>
  <c r="O196" i="6"/>
  <c r="P196" i="6" s="1"/>
  <c r="Q196" i="6" l="1"/>
  <c r="A197" i="6"/>
  <c r="AK197" i="6" s="1"/>
  <c r="N196" i="6"/>
  <c r="O197" i="6"/>
  <c r="P197" i="6" s="1"/>
  <c r="Q197" i="6" l="1"/>
  <c r="A198" i="6"/>
  <c r="AK198" i="6" s="1"/>
  <c r="N197" i="6"/>
  <c r="O198" i="6"/>
  <c r="P198" i="6" s="1"/>
  <c r="Q198" i="6" l="1"/>
  <c r="A199" i="6"/>
  <c r="AK199" i="6" s="1"/>
  <c r="N198" i="6"/>
  <c r="O199" i="6"/>
  <c r="P199" i="6" s="1"/>
  <c r="Q199" i="6" l="1"/>
  <c r="A200" i="6"/>
  <c r="AK200" i="6" s="1"/>
  <c r="N199" i="6"/>
  <c r="O200" i="6"/>
  <c r="P200" i="6" s="1"/>
  <c r="Q200" i="6" l="1"/>
  <c r="A201" i="6"/>
  <c r="AK201" i="6" s="1"/>
  <c r="N200" i="6"/>
  <c r="O201" i="6"/>
  <c r="P201" i="6" s="1"/>
  <c r="Q201" i="6" l="1"/>
  <c r="A202" i="6"/>
  <c r="AK202" i="6" s="1"/>
  <c r="N201" i="6"/>
  <c r="O202" i="6"/>
  <c r="P202" i="6" s="1"/>
  <c r="Q202" i="6" l="1"/>
  <c r="A203" i="6"/>
  <c r="AK203" i="6" s="1"/>
  <c r="N202" i="6"/>
  <c r="O203" i="6"/>
  <c r="P203" i="6" s="1"/>
  <c r="Q203" i="6" l="1"/>
  <c r="A204" i="6"/>
  <c r="AK204" i="6" s="1"/>
  <c r="N203" i="6"/>
  <c r="O204" i="6"/>
  <c r="P204" i="6" s="1"/>
  <c r="Q204" i="6" l="1"/>
  <c r="A205" i="6"/>
  <c r="AK205" i="6" s="1"/>
  <c r="N204" i="6"/>
  <c r="O205" i="6"/>
  <c r="P205" i="6" s="1"/>
  <c r="Q205" i="6" l="1"/>
  <c r="A206" i="6"/>
  <c r="AK206" i="6" s="1"/>
  <c r="N205" i="6"/>
  <c r="O206" i="6"/>
  <c r="P206" i="6" s="1"/>
  <c r="Q206" i="6" l="1"/>
  <c r="A207" i="6"/>
  <c r="AK207" i="6" s="1"/>
  <c r="N206" i="6"/>
  <c r="O207" i="6"/>
  <c r="P207" i="6" s="1"/>
  <c r="Q207" i="6" l="1"/>
  <c r="A208" i="6"/>
  <c r="AK208" i="6" s="1"/>
  <c r="N207" i="6"/>
  <c r="O208" i="6"/>
  <c r="P208" i="6" s="1"/>
  <c r="Q208" i="6" l="1"/>
  <c r="A209" i="6"/>
  <c r="AK209" i="6" s="1"/>
  <c r="N208" i="6"/>
  <c r="O209" i="6"/>
  <c r="P209" i="6" s="1"/>
  <c r="Q209" i="6" l="1"/>
  <c r="A210" i="6"/>
  <c r="AK210" i="6" s="1"/>
  <c r="N209" i="6"/>
  <c r="O210" i="6"/>
  <c r="P210" i="6" s="1"/>
  <c r="Q210" i="6" l="1"/>
  <c r="A211" i="6"/>
  <c r="AK211" i="6" s="1"/>
  <c r="N210" i="6"/>
  <c r="O211" i="6"/>
  <c r="P211" i="6" s="1"/>
  <c r="Q211" i="6" l="1"/>
  <c r="A212" i="6"/>
  <c r="AK212" i="6" s="1"/>
  <c r="N211" i="6"/>
  <c r="O212" i="6"/>
  <c r="P212" i="6" s="1"/>
  <c r="Q212" i="6" l="1"/>
  <c r="A213" i="6"/>
  <c r="AK213" i="6" s="1"/>
  <c r="N212" i="6"/>
  <c r="O213" i="6"/>
  <c r="P213" i="6" s="1"/>
  <c r="Q213" i="6" l="1"/>
  <c r="A214" i="6"/>
  <c r="AK214" i="6" s="1"/>
  <c r="N213" i="6"/>
  <c r="O214" i="6"/>
  <c r="P214" i="6" s="1"/>
  <c r="Q214" i="6" l="1"/>
  <c r="A215" i="6"/>
  <c r="AK215" i="6" s="1"/>
  <c r="N214" i="6"/>
  <c r="O215" i="6"/>
  <c r="P215" i="6" s="1"/>
  <c r="Q215" i="6" l="1"/>
  <c r="A216" i="6"/>
  <c r="AK216" i="6" s="1"/>
  <c r="N215" i="6"/>
  <c r="O216" i="6"/>
  <c r="P216" i="6" s="1"/>
  <c r="Q216" i="6" l="1"/>
  <c r="A217" i="6"/>
  <c r="AK217" i="6" s="1"/>
  <c r="N216" i="6"/>
  <c r="O217" i="6"/>
  <c r="P217" i="6" s="1"/>
  <c r="Q217" i="6" l="1"/>
  <c r="A218" i="6"/>
  <c r="AK218" i="6" s="1"/>
  <c r="N217" i="6"/>
  <c r="O218" i="6"/>
  <c r="P218" i="6" s="1"/>
  <c r="Q218" i="6" l="1"/>
  <c r="A219" i="6"/>
  <c r="AK219" i="6" s="1"/>
  <c r="N218" i="6"/>
  <c r="O219" i="6"/>
  <c r="P219" i="6" s="1"/>
  <c r="Q219" i="6" l="1"/>
  <c r="A220" i="6"/>
  <c r="AK220" i="6" s="1"/>
  <c r="N219" i="6"/>
  <c r="O220" i="6"/>
  <c r="P220" i="6" s="1"/>
  <c r="Q220" i="6" l="1"/>
  <c r="A221" i="6"/>
  <c r="AK221" i="6" s="1"/>
  <c r="N220" i="6"/>
  <c r="O221" i="6"/>
  <c r="P221" i="6" s="1"/>
  <c r="Q221" i="6" l="1"/>
  <c r="A222" i="6"/>
  <c r="AK222" i="6" s="1"/>
  <c r="N221" i="6"/>
  <c r="O222" i="6"/>
  <c r="P222" i="6" s="1"/>
  <c r="Q222" i="6" l="1"/>
  <c r="A223" i="6"/>
  <c r="AK223" i="6" s="1"/>
  <c r="N222" i="6"/>
  <c r="O223" i="6"/>
  <c r="P223" i="6" s="1"/>
  <c r="Q223" i="6" l="1"/>
  <c r="A224" i="6"/>
  <c r="AK224" i="6" s="1"/>
  <c r="N223" i="6"/>
  <c r="O224" i="6"/>
  <c r="P224" i="6" s="1"/>
  <c r="Q224" i="6" l="1"/>
  <c r="A225" i="6"/>
  <c r="AK225" i="6" s="1"/>
  <c r="N224" i="6"/>
  <c r="O225" i="6"/>
  <c r="P225" i="6" s="1"/>
  <c r="Q225" i="6" l="1"/>
  <c r="A226" i="6"/>
  <c r="AK226" i="6" s="1"/>
  <c r="N225" i="6"/>
  <c r="O226" i="6"/>
  <c r="P226" i="6" s="1"/>
  <c r="Q226" i="6" l="1"/>
  <c r="A227" i="6"/>
  <c r="AK227" i="6" s="1"/>
  <c r="N226" i="6"/>
  <c r="O227" i="6"/>
  <c r="P227" i="6" s="1"/>
  <c r="Q227" i="6" l="1"/>
  <c r="A228" i="6"/>
  <c r="AK228" i="6" s="1"/>
  <c r="N227" i="6"/>
  <c r="O228" i="6"/>
  <c r="P228" i="6" s="1"/>
  <c r="Q228" i="6" l="1"/>
  <c r="A229" i="6"/>
  <c r="AK229" i="6" s="1"/>
  <c r="N228" i="6"/>
  <c r="O229" i="6"/>
  <c r="P229" i="6" s="1"/>
  <c r="Q229" i="6" l="1"/>
  <c r="A230" i="6"/>
  <c r="AK230" i="6" s="1"/>
  <c r="N229" i="6"/>
  <c r="O230" i="6"/>
  <c r="P230" i="6" s="1"/>
  <c r="Q230" i="6" l="1"/>
  <c r="A231" i="6"/>
  <c r="AK231" i="6" s="1"/>
  <c r="N230" i="6"/>
  <c r="O231" i="6"/>
  <c r="P231" i="6" s="1"/>
  <c r="Q231" i="6" l="1"/>
  <c r="A232" i="6"/>
  <c r="AK232" i="6" s="1"/>
  <c r="N231" i="6"/>
  <c r="O232" i="6"/>
  <c r="P232" i="6" s="1"/>
  <c r="Q232" i="6" l="1"/>
  <c r="A233" i="6"/>
  <c r="AK233" i="6" s="1"/>
  <c r="N232" i="6"/>
  <c r="O233" i="6"/>
  <c r="P233" i="6" s="1"/>
  <c r="Q233" i="6" l="1"/>
  <c r="A234" i="6"/>
  <c r="AK234" i="6" s="1"/>
  <c r="N233" i="6"/>
  <c r="O234" i="6"/>
  <c r="P234" i="6" s="1"/>
  <c r="Q234" i="6" l="1"/>
  <c r="A235" i="6"/>
  <c r="AK235" i="6" s="1"/>
  <c r="R233" i="6"/>
  <c r="M233" i="6" s="1"/>
  <c r="S233" i="6" s="1"/>
  <c r="N234" i="6"/>
  <c r="O235" i="6"/>
  <c r="P235" i="6" s="1"/>
  <c r="Q235" i="6" l="1"/>
  <c r="A236" i="6"/>
  <c r="AK236" i="6" s="1"/>
  <c r="R234" i="6"/>
  <c r="M234" i="6" s="1"/>
  <c r="S234" i="6" s="1"/>
  <c r="N235" i="6"/>
  <c r="O236" i="6"/>
  <c r="P236" i="6" s="1"/>
  <c r="Q236" i="6" l="1"/>
  <c r="A237" i="6"/>
  <c r="AK237" i="6" s="1"/>
  <c r="R235" i="6"/>
  <c r="M235" i="6" s="1"/>
  <c r="S235" i="6" s="1"/>
  <c r="N236" i="6"/>
  <c r="O237" i="6"/>
  <c r="P237" i="6" s="1"/>
  <c r="Q237" i="6" l="1"/>
  <c r="A238" i="6"/>
  <c r="AK238" i="6" s="1"/>
  <c r="R236" i="6"/>
  <c r="M236" i="6" s="1"/>
  <c r="S236" i="6" s="1"/>
  <c r="N237" i="6"/>
  <c r="O238" i="6"/>
  <c r="P238" i="6" s="1"/>
  <c r="Q238" i="6" l="1"/>
  <c r="A239" i="6"/>
  <c r="AK239" i="6" s="1"/>
  <c r="R237" i="6"/>
  <c r="M237" i="6" s="1"/>
  <c r="S237" i="6" s="1"/>
  <c r="N238" i="6"/>
  <c r="O239" i="6"/>
  <c r="P239" i="6" s="1"/>
  <c r="Q239" i="6" l="1"/>
  <c r="A240" i="6"/>
  <c r="AK240" i="6" s="1"/>
  <c r="R238" i="6"/>
  <c r="M238" i="6" s="1"/>
  <c r="S238" i="6" s="1"/>
  <c r="N239" i="6"/>
  <c r="O240" i="6"/>
  <c r="P240" i="6" s="1"/>
  <c r="Q240" i="6" l="1"/>
  <c r="A241" i="6"/>
  <c r="AK241" i="6" s="1"/>
  <c r="R239" i="6"/>
  <c r="M239" i="6" s="1"/>
  <c r="S239" i="6" s="1"/>
  <c r="N240" i="6"/>
  <c r="O241" i="6"/>
  <c r="P241" i="6" s="1"/>
  <c r="Q241" i="6" l="1"/>
  <c r="A242" i="6"/>
  <c r="AK242" i="6" s="1"/>
  <c r="R240" i="6"/>
  <c r="M240" i="6" s="1"/>
  <c r="S240" i="6" s="1"/>
  <c r="N241" i="6"/>
  <c r="O242" i="6"/>
  <c r="P242" i="6" s="1"/>
  <c r="Q242" i="6" l="1"/>
  <c r="A243" i="6"/>
  <c r="AK243" i="6" s="1"/>
  <c r="R241" i="6"/>
  <c r="M241" i="6" s="1"/>
  <c r="S241" i="6" s="1"/>
  <c r="N242" i="6"/>
  <c r="O243" i="6"/>
  <c r="P243" i="6" s="1"/>
  <c r="Q243" i="6" l="1"/>
  <c r="A244" i="6"/>
  <c r="AK244" i="6" s="1"/>
  <c r="R242" i="6"/>
  <c r="M242" i="6" s="1"/>
  <c r="S242" i="6" s="1"/>
  <c r="N243" i="6"/>
  <c r="O244" i="6"/>
  <c r="P244" i="6" s="1"/>
  <c r="Q244" i="6" l="1"/>
  <c r="A245" i="6"/>
  <c r="AK245" i="6" s="1"/>
  <c r="R243" i="6"/>
  <c r="M243" i="6" s="1"/>
  <c r="S243" i="6" s="1"/>
  <c r="N244" i="6"/>
  <c r="O245" i="6"/>
  <c r="P245" i="6" s="1"/>
  <c r="Q245" i="6" l="1"/>
  <c r="A246" i="6"/>
  <c r="AK246" i="6" s="1"/>
  <c r="R244" i="6"/>
  <c r="M244" i="6" s="1"/>
  <c r="S244" i="6" s="1"/>
  <c r="N245" i="6"/>
  <c r="O246" i="6"/>
  <c r="P246" i="6" s="1"/>
  <c r="Q246" i="6" l="1"/>
  <c r="A247" i="6"/>
  <c r="AK247" i="6" s="1"/>
  <c r="R245" i="6"/>
  <c r="M245" i="6" s="1"/>
  <c r="S245" i="6" s="1"/>
  <c r="N246" i="6"/>
  <c r="O247" i="6"/>
  <c r="P247" i="6" s="1"/>
  <c r="Q247" i="6" l="1"/>
  <c r="A248" i="6"/>
  <c r="AK248" i="6" s="1"/>
  <c r="R246" i="6"/>
  <c r="M246" i="6" s="1"/>
  <c r="S246" i="6" s="1"/>
  <c r="N247" i="6"/>
  <c r="O248" i="6"/>
  <c r="P248" i="6" s="1"/>
  <c r="Q248" i="6" l="1"/>
  <c r="A249" i="6"/>
  <c r="AK249" i="6" s="1"/>
  <c r="R247" i="6"/>
  <c r="M247" i="6" s="1"/>
  <c r="S247" i="6" s="1"/>
  <c r="N248" i="6"/>
  <c r="O249" i="6"/>
  <c r="P249" i="6" s="1"/>
  <c r="Q249" i="6" l="1"/>
  <c r="A250" i="6"/>
  <c r="AK250" i="6" s="1"/>
  <c r="R248" i="6"/>
  <c r="M248" i="6" s="1"/>
  <c r="S248" i="6" s="1"/>
  <c r="N249" i="6"/>
  <c r="O250" i="6"/>
  <c r="P250" i="6" s="1"/>
  <c r="Q250" i="6" l="1"/>
  <c r="A251" i="6"/>
  <c r="AK251" i="6" s="1"/>
  <c r="R249" i="6"/>
  <c r="M249" i="6" s="1"/>
  <c r="S249" i="6" s="1"/>
  <c r="N250" i="6"/>
  <c r="O251" i="6"/>
  <c r="P251" i="6" s="1"/>
  <c r="Q251" i="6" l="1"/>
  <c r="A252" i="6"/>
  <c r="AK252" i="6" s="1"/>
  <c r="R250" i="6"/>
  <c r="M250" i="6" s="1"/>
  <c r="S250" i="6" s="1"/>
  <c r="N251" i="6"/>
  <c r="O252" i="6"/>
  <c r="P252" i="6" s="1"/>
  <c r="Q252" i="6" l="1"/>
  <c r="A253" i="6"/>
  <c r="AK253" i="6" s="1"/>
  <c r="R251" i="6"/>
  <c r="M251" i="6" s="1"/>
  <c r="S251" i="6" s="1"/>
  <c r="N252" i="6"/>
  <c r="O253" i="6"/>
  <c r="P253" i="6" s="1"/>
  <c r="Q253" i="6" l="1"/>
  <c r="A254" i="6"/>
  <c r="AK254" i="6" s="1"/>
  <c r="R252" i="6"/>
  <c r="M252" i="6" s="1"/>
  <c r="S252" i="6" s="1"/>
  <c r="N253" i="6"/>
  <c r="O254" i="6"/>
  <c r="P254" i="6" s="1"/>
  <c r="Q254" i="6" l="1"/>
  <c r="A255" i="6"/>
  <c r="AK255" i="6" s="1"/>
  <c r="R253" i="6"/>
  <c r="M253" i="6" s="1"/>
  <c r="S253" i="6" s="1"/>
  <c r="N254" i="6"/>
  <c r="O255" i="6"/>
  <c r="P255" i="6" s="1"/>
  <c r="Q255" i="6" l="1"/>
  <c r="A256" i="6"/>
  <c r="AK256" i="6" s="1"/>
  <c r="R254" i="6"/>
  <c r="M254" i="6" s="1"/>
  <c r="S254" i="6" s="1"/>
  <c r="N255" i="6"/>
  <c r="O256" i="6"/>
  <c r="P256" i="6" s="1"/>
  <c r="Q256" i="6" l="1"/>
  <c r="A257" i="6"/>
  <c r="AK257" i="6" s="1"/>
  <c r="R255" i="6"/>
  <c r="M255" i="6" s="1"/>
  <c r="S255" i="6" s="1"/>
  <c r="N256" i="6"/>
  <c r="O257" i="6"/>
  <c r="P257" i="6" s="1"/>
  <c r="Q257" i="6" l="1"/>
  <c r="A258" i="6"/>
  <c r="AK258" i="6" s="1"/>
  <c r="R256" i="6"/>
  <c r="M256" i="6" s="1"/>
  <c r="S256" i="6" s="1"/>
  <c r="N257" i="6"/>
  <c r="O258" i="6"/>
  <c r="P258" i="6" s="1"/>
  <c r="Q258" i="6" l="1"/>
  <c r="A259" i="6"/>
  <c r="AK259" i="6" s="1"/>
  <c r="R257" i="6"/>
  <c r="M257" i="6" s="1"/>
  <c r="S257" i="6" s="1"/>
  <c r="N258" i="6"/>
  <c r="O259" i="6"/>
  <c r="P259" i="6" s="1"/>
  <c r="Q259" i="6" l="1"/>
  <c r="A260" i="6"/>
  <c r="AK260" i="6" s="1"/>
  <c r="R258" i="6"/>
  <c r="M258" i="6" s="1"/>
  <c r="S258" i="6" s="1"/>
  <c r="N259" i="6"/>
  <c r="O260" i="6"/>
  <c r="P260" i="6" s="1"/>
  <c r="Q260" i="6" l="1"/>
  <c r="A261" i="6"/>
  <c r="AK261" i="6" s="1"/>
  <c r="R259" i="6"/>
  <c r="M259" i="6" s="1"/>
  <c r="S259" i="6" s="1"/>
  <c r="N260" i="6"/>
  <c r="O261" i="6"/>
  <c r="P261" i="6" s="1"/>
  <c r="Q261" i="6" l="1"/>
  <c r="A262" i="6"/>
  <c r="AK262" i="6" s="1"/>
  <c r="R260" i="6"/>
  <c r="M260" i="6" s="1"/>
  <c r="S260" i="6" s="1"/>
  <c r="N261" i="6"/>
  <c r="O262" i="6"/>
  <c r="P262" i="6" s="1"/>
  <c r="Q262" i="6" l="1"/>
  <c r="A263" i="6"/>
  <c r="AK263" i="6" s="1"/>
  <c r="R261" i="6"/>
  <c r="M261" i="6" s="1"/>
  <c r="S261" i="6" s="1"/>
  <c r="N262" i="6"/>
  <c r="O263" i="6"/>
  <c r="P263" i="6" s="1"/>
  <c r="Q263" i="6" l="1"/>
  <c r="A264" i="6"/>
  <c r="AK264" i="6" s="1"/>
  <c r="R262" i="6"/>
  <c r="M262" i="6" s="1"/>
  <c r="S262" i="6" s="1"/>
  <c r="N263" i="6"/>
  <c r="O264" i="6"/>
  <c r="P264" i="6" s="1"/>
  <c r="Q264" i="6" l="1"/>
  <c r="A265" i="6"/>
  <c r="AK265" i="6" s="1"/>
  <c r="R263" i="6"/>
  <c r="M263" i="6" s="1"/>
  <c r="S263" i="6" s="1"/>
  <c r="N264" i="6"/>
  <c r="O265" i="6"/>
  <c r="P265" i="6" s="1"/>
  <c r="Q265" i="6" l="1"/>
  <c r="A266" i="6"/>
  <c r="AK266" i="6" s="1"/>
  <c r="R264" i="6"/>
  <c r="M264" i="6" s="1"/>
  <c r="S264" i="6" s="1"/>
  <c r="N265" i="6"/>
  <c r="O266" i="6"/>
  <c r="P266" i="6" s="1"/>
  <c r="Q266" i="6" l="1"/>
  <c r="A267" i="6"/>
  <c r="AK267" i="6" s="1"/>
  <c r="R265" i="6"/>
  <c r="M265" i="6" s="1"/>
  <c r="S265" i="6" s="1"/>
  <c r="N266" i="6"/>
  <c r="O267" i="6"/>
  <c r="P267" i="6" s="1"/>
  <c r="Q267" i="6" l="1"/>
  <c r="A268" i="6"/>
  <c r="AK268" i="6" s="1"/>
  <c r="R266" i="6"/>
  <c r="M266" i="6" s="1"/>
  <c r="S266" i="6" s="1"/>
  <c r="N267" i="6"/>
  <c r="O268" i="6"/>
  <c r="P268" i="6" s="1"/>
  <c r="Q268" i="6" l="1"/>
  <c r="A269" i="6"/>
  <c r="AK269" i="6" s="1"/>
  <c r="R267" i="6"/>
  <c r="M267" i="6" s="1"/>
  <c r="S267" i="6" s="1"/>
  <c r="N268" i="6"/>
  <c r="O269" i="6"/>
  <c r="P269" i="6" s="1"/>
  <c r="Q269" i="6" l="1"/>
  <c r="A270" i="6"/>
  <c r="AK270" i="6" s="1"/>
  <c r="R268" i="6"/>
  <c r="M268" i="6" s="1"/>
  <c r="S268" i="6" s="1"/>
  <c r="N269" i="6"/>
  <c r="O270" i="6"/>
  <c r="P270" i="6" s="1"/>
  <c r="Q270" i="6" l="1"/>
  <c r="A271" i="6"/>
  <c r="AK271" i="6" s="1"/>
  <c r="R269" i="6"/>
  <c r="M269" i="6" s="1"/>
  <c r="S269" i="6" s="1"/>
  <c r="N270" i="6"/>
  <c r="O271" i="6"/>
  <c r="P271" i="6" s="1"/>
  <c r="Q271" i="6" l="1"/>
  <c r="A272" i="6"/>
  <c r="AK272" i="6" s="1"/>
  <c r="R270" i="6"/>
  <c r="M270" i="6" s="1"/>
  <c r="S270" i="6" s="1"/>
  <c r="N271" i="6"/>
  <c r="O272" i="6"/>
  <c r="P272" i="6" s="1"/>
  <c r="Q272" i="6" l="1"/>
  <c r="A273" i="6"/>
  <c r="AK273" i="6" s="1"/>
  <c r="R271" i="6"/>
  <c r="M271" i="6" s="1"/>
  <c r="S271" i="6" s="1"/>
  <c r="N272" i="6"/>
  <c r="O273" i="6"/>
  <c r="P273" i="6" s="1"/>
  <c r="Q273" i="6" l="1"/>
  <c r="A274" i="6"/>
  <c r="AK274" i="6" s="1"/>
  <c r="R272" i="6"/>
  <c r="M272" i="6" s="1"/>
  <c r="S272" i="6" s="1"/>
  <c r="N273" i="6"/>
  <c r="O274" i="6"/>
  <c r="P274" i="6" s="1"/>
  <c r="Q274" i="6" l="1"/>
  <c r="A275" i="6"/>
  <c r="AK275" i="6" s="1"/>
  <c r="R273" i="6"/>
  <c r="M273" i="6" s="1"/>
  <c r="S273" i="6" s="1"/>
  <c r="N274" i="6"/>
  <c r="O275" i="6"/>
  <c r="P275" i="6" s="1"/>
  <c r="Q275" i="6" l="1"/>
  <c r="A276" i="6"/>
  <c r="AK276" i="6" s="1"/>
  <c r="R274" i="6"/>
  <c r="M274" i="6" s="1"/>
  <c r="S274" i="6" s="1"/>
  <c r="N275" i="6"/>
  <c r="O276" i="6"/>
  <c r="P276" i="6" s="1"/>
  <c r="Q276" i="6" l="1"/>
  <c r="A277" i="6"/>
  <c r="AK277" i="6" s="1"/>
  <c r="R275" i="6"/>
  <c r="M275" i="6" s="1"/>
  <c r="S275" i="6" s="1"/>
  <c r="N276" i="6"/>
  <c r="O277" i="6"/>
  <c r="P277" i="6" s="1"/>
  <c r="Q277" i="6" l="1"/>
  <c r="A278" i="6"/>
  <c r="AK278" i="6" s="1"/>
  <c r="R276" i="6"/>
  <c r="M276" i="6" s="1"/>
  <c r="S276" i="6" s="1"/>
  <c r="N277" i="6"/>
  <c r="O278" i="6"/>
  <c r="P278" i="6" s="1"/>
  <c r="Q278" i="6" l="1"/>
  <c r="A279" i="6"/>
  <c r="AK279" i="6" s="1"/>
  <c r="R277" i="6"/>
  <c r="M277" i="6" s="1"/>
  <c r="S277" i="6" s="1"/>
  <c r="N278" i="6"/>
  <c r="O279" i="6"/>
  <c r="P279" i="6" s="1"/>
  <c r="Q279" i="6" l="1"/>
  <c r="A280" i="6"/>
  <c r="AK280" i="6" s="1"/>
  <c r="R278" i="6"/>
  <c r="M278" i="6" s="1"/>
  <c r="S278" i="6" s="1"/>
  <c r="N279" i="6"/>
  <c r="O280" i="6"/>
  <c r="P280" i="6" s="1"/>
  <c r="Q280" i="6" l="1"/>
  <c r="A281" i="6"/>
  <c r="AK281" i="6" s="1"/>
  <c r="R279" i="6"/>
  <c r="M279" i="6" s="1"/>
  <c r="S279" i="6" s="1"/>
  <c r="N280" i="6"/>
  <c r="O281" i="6"/>
  <c r="P281" i="6" s="1"/>
  <c r="Q281" i="6" l="1"/>
  <c r="A282" i="6"/>
  <c r="AK282" i="6" s="1"/>
  <c r="R280" i="6"/>
  <c r="M280" i="6" s="1"/>
  <c r="S280" i="6" s="1"/>
  <c r="N281" i="6"/>
  <c r="O282" i="6"/>
  <c r="P282" i="6" s="1"/>
  <c r="Q282" i="6" l="1"/>
  <c r="A283" i="6"/>
  <c r="AK283" i="6" s="1"/>
  <c r="R281" i="6"/>
  <c r="M281" i="6" s="1"/>
  <c r="S281" i="6" s="1"/>
  <c r="N282" i="6"/>
  <c r="O283" i="6"/>
  <c r="P283" i="6" s="1"/>
  <c r="Q283" i="6" l="1"/>
  <c r="A284" i="6"/>
  <c r="AK284" i="6" s="1"/>
  <c r="R282" i="6"/>
  <c r="M282" i="6" s="1"/>
  <c r="S282" i="6" s="1"/>
  <c r="N283" i="6"/>
  <c r="O284" i="6"/>
  <c r="P284" i="6" s="1"/>
  <c r="Q284" i="6" l="1"/>
  <c r="A285" i="6"/>
  <c r="AK285" i="6" s="1"/>
  <c r="R283" i="6"/>
  <c r="M283" i="6" s="1"/>
  <c r="S283" i="6" s="1"/>
  <c r="N284" i="6"/>
  <c r="O285" i="6"/>
  <c r="P285" i="6" s="1"/>
  <c r="Q285" i="6" l="1"/>
  <c r="A286" i="6"/>
  <c r="AK286" i="6" s="1"/>
  <c r="R284" i="6"/>
  <c r="M284" i="6" s="1"/>
  <c r="S284" i="6" s="1"/>
  <c r="N285" i="6"/>
  <c r="O286" i="6"/>
  <c r="P286" i="6" s="1"/>
  <c r="Q286" i="6" l="1"/>
  <c r="A287" i="6"/>
  <c r="AK287" i="6" s="1"/>
  <c r="R285" i="6"/>
  <c r="M285" i="6" s="1"/>
  <c r="S285" i="6" s="1"/>
  <c r="N286" i="6"/>
  <c r="O287" i="6"/>
  <c r="P287" i="6" s="1"/>
  <c r="Q287" i="6" l="1"/>
  <c r="A288" i="6"/>
  <c r="AK288" i="6" s="1"/>
  <c r="R286" i="6"/>
  <c r="M286" i="6" s="1"/>
  <c r="S286" i="6" s="1"/>
  <c r="N287" i="6"/>
  <c r="O288" i="6"/>
  <c r="P288" i="6" s="1"/>
  <c r="Q288" i="6" l="1"/>
  <c r="A289" i="6"/>
  <c r="AK289" i="6" s="1"/>
  <c r="R287" i="6"/>
  <c r="M287" i="6" s="1"/>
  <c r="S287" i="6" s="1"/>
  <c r="N288" i="6"/>
  <c r="O289" i="6"/>
  <c r="P289" i="6" s="1"/>
  <c r="Q289" i="6" l="1"/>
  <c r="A290" i="6"/>
  <c r="AK290" i="6" s="1"/>
  <c r="R288" i="6"/>
  <c r="M288" i="6" s="1"/>
  <c r="S288" i="6" s="1"/>
  <c r="N289" i="6"/>
  <c r="O290" i="6"/>
  <c r="P290" i="6" s="1"/>
  <c r="Q290" i="6" l="1"/>
  <c r="A291" i="6"/>
  <c r="AK291" i="6" s="1"/>
  <c r="R289" i="6"/>
  <c r="M289" i="6" s="1"/>
  <c r="S289" i="6" s="1"/>
  <c r="N290" i="6"/>
  <c r="O291" i="6"/>
  <c r="P291" i="6" s="1"/>
  <c r="Q291" i="6" l="1"/>
  <c r="A292" i="6"/>
  <c r="AK292" i="6" s="1"/>
  <c r="R290" i="6"/>
  <c r="M290" i="6" s="1"/>
  <c r="S290" i="6" s="1"/>
  <c r="N291" i="6"/>
  <c r="O292" i="6"/>
  <c r="P292" i="6" s="1"/>
  <c r="Q292" i="6" l="1"/>
  <c r="A293" i="6"/>
  <c r="AK293" i="6" s="1"/>
  <c r="R291" i="6"/>
  <c r="M291" i="6" s="1"/>
  <c r="S291" i="6" s="1"/>
  <c r="N292" i="6"/>
  <c r="O293" i="6"/>
  <c r="P293" i="6" s="1"/>
  <c r="Q293" i="6" l="1"/>
  <c r="A294" i="6"/>
  <c r="AK294" i="6" s="1"/>
  <c r="R292" i="6"/>
  <c r="M292" i="6" s="1"/>
  <c r="S292" i="6" s="1"/>
  <c r="N293" i="6"/>
  <c r="O294" i="6"/>
  <c r="P294" i="6" s="1"/>
  <c r="Q294" i="6" l="1"/>
  <c r="A295" i="6"/>
  <c r="AK295" i="6" s="1"/>
  <c r="R293" i="6"/>
  <c r="M293" i="6" s="1"/>
  <c r="S293" i="6" s="1"/>
  <c r="N294" i="6"/>
  <c r="O295" i="6"/>
  <c r="P295" i="6" s="1"/>
  <c r="Q295" i="6" l="1"/>
  <c r="A296" i="6"/>
  <c r="AK296" i="6" s="1"/>
  <c r="R294" i="6"/>
  <c r="M294" i="6" s="1"/>
  <c r="S294" i="6" s="1"/>
  <c r="N295" i="6"/>
  <c r="O296" i="6"/>
  <c r="P296" i="6" s="1"/>
  <c r="Q296" i="6" l="1"/>
  <c r="A297" i="6"/>
  <c r="AK297" i="6" s="1"/>
  <c r="R295" i="6"/>
  <c r="M295" i="6" s="1"/>
  <c r="S295" i="6" s="1"/>
  <c r="N296" i="6"/>
  <c r="O297" i="6"/>
  <c r="P297" i="6" s="1"/>
  <c r="Q297" i="6" l="1"/>
  <c r="A298" i="6"/>
  <c r="AK298" i="6" s="1"/>
  <c r="R296" i="6"/>
  <c r="M296" i="6" s="1"/>
  <c r="S296" i="6" s="1"/>
  <c r="N297" i="6"/>
  <c r="O298" i="6"/>
  <c r="P298" i="6" s="1"/>
  <c r="Q298" i="6" l="1"/>
  <c r="A299" i="6"/>
  <c r="AK299" i="6" s="1"/>
  <c r="R297" i="6"/>
  <c r="M297" i="6" s="1"/>
  <c r="S297" i="6" s="1"/>
  <c r="N298" i="6"/>
  <c r="O299" i="6"/>
  <c r="P299" i="6" s="1"/>
  <c r="Q299" i="6" l="1"/>
  <c r="A300" i="6"/>
  <c r="AK300" i="6" s="1"/>
  <c r="R298" i="6"/>
  <c r="M298" i="6" s="1"/>
  <c r="S298" i="6" s="1"/>
  <c r="N299" i="6"/>
  <c r="O300" i="6"/>
  <c r="P300" i="6" s="1"/>
  <c r="Q300" i="6" l="1"/>
  <c r="A301" i="6"/>
  <c r="AK301" i="6" s="1"/>
  <c r="R299" i="6"/>
  <c r="M299" i="6" s="1"/>
  <c r="S299" i="6" s="1"/>
  <c r="N300" i="6"/>
  <c r="O301" i="6"/>
  <c r="P301" i="6" s="1"/>
  <c r="Q301" i="6" l="1"/>
  <c r="A302" i="6"/>
  <c r="AK302" i="6" s="1"/>
  <c r="R300" i="6"/>
  <c r="M300" i="6" s="1"/>
  <c r="S300" i="6" s="1"/>
  <c r="N301" i="6"/>
  <c r="O302" i="6"/>
  <c r="P302" i="6" s="1"/>
  <c r="Q302" i="6" l="1"/>
  <c r="A303" i="6"/>
  <c r="AK303" i="6" s="1"/>
  <c r="R301" i="6"/>
  <c r="M301" i="6" s="1"/>
  <c r="S301" i="6" s="1"/>
  <c r="N302" i="6"/>
  <c r="O303" i="6"/>
  <c r="P303" i="6" s="1"/>
  <c r="Q303" i="6" l="1"/>
  <c r="A304" i="6"/>
  <c r="AK304" i="6" s="1"/>
  <c r="R302" i="6"/>
  <c r="M302" i="6" s="1"/>
  <c r="S302" i="6" s="1"/>
  <c r="N303" i="6"/>
  <c r="O304" i="6"/>
  <c r="P304" i="6" s="1"/>
  <c r="Q304" i="6" l="1"/>
  <c r="A305" i="6"/>
  <c r="AK305" i="6" s="1"/>
  <c r="R303" i="6"/>
  <c r="M303" i="6" s="1"/>
  <c r="S303" i="6" s="1"/>
  <c r="N304" i="6"/>
  <c r="O305" i="6"/>
  <c r="P305" i="6" s="1"/>
  <c r="Q305" i="6" l="1"/>
  <c r="A306" i="6"/>
  <c r="AK306" i="6" s="1"/>
  <c r="R304" i="6"/>
  <c r="M304" i="6" s="1"/>
  <c r="S304" i="6" s="1"/>
  <c r="N305" i="6"/>
  <c r="O306" i="6"/>
  <c r="P306" i="6" s="1"/>
  <c r="Q306" i="6" l="1"/>
  <c r="A307" i="6"/>
  <c r="AK307" i="6" s="1"/>
  <c r="R305" i="6"/>
  <c r="M305" i="6" s="1"/>
  <c r="S305" i="6" s="1"/>
  <c r="N306" i="6"/>
  <c r="O307" i="6"/>
  <c r="P307" i="6" s="1"/>
  <c r="Q307" i="6" l="1"/>
  <c r="A308" i="6"/>
  <c r="AK308" i="6" s="1"/>
  <c r="R306" i="6"/>
  <c r="M306" i="6" s="1"/>
  <c r="S306" i="6" s="1"/>
  <c r="N307" i="6"/>
  <c r="O308" i="6"/>
  <c r="P308" i="6" s="1"/>
  <c r="Q308" i="6" l="1"/>
  <c r="A309" i="6"/>
  <c r="AK309" i="6" s="1"/>
  <c r="R307" i="6"/>
  <c r="M307" i="6" s="1"/>
  <c r="S307" i="6" s="1"/>
  <c r="N308" i="6"/>
  <c r="O309" i="6"/>
  <c r="P309" i="6" s="1"/>
  <c r="Q309" i="6" l="1"/>
  <c r="A310" i="6"/>
  <c r="AK310" i="6" s="1"/>
  <c r="R308" i="6"/>
  <c r="M308" i="6" s="1"/>
  <c r="S308" i="6" s="1"/>
  <c r="N309" i="6"/>
  <c r="O310" i="6"/>
  <c r="P310" i="6" s="1"/>
  <c r="Q310" i="6" l="1"/>
  <c r="A311" i="6"/>
  <c r="AK311" i="6" s="1"/>
  <c r="R309" i="6"/>
  <c r="M309" i="6" s="1"/>
  <c r="S309" i="6" s="1"/>
  <c r="N310" i="6"/>
  <c r="O311" i="6"/>
  <c r="P311" i="6" s="1"/>
  <c r="Q311" i="6" l="1"/>
  <c r="A312" i="6"/>
  <c r="AK312" i="6" s="1"/>
  <c r="R310" i="6"/>
  <c r="M310" i="6" s="1"/>
  <c r="S310" i="6" s="1"/>
  <c r="N311" i="6"/>
  <c r="O312" i="6"/>
  <c r="P312" i="6" s="1"/>
  <c r="Q312" i="6" l="1"/>
  <c r="A313" i="6"/>
  <c r="AK313" i="6" s="1"/>
  <c r="R311" i="6"/>
  <c r="M311" i="6" s="1"/>
  <c r="S311" i="6" s="1"/>
  <c r="N312" i="6"/>
  <c r="O313" i="6"/>
  <c r="P313" i="6" s="1"/>
  <c r="Q313" i="6" l="1"/>
  <c r="A314" i="6"/>
  <c r="AK314" i="6" s="1"/>
  <c r="R312" i="6"/>
  <c r="M312" i="6" s="1"/>
  <c r="S312" i="6" s="1"/>
  <c r="N313" i="6"/>
  <c r="O314" i="6"/>
  <c r="P314" i="6" s="1"/>
  <c r="Q314" i="6" l="1"/>
  <c r="A315" i="6"/>
  <c r="AK315" i="6" s="1"/>
  <c r="R313" i="6"/>
  <c r="M313" i="6" s="1"/>
  <c r="S313" i="6" s="1"/>
  <c r="N314" i="6"/>
  <c r="O315" i="6"/>
  <c r="P315" i="6" s="1"/>
  <c r="Q315" i="6" l="1"/>
  <c r="A316" i="6"/>
  <c r="AK316" i="6" s="1"/>
  <c r="R314" i="6"/>
  <c r="M314" i="6" s="1"/>
  <c r="S314" i="6" s="1"/>
  <c r="N315" i="6"/>
  <c r="O316" i="6"/>
  <c r="P316" i="6" s="1"/>
  <c r="Q316" i="6" l="1"/>
  <c r="A317" i="6"/>
  <c r="AK317" i="6" s="1"/>
  <c r="R315" i="6"/>
  <c r="M315" i="6" s="1"/>
  <c r="S315" i="6" s="1"/>
  <c r="N316" i="6"/>
  <c r="O317" i="6"/>
  <c r="P317" i="6" s="1"/>
  <c r="Q317" i="6" l="1"/>
  <c r="A318" i="6"/>
  <c r="AK318" i="6" s="1"/>
  <c r="R316" i="6"/>
  <c r="M316" i="6" s="1"/>
  <c r="S316" i="6" s="1"/>
  <c r="N317" i="6"/>
  <c r="O318" i="6"/>
  <c r="P318" i="6" s="1"/>
  <c r="Q318" i="6" l="1"/>
  <c r="A319" i="6"/>
  <c r="AK319" i="6" s="1"/>
  <c r="R317" i="6"/>
  <c r="M317" i="6" s="1"/>
  <c r="S317" i="6" s="1"/>
  <c r="N318" i="6"/>
  <c r="O319" i="6"/>
  <c r="P319" i="6" s="1"/>
  <c r="Q319" i="6" l="1"/>
  <c r="A320" i="6"/>
  <c r="AK320" i="6" s="1"/>
  <c r="R318" i="6"/>
  <c r="M318" i="6" s="1"/>
  <c r="S318" i="6" s="1"/>
  <c r="N319" i="6"/>
  <c r="O320" i="6"/>
  <c r="P320" i="6" s="1"/>
  <c r="Q320" i="6" l="1"/>
  <c r="A321" i="6"/>
  <c r="AK321" i="6" s="1"/>
  <c r="R319" i="6"/>
  <c r="M319" i="6" s="1"/>
  <c r="S319" i="6" s="1"/>
  <c r="N320" i="6"/>
  <c r="O321" i="6"/>
  <c r="P321" i="6" s="1"/>
  <c r="Q321" i="6" l="1"/>
  <c r="A322" i="6"/>
  <c r="AK322" i="6" s="1"/>
  <c r="R320" i="6"/>
  <c r="M320" i="6" s="1"/>
  <c r="S320" i="6" s="1"/>
  <c r="N321" i="6"/>
  <c r="O322" i="6"/>
  <c r="P322" i="6" s="1"/>
  <c r="Q322" i="6" l="1"/>
  <c r="A323" i="6"/>
  <c r="AK323" i="6" s="1"/>
  <c r="R321" i="6"/>
  <c r="M321" i="6" s="1"/>
  <c r="S321" i="6" s="1"/>
  <c r="N322" i="6"/>
  <c r="O323" i="6"/>
  <c r="P323" i="6" s="1"/>
  <c r="Q323" i="6" l="1"/>
  <c r="A324" i="6"/>
  <c r="AK324" i="6" s="1"/>
  <c r="R322" i="6"/>
  <c r="M322" i="6" s="1"/>
  <c r="S322" i="6" s="1"/>
  <c r="N323" i="6"/>
  <c r="O324" i="6"/>
  <c r="P324" i="6" s="1"/>
  <c r="Q324" i="6" l="1"/>
  <c r="A325" i="6"/>
  <c r="AK325" i="6" s="1"/>
  <c r="R323" i="6"/>
  <c r="M323" i="6" s="1"/>
  <c r="S323" i="6" s="1"/>
  <c r="N324" i="6"/>
  <c r="O325" i="6"/>
  <c r="P325" i="6" s="1"/>
  <c r="Q325" i="6" l="1"/>
  <c r="A326" i="6"/>
  <c r="AK326" i="6" s="1"/>
  <c r="R324" i="6"/>
  <c r="M324" i="6" s="1"/>
  <c r="S324" i="6" s="1"/>
  <c r="N325" i="6"/>
  <c r="O326" i="6"/>
  <c r="P326" i="6" s="1"/>
  <c r="Q326" i="6" l="1"/>
  <c r="A327" i="6"/>
  <c r="AK327" i="6" s="1"/>
  <c r="R325" i="6"/>
  <c r="M325" i="6" s="1"/>
  <c r="S325" i="6" s="1"/>
  <c r="N326" i="6"/>
  <c r="O327" i="6"/>
  <c r="P327" i="6" s="1"/>
  <c r="Q327" i="6" l="1"/>
  <c r="A328" i="6"/>
  <c r="AK328" i="6" s="1"/>
  <c r="R326" i="6"/>
  <c r="M326" i="6" s="1"/>
  <c r="S326" i="6" s="1"/>
  <c r="N327" i="6"/>
  <c r="O328" i="6"/>
  <c r="P328" i="6" s="1"/>
  <c r="Q328" i="6" l="1"/>
  <c r="A329" i="6"/>
  <c r="AK329" i="6" s="1"/>
  <c r="R327" i="6"/>
  <c r="M327" i="6" s="1"/>
  <c r="S327" i="6" s="1"/>
  <c r="N328" i="6"/>
  <c r="O329" i="6"/>
  <c r="P329" i="6" s="1"/>
  <c r="Q329" i="6" l="1"/>
  <c r="A330" i="6"/>
  <c r="AK330" i="6" s="1"/>
  <c r="R328" i="6"/>
  <c r="M328" i="6" s="1"/>
  <c r="S328" i="6" s="1"/>
  <c r="N329" i="6"/>
  <c r="O330" i="6"/>
  <c r="P330" i="6" s="1"/>
  <c r="Q330" i="6" l="1"/>
  <c r="A331" i="6"/>
  <c r="AK331" i="6" s="1"/>
  <c r="R329" i="6"/>
  <c r="M329" i="6" s="1"/>
  <c r="S329" i="6" s="1"/>
  <c r="N330" i="6"/>
  <c r="O331" i="6"/>
  <c r="P331" i="6" s="1"/>
  <c r="Q331" i="6" l="1"/>
  <c r="A332" i="6"/>
  <c r="AK332" i="6" s="1"/>
  <c r="R330" i="6"/>
  <c r="M330" i="6" s="1"/>
  <c r="S330" i="6" s="1"/>
  <c r="N331" i="6"/>
  <c r="O332" i="6"/>
  <c r="P332" i="6" s="1"/>
  <c r="Q332" i="6" l="1"/>
  <c r="A333" i="6"/>
  <c r="AK333" i="6" s="1"/>
  <c r="R331" i="6"/>
  <c r="M331" i="6" s="1"/>
  <c r="S331" i="6" s="1"/>
  <c r="N332" i="6"/>
  <c r="O333" i="6"/>
  <c r="P333" i="6" s="1"/>
  <c r="Q333" i="6" l="1"/>
  <c r="A334" i="6"/>
  <c r="AK334" i="6" s="1"/>
  <c r="R332" i="6"/>
  <c r="M332" i="6" s="1"/>
  <c r="S332" i="6" s="1"/>
  <c r="N333" i="6"/>
  <c r="O334" i="6"/>
  <c r="P334" i="6" s="1"/>
  <c r="Q334" i="6" l="1"/>
  <c r="A335" i="6"/>
  <c r="AK335" i="6" s="1"/>
  <c r="R333" i="6"/>
  <c r="M333" i="6" s="1"/>
  <c r="S333" i="6" s="1"/>
  <c r="N334" i="6"/>
  <c r="O335" i="6"/>
  <c r="P335" i="6" s="1"/>
  <c r="Q335" i="6" l="1"/>
  <c r="A336" i="6"/>
  <c r="AK336" i="6" s="1"/>
  <c r="R334" i="6"/>
  <c r="M334" i="6" s="1"/>
  <c r="S334" i="6" s="1"/>
  <c r="N335" i="6"/>
  <c r="O336" i="6"/>
  <c r="P336" i="6" s="1"/>
  <c r="Q336" i="6" l="1"/>
  <c r="A337" i="6"/>
  <c r="AK337" i="6" s="1"/>
  <c r="R335" i="6"/>
  <c r="M335" i="6" s="1"/>
  <c r="S335" i="6" s="1"/>
  <c r="N336" i="6"/>
  <c r="O337" i="6"/>
  <c r="P337" i="6" s="1"/>
  <c r="Q337" i="6" l="1"/>
  <c r="A338" i="6"/>
  <c r="AK338" i="6" s="1"/>
  <c r="R336" i="6"/>
  <c r="M336" i="6" s="1"/>
  <c r="S336" i="6" s="1"/>
  <c r="N337" i="6"/>
  <c r="O338" i="6"/>
  <c r="P338" i="6" s="1"/>
  <c r="Q338" i="6" l="1"/>
  <c r="A339" i="6"/>
  <c r="AK339" i="6" s="1"/>
  <c r="R337" i="6"/>
  <c r="M337" i="6" s="1"/>
  <c r="S337" i="6" s="1"/>
  <c r="N338" i="6"/>
  <c r="O339" i="6"/>
  <c r="P339" i="6" s="1"/>
  <c r="Q339" i="6" l="1"/>
  <c r="A340" i="6"/>
  <c r="AK340" i="6" s="1"/>
  <c r="R338" i="6"/>
  <c r="M338" i="6" s="1"/>
  <c r="S338" i="6" s="1"/>
  <c r="N339" i="6"/>
  <c r="O340" i="6"/>
  <c r="P340" i="6" s="1"/>
  <c r="Q340" i="6" l="1"/>
  <c r="A341" i="6"/>
  <c r="AK341" i="6" s="1"/>
  <c r="R339" i="6"/>
  <c r="M339" i="6" s="1"/>
  <c r="S339" i="6" s="1"/>
  <c r="N340" i="6"/>
  <c r="O341" i="6"/>
  <c r="P341" i="6" s="1"/>
  <c r="Q341" i="6" l="1"/>
  <c r="A342" i="6"/>
  <c r="AK342" i="6" s="1"/>
  <c r="R340" i="6"/>
  <c r="M340" i="6" s="1"/>
  <c r="S340" i="6" s="1"/>
  <c r="N341" i="6"/>
  <c r="O342" i="6"/>
  <c r="P342" i="6" s="1"/>
  <c r="Q342" i="6" l="1"/>
  <c r="A343" i="6"/>
  <c r="AK343" i="6" s="1"/>
  <c r="R341" i="6"/>
  <c r="M341" i="6" s="1"/>
  <c r="S341" i="6" s="1"/>
  <c r="N342" i="6"/>
  <c r="O343" i="6"/>
  <c r="P343" i="6" s="1"/>
  <c r="Q343" i="6" l="1"/>
  <c r="A344" i="6"/>
  <c r="AK344" i="6" s="1"/>
  <c r="R342" i="6"/>
  <c r="M342" i="6" s="1"/>
  <c r="S342" i="6" s="1"/>
  <c r="N343" i="6"/>
  <c r="O344" i="6"/>
  <c r="P344" i="6" s="1"/>
  <c r="Q344" i="6" l="1"/>
  <c r="A345" i="6"/>
  <c r="AK345" i="6" s="1"/>
  <c r="R343" i="6"/>
  <c r="M343" i="6" s="1"/>
  <c r="S343" i="6" s="1"/>
  <c r="N344" i="6"/>
  <c r="O345" i="6"/>
  <c r="P345" i="6" s="1"/>
  <c r="Q345" i="6" l="1"/>
  <c r="A346" i="6"/>
  <c r="AK346" i="6" s="1"/>
  <c r="R344" i="6"/>
  <c r="M344" i="6" s="1"/>
  <c r="S344" i="6" s="1"/>
  <c r="N345" i="6"/>
  <c r="O346" i="6"/>
  <c r="P346" i="6" s="1"/>
  <c r="Q346" i="6" l="1"/>
  <c r="A347" i="6"/>
  <c r="AK347" i="6" s="1"/>
  <c r="R345" i="6"/>
  <c r="M345" i="6" s="1"/>
  <c r="S345" i="6" s="1"/>
  <c r="N346" i="6"/>
  <c r="O347" i="6"/>
  <c r="P347" i="6" s="1"/>
  <c r="Q347" i="6" l="1"/>
  <c r="A348" i="6"/>
  <c r="AK348" i="6" s="1"/>
  <c r="R346" i="6"/>
  <c r="M346" i="6" s="1"/>
  <c r="S346" i="6" s="1"/>
  <c r="N347" i="6"/>
  <c r="O348" i="6"/>
  <c r="P348" i="6" s="1"/>
  <c r="Q348" i="6" l="1"/>
  <c r="A349" i="6"/>
  <c r="AK349" i="6" s="1"/>
  <c r="R347" i="6"/>
  <c r="M347" i="6" s="1"/>
  <c r="S347" i="6" s="1"/>
  <c r="N348" i="6"/>
  <c r="O349" i="6"/>
  <c r="P349" i="6" s="1"/>
  <c r="Q349" i="6" l="1"/>
  <c r="A350" i="6"/>
  <c r="AK350" i="6" s="1"/>
  <c r="R348" i="6"/>
  <c r="M348" i="6" s="1"/>
  <c r="S348" i="6" s="1"/>
  <c r="N349" i="6"/>
  <c r="O350" i="6"/>
  <c r="P350" i="6" s="1"/>
  <c r="Q350" i="6" l="1"/>
  <c r="A351" i="6"/>
  <c r="AK351" i="6" s="1"/>
  <c r="R349" i="6"/>
  <c r="M349" i="6" s="1"/>
  <c r="S349" i="6" s="1"/>
  <c r="N350" i="6"/>
  <c r="O351" i="6"/>
  <c r="P351" i="6" s="1"/>
  <c r="Q351" i="6" l="1"/>
  <c r="A352" i="6"/>
  <c r="AK352" i="6" s="1"/>
  <c r="R350" i="6"/>
  <c r="M350" i="6" s="1"/>
  <c r="S350" i="6" s="1"/>
  <c r="N351" i="6"/>
  <c r="O352" i="6"/>
  <c r="P352" i="6" s="1"/>
  <c r="Q352" i="6" l="1"/>
  <c r="A353" i="6"/>
  <c r="AK353" i="6" s="1"/>
  <c r="R351" i="6"/>
  <c r="M351" i="6" s="1"/>
  <c r="S351" i="6" s="1"/>
  <c r="N352" i="6"/>
  <c r="O353" i="6"/>
  <c r="P353" i="6" s="1"/>
  <c r="Q353" i="6" l="1"/>
  <c r="A354" i="6"/>
  <c r="AK354" i="6" s="1"/>
  <c r="R352" i="6"/>
  <c r="M352" i="6" s="1"/>
  <c r="S352" i="6" s="1"/>
  <c r="N353" i="6"/>
  <c r="O354" i="6"/>
  <c r="P354" i="6" s="1"/>
  <c r="Q354" i="6" l="1"/>
  <c r="A355" i="6"/>
  <c r="AK355" i="6" s="1"/>
  <c r="R353" i="6"/>
  <c r="M353" i="6" s="1"/>
  <c r="S353" i="6" s="1"/>
  <c r="N354" i="6"/>
  <c r="O355" i="6"/>
  <c r="P355" i="6" s="1"/>
  <c r="Q355" i="6" l="1"/>
  <c r="A356" i="6"/>
  <c r="AK356" i="6" s="1"/>
  <c r="R354" i="6"/>
  <c r="M354" i="6" s="1"/>
  <c r="S354" i="6" s="1"/>
  <c r="N355" i="6"/>
  <c r="O356" i="6"/>
  <c r="P356" i="6" s="1"/>
  <c r="Q356" i="6" l="1"/>
  <c r="A357" i="6"/>
  <c r="AK357" i="6" s="1"/>
  <c r="R355" i="6"/>
  <c r="M355" i="6" s="1"/>
  <c r="S355" i="6" s="1"/>
  <c r="N356" i="6"/>
  <c r="O357" i="6"/>
  <c r="P357" i="6" s="1"/>
  <c r="Q357" i="6" l="1"/>
  <c r="A358" i="6"/>
  <c r="AK358" i="6" s="1"/>
  <c r="R356" i="6"/>
  <c r="M356" i="6" s="1"/>
  <c r="S356" i="6" s="1"/>
  <c r="N357" i="6"/>
  <c r="O358" i="6"/>
  <c r="P358" i="6" s="1"/>
  <c r="Q358" i="6" l="1"/>
  <c r="A359" i="6"/>
  <c r="AK359" i="6" s="1"/>
  <c r="R357" i="6"/>
  <c r="M357" i="6" s="1"/>
  <c r="S357" i="6" s="1"/>
  <c r="N358" i="6"/>
  <c r="O359" i="6"/>
  <c r="P359" i="6" s="1"/>
  <c r="Q359" i="6" l="1"/>
  <c r="A360" i="6"/>
  <c r="AK360" i="6" s="1"/>
  <c r="R358" i="6"/>
  <c r="M358" i="6" s="1"/>
  <c r="S358" i="6" s="1"/>
  <c r="N359" i="6"/>
  <c r="O360" i="6"/>
  <c r="P360" i="6" s="1"/>
  <c r="Q360" i="6" l="1"/>
  <c r="A361" i="6"/>
  <c r="AK361" i="6" s="1"/>
  <c r="R359" i="6"/>
  <c r="M359" i="6" s="1"/>
  <c r="S359" i="6" s="1"/>
  <c r="N360" i="6"/>
  <c r="O361" i="6"/>
  <c r="P361" i="6" s="1"/>
  <c r="Q361" i="6" l="1"/>
  <c r="A362" i="6"/>
  <c r="AK362" i="6" s="1"/>
  <c r="R360" i="6"/>
  <c r="M360" i="6" s="1"/>
  <c r="S360" i="6" s="1"/>
  <c r="N361" i="6"/>
  <c r="O362" i="6"/>
  <c r="P362" i="6" s="1"/>
  <c r="Q362" i="6" l="1"/>
  <c r="A363" i="6"/>
  <c r="AK363" i="6" s="1"/>
  <c r="R361" i="6"/>
  <c r="M361" i="6" s="1"/>
  <c r="S361" i="6" s="1"/>
  <c r="N362" i="6"/>
  <c r="O363" i="6"/>
  <c r="P363" i="6" s="1"/>
  <c r="Q363" i="6" l="1"/>
  <c r="A364" i="6"/>
  <c r="AK364" i="6" s="1"/>
  <c r="R362" i="6"/>
  <c r="M362" i="6" s="1"/>
  <c r="S362" i="6" s="1"/>
  <c r="N363" i="6"/>
  <c r="O364" i="6"/>
  <c r="P364" i="6" s="1"/>
  <c r="Q364" i="6" l="1"/>
  <c r="A365" i="6"/>
  <c r="R363" i="6"/>
  <c r="M363" i="6" s="1"/>
  <c r="S363" i="6" s="1"/>
  <c r="N364" i="6"/>
  <c r="O365" i="6"/>
  <c r="P365" i="6" s="1"/>
  <c r="AD365" i="6" l="1"/>
  <c r="AK365" i="6"/>
  <c r="Q365" i="6"/>
  <c r="A366" i="6"/>
  <c r="R364" i="6"/>
  <c r="M364" i="6" s="1"/>
  <c r="S364" i="6" s="1"/>
  <c r="N365" i="6"/>
  <c r="O366" i="6"/>
  <c r="P366" i="6" s="1"/>
  <c r="AD366" i="6" l="1"/>
  <c r="AK366" i="6"/>
  <c r="Q366" i="6"/>
  <c r="A367" i="6"/>
  <c r="R365" i="6"/>
  <c r="M365" i="6" s="1"/>
  <c r="S365" i="6" s="1"/>
  <c r="N366" i="6"/>
  <c r="O367" i="6"/>
  <c r="P367" i="6" s="1"/>
  <c r="AD367" i="6" l="1"/>
  <c r="AK367" i="6"/>
  <c r="Q367" i="6"/>
  <c r="A368" i="6"/>
  <c r="R366" i="6"/>
  <c r="M366" i="6" s="1"/>
  <c r="S366" i="6" s="1"/>
  <c r="N367" i="6"/>
  <c r="O368" i="6"/>
  <c r="P368" i="6" s="1"/>
  <c r="AD368" i="6" l="1"/>
  <c r="AK368" i="6"/>
  <c r="Q368" i="6"/>
  <c r="A369" i="6"/>
  <c r="R367" i="6"/>
  <c r="M367" i="6" s="1"/>
  <c r="S367" i="6" s="1"/>
  <c r="N368" i="6"/>
  <c r="O369" i="6"/>
  <c r="P369" i="6" s="1"/>
  <c r="AD369" i="6" l="1"/>
  <c r="AK369" i="6"/>
  <c r="Q369" i="6"/>
  <c r="A370" i="6"/>
  <c r="R368" i="6"/>
  <c r="M368" i="6" s="1"/>
  <c r="S368" i="6" s="1"/>
  <c r="N369" i="6"/>
  <c r="O370" i="6"/>
  <c r="P370" i="6" s="1"/>
  <c r="AD370" i="6" l="1"/>
  <c r="AK370" i="6"/>
  <c r="Q370" i="6"/>
  <c r="A371" i="6"/>
  <c r="R369" i="6"/>
  <c r="M369" i="6" s="1"/>
  <c r="S369" i="6" s="1"/>
  <c r="N370" i="6"/>
  <c r="O371" i="6"/>
  <c r="P371" i="6" s="1"/>
  <c r="AD371" i="6" l="1"/>
  <c r="AK371" i="6"/>
  <c r="Q371" i="6"/>
  <c r="A372" i="6"/>
  <c r="R370" i="6"/>
  <c r="M370" i="6" s="1"/>
  <c r="S370" i="6" s="1"/>
  <c r="N371" i="6"/>
  <c r="O372" i="6"/>
  <c r="P372" i="6" s="1"/>
  <c r="AD372" i="6" l="1"/>
  <c r="AK372" i="6"/>
  <c r="Q372" i="6"/>
  <c r="A373" i="6"/>
  <c r="R371" i="6"/>
  <c r="M371" i="6" s="1"/>
  <c r="S371" i="6" s="1"/>
  <c r="N372" i="6"/>
  <c r="O373" i="6"/>
  <c r="P373" i="6" s="1"/>
  <c r="AD373" i="6" l="1"/>
  <c r="AK373" i="6"/>
  <c r="Q373" i="6"/>
  <c r="A374" i="6"/>
  <c r="R372" i="6"/>
  <c r="M372" i="6" s="1"/>
  <c r="S372" i="6" s="1"/>
  <c r="N373" i="6"/>
  <c r="O374" i="6"/>
  <c r="P374" i="6" s="1"/>
  <c r="AD374" i="6" l="1"/>
  <c r="AK374" i="6"/>
  <c r="Q374" i="6"/>
  <c r="A375" i="6"/>
  <c r="R373" i="6"/>
  <c r="M373" i="6" s="1"/>
  <c r="S373" i="6" s="1"/>
  <c r="N374" i="6"/>
  <c r="O375" i="6"/>
  <c r="P375" i="6" s="1"/>
  <c r="AD375" i="6" l="1"/>
  <c r="AK375" i="6"/>
  <c r="Q375" i="6"/>
  <c r="A376" i="6"/>
  <c r="R374" i="6"/>
  <c r="M374" i="6" s="1"/>
  <c r="S374" i="6" s="1"/>
  <c r="N375" i="6"/>
  <c r="O376" i="6"/>
  <c r="P376" i="6" s="1"/>
  <c r="AD376" i="6" l="1"/>
  <c r="AK376" i="6"/>
  <c r="Q376" i="6"/>
  <c r="A377" i="6"/>
  <c r="R375" i="6"/>
  <c r="M375" i="6" s="1"/>
  <c r="S375" i="6" s="1"/>
  <c r="N376" i="6"/>
  <c r="O377" i="6"/>
  <c r="P377" i="6" s="1"/>
  <c r="AD377" i="6" l="1"/>
  <c r="AK377" i="6"/>
  <c r="Q377" i="6"/>
  <c r="A378" i="6"/>
  <c r="R376" i="6"/>
  <c r="M376" i="6" s="1"/>
  <c r="S376" i="6" s="1"/>
  <c r="N377" i="6"/>
  <c r="O378" i="6"/>
  <c r="P378" i="6" s="1"/>
  <c r="AD378" i="6" l="1"/>
  <c r="AK378" i="6"/>
  <c r="Q378" i="6"/>
  <c r="A379" i="6"/>
  <c r="R377" i="6"/>
  <c r="M377" i="6" s="1"/>
  <c r="S377" i="6" s="1"/>
  <c r="N378" i="6"/>
  <c r="O379" i="6"/>
  <c r="P379" i="6" s="1"/>
  <c r="AD379" i="6" l="1"/>
  <c r="AK379" i="6"/>
  <c r="Q379" i="6"/>
  <c r="A380" i="6"/>
  <c r="R378" i="6"/>
  <c r="M378" i="6" s="1"/>
  <c r="S378" i="6" s="1"/>
  <c r="N379" i="6"/>
  <c r="O380" i="6"/>
  <c r="P380" i="6" s="1"/>
  <c r="AD380" i="6" l="1"/>
  <c r="AK380" i="6"/>
  <c r="Q380" i="6"/>
  <c r="A381" i="6"/>
  <c r="R379" i="6"/>
  <c r="M379" i="6" s="1"/>
  <c r="S379" i="6" s="1"/>
  <c r="N380" i="6"/>
  <c r="O381" i="6"/>
  <c r="P381" i="6" s="1"/>
  <c r="AD381" i="6" l="1"/>
  <c r="AK381" i="6"/>
  <c r="Q381" i="6"/>
  <c r="A382" i="6"/>
  <c r="R380" i="6"/>
  <c r="M380" i="6" s="1"/>
  <c r="S380" i="6" s="1"/>
  <c r="N381" i="6"/>
  <c r="O382" i="6"/>
  <c r="P382" i="6" s="1"/>
  <c r="AD382" i="6" l="1"/>
  <c r="AK382" i="6"/>
  <c r="Q382" i="6"/>
  <c r="A383" i="6"/>
  <c r="R381" i="6"/>
  <c r="M381" i="6" s="1"/>
  <c r="S381" i="6" s="1"/>
  <c r="N382" i="6"/>
  <c r="O383" i="6"/>
  <c r="P383" i="6" s="1"/>
  <c r="AD383" i="6" l="1"/>
  <c r="AK383" i="6"/>
  <c r="Q383" i="6"/>
  <c r="A384" i="6"/>
  <c r="R382" i="6"/>
  <c r="M382" i="6" s="1"/>
  <c r="S382" i="6" s="1"/>
  <c r="N383" i="6"/>
  <c r="O384" i="6"/>
  <c r="P384" i="6" s="1"/>
  <c r="AD384" i="6" l="1"/>
  <c r="AK384" i="6"/>
  <c r="Q384" i="6"/>
  <c r="A385" i="6"/>
  <c r="R383" i="6"/>
  <c r="M383" i="6" s="1"/>
  <c r="S383" i="6" s="1"/>
  <c r="N384" i="6"/>
  <c r="O385" i="6"/>
  <c r="P385" i="6" s="1"/>
  <c r="AD385" i="6" l="1"/>
  <c r="AK385" i="6"/>
  <c r="Q385" i="6"/>
  <c r="A386" i="6"/>
  <c r="R384" i="6"/>
  <c r="M384" i="6" s="1"/>
  <c r="S384" i="6" s="1"/>
  <c r="N385" i="6"/>
  <c r="O386" i="6"/>
  <c r="P386" i="6" s="1"/>
  <c r="AD386" i="6" l="1"/>
  <c r="AK386" i="6"/>
  <c r="Q386" i="6"/>
  <c r="A387" i="6"/>
  <c r="R385" i="6"/>
  <c r="M385" i="6" s="1"/>
  <c r="S385" i="6" s="1"/>
  <c r="N386" i="6"/>
  <c r="O387" i="6"/>
  <c r="P387" i="6" s="1"/>
  <c r="AD387" i="6" l="1"/>
  <c r="AK387" i="6"/>
  <c r="Q387" i="6"/>
  <c r="A388" i="6"/>
  <c r="R386" i="6"/>
  <c r="M386" i="6" s="1"/>
  <c r="S386" i="6" s="1"/>
  <c r="N387" i="6"/>
  <c r="O388" i="6"/>
  <c r="P388" i="6" s="1"/>
  <c r="AD388" i="6" l="1"/>
  <c r="AK388" i="6"/>
  <c r="Q388" i="6"/>
  <c r="A389" i="6"/>
  <c r="R387" i="6"/>
  <c r="M387" i="6" s="1"/>
  <c r="S387" i="6" s="1"/>
  <c r="N388" i="6"/>
  <c r="O389" i="6"/>
  <c r="P389" i="6" s="1"/>
  <c r="AD389" i="6" l="1"/>
  <c r="AK389" i="6"/>
  <c r="Q389" i="6"/>
  <c r="A390" i="6"/>
  <c r="R388" i="6"/>
  <c r="M388" i="6" s="1"/>
  <c r="S388" i="6" s="1"/>
  <c r="N389" i="6"/>
  <c r="O390" i="6"/>
  <c r="P390" i="6" s="1"/>
  <c r="AD390" i="6" l="1"/>
  <c r="AK390" i="6"/>
  <c r="Q390" i="6"/>
  <c r="A391" i="6"/>
  <c r="R389" i="6"/>
  <c r="M389" i="6" s="1"/>
  <c r="S389" i="6" s="1"/>
  <c r="N390" i="6"/>
  <c r="O391" i="6"/>
  <c r="P391" i="6" s="1"/>
  <c r="AD391" i="6" l="1"/>
  <c r="AK391" i="6"/>
  <c r="Q391" i="6"/>
  <c r="A392" i="6"/>
  <c r="R390" i="6"/>
  <c r="M390" i="6" s="1"/>
  <c r="S390" i="6" s="1"/>
  <c r="N391" i="6"/>
  <c r="O392" i="6"/>
  <c r="P392" i="6" s="1"/>
  <c r="AD392" i="6" l="1"/>
  <c r="AK392" i="6"/>
  <c r="Q392" i="6"/>
  <c r="A393" i="6"/>
  <c r="R391" i="6"/>
  <c r="M391" i="6" s="1"/>
  <c r="S391" i="6" s="1"/>
  <c r="N392" i="6"/>
  <c r="O393" i="6"/>
  <c r="P393" i="6" s="1"/>
  <c r="AD393" i="6" l="1"/>
  <c r="AK393" i="6"/>
  <c r="Q393" i="6"/>
  <c r="A394" i="6"/>
  <c r="R392" i="6"/>
  <c r="M392" i="6" s="1"/>
  <c r="S392" i="6" s="1"/>
  <c r="N393" i="6"/>
  <c r="O394" i="6"/>
  <c r="P394" i="6" s="1"/>
  <c r="AD394" i="6" l="1"/>
  <c r="AK394" i="6"/>
  <c r="Q394" i="6"/>
  <c r="A395" i="6"/>
  <c r="R393" i="6"/>
  <c r="M393" i="6" s="1"/>
  <c r="S393" i="6" s="1"/>
  <c r="N394" i="6"/>
  <c r="O395" i="6"/>
  <c r="P395" i="6" s="1"/>
  <c r="AD395" i="6" l="1"/>
  <c r="AK395" i="6"/>
  <c r="Q395" i="6"/>
  <c r="A396" i="6"/>
  <c r="R394" i="6"/>
  <c r="M394" i="6" s="1"/>
  <c r="S394" i="6" s="1"/>
  <c r="N395" i="6"/>
  <c r="O396" i="6"/>
  <c r="P396" i="6" s="1"/>
  <c r="AD396" i="6" l="1"/>
  <c r="AK396" i="6"/>
  <c r="Q396" i="6"/>
  <c r="A397" i="6"/>
  <c r="R395" i="6"/>
  <c r="M395" i="6" s="1"/>
  <c r="S395" i="6" s="1"/>
  <c r="N396" i="6"/>
  <c r="O397" i="6"/>
  <c r="P397" i="6" s="1"/>
  <c r="AD397" i="6" l="1"/>
  <c r="AK397" i="6"/>
  <c r="Q397" i="6"/>
  <c r="A398" i="6"/>
  <c r="R396" i="6"/>
  <c r="M396" i="6" s="1"/>
  <c r="S396" i="6" s="1"/>
  <c r="N397" i="6"/>
  <c r="O398" i="6"/>
  <c r="P398" i="6" s="1"/>
  <c r="AD398" i="6" l="1"/>
  <c r="AK398" i="6"/>
  <c r="Q398" i="6"/>
  <c r="A399" i="6"/>
  <c r="R397" i="6"/>
  <c r="M397" i="6" s="1"/>
  <c r="S397" i="6" s="1"/>
  <c r="N398" i="6"/>
  <c r="O399" i="6"/>
  <c r="P399" i="6" s="1"/>
  <c r="AD399" i="6" l="1"/>
  <c r="AK399" i="6"/>
  <c r="Q399" i="6"/>
  <c r="A400" i="6"/>
  <c r="R398" i="6"/>
  <c r="M398" i="6" s="1"/>
  <c r="S398" i="6" s="1"/>
  <c r="N399" i="6"/>
  <c r="O400" i="6"/>
  <c r="P400" i="6" s="1"/>
  <c r="AD400" i="6" l="1"/>
  <c r="AK400" i="6"/>
  <c r="Q400" i="6"/>
  <c r="A401" i="6"/>
  <c r="R399" i="6"/>
  <c r="M399" i="6" s="1"/>
  <c r="S399" i="6" s="1"/>
  <c r="N400" i="6"/>
  <c r="O401" i="6"/>
  <c r="P401" i="6" s="1"/>
  <c r="AD401" i="6" l="1"/>
  <c r="AK401" i="6"/>
  <c r="Q401" i="6"/>
  <c r="A402" i="6"/>
  <c r="R400" i="6"/>
  <c r="M400" i="6" s="1"/>
  <c r="S400" i="6" s="1"/>
  <c r="N401" i="6"/>
  <c r="O402" i="6"/>
  <c r="P402" i="6" s="1"/>
  <c r="AD402" i="6" l="1"/>
  <c r="AK402" i="6"/>
  <c r="Q402" i="6"/>
  <c r="A403" i="6"/>
  <c r="R401" i="6"/>
  <c r="M401" i="6" s="1"/>
  <c r="S401" i="6" s="1"/>
  <c r="N402" i="6"/>
  <c r="O403" i="6"/>
  <c r="P403" i="6" s="1"/>
  <c r="AD403" i="6" l="1"/>
  <c r="AK403" i="6"/>
  <c r="Q403" i="6"/>
  <c r="A404" i="6"/>
  <c r="R402" i="6"/>
  <c r="M402" i="6" s="1"/>
  <c r="S402" i="6" s="1"/>
  <c r="N403" i="6"/>
  <c r="O404" i="6"/>
  <c r="P404" i="6" s="1"/>
  <c r="AD404" i="6" l="1"/>
  <c r="AK404" i="6"/>
  <c r="Q404" i="6"/>
  <c r="A405" i="6"/>
  <c r="R403" i="6"/>
  <c r="M403" i="6" s="1"/>
  <c r="S403" i="6" s="1"/>
  <c r="N404" i="6"/>
  <c r="O405" i="6"/>
  <c r="P405" i="6" s="1"/>
  <c r="AD405" i="6" l="1"/>
  <c r="AK405" i="6"/>
  <c r="Q405" i="6"/>
  <c r="A406" i="6"/>
  <c r="R404" i="6"/>
  <c r="M404" i="6" s="1"/>
  <c r="S404" i="6" s="1"/>
  <c r="N405" i="6"/>
  <c r="O406" i="6"/>
  <c r="P406" i="6" s="1"/>
  <c r="AD406" i="6" l="1"/>
  <c r="AK406" i="6"/>
  <c r="Q406" i="6"/>
  <c r="A407" i="6"/>
  <c r="R405" i="6"/>
  <c r="M405" i="6" s="1"/>
  <c r="S405" i="6" s="1"/>
  <c r="N406" i="6"/>
  <c r="O407" i="6"/>
  <c r="P407" i="6" s="1"/>
  <c r="AD407" i="6" l="1"/>
  <c r="AK407" i="6"/>
  <c r="Q407" i="6"/>
  <c r="A408" i="6"/>
  <c r="R406" i="6"/>
  <c r="M406" i="6" s="1"/>
  <c r="S406" i="6" s="1"/>
  <c r="N407" i="6"/>
  <c r="O408" i="6"/>
  <c r="P408" i="6" s="1"/>
  <c r="AD408" i="6" l="1"/>
  <c r="AK408" i="6"/>
  <c r="Q408" i="6"/>
  <c r="A409" i="6"/>
  <c r="R407" i="6"/>
  <c r="M407" i="6" s="1"/>
  <c r="S407" i="6" s="1"/>
  <c r="N408" i="6"/>
  <c r="O409" i="6"/>
  <c r="P409" i="6" s="1"/>
  <c r="AD409" i="6" l="1"/>
  <c r="AK409" i="6"/>
  <c r="Q409" i="6"/>
  <c r="A410" i="6"/>
  <c r="R408" i="6"/>
  <c r="M408" i="6" s="1"/>
  <c r="S408" i="6" s="1"/>
  <c r="N409" i="6"/>
  <c r="O410" i="6"/>
  <c r="P410" i="6" s="1"/>
  <c r="AD410" i="6" l="1"/>
  <c r="AK410" i="6"/>
  <c r="Q410" i="6"/>
  <c r="A411" i="6"/>
  <c r="R409" i="6"/>
  <c r="M409" i="6" s="1"/>
  <c r="S409" i="6" s="1"/>
  <c r="N410" i="6"/>
  <c r="O411" i="6"/>
  <c r="P411" i="6" s="1"/>
  <c r="AD411" i="6" l="1"/>
  <c r="AK411" i="6"/>
  <c r="Q411" i="6"/>
  <c r="A412" i="6"/>
  <c r="R410" i="6"/>
  <c r="M410" i="6" s="1"/>
  <c r="S410" i="6" s="1"/>
  <c r="N411" i="6"/>
  <c r="O412" i="6"/>
  <c r="P412" i="6" s="1"/>
  <c r="AD412" i="6" l="1"/>
  <c r="AK412" i="6"/>
  <c r="Q412" i="6"/>
  <c r="A413" i="6"/>
  <c r="R411" i="6"/>
  <c r="M411" i="6" s="1"/>
  <c r="S411" i="6" s="1"/>
  <c r="N412" i="6"/>
  <c r="O413" i="6"/>
  <c r="P413" i="6" s="1"/>
  <c r="AD413" i="6" l="1"/>
  <c r="AK413" i="6"/>
  <c r="Q413" i="6"/>
  <c r="A414" i="6"/>
  <c r="R412" i="6"/>
  <c r="M412" i="6" s="1"/>
  <c r="S412" i="6" s="1"/>
  <c r="N413" i="6"/>
  <c r="O414" i="6"/>
  <c r="P414" i="6" s="1"/>
  <c r="AD414" i="6" l="1"/>
  <c r="AK414" i="6"/>
  <c r="Q414" i="6"/>
  <c r="A415" i="6"/>
  <c r="R413" i="6"/>
  <c r="M413" i="6" s="1"/>
  <c r="S413" i="6" s="1"/>
  <c r="N414" i="6"/>
  <c r="O415" i="6"/>
  <c r="P415" i="6" s="1"/>
  <c r="AD415" i="6" l="1"/>
  <c r="AK415" i="6"/>
  <c r="Q415" i="6"/>
  <c r="A416" i="6"/>
  <c r="R414" i="6"/>
  <c r="M414" i="6" s="1"/>
  <c r="S414" i="6" s="1"/>
  <c r="N415" i="6"/>
  <c r="O416" i="6"/>
  <c r="P416" i="6" s="1"/>
  <c r="AD416" i="6" l="1"/>
  <c r="AK416" i="6"/>
  <c r="Q416" i="6"/>
  <c r="A417" i="6"/>
  <c r="R415" i="6"/>
  <c r="M415" i="6" s="1"/>
  <c r="S415" i="6" s="1"/>
  <c r="N416" i="6"/>
  <c r="O417" i="6"/>
  <c r="P417" i="6" s="1"/>
  <c r="AD417" i="6" l="1"/>
  <c r="AK417" i="6"/>
  <c r="Q417" i="6"/>
  <c r="A418" i="6"/>
  <c r="R416" i="6"/>
  <c r="M416" i="6" s="1"/>
  <c r="S416" i="6" s="1"/>
  <c r="N417" i="6"/>
  <c r="O418" i="6"/>
  <c r="P418" i="6" s="1"/>
  <c r="AD418" i="6" l="1"/>
  <c r="AK418" i="6"/>
  <c r="Q418" i="6"/>
  <c r="A419" i="6"/>
  <c r="R417" i="6"/>
  <c r="M417" i="6" s="1"/>
  <c r="S417" i="6" s="1"/>
  <c r="N418" i="6"/>
  <c r="O419" i="6"/>
  <c r="P419" i="6" s="1"/>
  <c r="AD419" i="6" l="1"/>
  <c r="AK419" i="6"/>
  <c r="Q419" i="6"/>
  <c r="A420" i="6"/>
  <c r="R418" i="6"/>
  <c r="M418" i="6" s="1"/>
  <c r="S418" i="6" s="1"/>
  <c r="N419" i="6"/>
  <c r="O420" i="6"/>
  <c r="P420" i="6" s="1"/>
  <c r="AD420" i="6" l="1"/>
  <c r="AK420" i="6"/>
  <c r="Q420" i="6"/>
  <c r="A421" i="6"/>
  <c r="R419" i="6"/>
  <c r="M419" i="6" s="1"/>
  <c r="S419" i="6" s="1"/>
  <c r="N420" i="6"/>
  <c r="O421" i="6"/>
  <c r="P421" i="6" s="1"/>
  <c r="AD421" i="6" l="1"/>
  <c r="AK421" i="6"/>
  <c r="Q421" i="6"/>
  <c r="A422" i="6"/>
  <c r="R420" i="6"/>
  <c r="M420" i="6" s="1"/>
  <c r="S420" i="6" s="1"/>
  <c r="N421" i="6"/>
  <c r="O422" i="6"/>
  <c r="P422" i="6" s="1"/>
  <c r="AD422" i="6" l="1"/>
  <c r="AK422" i="6"/>
  <c r="Q422" i="6"/>
  <c r="A423" i="6"/>
  <c r="R421" i="6"/>
  <c r="M421" i="6" s="1"/>
  <c r="S421" i="6" s="1"/>
  <c r="N422" i="6"/>
  <c r="O423" i="6"/>
  <c r="P423" i="6" s="1"/>
  <c r="A424" i="6" l="1"/>
  <c r="AK424" i="6" s="1"/>
  <c r="AK423" i="6"/>
  <c r="Q423" i="6"/>
  <c r="AD423" i="6"/>
  <c r="R422" i="6"/>
  <c r="M422" i="6" s="1"/>
  <c r="S422" i="6" s="1"/>
  <c r="N423" i="6"/>
  <c r="O424" i="6"/>
  <c r="P424" i="6" s="1"/>
  <c r="A425" i="6" l="1"/>
  <c r="AK425" i="6" s="1"/>
  <c r="AD424" i="6"/>
  <c r="B424" i="6"/>
  <c r="C423" i="6" s="1"/>
  <c r="Q424" i="6"/>
  <c r="R423" i="6"/>
  <c r="M423" i="6" s="1"/>
  <c r="S423" i="6" s="1"/>
  <c r="N424" i="6"/>
  <c r="O425" i="6"/>
  <c r="P425" i="6" s="1"/>
  <c r="AD425" i="6" l="1"/>
  <c r="A426" i="6"/>
  <c r="AK426" i="6" s="1"/>
  <c r="B425" i="6"/>
  <c r="C424" i="6" s="1"/>
  <c r="Q425" i="6"/>
  <c r="R424" i="6"/>
  <c r="M424" i="6" s="1"/>
  <c r="S424" i="6" s="1"/>
  <c r="N425" i="6"/>
  <c r="O426" i="6"/>
  <c r="P426" i="6" s="1"/>
  <c r="AD426" i="6" l="1"/>
  <c r="B426" i="6"/>
  <c r="C425" i="6" s="1"/>
  <c r="A427" i="6"/>
  <c r="AK427" i="6" s="1"/>
  <c r="Q426" i="6"/>
  <c r="R425" i="6"/>
  <c r="M425" i="6" s="1"/>
  <c r="S425" i="6" s="1"/>
  <c r="N426" i="6"/>
  <c r="O427" i="6"/>
  <c r="P427" i="6" s="1"/>
  <c r="B427" i="6" l="1"/>
  <c r="C426" i="6" s="1"/>
  <c r="A428" i="6"/>
  <c r="AK428" i="6" s="1"/>
  <c r="AD427" i="6"/>
  <c r="Q427" i="6"/>
  <c r="R426" i="6"/>
  <c r="M426" i="6" s="1"/>
  <c r="S426" i="6" s="1"/>
  <c r="N427" i="6"/>
  <c r="O428" i="6"/>
  <c r="P428" i="6" s="1"/>
  <c r="AD428" i="6" l="1"/>
  <c r="A429" i="6"/>
  <c r="AK429" i="6" s="1"/>
  <c r="B428" i="6"/>
  <c r="C427" i="6" s="1"/>
  <c r="Q428" i="6"/>
  <c r="R427" i="6"/>
  <c r="M427" i="6" s="1"/>
  <c r="S427" i="6" s="1"/>
  <c r="N428" i="6"/>
  <c r="O429" i="6"/>
  <c r="P429" i="6" s="1"/>
  <c r="B429" i="6" l="1"/>
  <c r="C428" i="6" s="1"/>
  <c r="AD429" i="6"/>
  <c r="A430" i="6"/>
  <c r="AK430" i="6" s="1"/>
  <c r="Q429" i="6"/>
  <c r="R428" i="6"/>
  <c r="M428" i="6" s="1"/>
  <c r="S428" i="6" s="1"/>
  <c r="N429" i="6"/>
  <c r="O430" i="6"/>
  <c r="P430" i="6" s="1"/>
  <c r="AD430" i="6" l="1"/>
  <c r="A431" i="6"/>
  <c r="AK431" i="6" s="1"/>
  <c r="B430" i="6"/>
  <c r="C429" i="6" s="1"/>
  <c r="Q430" i="6"/>
  <c r="R429" i="6"/>
  <c r="M429" i="6" s="1"/>
  <c r="S429" i="6" s="1"/>
  <c r="N430" i="6"/>
  <c r="O431" i="6"/>
  <c r="P431" i="6" s="1"/>
  <c r="A432" i="6" l="1"/>
  <c r="AK432" i="6" s="1"/>
  <c r="B431" i="6"/>
  <c r="C430" i="6" s="1"/>
  <c r="AD431" i="6"/>
  <c r="Q431" i="6"/>
  <c r="R430" i="6"/>
  <c r="M430" i="6" s="1"/>
  <c r="S430" i="6" s="1"/>
  <c r="N431" i="6"/>
  <c r="O432" i="6"/>
  <c r="P432" i="6" s="1"/>
  <c r="AD432" i="6" l="1"/>
  <c r="A433" i="6"/>
  <c r="AK433" i="6" s="1"/>
  <c r="B432" i="6"/>
  <c r="C431" i="6" s="1"/>
  <c r="Q432" i="6"/>
  <c r="R431" i="6"/>
  <c r="M431" i="6" s="1"/>
  <c r="S431" i="6" s="1"/>
  <c r="N432" i="6"/>
  <c r="O433" i="6"/>
  <c r="P433" i="6" s="1"/>
  <c r="AD433" i="6" l="1"/>
  <c r="B433" i="6"/>
  <c r="C432" i="6" s="1"/>
  <c r="A434" i="6"/>
  <c r="AK434" i="6" s="1"/>
  <c r="Q433" i="6"/>
  <c r="R432" i="6"/>
  <c r="M432" i="6" s="1"/>
  <c r="S432" i="6" s="1"/>
  <c r="N433" i="6"/>
  <c r="O434" i="6"/>
  <c r="P434" i="6" s="1"/>
  <c r="AD434" i="6" l="1"/>
  <c r="A435" i="6"/>
  <c r="AK435" i="6" s="1"/>
  <c r="B434" i="6"/>
  <c r="C433" i="6" s="1"/>
  <c r="Q434" i="6"/>
  <c r="R433" i="6"/>
  <c r="M433" i="6" s="1"/>
  <c r="S433" i="6" s="1"/>
  <c r="N434" i="6"/>
  <c r="O435" i="6"/>
  <c r="P435" i="6" s="1"/>
  <c r="AD435" i="6" l="1"/>
  <c r="A436" i="6"/>
  <c r="AK436" i="6" s="1"/>
  <c r="B435" i="6"/>
  <c r="C434" i="6" s="1"/>
  <c r="Q435" i="6"/>
  <c r="R434" i="6"/>
  <c r="M434" i="6" s="1"/>
  <c r="S434" i="6" s="1"/>
  <c r="N435" i="6"/>
  <c r="O436" i="6"/>
  <c r="P436" i="6" s="1"/>
  <c r="AD436" i="6" l="1"/>
  <c r="B436" i="6"/>
  <c r="C435" i="6" s="1"/>
  <c r="A437" i="6"/>
  <c r="AK437" i="6" s="1"/>
  <c r="Q436" i="6"/>
  <c r="R435" i="6"/>
  <c r="M435" i="6" s="1"/>
  <c r="S435" i="6" s="1"/>
  <c r="N436" i="6"/>
  <c r="O437" i="6"/>
  <c r="P437" i="6" s="1"/>
  <c r="AD437" i="6" l="1"/>
  <c r="B437" i="6"/>
  <c r="C436" i="6" s="1"/>
  <c r="A438" i="6"/>
  <c r="AK438" i="6" s="1"/>
  <c r="Q437" i="6"/>
  <c r="R436" i="6"/>
  <c r="M436" i="6" s="1"/>
  <c r="S436" i="6" s="1"/>
  <c r="N437" i="6"/>
  <c r="O438" i="6"/>
  <c r="P438" i="6" s="1"/>
  <c r="AD438" i="6" l="1"/>
  <c r="A439" i="6"/>
  <c r="AK439" i="6" s="1"/>
  <c r="B438" i="6"/>
  <c r="C437" i="6" s="1"/>
  <c r="Q438" i="6"/>
  <c r="R437" i="6"/>
  <c r="M437" i="6" s="1"/>
  <c r="S437" i="6" s="1"/>
  <c r="N438" i="6"/>
  <c r="O439" i="6"/>
  <c r="P439" i="6" s="1"/>
  <c r="AD439" i="6" l="1"/>
  <c r="A440" i="6"/>
  <c r="AK440" i="6" s="1"/>
  <c r="B439" i="6"/>
  <c r="C438" i="6" s="1"/>
  <c r="Q439" i="6"/>
  <c r="R438" i="6"/>
  <c r="M438" i="6" s="1"/>
  <c r="S438" i="6" s="1"/>
  <c r="N439" i="6"/>
  <c r="O440" i="6"/>
  <c r="P440" i="6" s="1"/>
  <c r="AD440" i="6" l="1"/>
  <c r="A441" i="6"/>
  <c r="AK441" i="6" s="1"/>
  <c r="B440" i="6"/>
  <c r="C439" i="6" s="1"/>
  <c r="Q440" i="6"/>
  <c r="R439" i="6"/>
  <c r="M439" i="6" s="1"/>
  <c r="S439" i="6" s="1"/>
  <c r="N440" i="6"/>
  <c r="O441" i="6"/>
  <c r="P441" i="6" s="1"/>
  <c r="AD441" i="6" l="1"/>
  <c r="B441" i="6"/>
  <c r="C440" i="6" s="1"/>
  <c r="A442" i="6"/>
  <c r="AK442" i="6" s="1"/>
  <c r="Q441" i="6"/>
  <c r="R440" i="6"/>
  <c r="M440" i="6" s="1"/>
  <c r="S440" i="6" s="1"/>
  <c r="N441" i="6"/>
  <c r="O442" i="6"/>
  <c r="P442" i="6" s="1"/>
  <c r="AD442" i="6" l="1"/>
  <c r="A443" i="6"/>
  <c r="AK443" i="6" s="1"/>
  <c r="B442" i="6"/>
  <c r="C441" i="6" s="1"/>
  <c r="Q442" i="6"/>
  <c r="R441" i="6"/>
  <c r="M441" i="6" s="1"/>
  <c r="S441" i="6" s="1"/>
  <c r="N442" i="6"/>
  <c r="O443" i="6"/>
  <c r="P443" i="6" s="1"/>
  <c r="AD443" i="6" l="1"/>
  <c r="A444" i="6"/>
  <c r="AK444" i="6" s="1"/>
  <c r="B443" i="6"/>
  <c r="C442" i="6" s="1"/>
  <c r="Q443" i="6"/>
  <c r="R442" i="6"/>
  <c r="M442" i="6" s="1"/>
  <c r="S442" i="6" s="1"/>
  <c r="N443" i="6"/>
  <c r="O444" i="6"/>
  <c r="P444" i="6" s="1"/>
  <c r="AD444" i="6" l="1"/>
  <c r="B444" i="6"/>
  <c r="C443" i="6" s="1"/>
  <c r="A445" i="6"/>
  <c r="AK445" i="6" s="1"/>
  <c r="Q444" i="6"/>
  <c r="R443" i="6"/>
  <c r="M443" i="6" s="1"/>
  <c r="S443" i="6" s="1"/>
  <c r="N444" i="6"/>
  <c r="O445" i="6"/>
  <c r="P445" i="6" s="1"/>
  <c r="AD445" i="6" l="1"/>
  <c r="A446" i="6"/>
  <c r="AK446" i="6" s="1"/>
  <c r="B445" i="6"/>
  <c r="C444" i="6" s="1"/>
  <c r="Q445" i="6"/>
  <c r="R444" i="6"/>
  <c r="M444" i="6" s="1"/>
  <c r="S444" i="6" s="1"/>
  <c r="N445" i="6"/>
  <c r="O446" i="6"/>
  <c r="P446" i="6" s="1"/>
  <c r="AD446" i="6" l="1"/>
  <c r="B446" i="6"/>
  <c r="C445" i="6" s="1"/>
  <c r="A447" i="6"/>
  <c r="AK447" i="6" s="1"/>
  <c r="Q446" i="6"/>
  <c r="R445" i="6"/>
  <c r="M445" i="6" s="1"/>
  <c r="S445" i="6" s="1"/>
  <c r="N446" i="6"/>
  <c r="O447" i="6"/>
  <c r="P447" i="6" s="1"/>
  <c r="B447" i="6" l="1"/>
  <c r="C446" i="6" s="1"/>
  <c r="AD447" i="6"/>
  <c r="A448" i="6"/>
  <c r="AK448" i="6" s="1"/>
  <c r="Q447" i="6"/>
  <c r="R446" i="6"/>
  <c r="M446" i="6" s="1"/>
  <c r="S446" i="6" s="1"/>
  <c r="N447" i="6"/>
  <c r="O448" i="6"/>
  <c r="P448" i="6" s="1"/>
  <c r="A449" i="6" l="1"/>
  <c r="AK449" i="6" s="1"/>
  <c r="AD448" i="6"/>
  <c r="B448" i="6"/>
  <c r="C447" i="6" s="1"/>
  <c r="Q448" i="6"/>
  <c r="R447" i="6"/>
  <c r="M447" i="6" s="1"/>
  <c r="S447" i="6" s="1"/>
  <c r="N448" i="6"/>
  <c r="O449" i="6"/>
  <c r="P449" i="6" s="1"/>
  <c r="AD449" i="6" l="1"/>
  <c r="A450" i="6"/>
  <c r="AK450" i="6" s="1"/>
  <c r="B449" i="6"/>
  <c r="C448" i="6" s="1"/>
  <c r="Q449" i="6"/>
  <c r="R448" i="6"/>
  <c r="M448" i="6" s="1"/>
  <c r="S448" i="6" s="1"/>
  <c r="N449" i="6"/>
  <c r="O450" i="6"/>
  <c r="P450" i="6" s="1"/>
  <c r="AD450" i="6" l="1"/>
  <c r="A451" i="6"/>
  <c r="AK451" i="6" s="1"/>
  <c r="B450" i="6"/>
  <c r="C449" i="6" s="1"/>
  <c r="Q450" i="6"/>
  <c r="R449" i="6"/>
  <c r="M449" i="6" s="1"/>
  <c r="S449" i="6" s="1"/>
  <c r="N450" i="6"/>
  <c r="O451" i="6"/>
  <c r="P451" i="6" s="1"/>
  <c r="AD451" i="6" l="1"/>
  <c r="B451" i="6"/>
  <c r="C450" i="6" s="1"/>
  <c r="A452" i="6"/>
  <c r="AK452" i="6" s="1"/>
  <c r="Q451" i="6"/>
  <c r="R450" i="6"/>
  <c r="M450" i="6" s="1"/>
  <c r="S450" i="6" s="1"/>
  <c r="N451" i="6"/>
  <c r="O452" i="6"/>
  <c r="P452" i="6" s="1"/>
  <c r="AD452" i="6" l="1"/>
  <c r="A453" i="6"/>
  <c r="AK453" i="6" s="1"/>
  <c r="B452" i="6"/>
  <c r="C451" i="6" s="1"/>
  <c r="Q452" i="6"/>
  <c r="R451" i="6"/>
  <c r="M451" i="6" s="1"/>
  <c r="S451" i="6" s="1"/>
  <c r="N452" i="6"/>
  <c r="O453" i="6"/>
  <c r="P453" i="6" s="1"/>
  <c r="AD453" i="6" l="1"/>
  <c r="A454" i="6"/>
  <c r="AK454" i="6" s="1"/>
  <c r="B453" i="6"/>
  <c r="C452" i="6" s="1"/>
  <c r="Q453" i="6"/>
  <c r="R452" i="6"/>
  <c r="M452" i="6" s="1"/>
  <c r="S452" i="6" s="1"/>
  <c r="N453" i="6"/>
  <c r="O454" i="6"/>
  <c r="P454" i="6" s="1"/>
  <c r="AD454" i="6" l="1"/>
  <c r="A455" i="6"/>
  <c r="AK455" i="6" s="1"/>
  <c r="B454" i="6"/>
  <c r="C453" i="6" s="1"/>
  <c r="Q454" i="6"/>
  <c r="R453" i="6"/>
  <c r="M453" i="6" s="1"/>
  <c r="S453" i="6" s="1"/>
  <c r="N454" i="6"/>
  <c r="O455" i="6"/>
  <c r="P455" i="6" s="1"/>
  <c r="AD455" i="6" l="1"/>
  <c r="B455" i="6"/>
  <c r="C454" i="6" s="1"/>
  <c r="A456" i="6"/>
  <c r="AK456" i="6" s="1"/>
  <c r="Q455" i="6"/>
  <c r="R454" i="6"/>
  <c r="M454" i="6" s="1"/>
  <c r="S454" i="6" s="1"/>
  <c r="N455" i="6"/>
  <c r="O456" i="6"/>
  <c r="P456" i="6" s="1"/>
  <c r="A457" i="6" l="1"/>
  <c r="AK457" i="6" s="1"/>
  <c r="B456" i="6"/>
  <c r="C455" i="6" s="1"/>
  <c r="AD456" i="6"/>
  <c r="Q456" i="6"/>
  <c r="R455" i="6"/>
  <c r="M455" i="6" s="1"/>
  <c r="S455" i="6" s="1"/>
  <c r="N456" i="6"/>
  <c r="O457" i="6"/>
  <c r="P457" i="6" s="1"/>
  <c r="AD457" i="6" l="1"/>
  <c r="B457" i="6"/>
  <c r="C456" i="6" s="1"/>
  <c r="A458" i="6"/>
  <c r="AK458" i="6" s="1"/>
  <c r="Q457" i="6"/>
  <c r="R456" i="6"/>
  <c r="M456" i="6" s="1"/>
  <c r="S456" i="6" s="1"/>
  <c r="N457" i="6"/>
  <c r="O458" i="6"/>
  <c r="P458" i="6" s="1"/>
  <c r="A459" i="6" l="1"/>
  <c r="AK459" i="6" s="1"/>
  <c r="B458" i="6"/>
  <c r="C457" i="6" s="1"/>
  <c r="Q458" i="6"/>
  <c r="R457" i="6"/>
  <c r="M457" i="6" s="1"/>
  <c r="S457" i="6" s="1"/>
  <c r="N458" i="6"/>
  <c r="O459" i="6"/>
  <c r="P459" i="6" s="1"/>
  <c r="A460" i="6" l="1"/>
  <c r="AK460" i="6" s="1"/>
  <c r="B459" i="6"/>
  <c r="C458" i="6" s="1"/>
  <c r="Q459" i="6"/>
  <c r="R458" i="6"/>
  <c r="M458" i="6" s="1"/>
  <c r="S458" i="6" s="1"/>
  <c r="N459" i="6"/>
  <c r="O460" i="6"/>
  <c r="P460" i="6" s="1"/>
  <c r="B460" i="6" l="1"/>
  <c r="C459" i="6" s="1"/>
  <c r="A461" i="6"/>
  <c r="AK461" i="6" s="1"/>
  <c r="Q460" i="6"/>
  <c r="R459" i="6"/>
  <c r="M459" i="6" s="1"/>
  <c r="S459" i="6" s="1"/>
  <c r="N460" i="6"/>
  <c r="O461" i="6"/>
  <c r="P461" i="6" s="1"/>
  <c r="A462" i="6" l="1"/>
  <c r="AK462" i="6" s="1"/>
  <c r="B461" i="6"/>
  <c r="C460" i="6" s="1"/>
  <c r="Q461" i="6"/>
  <c r="R460" i="6"/>
  <c r="M460" i="6" s="1"/>
  <c r="S460" i="6" s="1"/>
  <c r="N461" i="6"/>
  <c r="O462" i="6"/>
  <c r="P462" i="6" s="1"/>
  <c r="B462" i="6" l="1"/>
  <c r="C461" i="6" s="1"/>
  <c r="A463" i="6"/>
  <c r="AK463" i="6" s="1"/>
  <c r="Q462" i="6"/>
  <c r="R461" i="6"/>
  <c r="M461" i="6" s="1"/>
  <c r="S461" i="6" s="1"/>
  <c r="N462" i="6"/>
  <c r="O463" i="6"/>
  <c r="P463" i="6" s="1"/>
  <c r="A464" i="6" l="1"/>
  <c r="AK464" i="6" s="1"/>
  <c r="B463" i="6"/>
  <c r="C462" i="6" s="1"/>
  <c r="Q463" i="6"/>
  <c r="R462" i="6"/>
  <c r="M462" i="6" s="1"/>
  <c r="S462" i="6" s="1"/>
  <c r="N463" i="6"/>
  <c r="O464" i="6"/>
  <c r="P464" i="6" s="1"/>
  <c r="A465" i="6" l="1"/>
  <c r="AK465" i="6" s="1"/>
  <c r="B464" i="6"/>
  <c r="C463" i="6" s="1"/>
  <c r="Q464" i="6"/>
  <c r="R463" i="6"/>
  <c r="M463" i="6" s="1"/>
  <c r="S463" i="6" s="1"/>
  <c r="N464" i="6"/>
  <c r="O465" i="6"/>
  <c r="P465" i="6" s="1"/>
  <c r="B465" i="6" l="1"/>
  <c r="C464" i="6" s="1"/>
  <c r="A466" i="6"/>
  <c r="AK466" i="6" s="1"/>
  <c r="Q465" i="6"/>
  <c r="R464" i="6"/>
  <c r="M464" i="6" s="1"/>
  <c r="S464" i="6" s="1"/>
  <c r="N465" i="6"/>
  <c r="O466" i="6"/>
  <c r="P466" i="6" s="1"/>
  <c r="A467" i="6" l="1"/>
  <c r="AK467" i="6" s="1"/>
  <c r="B466" i="6"/>
  <c r="C465" i="6" s="1"/>
  <c r="Q466" i="6"/>
  <c r="R465" i="6"/>
  <c r="M465" i="6" s="1"/>
  <c r="S465" i="6" s="1"/>
  <c r="N466" i="6"/>
  <c r="O467" i="6"/>
  <c r="P467" i="6" s="1"/>
  <c r="B467" i="6" l="1"/>
  <c r="C466" i="6" s="1"/>
  <c r="A468" i="6"/>
  <c r="AK468" i="6" s="1"/>
  <c r="Q467" i="6"/>
  <c r="R466" i="6"/>
  <c r="M466" i="6" s="1"/>
  <c r="S466" i="6" s="1"/>
  <c r="N467" i="6"/>
  <c r="O468" i="6"/>
  <c r="P468" i="6" s="1"/>
  <c r="A469" i="6" l="1"/>
  <c r="AK469" i="6" s="1"/>
  <c r="B468" i="6"/>
  <c r="C467" i="6" s="1"/>
  <c r="Q468" i="6"/>
  <c r="R467" i="6"/>
  <c r="M467" i="6" s="1"/>
  <c r="S467" i="6" s="1"/>
  <c r="N468" i="6"/>
  <c r="O469" i="6"/>
  <c r="P469" i="6" s="1"/>
  <c r="A470" i="6" l="1"/>
  <c r="AK470" i="6" s="1"/>
  <c r="B469" i="6"/>
  <c r="C468" i="6" s="1"/>
  <c r="Q469" i="6"/>
  <c r="R468" i="6"/>
  <c r="M468" i="6" s="1"/>
  <c r="S468" i="6" s="1"/>
  <c r="N469" i="6"/>
  <c r="O470" i="6"/>
  <c r="P470" i="6" s="1"/>
  <c r="A471" i="6" l="1"/>
  <c r="AK471" i="6" s="1"/>
  <c r="B470" i="6"/>
  <c r="C469" i="6" s="1"/>
  <c r="Q470" i="6"/>
  <c r="R469" i="6"/>
  <c r="M469" i="6" s="1"/>
  <c r="S469" i="6" s="1"/>
  <c r="N470" i="6"/>
  <c r="O471" i="6"/>
  <c r="P471" i="6" s="1"/>
  <c r="A472" i="6" l="1"/>
  <c r="AK472" i="6" s="1"/>
  <c r="B471" i="6"/>
  <c r="C470" i="6" s="1"/>
  <c r="Q471" i="6"/>
  <c r="R470" i="6"/>
  <c r="M470" i="6" s="1"/>
  <c r="S470" i="6" s="1"/>
  <c r="N471" i="6"/>
  <c r="O472" i="6"/>
  <c r="P472" i="6" s="1"/>
  <c r="A473" i="6" l="1"/>
  <c r="AK473" i="6" s="1"/>
  <c r="B472" i="6"/>
  <c r="C471" i="6" s="1"/>
  <c r="Q472" i="6"/>
  <c r="R471" i="6"/>
  <c r="M471" i="6" s="1"/>
  <c r="S471" i="6" s="1"/>
  <c r="N472" i="6"/>
  <c r="O473" i="6"/>
  <c r="P473" i="6" s="1"/>
  <c r="A474" i="6" l="1"/>
  <c r="AK474" i="6" s="1"/>
  <c r="B473" i="6"/>
  <c r="C472" i="6" s="1"/>
  <c r="Q473" i="6"/>
  <c r="R472" i="6"/>
  <c r="M472" i="6" s="1"/>
  <c r="S472" i="6" s="1"/>
  <c r="N473" i="6"/>
  <c r="O474" i="6"/>
  <c r="P474" i="6" s="1"/>
  <c r="B474" i="6" l="1"/>
  <c r="C473" i="6" s="1"/>
  <c r="A475" i="6"/>
  <c r="AK475" i="6" s="1"/>
  <c r="Q474" i="6"/>
  <c r="R473" i="6"/>
  <c r="M473" i="6" s="1"/>
  <c r="S473" i="6" s="1"/>
  <c r="N474" i="6"/>
  <c r="O475" i="6"/>
  <c r="P475" i="6" s="1"/>
  <c r="A476" i="6" l="1"/>
  <c r="AK476" i="6" s="1"/>
  <c r="B475" i="6"/>
  <c r="C474" i="6" s="1"/>
  <c r="Q475" i="6"/>
  <c r="R474" i="6"/>
  <c r="M474" i="6" s="1"/>
  <c r="S474" i="6" s="1"/>
  <c r="N475" i="6"/>
  <c r="O476" i="6"/>
  <c r="P476" i="6" s="1"/>
  <c r="B476" i="6" l="1"/>
  <c r="C475" i="6" s="1"/>
  <c r="A477" i="6"/>
  <c r="AK477" i="6" s="1"/>
  <c r="Q476" i="6"/>
  <c r="R475" i="6"/>
  <c r="M475" i="6" s="1"/>
  <c r="S475" i="6" s="1"/>
  <c r="N476" i="6"/>
  <c r="O477" i="6"/>
  <c r="P477" i="6" s="1"/>
  <c r="A478" i="6" l="1"/>
  <c r="AK478" i="6" s="1"/>
  <c r="B477" i="6"/>
  <c r="C476" i="6" s="1"/>
  <c r="Q477" i="6"/>
  <c r="R476" i="6"/>
  <c r="M476" i="6" s="1"/>
  <c r="S476" i="6" s="1"/>
  <c r="N477" i="6"/>
  <c r="O478" i="6"/>
  <c r="P478" i="6" s="1"/>
  <c r="A479" i="6" l="1"/>
  <c r="AK479" i="6" s="1"/>
  <c r="B478" i="6"/>
  <c r="C477" i="6" s="1"/>
  <c r="Q478" i="6"/>
  <c r="R477" i="6"/>
  <c r="M477" i="6" s="1"/>
  <c r="S477" i="6" s="1"/>
  <c r="N478" i="6"/>
  <c r="O479" i="6"/>
  <c r="P479" i="6" s="1"/>
  <c r="B479" i="6" l="1"/>
  <c r="C478" i="6" s="1"/>
  <c r="A480" i="6"/>
  <c r="AK480" i="6" s="1"/>
  <c r="Q479" i="6"/>
  <c r="R478" i="6"/>
  <c r="M478" i="6" s="1"/>
  <c r="S478" i="6" s="1"/>
  <c r="N479" i="6"/>
  <c r="O480" i="6"/>
  <c r="P480" i="6" s="1"/>
  <c r="B480" i="6" l="1"/>
  <c r="C479" i="6" s="1"/>
  <c r="A481" i="6"/>
  <c r="AK481" i="6" s="1"/>
  <c r="Q480" i="6"/>
  <c r="R479" i="6"/>
  <c r="M479" i="6" s="1"/>
  <c r="S479" i="6" s="1"/>
  <c r="N480" i="6"/>
  <c r="O481" i="6"/>
  <c r="P481" i="6" s="1"/>
  <c r="B481" i="6" l="1"/>
  <c r="C480" i="6" s="1"/>
  <c r="A482" i="6"/>
  <c r="AK482" i="6" s="1"/>
  <c r="Q481" i="6"/>
  <c r="R480" i="6"/>
  <c r="M480" i="6" s="1"/>
  <c r="S480" i="6" s="1"/>
  <c r="N481" i="6"/>
  <c r="O482" i="6"/>
  <c r="P482" i="6" s="1"/>
  <c r="B482" i="6" l="1"/>
  <c r="C481" i="6" s="1"/>
  <c r="A483" i="6"/>
  <c r="AK483" i="6" s="1"/>
  <c r="Q482" i="6"/>
  <c r="R481" i="6"/>
  <c r="M481" i="6" s="1"/>
  <c r="S481" i="6" s="1"/>
  <c r="N482" i="6"/>
  <c r="O483" i="6"/>
  <c r="P483" i="6" s="1"/>
  <c r="B483" i="6" l="1"/>
  <c r="C482" i="6" s="1"/>
  <c r="A484" i="6"/>
  <c r="AK484" i="6" s="1"/>
  <c r="Q483" i="6"/>
  <c r="R482" i="6"/>
  <c r="M482" i="6" s="1"/>
  <c r="S482" i="6" s="1"/>
  <c r="N483" i="6"/>
  <c r="O484" i="6"/>
  <c r="P484" i="6" s="1"/>
  <c r="B484" i="6" l="1"/>
  <c r="C483" i="6" s="1"/>
  <c r="A485" i="6"/>
  <c r="B485" i="6" s="1"/>
  <c r="C484" i="6" s="1"/>
  <c r="Q484" i="6"/>
  <c r="R483" i="6"/>
  <c r="M483" i="6" s="1"/>
  <c r="S483" i="6" s="1"/>
  <c r="N484" i="6"/>
  <c r="O485" i="6"/>
  <c r="P485" i="6" s="1"/>
  <c r="AK485" i="6" l="1"/>
  <c r="Q485" i="6"/>
  <c r="R484" i="6"/>
  <c r="M484" i="6" s="1"/>
  <c r="S484" i="6" s="1"/>
  <c r="N485" i="6"/>
  <c r="O486" i="6"/>
  <c r="P486" i="6" s="1"/>
  <c r="Q486" i="6" l="1"/>
  <c r="R485" i="6"/>
  <c r="M485" i="6" s="1"/>
  <c r="S485" i="6" s="1"/>
  <c r="N486" i="6"/>
  <c r="O487" i="6"/>
  <c r="P487" i="6" s="1"/>
  <c r="Q487" i="6" l="1"/>
  <c r="R486" i="6"/>
  <c r="M486" i="6" s="1"/>
  <c r="S486" i="6" s="1"/>
  <c r="N487" i="6"/>
  <c r="O488" i="6"/>
  <c r="P488" i="6" s="1"/>
  <c r="Q488" i="6" l="1"/>
  <c r="R487" i="6"/>
  <c r="M487" i="6" s="1"/>
  <c r="S487" i="6" s="1"/>
  <c r="N488" i="6"/>
  <c r="O489" i="6"/>
  <c r="P489" i="6" s="1"/>
  <c r="Q489" i="6" l="1"/>
  <c r="R488" i="6"/>
  <c r="M488" i="6" s="1"/>
  <c r="S488" i="6" s="1"/>
  <c r="N489" i="6"/>
  <c r="O490" i="6"/>
  <c r="P490" i="6" s="1"/>
  <c r="Q490" i="6" l="1"/>
  <c r="R489" i="6"/>
  <c r="M489" i="6" s="1"/>
  <c r="S489" i="6" s="1"/>
  <c r="N490" i="6"/>
  <c r="O491" i="6"/>
  <c r="P491" i="6" s="1"/>
  <c r="Q491" i="6" l="1"/>
  <c r="R490" i="6"/>
  <c r="M490" i="6" s="1"/>
  <c r="S490" i="6" s="1"/>
  <c r="N491" i="6"/>
  <c r="O492" i="6"/>
  <c r="P492" i="6" s="1"/>
  <c r="Q492" i="6" l="1"/>
  <c r="R491" i="6"/>
  <c r="M491" i="6" s="1"/>
  <c r="S491" i="6" s="1"/>
  <c r="N492" i="6"/>
  <c r="O493" i="6"/>
  <c r="P493" i="6" s="1"/>
  <c r="Q493" i="6" l="1"/>
  <c r="R492" i="6"/>
  <c r="M492" i="6" s="1"/>
  <c r="S492" i="6" s="1"/>
  <c r="N493" i="6"/>
  <c r="O494" i="6"/>
  <c r="P494" i="6" s="1"/>
  <c r="Q494" i="6" l="1"/>
  <c r="R493" i="6"/>
  <c r="M493" i="6" s="1"/>
  <c r="S493" i="6" s="1"/>
  <c r="N494" i="6"/>
  <c r="O495" i="6"/>
  <c r="P495" i="6" s="1"/>
  <c r="Q495" i="6" l="1"/>
  <c r="R494" i="6"/>
  <c r="M494" i="6" s="1"/>
  <c r="S494" i="6" s="1"/>
  <c r="N495" i="6"/>
  <c r="O496" i="6"/>
  <c r="P496" i="6" s="1"/>
  <c r="Q496" i="6" l="1"/>
  <c r="R495" i="6"/>
  <c r="M495" i="6" s="1"/>
  <c r="S495" i="6" s="1"/>
  <c r="N496" i="6"/>
  <c r="O497" i="6"/>
  <c r="P497" i="6" s="1"/>
  <c r="Q497" i="6" l="1"/>
  <c r="R496" i="6"/>
  <c r="M496" i="6" s="1"/>
  <c r="S496" i="6" s="1"/>
  <c r="N497" i="6"/>
  <c r="O498" i="6"/>
  <c r="P498" i="6" s="1"/>
  <c r="Q498" i="6" l="1"/>
  <c r="R497" i="6"/>
  <c r="M497" i="6" s="1"/>
  <c r="S497" i="6" s="1"/>
  <c r="N498" i="6"/>
  <c r="O499" i="6"/>
  <c r="P499" i="6" s="1"/>
  <c r="Q499" i="6" l="1"/>
  <c r="R498" i="6"/>
  <c r="M498" i="6" s="1"/>
  <c r="S498" i="6" s="1"/>
  <c r="N499" i="6"/>
  <c r="O500" i="6"/>
  <c r="P500" i="6" s="1"/>
  <c r="Q500" i="6" l="1"/>
  <c r="R499" i="6"/>
  <c r="M499" i="6" s="1"/>
  <c r="S499" i="6" s="1"/>
  <c r="N500" i="6"/>
  <c r="O501" i="6"/>
  <c r="P501" i="6" s="1"/>
  <c r="Q501" i="6" l="1"/>
  <c r="O502" i="6"/>
  <c r="P502" i="6" s="1"/>
  <c r="R500" i="6"/>
  <c r="M500" i="6" s="1"/>
  <c r="S500" i="6" s="1"/>
  <c r="N501" i="6"/>
  <c r="Q502" i="6" l="1"/>
  <c r="N502" i="6"/>
  <c r="O503" i="6"/>
  <c r="P503" i="6" s="1"/>
  <c r="R501" i="6"/>
  <c r="M501" i="6" s="1"/>
  <c r="S501" i="6" s="1"/>
  <c r="Q503" i="6" l="1"/>
  <c r="O504" i="6"/>
  <c r="P504" i="6" s="1"/>
  <c r="N503" i="6"/>
  <c r="R502" i="6"/>
  <c r="M502" i="6" s="1"/>
  <c r="S502" i="6" s="1"/>
  <c r="Q504" i="6" l="1"/>
  <c r="R503" i="6"/>
  <c r="M503" i="6" s="1"/>
  <c r="S503" i="6" s="1"/>
  <c r="N504" i="6"/>
  <c r="O505" i="6"/>
  <c r="P505" i="6" s="1"/>
  <c r="Q505" i="6" l="1"/>
  <c r="R504" i="6"/>
  <c r="M504" i="6" s="1"/>
  <c r="S504" i="6" s="1"/>
  <c r="N505" i="6"/>
  <c r="O506" i="6"/>
  <c r="P506" i="6" s="1"/>
  <c r="Q506" i="6" l="1"/>
  <c r="R505" i="6"/>
  <c r="M505" i="6" s="1"/>
  <c r="S505" i="6" s="1"/>
  <c r="O507" i="6"/>
  <c r="P507" i="6" s="1"/>
  <c r="N506" i="6"/>
  <c r="Q507" i="6" l="1"/>
  <c r="R506" i="6"/>
  <c r="M506" i="6" s="1"/>
  <c r="S506" i="6" s="1"/>
  <c r="O508" i="6"/>
  <c r="P508" i="6" s="1"/>
  <c r="N507" i="6"/>
  <c r="Q508" i="6" l="1"/>
  <c r="R507" i="6"/>
  <c r="M507" i="6" s="1"/>
  <c r="S507" i="6" s="1"/>
  <c r="N508" i="6"/>
  <c r="O509" i="6"/>
  <c r="P509" i="6" s="1"/>
  <c r="Q509" i="6" l="1"/>
  <c r="R508" i="6"/>
  <c r="M508" i="6" s="1"/>
  <c r="S508" i="6" s="1"/>
  <c r="N509" i="6"/>
  <c r="O510" i="6"/>
  <c r="P510" i="6" s="1"/>
  <c r="Q510" i="6" l="1"/>
  <c r="R509" i="6"/>
  <c r="M509" i="6" s="1"/>
  <c r="S509" i="6" s="1"/>
  <c r="O511" i="6"/>
  <c r="P511" i="6" s="1"/>
  <c r="N510" i="6"/>
  <c r="Q511" i="6" l="1"/>
  <c r="N511" i="6"/>
  <c r="R510" i="6"/>
  <c r="M510" i="6" s="1"/>
  <c r="S510" i="6" s="1"/>
  <c r="O512" i="6"/>
  <c r="P512" i="6" s="1"/>
  <c r="Q512" i="6" l="1"/>
  <c r="N512" i="6"/>
  <c r="R511" i="6"/>
  <c r="M511" i="6" s="1"/>
  <c r="S511" i="6" s="1"/>
  <c r="O513" i="6"/>
  <c r="P513" i="6" s="1"/>
  <c r="Q513" i="6" l="1"/>
  <c r="O514" i="6"/>
  <c r="P514" i="6" s="1"/>
  <c r="R512" i="6"/>
  <c r="M512" i="6" s="1"/>
  <c r="S512" i="6" s="1"/>
  <c r="N513" i="6"/>
  <c r="Q514" i="6" l="1"/>
  <c r="N514" i="6"/>
  <c r="O515" i="6"/>
  <c r="R513" i="6"/>
  <c r="M513" i="6" s="1"/>
  <c r="S513" i="6" s="1"/>
  <c r="O516" i="6" l="1"/>
  <c r="P516" i="6" s="1"/>
  <c r="P515" i="6"/>
  <c r="N515" i="6"/>
  <c r="Q515" i="6"/>
  <c r="R514" i="6"/>
  <c r="M514" i="6" s="1"/>
  <c r="S514" i="6" s="1"/>
  <c r="N516" i="6" l="1"/>
  <c r="O517" i="6"/>
  <c r="P517" i="6" s="1"/>
  <c r="Q516" i="6"/>
  <c r="R516" i="6" s="1"/>
  <c r="R515" i="6"/>
  <c r="M515" i="6" s="1"/>
  <c r="S515" i="6" s="1"/>
  <c r="M516" i="6" l="1"/>
  <c r="S516" i="6" s="1"/>
  <c r="N517" i="6"/>
  <c r="O518" i="6"/>
  <c r="P518" i="6" s="1"/>
  <c r="Q517" i="6"/>
  <c r="R517" i="6" s="1"/>
  <c r="M517" i="6" l="1"/>
  <c r="S517" i="6" s="1"/>
  <c r="N518" i="6"/>
  <c r="Q518" i="6"/>
  <c r="R518" i="6" s="1"/>
  <c r="M518" i="6" s="1"/>
  <c r="S518" i="6" s="1"/>
  <c r="O519" i="6"/>
  <c r="P519" i="6" s="1"/>
  <c r="N519" i="6" l="1"/>
  <c r="Q519" i="6"/>
  <c r="R519" i="6" s="1"/>
  <c r="O520" i="6"/>
  <c r="P520" i="6" s="1"/>
  <c r="M519" i="6" l="1"/>
  <c r="S519" i="6" s="1"/>
  <c r="O521" i="6"/>
  <c r="P521" i="6" s="1"/>
  <c r="Q520" i="6"/>
  <c r="R520" i="6" s="1"/>
  <c r="N520" i="6"/>
  <c r="O522" i="6" l="1"/>
  <c r="P522" i="6" s="1"/>
  <c r="N521" i="6"/>
  <c r="M520" i="6"/>
  <c r="S520" i="6" s="1"/>
  <c r="Q521" i="6"/>
  <c r="R521" i="6" s="1"/>
  <c r="M521" i="6" l="1"/>
  <c r="S521" i="6" s="1"/>
  <c r="O523" i="6"/>
  <c r="P523" i="6" s="1"/>
  <c r="N522" i="6"/>
  <c r="Q522" i="6"/>
  <c r="R522" i="6" s="1"/>
  <c r="M522" i="6" l="1"/>
  <c r="S522" i="6" s="1"/>
  <c r="O524" i="6"/>
  <c r="P524" i="6" s="1"/>
  <c r="Q523" i="6"/>
  <c r="R523" i="6" s="1"/>
  <c r="N523" i="6"/>
  <c r="M523" i="6" l="1"/>
  <c r="S523" i="6" s="1"/>
  <c r="N524" i="6"/>
  <c r="O525" i="6"/>
  <c r="P525" i="6" s="1"/>
  <c r="Q524" i="6"/>
  <c r="R524" i="6" s="1"/>
  <c r="M524" i="6" l="1"/>
  <c r="S524" i="6" s="1"/>
  <c r="O526" i="6"/>
  <c r="P526" i="6" s="1"/>
  <c r="N525" i="6"/>
  <c r="Q525" i="6"/>
  <c r="R525" i="6" s="1"/>
  <c r="M525" i="6" s="1"/>
  <c r="S525" i="6" s="1"/>
  <c r="N526" i="6" l="1"/>
  <c r="O527" i="6"/>
  <c r="P527" i="6" s="1"/>
  <c r="Q526" i="6"/>
  <c r="R526" i="6" s="1"/>
  <c r="M526" i="6" l="1"/>
  <c r="S526" i="6" s="1"/>
  <c r="N527" i="6"/>
  <c r="Q527" i="6"/>
  <c r="R527" i="6" s="1"/>
  <c r="O528" i="6"/>
  <c r="P528" i="6" s="1"/>
  <c r="M527" i="6" l="1"/>
  <c r="S527" i="6" s="1"/>
  <c r="N528" i="6"/>
  <c r="Q528" i="6"/>
  <c r="R528" i="6" s="1"/>
  <c r="M528" i="6" s="1"/>
  <c r="S528" i="6" s="1"/>
  <c r="O529" i="6"/>
  <c r="P529" i="6" s="1"/>
  <c r="O530" i="6" l="1"/>
  <c r="P530" i="6" s="1"/>
  <c r="N529" i="6"/>
  <c r="Q529" i="6"/>
  <c r="R529" i="6" s="1"/>
  <c r="M529" i="6" l="1"/>
  <c r="S529" i="6" s="1"/>
  <c r="N530" i="6"/>
  <c r="O531" i="6"/>
  <c r="P531" i="6" s="1"/>
  <c r="Q530" i="6"/>
  <c r="R530" i="6" s="1"/>
  <c r="M530" i="6" l="1"/>
  <c r="S530" i="6" s="1"/>
  <c r="N531" i="6"/>
  <c r="O532" i="6"/>
  <c r="P532" i="6" s="1"/>
  <c r="Q531" i="6"/>
  <c r="R531" i="6" s="1"/>
  <c r="M531" i="6" s="1"/>
  <c r="S531" i="6" s="1"/>
  <c r="O533" i="6" l="1"/>
  <c r="P533" i="6" s="1"/>
  <c r="N532" i="6"/>
  <c r="Q532" i="6"/>
  <c r="R532" i="6" s="1"/>
  <c r="M532" i="6" l="1"/>
  <c r="S532" i="6" s="1"/>
  <c r="N533" i="6"/>
  <c r="O534" i="6"/>
  <c r="P534" i="6" s="1"/>
  <c r="Q533" i="6"/>
  <c r="R533" i="6" s="1"/>
  <c r="M533" i="6" s="1"/>
  <c r="S533" i="6" s="1"/>
  <c r="O535" i="6" l="1"/>
  <c r="P535" i="6" s="1"/>
  <c r="N534" i="6"/>
  <c r="Q534" i="6"/>
  <c r="R534" i="6" s="1"/>
  <c r="M534" i="6" l="1"/>
  <c r="S534" i="6" s="1"/>
  <c r="O536" i="6"/>
  <c r="P536" i="6" s="1"/>
  <c r="N535" i="6"/>
  <c r="Q535" i="6"/>
  <c r="R535" i="6" s="1"/>
  <c r="M535" i="6" l="1"/>
  <c r="S535" i="6" s="1"/>
  <c r="N536" i="6"/>
  <c r="O537" i="6"/>
  <c r="P537" i="6" s="1"/>
  <c r="Q536" i="6"/>
  <c r="R536" i="6" s="1"/>
  <c r="M536" i="6" s="1"/>
  <c r="S536" i="6" s="1"/>
  <c r="N537" i="6" l="1"/>
  <c r="Q537" i="6"/>
  <c r="R537" i="6" s="1"/>
  <c r="M537" i="6" s="1"/>
  <c r="S537" i="6" s="1"/>
  <c r="O538" i="6"/>
  <c r="P538" i="6" s="1"/>
  <c r="O539" i="6" l="1"/>
  <c r="P539" i="6" s="1"/>
  <c r="N538" i="6"/>
  <c r="Q538" i="6"/>
  <c r="R538" i="6" s="1"/>
  <c r="M538" i="6" l="1"/>
  <c r="S538" i="6" s="1"/>
  <c r="N539" i="6"/>
  <c r="O540" i="6"/>
  <c r="P540" i="6" s="1"/>
  <c r="Q539" i="6"/>
  <c r="R539" i="6" s="1"/>
  <c r="M539" i="6" s="1"/>
  <c r="S539" i="6" s="1"/>
  <c r="Q540" i="6" l="1"/>
  <c r="R540" i="6" s="1"/>
  <c r="N540" i="6"/>
  <c r="O541" i="6"/>
  <c r="P541" i="6" s="1"/>
  <c r="M540" i="6" l="1"/>
  <c r="S540" i="6" s="1"/>
  <c r="Q541" i="6"/>
  <c r="R541" i="6" s="1"/>
  <c r="N541" i="6"/>
  <c r="O542" i="6"/>
  <c r="P542" i="6" s="1"/>
  <c r="M541" i="6" l="1"/>
  <c r="S541" i="6" s="1"/>
  <c r="Q542" i="6"/>
  <c r="R542" i="6" s="1"/>
  <c r="N542" i="6"/>
  <c r="O543" i="6"/>
  <c r="P543" i="6" s="1"/>
  <c r="M542" i="6" l="1"/>
  <c r="S542" i="6" s="1"/>
  <c r="N543" i="6"/>
  <c r="O544" i="6"/>
  <c r="P544" i="6" s="1"/>
  <c r="Q543" i="6"/>
  <c r="R543" i="6" s="1"/>
  <c r="M543" i="6" l="1"/>
  <c r="S543" i="6" s="1"/>
  <c r="N544" i="6"/>
  <c r="Q544" i="6"/>
  <c r="R544" i="6" s="1"/>
  <c r="M544" i="6" s="1"/>
  <c r="S544" i="6" s="1"/>
  <c r="O545" i="6"/>
  <c r="P545" i="6" s="1"/>
  <c r="O546" i="6" l="1"/>
  <c r="P546" i="6" s="1"/>
  <c r="Q545" i="6"/>
  <c r="R545" i="6" s="1"/>
  <c r="N545" i="6"/>
  <c r="M545" i="6" l="1"/>
  <c r="S545" i="6" s="1"/>
  <c r="N546" i="6"/>
  <c r="O547" i="6"/>
  <c r="P547" i="6" s="1"/>
  <c r="Q546" i="6"/>
  <c r="R546" i="6" s="1"/>
  <c r="M546" i="6" s="1"/>
  <c r="S546" i="6" s="1"/>
  <c r="N547" i="6" l="1"/>
  <c r="O548" i="6"/>
  <c r="P548" i="6" s="1"/>
  <c r="Q547" i="6"/>
  <c r="R547" i="6" s="1"/>
  <c r="M547" i="6" l="1"/>
  <c r="S547" i="6" s="1"/>
  <c r="N548" i="6"/>
  <c r="Q548" i="6"/>
  <c r="R548" i="6" s="1"/>
  <c r="O549" i="6"/>
  <c r="P549" i="6" s="1"/>
  <c r="M548" i="6" l="1"/>
  <c r="S548" i="6" s="1"/>
  <c r="O550" i="6"/>
  <c r="P550" i="6" s="1"/>
  <c r="N549" i="6"/>
  <c r="Q549" i="6"/>
  <c r="R549" i="6" s="1"/>
  <c r="M549" i="6" l="1"/>
  <c r="S549" i="6" s="1"/>
  <c r="N550" i="6"/>
  <c r="O551" i="6"/>
  <c r="P551" i="6" s="1"/>
  <c r="Q550" i="6"/>
  <c r="R550" i="6" s="1"/>
  <c r="M550" i="6" l="1"/>
  <c r="S550" i="6" s="1"/>
  <c r="O552" i="6"/>
  <c r="P552" i="6" s="1"/>
  <c r="Q551" i="6"/>
  <c r="R551" i="6" s="1"/>
  <c r="N551" i="6"/>
  <c r="M551" i="6" l="1"/>
  <c r="S551" i="6" s="1"/>
  <c r="N552" i="6"/>
  <c r="O553" i="6"/>
  <c r="P553" i="6" s="1"/>
  <c r="Q552" i="6"/>
  <c r="R552" i="6" s="1"/>
  <c r="M552" i="6" l="1"/>
  <c r="S552" i="6" s="1"/>
  <c r="O554" i="6"/>
  <c r="P554" i="6" s="1"/>
  <c r="N553" i="6"/>
  <c r="Q553" i="6"/>
  <c r="R553" i="6" s="1"/>
  <c r="M553" i="6" s="1"/>
  <c r="S553" i="6" s="1"/>
  <c r="N554" i="6" l="1"/>
  <c r="O555" i="6"/>
  <c r="P555" i="6" s="1"/>
  <c r="Q554" i="6"/>
  <c r="R554" i="6" s="1"/>
  <c r="M554" i="6" s="1"/>
  <c r="S554" i="6" s="1"/>
  <c r="N555" i="6" l="1"/>
  <c r="O556" i="6"/>
  <c r="P556" i="6" s="1"/>
  <c r="Q555" i="6"/>
  <c r="R555" i="6" s="1"/>
  <c r="M555" i="6" s="1"/>
  <c r="S555" i="6" s="1"/>
  <c r="N556" i="6" l="1"/>
  <c r="Q556" i="6"/>
  <c r="R556" i="6" s="1"/>
  <c r="M556" i="6" s="1"/>
  <c r="S556" i="6" s="1"/>
  <c r="O557" i="6"/>
  <c r="P557" i="6" s="1"/>
  <c r="N557" i="6" l="1"/>
  <c r="Q557" i="6"/>
  <c r="R557" i="6" s="1"/>
  <c r="M557" i="6" s="1"/>
  <c r="S557" i="6" s="1"/>
  <c r="O558" i="6"/>
  <c r="P558" i="6" s="1"/>
  <c r="Q558" i="6" l="1"/>
  <c r="R558" i="6" s="1"/>
  <c r="N558" i="6"/>
  <c r="O559" i="6"/>
  <c r="P559" i="6" s="1"/>
  <c r="M558" i="6" l="1"/>
  <c r="S558" i="6" s="1"/>
  <c r="N559" i="6"/>
  <c r="O560" i="6"/>
  <c r="P560" i="6" s="1"/>
  <c r="Q559" i="6"/>
  <c r="R559" i="6" s="1"/>
  <c r="M559" i="6" l="1"/>
  <c r="S559" i="6" s="1"/>
  <c r="N560" i="6"/>
  <c r="O561" i="6"/>
  <c r="P561" i="6" s="1"/>
  <c r="Q560" i="6"/>
  <c r="R560" i="6" s="1"/>
  <c r="M560" i="6" l="1"/>
  <c r="S560" i="6" s="1"/>
  <c r="N561" i="6"/>
  <c r="O562" i="6"/>
  <c r="P562" i="6" s="1"/>
  <c r="Q561" i="6"/>
  <c r="R561" i="6" s="1"/>
  <c r="M561" i="6" s="1"/>
  <c r="S561" i="6" s="1"/>
  <c r="O563" i="6" l="1"/>
  <c r="P563" i="6" s="1"/>
  <c r="N562" i="6"/>
  <c r="Q562" i="6"/>
  <c r="R562" i="6" s="1"/>
  <c r="M562" i="6" l="1"/>
  <c r="S562" i="6" s="1"/>
  <c r="N563" i="6"/>
  <c r="O564" i="6"/>
  <c r="P564" i="6" s="1"/>
  <c r="Q563" i="6"/>
  <c r="R563" i="6" s="1"/>
  <c r="M563" i="6" s="1"/>
  <c r="S563" i="6" s="1"/>
  <c r="O565" i="6" l="1"/>
  <c r="P565" i="6" s="1"/>
  <c r="N564" i="6"/>
  <c r="Q564" i="6"/>
  <c r="R564" i="6" s="1"/>
  <c r="M564" i="6" l="1"/>
  <c r="S564" i="6" s="1"/>
  <c r="O566" i="6"/>
  <c r="P566" i="6" s="1"/>
  <c r="N565" i="6"/>
  <c r="Q565" i="6"/>
  <c r="R565" i="6" s="1"/>
  <c r="M565" i="6" s="1"/>
  <c r="S565" i="6" s="1"/>
  <c r="N566" i="6" l="1"/>
  <c r="O567" i="6"/>
  <c r="P567" i="6" s="1"/>
  <c r="Q566" i="6"/>
  <c r="R566" i="6" s="1"/>
  <c r="M566" i="6" l="1"/>
  <c r="S566" i="6" s="1"/>
  <c r="N567" i="6"/>
  <c r="Q567" i="6"/>
  <c r="R567" i="6" s="1"/>
  <c r="M567" i="6" s="1"/>
  <c r="S567" i="6" s="1"/>
  <c r="O568" i="6"/>
  <c r="P568" i="6" s="1"/>
  <c r="N568" i="6" l="1"/>
  <c r="Q568" i="6"/>
  <c r="R568" i="6" s="1"/>
  <c r="M568" i="6" s="1"/>
  <c r="S568" i="6" s="1"/>
  <c r="O569" i="6"/>
  <c r="P569" i="6" s="1"/>
  <c r="O570" i="6" l="1"/>
  <c r="P570" i="6" s="1"/>
  <c r="Q569" i="6"/>
  <c r="R569" i="6" s="1"/>
  <c r="N569" i="6"/>
  <c r="M569" i="6" l="1"/>
  <c r="S569" i="6" s="1"/>
  <c r="N570" i="6"/>
  <c r="O571" i="6"/>
  <c r="P571" i="6" s="1"/>
  <c r="Q570" i="6"/>
  <c r="R570" i="6" s="1"/>
  <c r="M570" i="6" s="1"/>
  <c r="S570" i="6" s="1"/>
  <c r="N571" i="6" l="1"/>
  <c r="O572" i="6"/>
  <c r="P572" i="6" s="1"/>
  <c r="Q571" i="6"/>
  <c r="R571" i="6" s="1"/>
  <c r="M571" i="6" s="1"/>
  <c r="S571" i="6" s="1"/>
  <c r="O573" i="6" l="1"/>
  <c r="P573" i="6" s="1"/>
  <c r="Q572" i="6"/>
  <c r="R572" i="6" s="1"/>
  <c r="N572" i="6"/>
  <c r="M572" i="6" l="1"/>
  <c r="S572" i="6" s="1"/>
  <c r="O574" i="6"/>
  <c r="P574" i="6" s="1"/>
  <c r="N573" i="6"/>
  <c r="Q573" i="6"/>
  <c r="R573" i="6" s="1"/>
  <c r="M573" i="6" l="1"/>
  <c r="S573" i="6" s="1"/>
  <c r="N574" i="6"/>
  <c r="O575" i="6"/>
  <c r="P575" i="6" s="1"/>
  <c r="Q574" i="6"/>
  <c r="R574" i="6" s="1"/>
  <c r="M574" i="6" l="1"/>
  <c r="S574" i="6" s="1"/>
  <c r="N575" i="6"/>
  <c r="Q575" i="6"/>
  <c r="R575" i="6" s="1"/>
  <c r="M575" i="6" s="1"/>
  <c r="S575" i="6" s="1"/>
  <c r="O576" i="6"/>
  <c r="P576" i="6" s="1"/>
  <c r="N576" i="6" l="1"/>
  <c r="Q576" i="6"/>
  <c r="R576" i="6" s="1"/>
  <c r="M576" i="6" s="1"/>
  <c r="S576" i="6" s="1"/>
  <c r="O577" i="6"/>
  <c r="P577" i="6" s="1"/>
  <c r="N577" i="6" l="1"/>
  <c r="O578" i="6"/>
  <c r="P578" i="6" s="1"/>
  <c r="Q577" i="6"/>
  <c r="R577" i="6" s="1"/>
  <c r="M577" i="6" s="1"/>
  <c r="S577" i="6" s="1"/>
  <c r="O579" i="6" l="1"/>
  <c r="P579" i="6" s="1"/>
  <c r="N578" i="6"/>
  <c r="Q578" i="6"/>
  <c r="R578" i="6" s="1"/>
  <c r="M578" i="6" l="1"/>
  <c r="S578" i="6" s="1"/>
  <c r="N579" i="6"/>
  <c r="O580" i="6"/>
  <c r="P580" i="6" s="1"/>
  <c r="Q579" i="6"/>
  <c r="R579" i="6" s="1"/>
  <c r="M579" i="6" s="1"/>
  <c r="S579" i="6" s="1"/>
  <c r="O581" i="6" l="1"/>
  <c r="P581" i="6" s="1"/>
  <c r="Q580" i="6"/>
  <c r="R580" i="6" s="1"/>
  <c r="N580" i="6"/>
  <c r="M580" i="6" l="1"/>
  <c r="S580" i="6" s="1"/>
  <c r="N581" i="6"/>
  <c r="O582" i="6"/>
  <c r="P582" i="6" s="1"/>
  <c r="Q581" i="6"/>
  <c r="R581" i="6" s="1"/>
  <c r="M581" i="6" s="1"/>
  <c r="S581" i="6" s="1"/>
  <c r="O583" i="6" l="1"/>
  <c r="P583" i="6" s="1"/>
  <c r="N582" i="6"/>
  <c r="Q582" i="6"/>
  <c r="R582" i="6" s="1"/>
  <c r="M582" i="6" l="1"/>
  <c r="S582" i="6" s="1"/>
  <c r="N583" i="6"/>
  <c r="O584" i="6"/>
  <c r="P584" i="6" s="1"/>
  <c r="Q583" i="6"/>
  <c r="R583" i="6" s="1"/>
  <c r="M583" i="6" s="1"/>
  <c r="S583" i="6" s="1"/>
  <c r="N584" i="6" l="1"/>
  <c r="Q584" i="6"/>
  <c r="R584" i="6" s="1"/>
  <c r="O585" i="6"/>
  <c r="P585" i="6" s="1"/>
  <c r="M584" i="6" l="1"/>
  <c r="S584" i="6" s="1"/>
  <c r="O586" i="6"/>
  <c r="P586" i="6" s="1"/>
  <c r="N585" i="6"/>
  <c r="Q585" i="6"/>
  <c r="R585" i="6" s="1"/>
  <c r="M585" i="6" s="1"/>
  <c r="S585" i="6" s="1"/>
  <c r="N586" i="6" l="1"/>
  <c r="O587" i="6"/>
  <c r="P587" i="6" s="1"/>
  <c r="Q586" i="6"/>
  <c r="R586" i="6" s="1"/>
  <c r="M586" i="6" l="1"/>
  <c r="S586" i="6" s="1"/>
  <c r="O588" i="6"/>
  <c r="P588" i="6" s="1"/>
  <c r="Q587" i="6"/>
  <c r="R587" i="6" s="1"/>
  <c r="N587" i="6"/>
  <c r="M587" i="6" l="1"/>
  <c r="S587" i="6" s="1"/>
  <c r="O589" i="6"/>
  <c r="P589" i="6" s="1"/>
  <c r="N588" i="6"/>
  <c r="Q588" i="6"/>
  <c r="R588" i="6" s="1"/>
  <c r="M588" i="6" l="1"/>
  <c r="S588" i="6" s="1"/>
  <c r="Q589" i="6"/>
  <c r="R589" i="6" s="1"/>
  <c r="N589" i="6"/>
  <c r="O590" i="6"/>
  <c r="P590" i="6" s="1"/>
  <c r="M589" i="6" l="1"/>
  <c r="S589" i="6" s="1"/>
  <c r="O591" i="6"/>
  <c r="P591" i="6" s="1"/>
  <c r="Q590" i="6"/>
  <c r="R590" i="6" s="1"/>
  <c r="N590" i="6"/>
  <c r="M590" i="6" l="1"/>
  <c r="S590" i="6" s="1"/>
  <c r="O592" i="6"/>
  <c r="P592" i="6" s="1"/>
  <c r="Q591" i="6"/>
  <c r="R591" i="6" s="1"/>
  <c r="N591" i="6"/>
  <c r="M591" i="6" l="1"/>
  <c r="S591" i="6" s="1"/>
  <c r="N592" i="6"/>
  <c r="O593" i="6"/>
  <c r="P593" i="6" s="1"/>
  <c r="Q592" i="6"/>
  <c r="R592" i="6" s="1"/>
  <c r="M592" i="6" l="1"/>
  <c r="S592" i="6" s="1"/>
  <c r="N593" i="6"/>
  <c r="O594" i="6"/>
  <c r="P594" i="6" s="1"/>
  <c r="Q593" i="6"/>
  <c r="R593" i="6" s="1"/>
  <c r="M593" i="6" s="1"/>
  <c r="S593" i="6" s="1"/>
  <c r="N594" i="6" l="1"/>
  <c r="O595" i="6"/>
  <c r="P595" i="6" s="1"/>
  <c r="Q594" i="6"/>
  <c r="R594" i="6" s="1"/>
  <c r="M594" i="6" s="1"/>
  <c r="S594" i="6" s="1"/>
  <c r="Q595" i="6" l="1"/>
  <c r="R595" i="6" s="1"/>
  <c r="N595" i="6"/>
  <c r="O596" i="6"/>
  <c r="P596" i="6" s="1"/>
  <c r="M595" i="6" l="1"/>
  <c r="S595" i="6" s="1"/>
  <c r="O597" i="6"/>
  <c r="P597" i="6" s="1"/>
  <c r="N596" i="6"/>
  <c r="Q596" i="6"/>
  <c r="R596" i="6" s="1"/>
  <c r="M596" i="6" s="1"/>
  <c r="S596" i="6" s="1"/>
  <c r="O598" i="6" l="1"/>
  <c r="P598" i="6" s="1"/>
  <c r="Q597" i="6"/>
  <c r="R597" i="6" s="1"/>
  <c r="N597" i="6"/>
  <c r="M597" i="6" l="1"/>
  <c r="S597" i="6" s="1"/>
  <c r="N598" i="6"/>
  <c r="O599" i="6"/>
  <c r="P599" i="6" s="1"/>
  <c r="Q598" i="6"/>
  <c r="R598" i="6" s="1"/>
  <c r="M598" i="6" s="1"/>
  <c r="S598" i="6" s="1"/>
  <c r="N599" i="6" l="1"/>
  <c r="O600" i="6"/>
  <c r="P600" i="6" s="1"/>
  <c r="Q599" i="6"/>
  <c r="R599" i="6" s="1"/>
  <c r="M599" i="6" s="1"/>
  <c r="S599" i="6" s="1"/>
  <c r="Q600" i="6" l="1"/>
  <c r="R600" i="6" s="1"/>
  <c r="N600" i="6"/>
  <c r="O601" i="6"/>
  <c r="P601" i="6" s="1"/>
  <c r="M600" i="6" l="1"/>
  <c r="S600" i="6" s="1"/>
  <c r="N601" i="6"/>
  <c r="O602" i="6"/>
  <c r="P602" i="6" s="1"/>
  <c r="Q601" i="6"/>
  <c r="R601" i="6" s="1"/>
  <c r="M601" i="6" l="1"/>
  <c r="S601" i="6" s="1"/>
  <c r="N602" i="6"/>
  <c r="O603" i="6"/>
  <c r="P603" i="6" s="1"/>
  <c r="Q602" i="6"/>
  <c r="R602" i="6" s="1"/>
  <c r="M602" i="6" s="1"/>
  <c r="S602" i="6" s="1"/>
  <c r="N603" i="6" l="1"/>
  <c r="Q603" i="6"/>
  <c r="R603" i="6" s="1"/>
  <c r="M603" i="6" s="1"/>
  <c r="S603" i="6" s="1"/>
  <c r="O604" i="6"/>
  <c r="P604" i="6" s="1"/>
  <c r="N604" i="6" l="1"/>
  <c r="Q604" i="6"/>
  <c r="R604" i="6" s="1"/>
  <c r="O605" i="6"/>
  <c r="P605" i="6" s="1"/>
  <c r="M604" i="6" l="1"/>
  <c r="S604" i="6" s="1"/>
  <c r="O606" i="6"/>
  <c r="P606" i="6" s="1"/>
  <c r="Q605" i="6"/>
  <c r="R605" i="6" s="1"/>
  <c r="N605" i="6"/>
  <c r="M605" i="6" l="1"/>
  <c r="S605" i="6" s="1"/>
  <c r="N606" i="6"/>
  <c r="O607" i="6"/>
  <c r="P607" i="6" s="1"/>
  <c r="Q606" i="6"/>
  <c r="R606" i="6" s="1"/>
  <c r="M606" i="6" s="1"/>
  <c r="S606" i="6" s="1"/>
  <c r="N607" i="6" l="1"/>
  <c r="O608" i="6"/>
  <c r="P608" i="6" s="1"/>
  <c r="Q607" i="6"/>
  <c r="R607" i="6" s="1"/>
  <c r="M607" i="6" s="1"/>
  <c r="S607" i="6" s="1"/>
  <c r="Q608" i="6" l="1"/>
  <c r="R608" i="6" s="1"/>
  <c r="N608" i="6"/>
  <c r="O609" i="6"/>
  <c r="P609" i="6" s="1"/>
  <c r="M608" i="6" l="1"/>
  <c r="S608" i="6" s="1"/>
  <c r="N609" i="6"/>
  <c r="Q609" i="6"/>
  <c r="R609" i="6" s="1"/>
  <c r="O610" i="6"/>
  <c r="P610" i="6" s="1"/>
  <c r="M609" i="6" l="1"/>
  <c r="S609" i="6" s="1"/>
  <c r="N610" i="6"/>
  <c r="O611" i="6"/>
  <c r="P611" i="6" s="1"/>
  <c r="Q610" i="6"/>
  <c r="R610" i="6" s="1"/>
  <c r="M610" i="6" s="1"/>
  <c r="S610" i="6" s="1"/>
  <c r="N611" i="6" l="1"/>
  <c r="O612" i="6"/>
  <c r="P612" i="6" s="1"/>
  <c r="Q611" i="6"/>
  <c r="R611" i="6" s="1"/>
  <c r="M611" i="6" s="1"/>
  <c r="S611" i="6" s="1"/>
  <c r="O613" i="6" l="1"/>
  <c r="P613" i="6" s="1"/>
  <c r="N612" i="6"/>
  <c r="Q612" i="6"/>
  <c r="R612" i="6" s="1"/>
  <c r="M612" i="6" l="1"/>
  <c r="S612" i="6" s="1"/>
  <c r="N613" i="6"/>
  <c r="O614" i="6"/>
  <c r="P614" i="6" s="1"/>
  <c r="Q613" i="6"/>
  <c r="R613" i="6" s="1"/>
  <c r="M613" i="6" s="1"/>
  <c r="S613" i="6" s="1"/>
  <c r="O615" i="6" l="1"/>
  <c r="P615" i="6" s="1"/>
  <c r="Q614" i="6"/>
  <c r="R614" i="6" s="1"/>
  <c r="N614" i="6"/>
  <c r="M614" i="6" l="1"/>
  <c r="S614" i="6" s="1"/>
  <c r="N615" i="6"/>
  <c r="O616" i="6"/>
  <c r="P616" i="6" s="1"/>
  <c r="Q615" i="6"/>
  <c r="R615" i="6" s="1"/>
  <c r="M615" i="6" s="1"/>
  <c r="S615" i="6" s="1"/>
  <c r="N616" i="6" l="1"/>
  <c r="Q616" i="6"/>
  <c r="R616" i="6" s="1"/>
  <c r="O617" i="6"/>
  <c r="P617" i="6" s="1"/>
  <c r="M616" i="6" l="1"/>
  <c r="S616" i="6" s="1"/>
  <c r="O618" i="6"/>
  <c r="P618" i="6" s="1"/>
  <c r="Q617" i="6"/>
  <c r="R617" i="6" s="1"/>
  <c r="N617" i="6"/>
  <c r="M617" i="6" l="1"/>
  <c r="S617" i="6" s="1"/>
  <c r="O619" i="6"/>
  <c r="P619" i="6" s="1"/>
  <c r="N618" i="6"/>
  <c r="Q618" i="6"/>
  <c r="R618" i="6" s="1"/>
  <c r="M618" i="6" l="1"/>
  <c r="S618" i="6" s="1"/>
  <c r="N619" i="6"/>
  <c r="Q619" i="6"/>
  <c r="R619" i="6" s="1"/>
  <c r="O620" i="6"/>
  <c r="P620" i="6" s="1"/>
  <c r="M619" i="6" l="1"/>
  <c r="S619" i="6" s="1"/>
  <c r="N620" i="6"/>
  <c r="O621" i="6"/>
  <c r="P621" i="6" s="1"/>
  <c r="Q620" i="6"/>
  <c r="R620" i="6" s="1"/>
  <c r="M620" i="6" s="1"/>
  <c r="S620" i="6" s="1"/>
  <c r="N621" i="6" l="1"/>
  <c r="Q621" i="6"/>
  <c r="R621" i="6" s="1"/>
  <c r="O622" i="6"/>
  <c r="P622" i="6" s="1"/>
  <c r="M621" i="6" l="1"/>
  <c r="S621" i="6" s="1"/>
  <c r="O623" i="6"/>
  <c r="P623" i="6" s="1"/>
  <c r="Q622" i="6"/>
  <c r="R622" i="6" s="1"/>
  <c r="N622" i="6"/>
  <c r="M622" i="6" l="1"/>
  <c r="S622" i="6" s="1"/>
  <c r="Q623" i="6"/>
  <c r="R623" i="6" s="1"/>
  <c r="N623" i="6"/>
  <c r="O624" i="6"/>
  <c r="P624" i="6" s="1"/>
  <c r="M623" i="6" l="1"/>
  <c r="S623" i="6" s="1"/>
  <c r="O625" i="6"/>
  <c r="P625" i="6" s="1"/>
  <c r="N624" i="6"/>
  <c r="Q624" i="6"/>
  <c r="R624" i="6" s="1"/>
  <c r="M624" i="6" s="1"/>
  <c r="S624" i="6" s="1"/>
  <c r="N625" i="6" l="1"/>
  <c r="Q625" i="6"/>
  <c r="R625" i="6" s="1"/>
  <c r="O626" i="6"/>
  <c r="P626" i="6" s="1"/>
  <c r="M625" i="6" l="1"/>
  <c r="S625" i="6" s="1"/>
  <c r="O627" i="6"/>
  <c r="P627" i="6" s="1"/>
  <c r="N626" i="6"/>
  <c r="Q626" i="6"/>
  <c r="R626" i="6" s="1"/>
  <c r="M626" i="6" s="1"/>
  <c r="S626" i="6" s="1"/>
  <c r="Q627" i="6" l="1"/>
  <c r="R627" i="6" s="1"/>
  <c r="N627" i="6"/>
  <c r="O628" i="6"/>
  <c r="P628" i="6" s="1"/>
  <c r="M627" i="6" l="1"/>
  <c r="S627" i="6" s="1"/>
  <c r="N628" i="6"/>
  <c r="O629" i="6"/>
  <c r="P629" i="6" s="1"/>
  <c r="Q628" i="6"/>
  <c r="R628" i="6" s="1"/>
  <c r="M628" i="6" s="1"/>
  <c r="S628" i="6" s="1"/>
  <c r="N629" i="6" l="1"/>
  <c r="O630" i="6"/>
  <c r="P630" i="6" s="1"/>
  <c r="Q629" i="6"/>
  <c r="R629" i="6" s="1"/>
  <c r="M629" i="6" s="1"/>
  <c r="S629" i="6" s="1"/>
  <c r="N630" i="6" l="1"/>
  <c r="Q630" i="6"/>
  <c r="R630" i="6" s="1"/>
  <c r="M630" i="6" s="1"/>
  <c r="S630" i="6" s="1"/>
  <c r="O631" i="6"/>
  <c r="P631" i="6" s="1"/>
  <c r="N631" i="6" l="1"/>
  <c r="Q631" i="6"/>
  <c r="R631" i="6" s="1"/>
  <c r="O632" i="6"/>
  <c r="P632" i="6" s="1"/>
  <c r="M631" i="6" l="1"/>
  <c r="S631" i="6" s="1"/>
  <c r="N632" i="6"/>
  <c r="O633" i="6"/>
  <c r="P633" i="6" s="1"/>
  <c r="Q632" i="6"/>
  <c r="R632" i="6" s="1"/>
  <c r="M632" i="6" s="1"/>
  <c r="S632" i="6" s="1"/>
  <c r="O634" i="6" l="1"/>
  <c r="P634" i="6" s="1"/>
  <c r="Q633" i="6"/>
  <c r="R633" i="6" s="1"/>
  <c r="N633" i="6"/>
  <c r="M633" i="6" l="1"/>
  <c r="S633" i="6" s="1"/>
  <c r="Q634" i="6"/>
  <c r="R634" i="6" s="1"/>
  <c r="O635" i="6"/>
  <c r="P635" i="6" s="1"/>
  <c r="N634" i="6"/>
  <c r="M634" i="6" l="1"/>
  <c r="S634" i="6" s="1"/>
  <c r="O636" i="6"/>
  <c r="P636" i="6" s="1"/>
  <c r="N635" i="6"/>
  <c r="Q635" i="6"/>
  <c r="R635" i="6" s="1"/>
  <c r="M635" i="6" s="1"/>
  <c r="S635" i="6" s="1"/>
  <c r="N636" i="6" l="1"/>
  <c r="O637" i="6"/>
  <c r="P637" i="6" s="1"/>
  <c r="Q636" i="6"/>
  <c r="R636" i="6" s="1"/>
  <c r="M636" i="6" s="1"/>
  <c r="S636" i="6" s="1"/>
  <c r="N637" i="6" l="1"/>
  <c r="Q637" i="6"/>
  <c r="R637" i="6" s="1"/>
  <c r="O638" i="6"/>
  <c r="P638" i="6" s="1"/>
  <c r="M637" i="6" l="1"/>
  <c r="S637" i="6" s="1"/>
  <c r="N638" i="6"/>
  <c r="Q638" i="6"/>
  <c r="R638" i="6" s="1"/>
  <c r="M638" i="6" s="1"/>
  <c r="S638" i="6" s="1"/>
  <c r="O639" i="6"/>
  <c r="P639" i="6" s="1"/>
  <c r="N639" i="6" l="1"/>
  <c r="O640" i="6"/>
  <c r="P640" i="6" s="1"/>
  <c r="Q639" i="6"/>
  <c r="R639" i="6" s="1"/>
  <c r="M639" i="6" s="1"/>
  <c r="S639" i="6" s="1"/>
  <c r="N640" i="6" l="1"/>
  <c r="O641" i="6"/>
  <c r="P641" i="6" s="1"/>
  <c r="Q640" i="6"/>
  <c r="R640" i="6" s="1"/>
  <c r="M640" i="6" s="1"/>
  <c r="S640" i="6" s="1"/>
  <c r="N641" i="6" l="1"/>
  <c r="Q641" i="6"/>
  <c r="R641" i="6" s="1"/>
  <c r="M641" i="6" s="1"/>
  <c r="S641" i="6" s="1"/>
  <c r="O642" i="6"/>
  <c r="P642" i="6" s="1"/>
  <c r="O643" i="6" l="1"/>
  <c r="P643" i="6" s="1"/>
  <c r="Q642" i="6"/>
  <c r="R642" i="6" s="1"/>
  <c r="N642" i="6"/>
  <c r="M642" i="6" l="1"/>
  <c r="S642" i="6" s="1"/>
  <c r="N643" i="6"/>
  <c r="O644" i="6"/>
  <c r="P644" i="6" s="1"/>
  <c r="Q643" i="6"/>
  <c r="R643" i="6" s="1"/>
  <c r="M643" i="6" s="1"/>
  <c r="S643" i="6" s="1"/>
  <c r="N644" i="6" l="1"/>
  <c r="O645" i="6"/>
  <c r="P645" i="6" s="1"/>
  <c r="Q644" i="6"/>
  <c r="R644" i="6" s="1"/>
  <c r="M644" i="6" s="1"/>
  <c r="S644" i="6" s="1"/>
  <c r="N645" i="6" l="1"/>
  <c r="Q645" i="6"/>
  <c r="R645" i="6" s="1"/>
  <c r="O646" i="6"/>
  <c r="P646" i="6" s="1"/>
  <c r="M645" i="6" l="1"/>
  <c r="S645" i="6" s="1"/>
  <c r="N646" i="6"/>
  <c r="Q646" i="6"/>
  <c r="R646" i="6" s="1"/>
  <c r="M646" i="6" s="1"/>
  <c r="S646" i="6" s="1"/>
  <c r="O647" i="6"/>
  <c r="P647" i="6" s="1"/>
  <c r="Q647" i="6" l="1"/>
  <c r="R647" i="6" s="1"/>
  <c r="M647" i="6" s="1"/>
  <c r="S647" i="6" s="1"/>
  <c r="N647" i="6"/>
  <c r="O648" i="6"/>
  <c r="P648" i="6" s="1"/>
  <c r="N648" i="6" l="1"/>
  <c r="Q648" i="6"/>
  <c r="R648" i="6" s="1"/>
  <c r="O649" i="6"/>
  <c r="P649" i="6" s="1"/>
  <c r="M648" i="6" l="1"/>
  <c r="S648" i="6" s="1"/>
  <c r="O650" i="6"/>
  <c r="P650" i="6" s="1"/>
  <c r="Q649" i="6"/>
  <c r="R649" i="6" s="1"/>
  <c r="N649" i="6"/>
  <c r="M649" i="6" l="1"/>
  <c r="S649" i="6" s="1"/>
  <c r="O651" i="6"/>
  <c r="P651" i="6" s="1"/>
  <c r="N650" i="6"/>
  <c r="Q650" i="6"/>
  <c r="R650" i="6" s="1"/>
  <c r="M650" i="6" l="1"/>
  <c r="S650" i="6" s="1"/>
  <c r="N651" i="6"/>
  <c r="O652" i="6"/>
  <c r="P652" i="6" s="1"/>
  <c r="Q651" i="6"/>
  <c r="R651" i="6" s="1"/>
  <c r="M651" i="6" s="1"/>
  <c r="S651" i="6" s="1"/>
  <c r="N652" i="6" l="1"/>
  <c r="Q652" i="6"/>
  <c r="R652" i="6" s="1"/>
  <c r="O653" i="6"/>
  <c r="P653" i="6" s="1"/>
  <c r="M652" i="6" l="1"/>
  <c r="S652" i="6" s="1"/>
  <c r="N653" i="6"/>
  <c r="Q653" i="6"/>
  <c r="R653" i="6" s="1"/>
  <c r="O654" i="6"/>
  <c r="P654" i="6" s="1"/>
  <c r="M653" i="6" l="1"/>
  <c r="S653" i="6" s="1"/>
  <c r="N654" i="6"/>
  <c r="O655" i="6"/>
  <c r="P655" i="6" s="1"/>
  <c r="Q654" i="6"/>
  <c r="R654" i="6" s="1"/>
  <c r="M654" i="6" s="1"/>
  <c r="S654" i="6" s="1"/>
  <c r="O656" i="6" l="1"/>
  <c r="P656" i="6" s="1"/>
  <c r="Q655" i="6"/>
  <c r="R655" i="6" s="1"/>
  <c r="N655" i="6"/>
  <c r="M655" i="6" l="1"/>
  <c r="S655" i="6" s="1"/>
  <c r="N656" i="6"/>
  <c r="O657" i="6"/>
  <c r="P657" i="6" s="1"/>
  <c r="Q656" i="6"/>
  <c r="R656" i="6" s="1"/>
  <c r="M656" i="6" s="1"/>
  <c r="S656" i="6" s="1"/>
  <c r="N657" i="6" l="1"/>
  <c r="Q657" i="6"/>
  <c r="R657" i="6" s="1"/>
  <c r="M657" i="6" s="1"/>
  <c r="S657" i="6" s="1"/>
  <c r="O658" i="6"/>
  <c r="P658" i="6" s="1"/>
  <c r="N658" i="6" l="1"/>
  <c r="O659" i="6"/>
  <c r="P659" i="6" s="1"/>
  <c r="Q658" i="6"/>
  <c r="R658" i="6" s="1"/>
  <c r="M658" i="6" s="1"/>
  <c r="S658" i="6" s="1"/>
  <c r="E3" i="5"/>
  <c r="B6" i="5"/>
  <c r="B128" i="3"/>
  <c r="B86" i="3"/>
  <c r="B87" i="3" s="1"/>
  <c r="B88" i="3" s="1"/>
  <c r="B89" i="3" s="1"/>
  <c r="B90" i="3" s="1"/>
  <c r="B91" i="3" s="1"/>
  <c r="B92" i="3" s="1"/>
  <c r="B93" i="3" s="1"/>
  <c r="B65" i="3"/>
  <c r="B66" i="3" s="1"/>
  <c r="B67" i="3" s="1"/>
  <c r="B68" i="3" s="1"/>
  <c r="B69" i="3" s="1"/>
  <c r="B70" i="3" s="1"/>
  <c r="B71" i="3" s="1"/>
  <c r="B72" i="3" s="1"/>
  <c r="B78" i="3" l="1"/>
  <c r="U49" i="7" s="1"/>
  <c r="A75" i="3"/>
  <c r="A74" i="3"/>
  <c r="F306" i="3"/>
  <c r="X49" i="7"/>
  <c r="B307" i="3"/>
  <c r="U50" i="7"/>
  <c r="Q659" i="6"/>
  <c r="R659" i="6" s="1"/>
  <c r="N659" i="6"/>
  <c r="O660" i="6"/>
  <c r="P660" i="6" s="1"/>
  <c r="E4" i="5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C185" i="6" s="1"/>
  <c r="B187" i="6"/>
  <c r="C186" i="6" s="1"/>
  <c r="B188" i="6"/>
  <c r="C187" i="6" s="1"/>
  <c r="B189" i="6"/>
  <c r="C188" i="6" s="1"/>
  <c r="B190" i="6"/>
  <c r="C189" i="6" s="1"/>
  <c r="B191" i="6"/>
  <c r="C190" i="6" s="1"/>
  <c r="B192" i="6"/>
  <c r="C191" i="6" s="1"/>
  <c r="B193" i="6"/>
  <c r="C192" i="6" s="1"/>
  <c r="B194" i="6"/>
  <c r="C193" i="6" s="1"/>
  <c r="B195" i="6"/>
  <c r="C194" i="6" s="1"/>
  <c r="B196" i="6"/>
  <c r="C195" i="6" s="1"/>
  <c r="B197" i="6"/>
  <c r="C196" i="6" s="1"/>
  <c r="B198" i="6"/>
  <c r="C197" i="6" s="1"/>
  <c r="B199" i="6"/>
  <c r="C198" i="6" s="1"/>
  <c r="B200" i="6"/>
  <c r="C199" i="6" s="1"/>
  <c r="B201" i="6"/>
  <c r="C200" i="6" s="1"/>
  <c r="B202" i="6"/>
  <c r="C201" i="6" s="1"/>
  <c r="B203" i="6"/>
  <c r="C202" i="6" s="1"/>
  <c r="B204" i="6"/>
  <c r="C203" i="6" s="1"/>
  <c r="B205" i="6"/>
  <c r="C204" i="6" s="1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C364" i="6" s="1"/>
  <c r="B366" i="6"/>
  <c r="C365" i="6" s="1"/>
  <c r="B367" i="6"/>
  <c r="C366" i="6" s="1"/>
  <c r="B368" i="6"/>
  <c r="C367" i="6" s="1"/>
  <c r="B369" i="6"/>
  <c r="C368" i="6" s="1"/>
  <c r="B370" i="6"/>
  <c r="C369" i="6" s="1"/>
  <c r="B371" i="6"/>
  <c r="C370" i="6" s="1"/>
  <c r="B372" i="6"/>
  <c r="C371" i="6" s="1"/>
  <c r="B373" i="6"/>
  <c r="C372" i="6" s="1"/>
  <c r="B374" i="6"/>
  <c r="C373" i="6" s="1"/>
  <c r="B375" i="6"/>
  <c r="C374" i="6" s="1"/>
  <c r="B376" i="6"/>
  <c r="C375" i="6" s="1"/>
  <c r="B377" i="6"/>
  <c r="C376" i="6" s="1"/>
  <c r="B378" i="6"/>
  <c r="C377" i="6" s="1"/>
  <c r="B379" i="6"/>
  <c r="C378" i="6" s="1"/>
  <c r="B380" i="6"/>
  <c r="C379" i="6" s="1"/>
  <c r="B381" i="6"/>
  <c r="C380" i="6" s="1"/>
  <c r="B382" i="6"/>
  <c r="C381" i="6" s="1"/>
  <c r="B383" i="6"/>
  <c r="C382" i="6" s="1"/>
  <c r="B384" i="6"/>
  <c r="C383" i="6" s="1"/>
  <c r="B385" i="6"/>
  <c r="C384" i="6" s="1"/>
  <c r="B386" i="6"/>
  <c r="C385" i="6" s="1"/>
  <c r="B387" i="6"/>
  <c r="C386" i="6" s="1"/>
  <c r="B388" i="6"/>
  <c r="C387" i="6" s="1"/>
  <c r="B389" i="6"/>
  <c r="C388" i="6" s="1"/>
  <c r="B390" i="6"/>
  <c r="C389" i="6" s="1"/>
  <c r="B391" i="6"/>
  <c r="C390" i="6" s="1"/>
  <c r="B392" i="6"/>
  <c r="C391" i="6" s="1"/>
  <c r="B393" i="6"/>
  <c r="C392" i="6" s="1"/>
  <c r="B395" i="6"/>
  <c r="C394" i="6" s="1"/>
  <c r="B394" i="6"/>
  <c r="C393" i="6" s="1"/>
  <c r="B396" i="6"/>
  <c r="C395" i="6" s="1"/>
  <c r="B397" i="6"/>
  <c r="C396" i="6" s="1"/>
  <c r="B398" i="6"/>
  <c r="C397" i="6" s="1"/>
  <c r="B399" i="6"/>
  <c r="C398" i="6" s="1"/>
  <c r="B400" i="6"/>
  <c r="C399" i="6" s="1"/>
  <c r="B401" i="6"/>
  <c r="C400" i="6" s="1"/>
  <c r="B402" i="6"/>
  <c r="C401" i="6" s="1"/>
  <c r="B403" i="6"/>
  <c r="C402" i="6" s="1"/>
  <c r="B404" i="6"/>
  <c r="C403" i="6" s="1"/>
  <c r="B405" i="6"/>
  <c r="C404" i="6" s="1"/>
  <c r="B406" i="6"/>
  <c r="C405" i="6" s="1"/>
  <c r="B407" i="6"/>
  <c r="C406" i="6" s="1"/>
  <c r="B408" i="6"/>
  <c r="C407" i="6" s="1"/>
  <c r="B409" i="6"/>
  <c r="C408" i="6" s="1"/>
  <c r="B410" i="6"/>
  <c r="C409" i="6" s="1"/>
  <c r="B411" i="6"/>
  <c r="C410" i="6" s="1"/>
  <c r="B412" i="6"/>
  <c r="C411" i="6" s="1"/>
  <c r="B413" i="6"/>
  <c r="C412" i="6" s="1"/>
  <c r="B414" i="6"/>
  <c r="C413" i="6" s="1"/>
  <c r="B415" i="6"/>
  <c r="C414" i="6" s="1"/>
  <c r="B416" i="6"/>
  <c r="C415" i="6" s="1"/>
  <c r="B417" i="6"/>
  <c r="C416" i="6" s="1"/>
  <c r="B418" i="6"/>
  <c r="C417" i="6" s="1"/>
  <c r="B419" i="6"/>
  <c r="C418" i="6" s="1"/>
  <c r="B420" i="6"/>
  <c r="C419" i="6" s="1"/>
  <c r="B421" i="6"/>
  <c r="C420" i="6" s="1"/>
  <c r="B422" i="6"/>
  <c r="C421" i="6" s="1"/>
  <c r="B423" i="6"/>
  <c r="C422" i="6" s="1"/>
  <c r="A134" i="3"/>
  <c r="B130" i="3"/>
  <c r="B99" i="3"/>
  <c r="B4" i="5"/>
  <c r="B5" i="5"/>
  <c r="A132" i="3"/>
  <c r="E308" i="3" l="1"/>
  <c r="A13" i="5"/>
  <c r="AP8" i="6"/>
  <c r="D16" i="3"/>
  <c r="AS8" i="6" s="1"/>
  <c r="B199" i="3" s="1"/>
  <c r="AI5" i="3"/>
  <c r="W51" i="7"/>
  <c r="B306" i="3"/>
  <c r="C149" i="6"/>
  <c r="C132" i="6"/>
  <c r="C131" i="6"/>
  <c r="C130" i="6"/>
  <c r="C177" i="6"/>
  <c r="C169" i="6"/>
  <c r="C161" i="6"/>
  <c r="C153" i="6"/>
  <c r="C145" i="6"/>
  <c r="C137" i="6"/>
  <c r="C129" i="6"/>
  <c r="C173" i="6"/>
  <c r="C141" i="6"/>
  <c r="C180" i="6"/>
  <c r="C148" i="6"/>
  <c r="C163" i="6"/>
  <c r="C147" i="6"/>
  <c r="C170" i="6"/>
  <c r="C184" i="6"/>
  <c r="C176" i="6"/>
  <c r="C168" i="6"/>
  <c r="C160" i="6"/>
  <c r="C152" i="6"/>
  <c r="C144" i="6"/>
  <c r="C136" i="6"/>
  <c r="C128" i="6"/>
  <c r="C165" i="6"/>
  <c r="C133" i="6"/>
  <c r="C172" i="6"/>
  <c r="C156" i="6"/>
  <c r="C171" i="6"/>
  <c r="C155" i="6"/>
  <c r="C178" i="6"/>
  <c r="C162" i="6"/>
  <c r="C154" i="6"/>
  <c r="C146" i="6"/>
  <c r="C183" i="6"/>
  <c r="C175" i="6"/>
  <c r="C167" i="6"/>
  <c r="C159" i="6"/>
  <c r="C151" i="6"/>
  <c r="C143" i="6"/>
  <c r="C135" i="6"/>
  <c r="C127" i="6"/>
  <c r="C181" i="6"/>
  <c r="C157" i="6"/>
  <c r="C125" i="6"/>
  <c r="C164" i="6"/>
  <c r="C140" i="6"/>
  <c r="C179" i="6"/>
  <c r="C139" i="6"/>
  <c r="C138" i="6"/>
  <c r="C182" i="6"/>
  <c r="C174" i="6"/>
  <c r="C166" i="6"/>
  <c r="C158" i="6"/>
  <c r="C150" i="6"/>
  <c r="C142" i="6"/>
  <c r="C134" i="6"/>
  <c r="C126" i="6"/>
  <c r="Q660" i="6"/>
  <c r="R660" i="6" s="1"/>
  <c r="F307" i="3"/>
  <c r="X50" i="7"/>
  <c r="N660" i="6"/>
  <c r="M659" i="6"/>
  <c r="S659" i="6" s="1"/>
  <c r="O661" i="6"/>
  <c r="P661" i="6" s="1"/>
  <c r="E5" i="5"/>
  <c r="C335" i="6"/>
  <c r="C303" i="6"/>
  <c r="C279" i="6"/>
  <c r="C247" i="6"/>
  <c r="C215" i="6"/>
  <c r="C358" i="6"/>
  <c r="C350" i="6"/>
  <c r="C342" i="6"/>
  <c r="C334" i="6"/>
  <c r="C326" i="6"/>
  <c r="C318" i="6"/>
  <c r="C310" i="6"/>
  <c r="C302" i="6"/>
  <c r="C294" i="6"/>
  <c r="C286" i="6"/>
  <c r="C278" i="6"/>
  <c r="C270" i="6"/>
  <c r="C262" i="6"/>
  <c r="C254" i="6"/>
  <c r="C246" i="6"/>
  <c r="C238" i="6"/>
  <c r="C230" i="6"/>
  <c r="C222" i="6"/>
  <c r="C214" i="6"/>
  <c r="C206" i="6"/>
  <c r="C357" i="6"/>
  <c r="C349" i="6"/>
  <c r="C341" i="6"/>
  <c r="C333" i="6"/>
  <c r="C325" i="6"/>
  <c r="C317" i="6"/>
  <c r="C309" i="6"/>
  <c r="C301" i="6"/>
  <c r="C293" i="6"/>
  <c r="C285" i="6"/>
  <c r="C277" i="6"/>
  <c r="C269" i="6"/>
  <c r="C261" i="6"/>
  <c r="C253" i="6"/>
  <c r="C245" i="6"/>
  <c r="C237" i="6"/>
  <c r="C229" i="6"/>
  <c r="C221" i="6"/>
  <c r="C213" i="6"/>
  <c r="C205" i="6"/>
  <c r="C327" i="6"/>
  <c r="C287" i="6"/>
  <c r="C239" i="6"/>
  <c r="C340" i="6"/>
  <c r="C308" i="6"/>
  <c r="C276" i="6"/>
  <c r="C244" i="6"/>
  <c r="C212" i="6"/>
  <c r="C363" i="6"/>
  <c r="C355" i="6"/>
  <c r="C347" i="6"/>
  <c r="C339" i="6"/>
  <c r="C331" i="6"/>
  <c r="C323" i="6"/>
  <c r="C315" i="6"/>
  <c r="C307" i="6"/>
  <c r="C299" i="6"/>
  <c r="C291" i="6"/>
  <c r="C283" i="6"/>
  <c r="C275" i="6"/>
  <c r="C267" i="6"/>
  <c r="C259" i="6"/>
  <c r="C251" i="6"/>
  <c r="C243" i="6"/>
  <c r="C235" i="6"/>
  <c r="C227" i="6"/>
  <c r="C219" i="6"/>
  <c r="C211" i="6"/>
  <c r="C351" i="6"/>
  <c r="C311" i="6"/>
  <c r="C263" i="6"/>
  <c r="C223" i="6"/>
  <c r="C356" i="6"/>
  <c r="C332" i="6"/>
  <c r="C300" i="6"/>
  <c r="C260" i="6"/>
  <c r="C228" i="6"/>
  <c r="C362" i="6"/>
  <c r="C354" i="6"/>
  <c r="C346" i="6"/>
  <c r="C338" i="6"/>
  <c r="C330" i="6"/>
  <c r="C322" i="6"/>
  <c r="C314" i="6"/>
  <c r="C306" i="6"/>
  <c r="C298" i="6"/>
  <c r="C290" i="6"/>
  <c r="C282" i="6"/>
  <c r="C274" i="6"/>
  <c r="C266" i="6"/>
  <c r="C258" i="6"/>
  <c r="C250" i="6"/>
  <c r="C242" i="6"/>
  <c r="C234" i="6"/>
  <c r="C226" i="6"/>
  <c r="C218" i="6"/>
  <c r="C210" i="6"/>
  <c r="C359" i="6"/>
  <c r="C319" i="6"/>
  <c r="C271" i="6"/>
  <c r="C231" i="6"/>
  <c r="C324" i="6"/>
  <c r="C292" i="6"/>
  <c r="C268" i="6"/>
  <c r="C236" i="6"/>
  <c r="C361" i="6"/>
  <c r="C353" i="6"/>
  <c r="C345" i="6"/>
  <c r="C337" i="6"/>
  <c r="C329" i="6"/>
  <c r="C321" i="6"/>
  <c r="C313" i="6"/>
  <c r="C305" i="6"/>
  <c r="C297" i="6"/>
  <c r="C289" i="6"/>
  <c r="C281" i="6"/>
  <c r="C273" i="6"/>
  <c r="C265" i="6"/>
  <c r="C257" i="6"/>
  <c r="C249" i="6"/>
  <c r="C241" i="6"/>
  <c r="C233" i="6"/>
  <c r="C225" i="6"/>
  <c r="C217" i="6"/>
  <c r="C209" i="6"/>
  <c r="C343" i="6"/>
  <c r="C295" i="6"/>
  <c r="C255" i="6"/>
  <c r="C207" i="6"/>
  <c r="C348" i="6"/>
  <c r="C316" i="6"/>
  <c r="C284" i="6"/>
  <c r="C252" i="6"/>
  <c r="C220" i="6"/>
  <c r="C360" i="6"/>
  <c r="C352" i="6"/>
  <c r="C344" i="6"/>
  <c r="C336" i="6"/>
  <c r="C328" i="6"/>
  <c r="C320" i="6"/>
  <c r="C312" i="6"/>
  <c r="C304" i="6"/>
  <c r="C296" i="6"/>
  <c r="C288" i="6"/>
  <c r="C280" i="6"/>
  <c r="C272" i="6"/>
  <c r="C264" i="6"/>
  <c r="C256" i="6"/>
  <c r="C248" i="6"/>
  <c r="C240" i="6"/>
  <c r="C232" i="6"/>
  <c r="C224" i="6"/>
  <c r="C216" i="6"/>
  <c r="C208" i="6"/>
  <c r="A14" i="5"/>
  <c r="B3" i="5"/>
  <c r="B105" i="3"/>
  <c r="B132" i="3"/>
  <c r="F46" i="3" l="1"/>
  <c r="C61" i="7"/>
  <c r="X54" i="7"/>
  <c r="C199" i="3"/>
  <c r="M660" i="6"/>
  <c r="S660" i="6" s="1"/>
  <c r="Q661" i="6"/>
  <c r="R661" i="6" s="1"/>
  <c r="B308" i="3"/>
  <c r="U51" i="7"/>
  <c r="N661" i="6"/>
  <c r="O662" i="6"/>
  <c r="P662" i="6" s="1"/>
  <c r="F311" i="3"/>
  <c r="H4" i="5"/>
  <c r="D12" i="5" s="1"/>
  <c r="F12" i="5" s="1"/>
  <c r="B134" i="3"/>
  <c r="A15" i="5"/>
  <c r="B7" i="5"/>
  <c r="B110" i="3"/>
  <c r="F308" i="3" l="1"/>
  <c r="X51" i="7"/>
  <c r="B309" i="3"/>
  <c r="U52" i="7"/>
  <c r="M661" i="6"/>
  <c r="S661" i="6" s="1"/>
  <c r="Q662" i="6"/>
  <c r="R662" i="6" s="1"/>
  <c r="N662" i="6"/>
  <c r="O663" i="6"/>
  <c r="P663" i="6" s="1"/>
  <c r="D14" i="5"/>
  <c r="F14" i="5" s="1"/>
  <c r="D13" i="5"/>
  <c r="F13" i="5" s="1"/>
  <c r="B136" i="3"/>
  <c r="B115" i="3"/>
  <c r="H5" i="5"/>
  <c r="E15" i="5" s="1"/>
  <c r="G15" i="5" s="1"/>
  <c r="H15" i="5" s="1"/>
  <c r="I15" i="5" s="1"/>
  <c r="A16" i="5"/>
  <c r="D15" i="5"/>
  <c r="F15" i="5" s="1"/>
  <c r="F309" i="3" l="1"/>
  <c r="X52" i="7"/>
  <c r="B310" i="3"/>
  <c r="U53" i="7"/>
  <c r="O664" i="6"/>
  <c r="P664" i="6" s="1"/>
  <c r="M662" i="6"/>
  <c r="S662" i="6" s="1"/>
  <c r="Q663" i="6"/>
  <c r="R663" i="6" s="1"/>
  <c r="N663" i="6"/>
  <c r="B142" i="3"/>
  <c r="B122" i="3"/>
  <c r="U54" i="7" s="1"/>
  <c r="A17" i="5"/>
  <c r="D16" i="5"/>
  <c r="F16" i="5" s="1"/>
  <c r="E16" i="5"/>
  <c r="G16" i="5" s="1"/>
  <c r="H16" i="5" s="1"/>
  <c r="I16" i="5" s="1"/>
  <c r="E12" i="5"/>
  <c r="G12" i="5" s="1"/>
  <c r="H12" i="5" s="1"/>
  <c r="I12" i="5" s="1"/>
  <c r="E13" i="5"/>
  <c r="G13" i="5" s="1"/>
  <c r="H13" i="5" s="1"/>
  <c r="I13" i="5" s="1"/>
  <c r="E14" i="5"/>
  <c r="G14" i="5" s="1"/>
  <c r="H14" i="5" s="1"/>
  <c r="I14" i="5" s="1"/>
  <c r="F310" i="3" l="1"/>
  <c r="X53" i="7"/>
  <c r="O665" i="6"/>
  <c r="P665" i="6" s="1"/>
  <c r="N664" i="6"/>
  <c r="Q664" i="6"/>
  <c r="R664" i="6" s="1"/>
  <c r="M664" i="6" s="1"/>
  <c r="S664" i="6" s="1"/>
  <c r="M663" i="6"/>
  <c r="S663" i="6" s="1"/>
  <c r="AI4" i="3"/>
  <c r="G34" i="3" s="1"/>
  <c r="B311" i="3"/>
  <c r="E6" i="5"/>
  <c r="B17" i="5" s="1"/>
  <c r="B10" i="6" s="1"/>
  <c r="C9" i="6" s="1"/>
  <c r="AP5" i="6"/>
  <c r="AI3" i="3" s="1"/>
  <c r="E7" i="5"/>
  <c r="A18" i="5"/>
  <c r="D17" i="5"/>
  <c r="F17" i="5" s="1"/>
  <c r="E17" i="5"/>
  <c r="G17" i="5" s="1"/>
  <c r="H17" i="5" s="1"/>
  <c r="I17" i="5" s="1"/>
  <c r="J17" i="5" l="1"/>
  <c r="Q665" i="6"/>
  <c r="R665" i="6" s="1"/>
  <c r="O666" i="6"/>
  <c r="P666" i="6" s="1"/>
  <c r="N665" i="6"/>
  <c r="AK10" i="6"/>
  <c r="B14" i="5"/>
  <c r="B13" i="5"/>
  <c r="B12" i="5"/>
  <c r="J12" i="5" s="1"/>
  <c r="B16" i="5"/>
  <c r="B15" i="5"/>
  <c r="A19" i="5"/>
  <c r="E18" i="5"/>
  <c r="G18" i="5" s="1"/>
  <c r="H18" i="5" s="1"/>
  <c r="I18" i="5" s="1"/>
  <c r="D18" i="5"/>
  <c r="F18" i="5" s="1"/>
  <c r="B18" i="5"/>
  <c r="B11" i="6" s="1"/>
  <c r="C10" i="6" s="1"/>
  <c r="J18" i="5" l="1"/>
  <c r="B6" i="6"/>
  <c r="AK6" i="6" s="1"/>
  <c r="J13" i="5"/>
  <c r="B7" i="6"/>
  <c r="AK7" i="6" s="1"/>
  <c r="J14" i="5"/>
  <c r="B8" i="6"/>
  <c r="C7" i="6" s="1"/>
  <c r="J15" i="5"/>
  <c r="B9" i="6"/>
  <c r="AK9" i="6" s="1"/>
  <c r="J16" i="5"/>
  <c r="M665" i="6"/>
  <c r="S665" i="6" s="1"/>
  <c r="O667" i="6"/>
  <c r="P667" i="6" s="1"/>
  <c r="N666" i="6"/>
  <c r="Q666" i="6"/>
  <c r="R666" i="6" s="1"/>
  <c r="AK11" i="6"/>
  <c r="B5" i="6"/>
  <c r="C13" i="5"/>
  <c r="C14" i="5" s="1"/>
  <c r="C15" i="5" s="1"/>
  <c r="C16" i="5" s="1"/>
  <c r="C17" i="5" s="1"/>
  <c r="C18" i="5" s="1"/>
  <c r="A20" i="5"/>
  <c r="E19" i="5"/>
  <c r="G19" i="5" s="1"/>
  <c r="H19" i="5" s="1"/>
  <c r="I19" i="5" s="1"/>
  <c r="D19" i="5"/>
  <c r="F19" i="5" s="1"/>
  <c r="B19" i="5"/>
  <c r="B12" i="6" s="1"/>
  <c r="C11" i="6" s="1"/>
  <c r="C6" i="6" l="1"/>
  <c r="AK8" i="6"/>
  <c r="J19" i="5"/>
  <c r="C5" i="6"/>
  <c r="C8" i="6"/>
  <c r="M666" i="6"/>
  <c r="S666" i="6" s="1"/>
  <c r="N667" i="6"/>
  <c r="O668" i="6"/>
  <c r="P668" i="6" s="1"/>
  <c r="Q667" i="6"/>
  <c r="R667" i="6" s="1"/>
  <c r="AK12" i="6"/>
  <c r="AD6" i="6"/>
  <c r="AD7" i="6" s="1"/>
  <c r="AD8" i="6" s="1"/>
  <c r="AD9" i="6" s="1"/>
  <c r="AD10" i="6" s="1"/>
  <c r="AD11" i="6" s="1"/>
  <c r="AD12" i="6" s="1"/>
  <c r="AK5" i="6"/>
  <c r="A21" i="5"/>
  <c r="D20" i="5"/>
  <c r="F20" i="5" s="1"/>
  <c r="E20" i="5"/>
  <c r="G20" i="5" s="1"/>
  <c r="H20" i="5" s="1"/>
  <c r="I20" i="5" s="1"/>
  <c r="C19" i="5"/>
  <c r="B20" i="5"/>
  <c r="B13" i="6" s="1"/>
  <c r="C12" i="6" s="1"/>
  <c r="M667" i="6" l="1"/>
  <c r="S667" i="6" s="1"/>
  <c r="J20" i="5"/>
  <c r="Q668" i="6"/>
  <c r="R668" i="6" s="1"/>
  <c r="N668" i="6"/>
  <c r="O669" i="6"/>
  <c r="P669" i="6" s="1"/>
  <c r="AK13" i="6"/>
  <c r="AD13" i="6"/>
  <c r="C20" i="5"/>
  <c r="A22" i="5"/>
  <c r="E21" i="5"/>
  <c r="G21" i="5" s="1"/>
  <c r="H21" i="5" s="1"/>
  <c r="I21" i="5" s="1"/>
  <c r="D21" i="5"/>
  <c r="F21" i="5" s="1"/>
  <c r="B21" i="5"/>
  <c r="B14" i="6" s="1"/>
  <c r="C13" i="6" s="1"/>
  <c r="J21" i="5" l="1"/>
  <c r="M668" i="6"/>
  <c r="S668" i="6" s="1"/>
  <c r="O670" i="6"/>
  <c r="P670" i="6" s="1"/>
  <c r="N669" i="6"/>
  <c r="Q669" i="6"/>
  <c r="R669" i="6" s="1"/>
  <c r="AK14" i="6"/>
  <c r="AD14" i="6"/>
  <c r="A23" i="5"/>
  <c r="E22" i="5"/>
  <c r="G22" i="5" s="1"/>
  <c r="H22" i="5" s="1"/>
  <c r="I22" i="5" s="1"/>
  <c r="D22" i="5"/>
  <c r="F22" i="5" s="1"/>
  <c r="C21" i="5"/>
  <c r="B22" i="5"/>
  <c r="B15" i="6" s="1"/>
  <c r="C14" i="6" s="1"/>
  <c r="M669" i="6" l="1"/>
  <c r="S669" i="6" s="1"/>
  <c r="J22" i="5"/>
  <c r="O671" i="6"/>
  <c r="P671" i="6" s="1"/>
  <c r="N670" i="6"/>
  <c r="Q670" i="6"/>
  <c r="R670" i="6" s="1"/>
  <c r="AK15" i="6"/>
  <c r="AD15" i="6"/>
  <c r="C22" i="5"/>
  <c r="A24" i="5"/>
  <c r="E23" i="5"/>
  <c r="G23" i="5" s="1"/>
  <c r="H23" i="5" s="1"/>
  <c r="I23" i="5" s="1"/>
  <c r="D23" i="5"/>
  <c r="F23" i="5" s="1"/>
  <c r="B23" i="5"/>
  <c r="B16" i="6" s="1"/>
  <c r="C15" i="6" s="1"/>
  <c r="J23" i="5" l="1"/>
  <c r="M670" i="6"/>
  <c r="S670" i="6" s="1"/>
  <c r="O672" i="6"/>
  <c r="P672" i="6" s="1"/>
  <c r="N671" i="6"/>
  <c r="Q671" i="6"/>
  <c r="R671" i="6" s="1"/>
  <c r="M671" i="6" s="1"/>
  <c r="S671" i="6" s="1"/>
  <c r="AK16" i="6"/>
  <c r="AD16" i="6"/>
  <c r="A25" i="5"/>
  <c r="E24" i="5"/>
  <c r="G24" i="5" s="1"/>
  <c r="H24" i="5" s="1"/>
  <c r="I24" i="5" s="1"/>
  <c r="D24" i="5"/>
  <c r="F24" i="5" s="1"/>
  <c r="C23" i="5"/>
  <c r="B24" i="5"/>
  <c r="B17" i="6" s="1"/>
  <c r="C16" i="6" s="1"/>
  <c r="J24" i="5" l="1"/>
  <c r="O673" i="6"/>
  <c r="P673" i="6" s="1"/>
  <c r="N672" i="6"/>
  <c r="Q672" i="6"/>
  <c r="R672" i="6" s="1"/>
  <c r="AK17" i="6"/>
  <c r="AD17" i="6"/>
  <c r="C24" i="5"/>
  <c r="A26" i="5"/>
  <c r="D25" i="5"/>
  <c r="F25" i="5" s="1"/>
  <c r="E25" i="5"/>
  <c r="G25" i="5" s="1"/>
  <c r="H25" i="5" s="1"/>
  <c r="I25" i="5" s="1"/>
  <c r="B25" i="5"/>
  <c r="B18" i="6" s="1"/>
  <c r="C17" i="6" s="1"/>
  <c r="J25" i="5" l="1"/>
  <c r="M672" i="6"/>
  <c r="S672" i="6" s="1"/>
  <c r="O674" i="6"/>
  <c r="P674" i="6" s="1"/>
  <c r="Q673" i="6"/>
  <c r="R673" i="6" s="1"/>
  <c r="N673" i="6"/>
  <c r="AK18" i="6"/>
  <c r="AD18" i="6"/>
  <c r="A27" i="5"/>
  <c r="E26" i="5"/>
  <c r="G26" i="5" s="1"/>
  <c r="H26" i="5" s="1"/>
  <c r="I26" i="5" s="1"/>
  <c r="D26" i="5"/>
  <c r="F26" i="5" s="1"/>
  <c r="C25" i="5"/>
  <c r="B26" i="5"/>
  <c r="B19" i="6" s="1"/>
  <c r="C18" i="6" s="1"/>
  <c r="J26" i="5" l="1"/>
  <c r="M673" i="6"/>
  <c r="S673" i="6" s="1"/>
  <c r="N674" i="6"/>
  <c r="O675" i="6"/>
  <c r="P675" i="6" s="1"/>
  <c r="Q674" i="6"/>
  <c r="R674" i="6" s="1"/>
  <c r="AK19" i="6"/>
  <c r="AD19" i="6"/>
  <c r="C26" i="5"/>
  <c r="A28" i="5"/>
  <c r="E27" i="5"/>
  <c r="G27" i="5" s="1"/>
  <c r="H27" i="5" s="1"/>
  <c r="I27" i="5" s="1"/>
  <c r="D27" i="5"/>
  <c r="F27" i="5" s="1"/>
  <c r="B27" i="5"/>
  <c r="B20" i="6" s="1"/>
  <c r="C19" i="6" s="1"/>
  <c r="J27" i="5" l="1"/>
  <c r="M674" i="6"/>
  <c r="S674" i="6" s="1"/>
  <c r="N675" i="6"/>
  <c r="Q675" i="6"/>
  <c r="R675" i="6" s="1"/>
  <c r="M675" i="6" s="1"/>
  <c r="S675" i="6" s="1"/>
  <c r="O676" i="6"/>
  <c r="P676" i="6" s="1"/>
  <c r="AK20" i="6"/>
  <c r="AD20" i="6"/>
  <c r="A29" i="5"/>
  <c r="D28" i="5"/>
  <c r="F28" i="5" s="1"/>
  <c r="E28" i="5"/>
  <c r="G28" i="5" s="1"/>
  <c r="H28" i="5" s="1"/>
  <c r="I28" i="5" s="1"/>
  <c r="C27" i="5"/>
  <c r="B28" i="5"/>
  <c r="B21" i="6" s="1"/>
  <c r="C20" i="6" s="1"/>
  <c r="J28" i="5" l="1"/>
  <c r="O677" i="6"/>
  <c r="P677" i="6" s="1"/>
  <c r="Q676" i="6"/>
  <c r="R676" i="6" s="1"/>
  <c r="N676" i="6"/>
  <c r="AK21" i="6"/>
  <c r="AD21" i="6"/>
  <c r="C28" i="5"/>
  <c r="A30" i="5"/>
  <c r="E29" i="5"/>
  <c r="G29" i="5" s="1"/>
  <c r="H29" i="5" s="1"/>
  <c r="I29" i="5" s="1"/>
  <c r="D29" i="5"/>
  <c r="F29" i="5" s="1"/>
  <c r="B29" i="5"/>
  <c r="B22" i="6" s="1"/>
  <c r="C21" i="6" s="1"/>
  <c r="J29" i="5" l="1"/>
  <c r="M676" i="6"/>
  <c r="S676" i="6" s="1"/>
  <c r="O678" i="6"/>
  <c r="P678" i="6" s="1"/>
  <c r="N677" i="6"/>
  <c r="Q677" i="6"/>
  <c r="R677" i="6" s="1"/>
  <c r="AK22" i="6"/>
  <c r="AD22" i="6"/>
  <c r="A31" i="5"/>
  <c r="E30" i="5"/>
  <c r="G30" i="5" s="1"/>
  <c r="H30" i="5" s="1"/>
  <c r="I30" i="5" s="1"/>
  <c r="D30" i="5"/>
  <c r="F30" i="5" s="1"/>
  <c r="C29" i="5"/>
  <c r="B30" i="5"/>
  <c r="B23" i="6" s="1"/>
  <c r="C22" i="6" s="1"/>
  <c r="M677" i="6" l="1"/>
  <c r="S677" i="6" s="1"/>
  <c r="J30" i="5"/>
  <c r="O679" i="6"/>
  <c r="P679" i="6" s="1"/>
  <c r="Q678" i="6"/>
  <c r="R678" i="6" s="1"/>
  <c r="N678" i="6"/>
  <c r="AK23" i="6"/>
  <c r="AD23" i="6"/>
  <c r="C30" i="5"/>
  <c r="A32" i="5"/>
  <c r="E31" i="5"/>
  <c r="G31" i="5" s="1"/>
  <c r="H31" i="5" s="1"/>
  <c r="I31" i="5" s="1"/>
  <c r="D31" i="5"/>
  <c r="F31" i="5" s="1"/>
  <c r="B31" i="5"/>
  <c r="B24" i="6" s="1"/>
  <c r="C23" i="6" s="1"/>
  <c r="J31" i="5" l="1"/>
  <c r="M678" i="6"/>
  <c r="S678" i="6" s="1"/>
  <c r="O680" i="6"/>
  <c r="P680" i="6" s="1"/>
  <c r="Q679" i="6"/>
  <c r="R679" i="6" s="1"/>
  <c r="N679" i="6"/>
  <c r="AK24" i="6"/>
  <c r="AD24" i="6"/>
  <c r="A33" i="5"/>
  <c r="E32" i="5"/>
  <c r="G32" i="5" s="1"/>
  <c r="H32" i="5" s="1"/>
  <c r="I32" i="5" s="1"/>
  <c r="D32" i="5"/>
  <c r="F32" i="5" s="1"/>
  <c r="C31" i="5"/>
  <c r="B32" i="5"/>
  <c r="B25" i="6" s="1"/>
  <c r="C24" i="6" s="1"/>
  <c r="J32" i="5" l="1"/>
  <c r="M679" i="6"/>
  <c r="S679" i="6" s="1"/>
  <c r="N680" i="6"/>
  <c r="Q680" i="6"/>
  <c r="R680" i="6" s="1"/>
  <c r="O681" i="6"/>
  <c r="P681" i="6" s="1"/>
  <c r="AK25" i="6"/>
  <c r="AD25" i="6"/>
  <c r="C32" i="5"/>
  <c r="A34" i="5"/>
  <c r="E33" i="5"/>
  <c r="G33" i="5" s="1"/>
  <c r="H33" i="5" s="1"/>
  <c r="I33" i="5" s="1"/>
  <c r="D33" i="5"/>
  <c r="F33" i="5" s="1"/>
  <c r="B33" i="5"/>
  <c r="B26" i="6" s="1"/>
  <c r="C25" i="6" s="1"/>
  <c r="J33" i="5" l="1"/>
  <c r="M680" i="6"/>
  <c r="S680" i="6" s="1"/>
  <c r="N681" i="6"/>
  <c r="Q681" i="6"/>
  <c r="R681" i="6" s="1"/>
  <c r="M681" i="6" s="1"/>
  <c r="S681" i="6" s="1"/>
  <c r="O682" i="6"/>
  <c r="P682" i="6" s="1"/>
  <c r="AK26" i="6"/>
  <c r="AD26" i="6"/>
  <c r="A35" i="5"/>
  <c r="E34" i="5"/>
  <c r="G34" i="5" s="1"/>
  <c r="H34" i="5" s="1"/>
  <c r="I34" i="5" s="1"/>
  <c r="D34" i="5"/>
  <c r="F34" i="5" s="1"/>
  <c r="C33" i="5"/>
  <c r="B34" i="5"/>
  <c r="B27" i="6" s="1"/>
  <c r="C26" i="6" s="1"/>
  <c r="J34" i="5" l="1"/>
  <c r="O683" i="6"/>
  <c r="P683" i="6" s="1"/>
  <c r="Q682" i="6"/>
  <c r="R682" i="6" s="1"/>
  <c r="N682" i="6"/>
  <c r="AK27" i="6"/>
  <c r="AD27" i="6"/>
  <c r="C34" i="5"/>
  <c r="A36" i="5"/>
  <c r="E35" i="5"/>
  <c r="G35" i="5" s="1"/>
  <c r="H35" i="5" s="1"/>
  <c r="I35" i="5" s="1"/>
  <c r="D35" i="5"/>
  <c r="F35" i="5" s="1"/>
  <c r="B35" i="5"/>
  <c r="B28" i="6" s="1"/>
  <c r="C27" i="6" s="1"/>
  <c r="J35" i="5" l="1"/>
  <c r="M682" i="6"/>
  <c r="S682" i="6" s="1"/>
  <c r="N683" i="6"/>
  <c r="O684" i="6"/>
  <c r="P684" i="6" s="1"/>
  <c r="Q683" i="6"/>
  <c r="R683" i="6" s="1"/>
  <c r="AK28" i="6"/>
  <c r="AD28" i="6"/>
  <c r="A37" i="5"/>
  <c r="D36" i="5"/>
  <c r="F36" i="5" s="1"/>
  <c r="E36" i="5"/>
  <c r="G36" i="5" s="1"/>
  <c r="H36" i="5" s="1"/>
  <c r="I36" i="5" s="1"/>
  <c r="C35" i="5"/>
  <c r="B36" i="5"/>
  <c r="B29" i="6" s="1"/>
  <c r="C28" i="6" s="1"/>
  <c r="J36" i="5" l="1"/>
  <c r="M683" i="6"/>
  <c r="S683" i="6" s="1"/>
  <c r="O685" i="6"/>
  <c r="P685" i="6" s="1"/>
  <c r="Q684" i="6"/>
  <c r="R684" i="6" s="1"/>
  <c r="N684" i="6"/>
  <c r="AK29" i="6"/>
  <c r="AD29" i="6"/>
  <c r="C36" i="5"/>
  <c r="A38" i="5"/>
  <c r="E37" i="5"/>
  <c r="G37" i="5" s="1"/>
  <c r="H37" i="5" s="1"/>
  <c r="I37" i="5" s="1"/>
  <c r="D37" i="5"/>
  <c r="F37" i="5" s="1"/>
  <c r="B37" i="5"/>
  <c r="B30" i="6" s="1"/>
  <c r="C29" i="6" s="1"/>
  <c r="J37" i="5" l="1"/>
  <c r="M684" i="6"/>
  <c r="S684" i="6" s="1"/>
  <c r="N685" i="6"/>
  <c r="Q685" i="6"/>
  <c r="R685" i="6" s="1"/>
  <c r="M685" i="6" s="1"/>
  <c r="S685" i="6" s="1"/>
  <c r="O686" i="6"/>
  <c r="P686" i="6" s="1"/>
  <c r="AK30" i="6"/>
  <c r="AD30" i="6"/>
  <c r="A39" i="5"/>
  <c r="E38" i="5"/>
  <c r="G38" i="5" s="1"/>
  <c r="H38" i="5" s="1"/>
  <c r="I38" i="5" s="1"/>
  <c r="D38" i="5"/>
  <c r="F38" i="5" s="1"/>
  <c r="C37" i="5"/>
  <c r="B38" i="5"/>
  <c r="B31" i="6" s="1"/>
  <c r="C30" i="6" s="1"/>
  <c r="J38" i="5" l="1"/>
  <c r="O687" i="6"/>
  <c r="P687" i="6" s="1"/>
  <c r="Q686" i="6"/>
  <c r="R686" i="6" s="1"/>
  <c r="N686" i="6"/>
  <c r="AK31" i="6"/>
  <c r="AD31" i="6"/>
  <c r="C38" i="5"/>
  <c r="A40" i="5"/>
  <c r="E39" i="5"/>
  <c r="G39" i="5" s="1"/>
  <c r="H39" i="5" s="1"/>
  <c r="I39" i="5" s="1"/>
  <c r="D39" i="5"/>
  <c r="F39" i="5" s="1"/>
  <c r="B39" i="5"/>
  <c r="B32" i="6" s="1"/>
  <c r="C31" i="6" s="1"/>
  <c r="J39" i="5" l="1"/>
  <c r="M686" i="6"/>
  <c r="S686" i="6" s="1"/>
  <c r="N687" i="6"/>
  <c r="Q687" i="6"/>
  <c r="R687" i="6" s="1"/>
  <c r="M687" i="6" s="1"/>
  <c r="S687" i="6" s="1"/>
  <c r="O688" i="6"/>
  <c r="P688" i="6" s="1"/>
  <c r="AK32" i="6"/>
  <c r="AD32" i="6"/>
  <c r="A41" i="5"/>
  <c r="E40" i="5"/>
  <c r="G40" i="5" s="1"/>
  <c r="H40" i="5" s="1"/>
  <c r="I40" i="5" s="1"/>
  <c r="D40" i="5"/>
  <c r="F40" i="5" s="1"/>
  <c r="C39" i="5"/>
  <c r="B40" i="5"/>
  <c r="B33" i="6" s="1"/>
  <c r="C32" i="6" s="1"/>
  <c r="J40" i="5" l="1"/>
  <c r="O689" i="6"/>
  <c r="P689" i="6" s="1"/>
  <c r="Q688" i="6"/>
  <c r="R688" i="6" s="1"/>
  <c r="N688" i="6"/>
  <c r="AK33" i="6"/>
  <c r="AD33" i="6"/>
  <c r="C40" i="5"/>
  <c r="A42" i="5"/>
  <c r="D41" i="5"/>
  <c r="F41" i="5" s="1"/>
  <c r="E41" i="5"/>
  <c r="G41" i="5" s="1"/>
  <c r="H41" i="5" s="1"/>
  <c r="I41" i="5" s="1"/>
  <c r="B41" i="5"/>
  <c r="B34" i="6" s="1"/>
  <c r="C33" i="6" s="1"/>
  <c r="J41" i="5" l="1"/>
  <c r="M688" i="6"/>
  <c r="S688" i="6" s="1"/>
  <c r="N689" i="6"/>
  <c r="Q689" i="6"/>
  <c r="R689" i="6" s="1"/>
  <c r="M689" i="6" s="1"/>
  <c r="S689" i="6" s="1"/>
  <c r="O690" i="6"/>
  <c r="P690" i="6" s="1"/>
  <c r="AK34" i="6"/>
  <c r="AD34" i="6"/>
  <c r="A43" i="5"/>
  <c r="E42" i="5"/>
  <c r="G42" i="5" s="1"/>
  <c r="H42" i="5" s="1"/>
  <c r="I42" i="5" s="1"/>
  <c r="D42" i="5"/>
  <c r="F42" i="5" s="1"/>
  <c r="C41" i="5"/>
  <c r="B42" i="5"/>
  <c r="B35" i="6" s="1"/>
  <c r="C34" i="6" s="1"/>
  <c r="J42" i="5" l="1"/>
  <c r="O691" i="6"/>
  <c r="P691" i="6" s="1"/>
  <c r="Q690" i="6"/>
  <c r="R690" i="6" s="1"/>
  <c r="N690" i="6"/>
  <c r="AK35" i="6"/>
  <c r="AD35" i="6"/>
  <c r="C42" i="5"/>
  <c r="A44" i="5"/>
  <c r="E43" i="5"/>
  <c r="G43" i="5" s="1"/>
  <c r="H43" i="5" s="1"/>
  <c r="I43" i="5" s="1"/>
  <c r="D43" i="5"/>
  <c r="F43" i="5" s="1"/>
  <c r="B43" i="5"/>
  <c r="B36" i="6" s="1"/>
  <c r="C35" i="6" s="1"/>
  <c r="J43" i="5" l="1"/>
  <c r="M690" i="6"/>
  <c r="S690" i="6" s="1"/>
  <c r="O692" i="6"/>
  <c r="P692" i="6" s="1"/>
  <c r="Q691" i="6"/>
  <c r="R691" i="6" s="1"/>
  <c r="N691" i="6"/>
  <c r="AK36" i="6"/>
  <c r="AD36" i="6"/>
  <c r="A45" i="5"/>
  <c r="D44" i="5"/>
  <c r="F44" i="5" s="1"/>
  <c r="E44" i="5"/>
  <c r="G44" i="5" s="1"/>
  <c r="H44" i="5" s="1"/>
  <c r="I44" i="5" s="1"/>
  <c r="C43" i="5"/>
  <c r="B44" i="5"/>
  <c r="B37" i="6" s="1"/>
  <c r="C36" i="6" s="1"/>
  <c r="J44" i="5" l="1"/>
  <c r="M691" i="6"/>
  <c r="S691" i="6" s="1"/>
  <c r="N692" i="6"/>
  <c r="Q692" i="6"/>
  <c r="R692" i="6" s="1"/>
  <c r="M692" i="6" s="1"/>
  <c r="S692" i="6" s="1"/>
  <c r="O693" i="6"/>
  <c r="P693" i="6" s="1"/>
  <c r="AK37" i="6"/>
  <c r="AD37" i="6"/>
  <c r="C44" i="5"/>
  <c r="A46" i="5"/>
  <c r="E45" i="5"/>
  <c r="G45" i="5" s="1"/>
  <c r="H45" i="5" s="1"/>
  <c r="I45" i="5" s="1"/>
  <c r="D45" i="5"/>
  <c r="F45" i="5" s="1"/>
  <c r="B45" i="5"/>
  <c r="B38" i="6" s="1"/>
  <c r="C37" i="6" s="1"/>
  <c r="J45" i="5" l="1"/>
  <c r="N693" i="6"/>
  <c r="Q693" i="6"/>
  <c r="R693" i="6" s="1"/>
  <c r="M693" i="6" s="1"/>
  <c r="S693" i="6" s="1"/>
  <c r="O694" i="6"/>
  <c r="P694" i="6" s="1"/>
  <c r="AK38" i="6"/>
  <c r="AD38" i="6"/>
  <c r="A47" i="5"/>
  <c r="E46" i="5"/>
  <c r="G46" i="5" s="1"/>
  <c r="H46" i="5" s="1"/>
  <c r="I46" i="5" s="1"/>
  <c r="D46" i="5"/>
  <c r="F46" i="5" s="1"/>
  <c r="C45" i="5"/>
  <c r="B46" i="5"/>
  <c r="B39" i="6" s="1"/>
  <c r="C38" i="6" s="1"/>
  <c r="J46" i="5" l="1"/>
  <c r="O695" i="6"/>
  <c r="P695" i="6" s="1"/>
  <c r="Q694" i="6"/>
  <c r="R694" i="6" s="1"/>
  <c r="N694" i="6"/>
  <c r="AK39" i="6"/>
  <c r="AD39" i="6"/>
  <c r="C46" i="5"/>
  <c r="A48" i="5"/>
  <c r="E47" i="5"/>
  <c r="G47" i="5" s="1"/>
  <c r="H47" i="5" s="1"/>
  <c r="I47" i="5" s="1"/>
  <c r="D47" i="5"/>
  <c r="F47" i="5" s="1"/>
  <c r="B47" i="5"/>
  <c r="B40" i="6" s="1"/>
  <c r="C39" i="6" s="1"/>
  <c r="J47" i="5" l="1"/>
  <c r="M694" i="6"/>
  <c r="S694" i="6" s="1"/>
  <c r="O696" i="6"/>
  <c r="P696" i="6" s="1"/>
  <c r="N695" i="6"/>
  <c r="Q695" i="6"/>
  <c r="R695" i="6" s="1"/>
  <c r="AK40" i="6"/>
  <c r="AD40" i="6"/>
  <c r="A49" i="5"/>
  <c r="E48" i="5"/>
  <c r="G48" i="5" s="1"/>
  <c r="H48" i="5" s="1"/>
  <c r="I48" i="5" s="1"/>
  <c r="D48" i="5"/>
  <c r="F48" i="5" s="1"/>
  <c r="C47" i="5"/>
  <c r="B48" i="5"/>
  <c r="B41" i="6" s="1"/>
  <c r="C40" i="6" s="1"/>
  <c r="M695" i="6" l="1"/>
  <c r="S695" i="6" s="1"/>
  <c r="J48" i="5"/>
  <c r="N696" i="6"/>
  <c r="Q696" i="6"/>
  <c r="R696" i="6" s="1"/>
  <c r="M696" i="6" s="1"/>
  <c r="S696" i="6" s="1"/>
  <c r="O697" i="6"/>
  <c r="P697" i="6" s="1"/>
  <c r="AK41" i="6"/>
  <c r="AD41" i="6"/>
  <c r="C48" i="5"/>
  <c r="A50" i="5"/>
  <c r="D49" i="5"/>
  <c r="F49" i="5" s="1"/>
  <c r="E49" i="5"/>
  <c r="G49" i="5" s="1"/>
  <c r="H49" i="5" s="1"/>
  <c r="I49" i="5" s="1"/>
  <c r="B49" i="5"/>
  <c r="B42" i="6" s="1"/>
  <c r="C41" i="6" s="1"/>
  <c r="J49" i="5" l="1"/>
  <c r="N697" i="6"/>
  <c r="O698" i="6"/>
  <c r="P698" i="6" s="1"/>
  <c r="Q697" i="6"/>
  <c r="R697" i="6" s="1"/>
  <c r="M697" i="6" s="1"/>
  <c r="S697" i="6" s="1"/>
  <c r="AK42" i="6"/>
  <c r="AD42" i="6"/>
  <c r="C49" i="5"/>
  <c r="A51" i="5"/>
  <c r="E50" i="5"/>
  <c r="G50" i="5" s="1"/>
  <c r="H50" i="5" s="1"/>
  <c r="I50" i="5" s="1"/>
  <c r="D50" i="5"/>
  <c r="F50" i="5" s="1"/>
  <c r="B50" i="5"/>
  <c r="J50" i="5" l="1"/>
  <c r="O699" i="6"/>
  <c r="P699" i="6" s="1"/>
  <c r="N698" i="6"/>
  <c r="Q698" i="6"/>
  <c r="R698" i="6" s="1"/>
  <c r="C50" i="5"/>
  <c r="B43" i="6"/>
  <c r="C42" i="6" s="1"/>
  <c r="A52" i="5"/>
  <c r="E51" i="5"/>
  <c r="G51" i="5" s="1"/>
  <c r="H51" i="5" s="1"/>
  <c r="I51" i="5" s="1"/>
  <c r="D51" i="5"/>
  <c r="F51" i="5" s="1"/>
  <c r="B51" i="5"/>
  <c r="J51" i="5" l="1"/>
  <c r="M698" i="6"/>
  <c r="S698" i="6" s="1"/>
  <c r="O700" i="6"/>
  <c r="P700" i="6" s="1"/>
  <c r="N699" i="6"/>
  <c r="Q699" i="6"/>
  <c r="R699" i="6" s="1"/>
  <c r="M699" i="6" s="1"/>
  <c r="S699" i="6" s="1"/>
  <c r="AK43" i="6"/>
  <c r="AD43" i="6"/>
  <c r="C51" i="5"/>
  <c r="B44" i="6"/>
  <c r="C43" i="6" s="1"/>
  <c r="A53" i="5"/>
  <c r="D52" i="5"/>
  <c r="F52" i="5" s="1"/>
  <c r="E52" i="5"/>
  <c r="G52" i="5" s="1"/>
  <c r="H52" i="5" s="1"/>
  <c r="I52" i="5" s="1"/>
  <c r="B52" i="5"/>
  <c r="J52" i="5" l="1"/>
  <c r="Q700" i="6"/>
  <c r="R700" i="6" s="1"/>
  <c r="N700" i="6"/>
  <c r="O701" i="6"/>
  <c r="P701" i="6" s="1"/>
  <c r="AK44" i="6"/>
  <c r="AD44" i="6"/>
  <c r="C52" i="5"/>
  <c r="B45" i="6"/>
  <c r="C44" i="6" s="1"/>
  <c r="A54" i="5"/>
  <c r="E53" i="5"/>
  <c r="G53" i="5" s="1"/>
  <c r="H53" i="5" s="1"/>
  <c r="I53" i="5" s="1"/>
  <c r="D53" i="5"/>
  <c r="F53" i="5" s="1"/>
  <c r="B53" i="5"/>
  <c r="J53" i="5" l="1"/>
  <c r="M700" i="6"/>
  <c r="S700" i="6" s="1"/>
  <c r="Q701" i="6"/>
  <c r="R701" i="6" s="1"/>
  <c r="O702" i="6"/>
  <c r="P702" i="6" s="1"/>
  <c r="N701" i="6"/>
  <c r="AK45" i="6"/>
  <c r="AD45" i="6"/>
  <c r="C53" i="5"/>
  <c r="B46" i="6"/>
  <c r="C45" i="6" s="1"/>
  <c r="A55" i="5"/>
  <c r="E54" i="5"/>
  <c r="G54" i="5" s="1"/>
  <c r="H54" i="5" s="1"/>
  <c r="I54" i="5" s="1"/>
  <c r="D54" i="5"/>
  <c r="F54" i="5" s="1"/>
  <c r="B54" i="5"/>
  <c r="J54" i="5" l="1"/>
  <c r="M701" i="6"/>
  <c r="S701" i="6" s="1"/>
  <c r="N702" i="6"/>
  <c r="Q702" i="6"/>
  <c r="R702" i="6" s="1"/>
  <c r="O703" i="6"/>
  <c r="P703" i="6" s="1"/>
  <c r="AK46" i="6"/>
  <c r="AD46" i="6"/>
  <c r="C54" i="5"/>
  <c r="B47" i="6"/>
  <c r="C46" i="6" s="1"/>
  <c r="A56" i="5"/>
  <c r="E55" i="5"/>
  <c r="G55" i="5" s="1"/>
  <c r="H55" i="5" s="1"/>
  <c r="I55" i="5" s="1"/>
  <c r="D55" i="5"/>
  <c r="F55" i="5" s="1"/>
  <c r="B55" i="5"/>
  <c r="J55" i="5" l="1"/>
  <c r="M702" i="6"/>
  <c r="S702" i="6" s="1"/>
  <c r="N703" i="6"/>
  <c r="Q703" i="6"/>
  <c r="R703" i="6" s="1"/>
  <c r="M703" i="6" s="1"/>
  <c r="S703" i="6" s="1"/>
  <c r="O704" i="6"/>
  <c r="P704" i="6" s="1"/>
  <c r="AK47" i="6"/>
  <c r="AD47" i="6"/>
  <c r="C55" i="5"/>
  <c r="B48" i="6"/>
  <c r="C47" i="6" s="1"/>
  <c r="A57" i="5"/>
  <c r="D56" i="5"/>
  <c r="F56" i="5" s="1"/>
  <c r="E56" i="5"/>
  <c r="G56" i="5" s="1"/>
  <c r="H56" i="5" s="1"/>
  <c r="I56" i="5" s="1"/>
  <c r="B56" i="5"/>
  <c r="J56" i="5" l="1"/>
  <c r="N704" i="6"/>
  <c r="O705" i="6"/>
  <c r="P705" i="6" s="1"/>
  <c r="Q704" i="6"/>
  <c r="R704" i="6" s="1"/>
  <c r="M704" i="6" s="1"/>
  <c r="S704" i="6" s="1"/>
  <c r="AK48" i="6"/>
  <c r="AD48" i="6"/>
  <c r="C56" i="5"/>
  <c r="B49" i="6"/>
  <c r="C48" i="6" s="1"/>
  <c r="A58" i="5"/>
  <c r="E57" i="5"/>
  <c r="G57" i="5" s="1"/>
  <c r="H57" i="5" s="1"/>
  <c r="I57" i="5" s="1"/>
  <c r="D57" i="5"/>
  <c r="F57" i="5" s="1"/>
  <c r="B57" i="5"/>
  <c r="J57" i="5" l="1"/>
  <c r="O706" i="6"/>
  <c r="P706" i="6" s="1"/>
  <c r="N705" i="6"/>
  <c r="Q705" i="6"/>
  <c r="R705" i="6" s="1"/>
  <c r="AK49" i="6"/>
  <c r="AD49" i="6"/>
  <c r="C57" i="5"/>
  <c r="B50" i="6"/>
  <c r="C49" i="6" s="1"/>
  <c r="A59" i="5"/>
  <c r="E58" i="5"/>
  <c r="G58" i="5" s="1"/>
  <c r="H58" i="5" s="1"/>
  <c r="I58" i="5" s="1"/>
  <c r="D58" i="5"/>
  <c r="F58" i="5" s="1"/>
  <c r="B58" i="5"/>
  <c r="J58" i="5" l="1"/>
  <c r="M705" i="6"/>
  <c r="S705" i="6" s="1"/>
  <c r="O707" i="6"/>
  <c r="P707" i="6" s="1"/>
  <c r="Q706" i="6"/>
  <c r="R706" i="6" s="1"/>
  <c r="N706" i="6"/>
  <c r="AK50" i="6"/>
  <c r="AD50" i="6"/>
  <c r="C58" i="5"/>
  <c r="B51" i="6"/>
  <c r="C50" i="6" s="1"/>
  <c r="A60" i="5"/>
  <c r="E59" i="5"/>
  <c r="G59" i="5" s="1"/>
  <c r="H59" i="5" s="1"/>
  <c r="I59" i="5" s="1"/>
  <c r="D59" i="5"/>
  <c r="F59" i="5" s="1"/>
  <c r="B59" i="5"/>
  <c r="J59" i="5" l="1"/>
  <c r="O708" i="6"/>
  <c r="P708" i="6" s="1"/>
  <c r="M706" i="6"/>
  <c r="S706" i="6" s="1"/>
  <c r="N707" i="6"/>
  <c r="Q707" i="6"/>
  <c r="R707" i="6" s="1"/>
  <c r="M707" i="6" s="1"/>
  <c r="S707" i="6" s="1"/>
  <c r="AK51" i="6"/>
  <c r="AD51" i="6"/>
  <c r="C59" i="5"/>
  <c r="B52" i="6"/>
  <c r="C51" i="6" s="1"/>
  <c r="A61" i="5"/>
  <c r="D60" i="5"/>
  <c r="F60" i="5" s="1"/>
  <c r="E60" i="5"/>
  <c r="G60" i="5" s="1"/>
  <c r="H60" i="5" s="1"/>
  <c r="I60" i="5" s="1"/>
  <c r="B60" i="5"/>
  <c r="J60" i="5" l="1"/>
  <c r="O709" i="6"/>
  <c r="P709" i="6" s="1"/>
  <c r="N708" i="6"/>
  <c r="Q708" i="6"/>
  <c r="R708" i="6" s="1"/>
  <c r="M708" i="6" s="1"/>
  <c r="S708" i="6" s="1"/>
  <c r="AK52" i="6"/>
  <c r="AD52" i="6"/>
  <c r="C60" i="5"/>
  <c r="B53" i="6"/>
  <c r="C52" i="6" s="1"/>
  <c r="A62" i="5"/>
  <c r="E61" i="5"/>
  <c r="G61" i="5" s="1"/>
  <c r="H61" i="5" s="1"/>
  <c r="I61" i="5" s="1"/>
  <c r="D61" i="5"/>
  <c r="F61" i="5" s="1"/>
  <c r="B61" i="5"/>
  <c r="N709" i="6" l="1"/>
  <c r="J61" i="5"/>
  <c r="O710" i="6"/>
  <c r="P710" i="6" s="1"/>
  <c r="Q709" i="6"/>
  <c r="R709" i="6" s="1"/>
  <c r="M709" i="6" s="1"/>
  <c r="S709" i="6" s="1"/>
  <c r="AK53" i="6"/>
  <c r="AD53" i="6"/>
  <c r="C61" i="5"/>
  <c r="B54" i="6"/>
  <c r="C53" i="6" s="1"/>
  <c r="A63" i="5"/>
  <c r="E62" i="5"/>
  <c r="G62" i="5" s="1"/>
  <c r="H62" i="5" s="1"/>
  <c r="I62" i="5" s="1"/>
  <c r="D62" i="5"/>
  <c r="F62" i="5" s="1"/>
  <c r="B62" i="5"/>
  <c r="Q710" i="6" l="1"/>
  <c r="R710" i="6" s="1"/>
  <c r="M710" i="6" s="1"/>
  <c r="S710" i="6" s="1"/>
  <c r="N710" i="6"/>
  <c r="J62" i="5"/>
  <c r="O711" i="6"/>
  <c r="P711" i="6" s="1"/>
  <c r="AK54" i="6"/>
  <c r="AD54" i="6"/>
  <c r="C62" i="5"/>
  <c r="B55" i="6"/>
  <c r="C54" i="6" s="1"/>
  <c r="A64" i="5"/>
  <c r="E63" i="5"/>
  <c r="G63" i="5" s="1"/>
  <c r="H63" i="5" s="1"/>
  <c r="I63" i="5" s="1"/>
  <c r="D63" i="5"/>
  <c r="F63" i="5" s="1"/>
  <c r="B63" i="5"/>
  <c r="N711" i="6" l="1"/>
  <c r="O712" i="6"/>
  <c r="P712" i="6" s="1"/>
  <c r="Q711" i="6"/>
  <c r="R711" i="6" s="1"/>
  <c r="M711" i="6" s="1"/>
  <c r="S711" i="6" s="1"/>
  <c r="J63" i="5"/>
  <c r="AK55" i="6"/>
  <c r="AD55" i="6"/>
  <c r="C63" i="5"/>
  <c r="B56" i="6"/>
  <c r="C55" i="6" s="1"/>
  <c r="A65" i="5"/>
  <c r="D64" i="5"/>
  <c r="F64" i="5" s="1"/>
  <c r="E64" i="5"/>
  <c r="G64" i="5" s="1"/>
  <c r="H64" i="5" s="1"/>
  <c r="I64" i="5" s="1"/>
  <c r="B64" i="5"/>
  <c r="O713" i="6" l="1"/>
  <c r="P713" i="6" s="1"/>
  <c r="Q712" i="6"/>
  <c r="R712" i="6" s="1"/>
  <c r="M712" i="6" s="1"/>
  <c r="S712" i="6" s="1"/>
  <c r="N712" i="6"/>
  <c r="J64" i="5"/>
  <c r="AK56" i="6"/>
  <c r="AD56" i="6"/>
  <c r="C64" i="5"/>
  <c r="B57" i="6"/>
  <c r="C56" i="6" s="1"/>
  <c r="A66" i="5"/>
  <c r="D65" i="5"/>
  <c r="F65" i="5" s="1"/>
  <c r="E65" i="5"/>
  <c r="G65" i="5" s="1"/>
  <c r="H65" i="5" s="1"/>
  <c r="I65" i="5" s="1"/>
  <c r="B65" i="5"/>
  <c r="N713" i="6" l="1"/>
  <c r="Q713" i="6"/>
  <c r="R713" i="6" s="1"/>
  <c r="M713" i="6" s="1"/>
  <c r="S713" i="6" s="1"/>
  <c r="O714" i="6"/>
  <c r="P714" i="6" s="1"/>
  <c r="J65" i="5"/>
  <c r="AK57" i="6"/>
  <c r="AD57" i="6"/>
  <c r="C65" i="5"/>
  <c r="B58" i="6"/>
  <c r="C57" i="6" s="1"/>
  <c r="A67" i="5"/>
  <c r="E66" i="5"/>
  <c r="G66" i="5" s="1"/>
  <c r="H66" i="5" s="1"/>
  <c r="I66" i="5" s="1"/>
  <c r="D66" i="5"/>
  <c r="F66" i="5" s="1"/>
  <c r="B66" i="5"/>
  <c r="N714" i="6" l="1"/>
  <c r="Q714" i="6"/>
  <c r="R714" i="6" s="1"/>
  <c r="M714" i="6" s="1"/>
  <c r="S714" i="6" s="1"/>
  <c r="O715" i="6"/>
  <c r="P715" i="6" s="1"/>
  <c r="J66" i="5"/>
  <c r="AK58" i="6"/>
  <c r="AD58" i="6"/>
  <c r="C66" i="5"/>
  <c r="B59" i="6"/>
  <c r="C58" i="6" s="1"/>
  <c r="E67" i="5"/>
  <c r="G67" i="5" s="1"/>
  <c r="H67" i="5" s="1"/>
  <c r="I67" i="5" s="1"/>
  <c r="A68" i="5"/>
  <c r="D67" i="5"/>
  <c r="F67" i="5" s="1"/>
  <c r="B67" i="5"/>
  <c r="N715" i="6" l="1"/>
  <c r="Q715" i="6"/>
  <c r="R715" i="6" s="1"/>
  <c r="M715" i="6" s="1"/>
  <c r="S715" i="6" s="1"/>
  <c r="O716" i="6"/>
  <c r="P716" i="6" s="1"/>
  <c r="J67" i="5"/>
  <c r="AK59" i="6"/>
  <c r="AD59" i="6"/>
  <c r="C67" i="5"/>
  <c r="B60" i="6"/>
  <c r="C59" i="6" s="1"/>
  <c r="A69" i="5"/>
  <c r="D68" i="5"/>
  <c r="F68" i="5" s="1"/>
  <c r="E68" i="5"/>
  <c r="G68" i="5" s="1"/>
  <c r="H68" i="5" s="1"/>
  <c r="I68" i="5" s="1"/>
  <c r="B68" i="5"/>
  <c r="Q716" i="6" l="1"/>
  <c r="R716" i="6" s="1"/>
  <c r="M716" i="6" s="1"/>
  <c r="S716" i="6" s="1"/>
  <c r="N716" i="6"/>
  <c r="O717" i="6"/>
  <c r="P717" i="6" s="1"/>
  <c r="J68" i="5"/>
  <c r="AK60" i="6"/>
  <c r="AD60" i="6"/>
  <c r="C68" i="5"/>
  <c r="B61" i="6"/>
  <c r="C60" i="6" s="1"/>
  <c r="A70" i="5"/>
  <c r="E69" i="5"/>
  <c r="G69" i="5" s="1"/>
  <c r="H69" i="5" s="1"/>
  <c r="I69" i="5" s="1"/>
  <c r="D69" i="5"/>
  <c r="F69" i="5" s="1"/>
  <c r="B69" i="5"/>
  <c r="B62" i="6" s="1"/>
  <c r="C61" i="6" s="1"/>
  <c r="O718" i="6" l="1"/>
  <c r="P718" i="6" s="1"/>
  <c r="N717" i="6"/>
  <c r="Q717" i="6"/>
  <c r="R717" i="6" s="1"/>
  <c r="J69" i="5"/>
  <c r="AK62" i="6"/>
  <c r="AK61" i="6"/>
  <c r="AD61" i="6"/>
  <c r="AD62" i="6" s="1"/>
  <c r="C69" i="5"/>
  <c r="A71" i="5"/>
  <c r="E70" i="5"/>
  <c r="G70" i="5" s="1"/>
  <c r="H70" i="5" s="1"/>
  <c r="I70" i="5" s="1"/>
  <c r="D70" i="5"/>
  <c r="F70" i="5" s="1"/>
  <c r="B70" i="5"/>
  <c r="B63" i="6" s="1"/>
  <c r="C62" i="6" s="1"/>
  <c r="M717" i="6" l="1"/>
  <c r="S717" i="6" s="1"/>
  <c r="N718" i="6"/>
  <c r="Q718" i="6"/>
  <c r="R718" i="6" s="1"/>
  <c r="M718" i="6" s="1"/>
  <c r="S718" i="6" s="1"/>
  <c r="O719" i="6"/>
  <c r="P719" i="6" s="1"/>
  <c r="J70" i="5"/>
  <c r="AK63" i="6"/>
  <c r="AD63" i="6"/>
  <c r="C70" i="5"/>
  <c r="A72" i="5"/>
  <c r="E71" i="5"/>
  <c r="G71" i="5" s="1"/>
  <c r="H71" i="5" s="1"/>
  <c r="I71" i="5" s="1"/>
  <c r="D71" i="5"/>
  <c r="F71" i="5" s="1"/>
  <c r="B71" i="5"/>
  <c r="B64" i="6" s="1"/>
  <c r="C63" i="6" s="1"/>
  <c r="O720" i="6" l="1"/>
  <c r="P720" i="6" s="1"/>
  <c r="Q719" i="6"/>
  <c r="R719" i="6" s="1"/>
  <c r="N719" i="6"/>
  <c r="J71" i="5"/>
  <c r="AK64" i="6"/>
  <c r="AD64" i="6"/>
  <c r="C71" i="5"/>
  <c r="A73" i="5"/>
  <c r="E72" i="5"/>
  <c r="G72" i="5" s="1"/>
  <c r="H72" i="5" s="1"/>
  <c r="I72" i="5" s="1"/>
  <c r="D72" i="5"/>
  <c r="F72" i="5" s="1"/>
  <c r="B72" i="5"/>
  <c r="B65" i="6" s="1"/>
  <c r="C64" i="6" s="1"/>
  <c r="M719" i="6" l="1"/>
  <c r="S719" i="6" s="1"/>
  <c r="O721" i="6"/>
  <c r="P721" i="6" s="1"/>
  <c r="N720" i="6"/>
  <c r="Q720" i="6"/>
  <c r="R720" i="6" s="1"/>
  <c r="M720" i="6" s="1"/>
  <c r="S720" i="6" s="1"/>
  <c r="J72" i="5"/>
  <c r="AK65" i="6"/>
  <c r="AD65" i="6"/>
  <c r="C72" i="5"/>
  <c r="A74" i="5"/>
  <c r="D73" i="5"/>
  <c r="F73" i="5" s="1"/>
  <c r="E73" i="5"/>
  <c r="G73" i="5" s="1"/>
  <c r="H73" i="5" s="1"/>
  <c r="I73" i="5" s="1"/>
  <c r="B73" i="5"/>
  <c r="B66" i="6" s="1"/>
  <c r="C65" i="6" s="1"/>
  <c r="N721" i="6" l="1"/>
  <c r="Q721" i="6"/>
  <c r="R721" i="6" s="1"/>
  <c r="M721" i="6" s="1"/>
  <c r="S721" i="6" s="1"/>
  <c r="O722" i="6"/>
  <c r="P722" i="6" s="1"/>
  <c r="J73" i="5"/>
  <c r="AK66" i="6"/>
  <c r="AD66" i="6"/>
  <c r="C73" i="5"/>
  <c r="A75" i="5"/>
  <c r="E74" i="5"/>
  <c r="G74" i="5" s="1"/>
  <c r="H74" i="5" s="1"/>
  <c r="I74" i="5" s="1"/>
  <c r="D74" i="5"/>
  <c r="F74" i="5" s="1"/>
  <c r="B74" i="5"/>
  <c r="B67" i="6" s="1"/>
  <c r="C66" i="6" s="1"/>
  <c r="N722" i="6" l="1"/>
  <c r="Q722" i="6"/>
  <c r="R722" i="6" s="1"/>
  <c r="M722" i="6" s="1"/>
  <c r="S722" i="6" s="1"/>
  <c r="O723" i="6"/>
  <c r="P723" i="6" s="1"/>
  <c r="J74" i="5"/>
  <c r="AK67" i="6"/>
  <c r="AD67" i="6"/>
  <c r="C74" i="5"/>
  <c r="A76" i="5"/>
  <c r="E75" i="5"/>
  <c r="G75" i="5" s="1"/>
  <c r="H75" i="5" s="1"/>
  <c r="I75" i="5" s="1"/>
  <c r="D75" i="5"/>
  <c r="F75" i="5" s="1"/>
  <c r="B75" i="5"/>
  <c r="B68" i="6" s="1"/>
  <c r="C67" i="6" s="1"/>
  <c r="Q723" i="6" l="1"/>
  <c r="R723" i="6" s="1"/>
  <c r="M723" i="6" s="1"/>
  <c r="S723" i="6" s="1"/>
  <c r="N723" i="6"/>
  <c r="O724" i="6"/>
  <c r="P724" i="6" s="1"/>
  <c r="J75" i="5"/>
  <c r="AK68" i="6"/>
  <c r="AD68" i="6"/>
  <c r="C75" i="5"/>
  <c r="A77" i="5"/>
  <c r="D76" i="5"/>
  <c r="F76" i="5" s="1"/>
  <c r="E76" i="5"/>
  <c r="G76" i="5" s="1"/>
  <c r="H76" i="5" s="1"/>
  <c r="I76" i="5" s="1"/>
  <c r="B76" i="5"/>
  <c r="B69" i="6" s="1"/>
  <c r="C68" i="6" s="1"/>
  <c r="O725" i="6" l="1"/>
  <c r="P725" i="6" s="1"/>
  <c r="Q724" i="6"/>
  <c r="R724" i="6" s="1"/>
  <c r="M724" i="6" s="1"/>
  <c r="S724" i="6" s="1"/>
  <c r="N724" i="6"/>
  <c r="J76" i="5"/>
  <c r="AK69" i="6"/>
  <c r="AD69" i="6"/>
  <c r="C76" i="5"/>
  <c r="A78" i="5"/>
  <c r="E77" i="5"/>
  <c r="G77" i="5" s="1"/>
  <c r="H77" i="5" s="1"/>
  <c r="I77" i="5" s="1"/>
  <c r="D77" i="5"/>
  <c r="F77" i="5" s="1"/>
  <c r="B77" i="5"/>
  <c r="B70" i="6" s="1"/>
  <c r="C69" i="6" s="1"/>
  <c r="N725" i="6" l="1"/>
  <c r="O726" i="6"/>
  <c r="P726" i="6" s="1"/>
  <c r="Q725" i="6"/>
  <c r="R725" i="6" s="1"/>
  <c r="M725" i="6" s="1"/>
  <c r="S725" i="6" s="1"/>
  <c r="J77" i="5"/>
  <c r="AK70" i="6"/>
  <c r="AD70" i="6"/>
  <c r="C77" i="5"/>
  <c r="A79" i="5"/>
  <c r="E78" i="5"/>
  <c r="G78" i="5" s="1"/>
  <c r="H78" i="5" s="1"/>
  <c r="I78" i="5" s="1"/>
  <c r="D78" i="5"/>
  <c r="F78" i="5" s="1"/>
  <c r="B78" i="5"/>
  <c r="B71" i="6" s="1"/>
  <c r="C70" i="6" s="1"/>
  <c r="Q726" i="6" l="1"/>
  <c r="R726" i="6" s="1"/>
  <c r="O727" i="6"/>
  <c r="P727" i="6" s="1"/>
  <c r="N726" i="6"/>
  <c r="J78" i="5"/>
  <c r="AK71" i="6"/>
  <c r="AD71" i="6"/>
  <c r="C78" i="5"/>
  <c r="A80" i="5"/>
  <c r="E79" i="5"/>
  <c r="G79" i="5" s="1"/>
  <c r="H79" i="5" s="1"/>
  <c r="I79" i="5" s="1"/>
  <c r="D79" i="5"/>
  <c r="F79" i="5" s="1"/>
  <c r="B79" i="5"/>
  <c r="B72" i="6" s="1"/>
  <c r="C71" i="6" s="1"/>
  <c r="M726" i="6" l="1"/>
  <c r="S726" i="6" s="1"/>
  <c r="N727" i="6"/>
  <c r="O728" i="6"/>
  <c r="P728" i="6" s="1"/>
  <c r="Q727" i="6"/>
  <c r="R727" i="6" s="1"/>
  <c r="M727" i="6" s="1"/>
  <c r="S727" i="6" s="1"/>
  <c r="J79" i="5"/>
  <c r="AK72" i="6"/>
  <c r="AD72" i="6"/>
  <c r="C79" i="5"/>
  <c r="A81" i="5"/>
  <c r="D80" i="5"/>
  <c r="F80" i="5" s="1"/>
  <c r="E80" i="5"/>
  <c r="G80" i="5" s="1"/>
  <c r="H80" i="5" s="1"/>
  <c r="I80" i="5" s="1"/>
  <c r="B80" i="5"/>
  <c r="B73" i="6" s="1"/>
  <c r="C72" i="6" s="1"/>
  <c r="N728" i="6" l="1"/>
  <c r="Q728" i="6"/>
  <c r="R728" i="6" s="1"/>
  <c r="M728" i="6" s="1"/>
  <c r="S728" i="6" s="1"/>
  <c r="O729" i="6"/>
  <c r="P729" i="6" s="1"/>
  <c r="J80" i="5"/>
  <c r="AK73" i="6"/>
  <c r="AD73" i="6"/>
  <c r="C80" i="5"/>
  <c r="A82" i="5"/>
  <c r="E81" i="5"/>
  <c r="G81" i="5" s="1"/>
  <c r="H81" i="5" s="1"/>
  <c r="I81" i="5" s="1"/>
  <c r="D81" i="5"/>
  <c r="F81" i="5" s="1"/>
  <c r="B81" i="5"/>
  <c r="B74" i="6" s="1"/>
  <c r="C73" i="6" s="1"/>
  <c r="Q729" i="6" l="1"/>
  <c r="R729" i="6" s="1"/>
  <c r="N729" i="6"/>
  <c r="O730" i="6"/>
  <c r="P730" i="6" s="1"/>
  <c r="J81" i="5"/>
  <c r="AK74" i="6"/>
  <c r="AD74" i="6"/>
  <c r="C81" i="5"/>
  <c r="A83" i="5"/>
  <c r="E82" i="5"/>
  <c r="G82" i="5" s="1"/>
  <c r="H82" i="5" s="1"/>
  <c r="I82" i="5" s="1"/>
  <c r="D82" i="5"/>
  <c r="F82" i="5" s="1"/>
  <c r="B82" i="5"/>
  <c r="B75" i="6" s="1"/>
  <c r="C74" i="6" s="1"/>
  <c r="M729" i="6" l="1"/>
  <c r="S729" i="6" s="1"/>
  <c r="N730" i="6"/>
  <c r="Q730" i="6"/>
  <c r="R730" i="6" s="1"/>
  <c r="O731" i="6"/>
  <c r="P731" i="6" s="1"/>
  <c r="J82" i="5"/>
  <c r="AK75" i="6"/>
  <c r="AD75" i="6"/>
  <c r="C82" i="5"/>
  <c r="A84" i="5"/>
  <c r="E83" i="5"/>
  <c r="G83" i="5" s="1"/>
  <c r="H83" i="5" s="1"/>
  <c r="D83" i="5"/>
  <c r="F83" i="5" s="1"/>
  <c r="B83" i="5"/>
  <c r="B76" i="6" s="1"/>
  <c r="C75" i="6" s="1"/>
  <c r="M730" i="6" l="1"/>
  <c r="S730" i="6" s="1"/>
  <c r="N731" i="6"/>
  <c r="Q731" i="6"/>
  <c r="R731" i="6" s="1"/>
  <c r="O732" i="6"/>
  <c r="P732" i="6" s="1"/>
  <c r="I83" i="5"/>
  <c r="AD76" i="6"/>
  <c r="C83" i="5"/>
  <c r="A85" i="5"/>
  <c r="D84" i="5"/>
  <c r="F84" i="5" s="1"/>
  <c r="E84" i="5"/>
  <c r="G84" i="5" s="1"/>
  <c r="H84" i="5" s="1"/>
  <c r="B84" i="5"/>
  <c r="B77" i="6" s="1"/>
  <c r="C76" i="6" s="1"/>
  <c r="M731" i="6" l="1"/>
  <c r="S731" i="6" s="1"/>
  <c r="N732" i="6"/>
  <c r="Q732" i="6"/>
  <c r="R732" i="6" s="1"/>
  <c r="O733" i="6"/>
  <c r="P733" i="6" s="1"/>
  <c r="AK76" i="6"/>
  <c r="J83" i="5"/>
  <c r="I84" i="5"/>
  <c r="AD77" i="6"/>
  <c r="C84" i="5"/>
  <c r="A86" i="5"/>
  <c r="E85" i="5"/>
  <c r="G85" i="5" s="1"/>
  <c r="H85" i="5" s="1"/>
  <c r="D85" i="5"/>
  <c r="F85" i="5" s="1"/>
  <c r="B85" i="5"/>
  <c r="B78" i="6" s="1"/>
  <c r="C77" i="6" s="1"/>
  <c r="M732" i="6" l="1"/>
  <c r="S732" i="6" s="1"/>
  <c r="Q733" i="6"/>
  <c r="R733" i="6" s="1"/>
  <c r="O734" i="6"/>
  <c r="P734" i="6" s="1"/>
  <c r="N733" i="6"/>
  <c r="AK77" i="6"/>
  <c r="J84" i="5"/>
  <c r="I85" i="5"/>
  <c r="AD78" i="6"/>
  <c r="C85" i="5"/>
  <c r="A87" i="5"/>
  <c r="E86" i="5"/>
  <c r="G86" i="5" s="1"/>
  <c r="H86" i="5" s="1"/>
  <c r="D86" i="5"/>
  <c r="F86" i="5" s="1"/>
  <c r="B86" i="5"/>
  <c r="M733" i="6" l="1"/>
  <c r="S733" i="6" s="1"/>
  <c r="O735" i="6"/>
  <c r="P735" i="6" s="1"/>
  <c r="N734" i="6"/>
  <c r="Q734" i="6"/>
  <c r="R734" i="6" s="1"/>
  <c r="M734" i="6" s="1"/>
  <c r="S734" i="6" s="1"/>
  <c r="AK78" i="6"/>
  <c r="J85" i="5"/>
  <c r="I86" i="5"/>
  <c r="J86" i="5" s="1"/>
  <c r="C86" i="5"/>
  <c r="B79" i="6"/>
  <c r="A88" i="5"/>
  <c r="E87" i="5"/>
  <c r="G87" i="5" s="1"/>
  <c r="H87" i="5" s="1"/>
  <c r="D87" i="5"/>
  <c r="F87" i="5" s="1"/>
  <c r="B87" i="5"/>
  <c r="N735" i="6" l="1"/>
  <c r="Q735" i="6"/>
  <c r="R735" i="6" s="1"/>
  <c r="M735" i="6" s="1"/>
  <c r="S735" i="6" s="1"/>
  <c r="O736" i="6"/>
  <c r="P736" i="6" s="1"/>
  <c r="I87" i="5"/>
  <c r="J87" i="5" s="1"/>
  <c r="C78" i="6"/>
  <c r="AK79" i="6"/>
  <c r="AD79" i="6"/>
  <c r="C87" i="5"/>
  <c r="B80" i="6"/>
  <c r="A89" i="5"/>
  <c r="D88" i="5"/>
  <c r="F88" i="5" s="1"/>
  <c r="E88" i="5"/>
  <c r="G88" i="5" s="1"/>
  <c r="H88" i="5" s="1"/>
  <c r="B88" i="5"/>
  <c r="Q736" i="6" l="1"/>
  <c r="R736" i="6" s="1"/>
  <c r="M736" i="6" s="1"/>
  <c r="S736" i="6" s="1"/>
  <c r="N736" i="6"/>
  <c r="O737" i="6"/>
  <c r="P737" i="6" s="1"/>
  <c r="I88" i="5"/>
  <c r="J88" i="5" s="1"/>
  <c r="C79" i="6"/>
  <c r="AK80" i="6"/>
  <c r="AD80" i="6"/>
  <c r="C88" i="5"/>
  <c r="B81" i="6"/>
  <c r="A90" i="5"/>
  <c r="D89" i="5"/>
  <c r="F89" i="5" s="1"/>
  <c r="E89" i="5"/>
  <c r="G89" i="5" s="1"/>
  <c r="H89" i="5" s="1"/>
  <c r="B89" i="5"/>
  <c r="Q737" i="6" l="1"/>
  <c r="R737" i="6" s="1"/>
  <c r="M737" i="6" s="1"/>
  <c r="S737" i="6" s="1"/>
  <c r="N737" i="6"/>
  <c r="O738" i="6"/>
  <c r="P738" i="6" s="1"/>
  <c r="I89" i="5"/>
  <c r="J89" i="5" s="1"/>
  <c r="C80" i="6"/>
  <c r="AK81" i="6"/>
  <c r="A91" i="5"/>
  <c r="AD81" i="6"/>
  <c r="C89" i="5"/>
  <c r="B82" i="6"/>
  <c r="B90" i="5"/>
  <c r="E90" i="5"/>
  <c r="G90" i="5" s="1"/>
  <c r="H90" i="5" s="1"/>
  <c r="D90" i="5"/>
  <c r="F90" i="5" s="1"/>
  <c r="Q738" i="6" l="1"/>
  <c r="R738" i="6" s="1"/>
  <c r="O739" i="6"/>
  <c r="P739" i="6" s="1"/>
  <c r="N738" i="6"/>
  <c r="I90" i="5"/>
  <c r="J90" i="5" s="1"/>
  <c r="C81" i="6"/>
  <c r="AK82" i="6"/>
  <c r="B91" i="5"/>
  <c r="B84" i="6" s="1"/>
  <c r="C83" i="6" s="1"/>
  <c r="E91" i="5"/>
  <c r="A92" i="5"/>
  <c r="D91" i="5"/>
  <c r="F91" i="5" s="1"/>
  <c r="AD82" i="6"/>
  <c r="C90" i="5"/>
  <c r="B83" i="6"/>
  <c r="C82" i="6" s="1"/>
  <c r="M738" i="6" l="1"/>
  <c r="S738" i="6" s="1"/>
  <c r="Q739" i="6"/>
  <c r="R739" i="6" s="1"/>
  <c r="M739" i="6" s="1"/>
  <c r="S739" i="6" s="1"/>
  <c r="O740" i="6"/>
  <c r="P740" i="6" s="1"/>
  <c r="N739" i="6"/>
  <c r="C91" i="5"/>
  <c r="G91" i="5"/>
  <c r="H91" i="5" s="1"/>
  <c r="I91" i="5" s="1"/>
  <c r="AK83" i="6"/>
  <c r="A93" i="5"/>
  <c r="B92" i="5"/>
  <c r="E92" i="5"/>
  <c r="G92" i="5" s="1"/>
  <c r="H92" i="5" s="1"/>
  <c r="D92" i="5"/>
  <c r="F92" i="5" s="1"/>
  <c r="AD83" i="6"/>
  <c r="AD84" i="6" s="1"/>
  <c r="O741" i="6" l="1"/>
  <c r="P741" i="6" s="1"/>
  <c r="Q740" i="6"/>
  <c r="R740" i="6" s="1"/>
  <c r="M740" i="6" s="1"/>
  <c r="S740" i="6" s="1"/>
  <c r="N740" i="6"/>
  <c r="AK84" i="6"/>
  <c r="J91" i="5"/>
  <c r="C92" i="5"/>
  <c r="B85" i="6"/>
  <c r="C84" i="6" s="1"/>
  <c r="I92" i="5"/>
  <c r="J92" i="5" s="1"/>
  <c r="A94" i="5"/>
  <c r="D93" i="5"/>
  <c r="F93" i="5" s="1"/>
  <c r="B93" i="5"/>
  <c r="E93" i="5"/>
  <c r="R5" i="6"/>
  <c r="M5" i="6" s="1"/>
  <c r="S5" i="6" s="1"/>
  <c r="N741" i="6" l="1"/>
  <c r="O742" i="6"/>
  <c r="P742" i="6" s="1"/>
  <c r="Q741" i="6"/>
  <c r="R741" i="6" s="1"/>
  <c r="M741" i="6" s="1"/>
  <c r="S741" i="6" s="1"/>
  <c r="AK85" i="6"/>
  <c r="AD85" i="6"/>
  <c r="C93" i="5"/>
  <c r="B86" i="6"/>
  <c r="C85" i="6" s="1"/>
  <c r="G93" i="5"/>
  <c r="H93" i="5" s="1"/>
  <c r="I93" i="5" s="1"/>
  <c r="J93" i="5" s="1"/>
  <c r="E94" i="5"/>
  <c r="G94" i="5" s="1"/>
  <c r="H94" i="5" s="1"/>
  <c r="A95" i="5"/>
  <c r="D94" i="5"/>
  <c r="F94" i="5" s="1"/>
  <c r="B94" i="5"/>
  <c r="N742" i="6" l="1"/>
  <c r="O743" i="6"/>
  <c r="P743" i="6" s="1"/>
  <c r="Q742" i="6"/>
  <c r="R742" i="6" s="1"/>
  <c r="M742" i="6" s="1"/>
  <c r="S742" i="6" s="1"/>
  <c r="AK86" i="6"/>
  <c r="C94" i="5"/>
  <c r="B87" i="6"/>
  <c r="C86" i="6" s="1"/>
  <c r="AD86" i="6"/>
  <c r="I94" i="5"/>
  <c r="J94" i="5" s="1"/>
  <c r="E95" i="5"/>
  <c r="G95" i="5" s="1"/>
  <c r="H95" i="5" s="1"/>
  <c r="D95" i="5"/>
  <c r="F95" i="5" s="1"/>
  <c r="A96" i="5"/>
  <c r="B95" i="5"/>
  <c r="N743" i="6" l="1"/>
  <c r="O744" i="6"/>
  <c r="P744" i="6" s="1"/>
  <c r="Q743" i="6"/>
  <c r="R743" i="6" s="1"/>
  <c r="M743" i="6" s="1"/>
  <c r="S743" i="6" s="1"/>
  <c r="AD87" i="6"/>
  <c r="AK87" i="6"/>
  <c r="C95" i="5"/>
  <c r="B88" i="6"/>
  <c r="C87" i="6" s="1"/>
  <c r="I95" i="5"/>
  <c r="J95" i="5" s="1"/>
  <c r="E96" i="5"/>
  <c r="G96" i="5" s="1"/>
  <c r="H96" i="5" s="1"/>
  <c r="B96" i="5"/>
  <c r="A97" i="5"/>
  <c r="D96" i="5"/>
  <c r="F96" i="5" s="1"/>
  <c r="O745" i="6" l="1"/>
  <c r="P745" i="6" s="1"/>
  <c r="N744" i="6"/>
  <c r="Q744" i="6"/>
  <c r="R744" i="6" s="1"/>
  <c r="AK88" i="6"/>
  <c r="AD88" i="6"/>
  <c r="C96" i="5"/>
  <c r="B89" i="6"/>
  <c r="C88" i="6" s="1"/>
  <c r="I96" i="5"/>
  <c r="J96" i="5" s="1"/>
  <c r="D97" i="5"/>
  <c r="F97" i="5" s="1"/>
  <c r="E97" i="5"/>
  <c r="G97" i="5" s="1"/>
  <c r="H97" i="5" s="1"/>
  <c r="B97" i="5"/>
  <c r="B90" i="6" s="1"/>
  <c r="C89" i="6" s="1"/>
  <c r="A98" i="5"/>
  <c r="M744" i="6" l="1"/>
  <c r="S744" i="6" s="1"/>
  <c r="N745" i="6"/>
  <c r="Q745" i="6"/>
  <c r="R745" i="6" s="1"/>
  <c r="M745" i="6" s="1"/>
  <c r="S745" i="6" s="1"/>
  <c r="O746" i="6"/>
  <c r="P746" i="6" s="1"/>
  <c r="C97" i="5"/>
  <c r="I97" i="5"/>
  <c r="AK89" i="6"/>
  <c r="AD89" i="6"/>
  <c r="AD90" i="6" s="1"/>
  <c r="E98" i="5"/>
  <c r="B98" i="5"/>
  <c r="A99" i="5"/>
  <c r="D98" i="5"/>
  <c r="F98" i="5" s="1"/>
  <c r="Q746" i="6" l="1"/>
  <c r="R746" i="6" s="1"/>
  <c r="M746" i="6" s="1"/>
  <c r="S746" i="6" s="1"/>
  <c r="N746" i="6"/>
  <c r="O747" i="6"/>
  <c r="P747" i="6" s="1"/>
  <c r="AK90" i="6"/>
  <c r="J97" i="5"/>
  <c r="G98" i="5"/>
  <c r="H98" i="5" s="1"/>
  <c r="I98" i="5" s="1"/>
  <c r="J98" i="5" s="1"/>
  <c r="C98" i="5"/>
  <c r="B91" i="6"/>
  <c r="C90" i="6" s="1"/>
  <c r="A100" i="5"/>
  <c r="B99" i="5"/>
  <c r="D99" i="5"/>
  <c r="F99" i="5" s="1"/>
  <c r="E99" i="5"/>
  <c r="G99" i="5" s="1"/>
  <c r="H99" i="5" s="1"/>
  <c r="N747" i="6" l="1"/>
  <c r="Q747" i="6"/>
  <c r="R747" i="6" s="1"/>
  <c r="M747" i="6" s="1"/>
  <c r="S747" i="6" s="1"/>
  <c r="O748" i="6"/>
  <c r="P748" i="6" s="1"/>
  <c r="AK91" i="6"/>
  <c r="AD91" i="6"/>
  <c r="I99" i="5"/>
  <c r="J99" i="5" s="1"/>
  <c r="C99" i="5"/>
  <c r="B92" i="6"/>
  <c r="C91" i="6" s="1"/>
  <c r="D100" i="5"/>
  <c r="F100" i="5" s="1"/>
  <c r="E100" i="5"/>
  <c r="G100" i="5" s="1"/>
  <c r="H100" i="5" s="1"/>
  <c r="I100" i="5" s="1"/>
  <c r="B100" i="5"/>
  <c r="A101" i="5"/>
  <c r="N748" i="6" l="1"/>
  <c r="O749" i="6"/>
  <c r="P749" i="6" s="1"/>
  <c r="Q748" i="6"/>
  <c r="R748" i="6" s="1"/>
  <c r="J100" i="5"/>
  <c r="C100" i="5"/>
  <c r="B93" i="6"/>
  <c r="C92" i="6" s="1"/>
  <c r="AD92" i="6"/>
  <c r="AK92" i="6"/>
  <c r="E101" i="5"/>
  <c r="A102" i="5"/>
  <c r="B101" i="5"/>
  <c r="D101" i="5"/>
  <c r="F101" i="5" s="1"/>
  <c r="M748" i="6" l="1"/>
  <c r="S748" i="6" s="1"/>
  <c r="N749" i="6"/>
  <c r="O750" i="6"/>
  <c r="P750" i="6" s="1"/>
  <c r="Q749" i="6"/>
  <c r="R749" i="6" s="1"/>
  <c r="G101" i="5"/>
  <c r="H101" i="5" s="1"/>
  <c r="I101" i="5" s="1"/>
  <c r="J101" i="5" s="1"/>
  <c r="AD93" i="6"/>
  <c r="C101" i="5"/>
  <c r="B94" i="6"/>
  <c r="C93" i="6" s="1"/>
  <c r="AK93" i="6"/>
  <c r="A103" i="5"/>
  <c r="D102" i="5"/>
  <c r="F102" i="5" s="1"/>
  <c r="B102" i="5"/>
  <c r="E102" i="5"/>
  <c r="M749" i="6" l="1"/>
  <c r="S749" i="6" s="1"/>
  <c r="O751" i="6"/>
  <c r="P751" i="6" s="1"/>
  <c r="N750" i="6"/>
  <c r="Q750" i="6"/>
  <c r="R750" i="6" s="1"/>
  <c r="M750" i="6" s="1"/>
  <c r="S750" i="6" s="1"/>
  <c r="G102" i="5"/>
  <c r="H102" i="5" s="1"/>
  <c r="I102" i="5" s="1"/>
  <c r="J102" i="5" s="1"/>
  <c r="AD94" i="6"/>
  <c r="C102" i="5"/>
  <c r="B95" i="6"/>
  <c r="C94" i="6" s="1"/>
  <c r="AK94" i="6"/>
  <c r="B103" i="5"/>
  <c r="E103" i="5"/>
  <c r="G103" i="5" s="1"/>
  <c r="H103" i="5" s="1"/>
  <c r="I103" i="5" s="1"/>
  <c r="D103" i="5"/>
  <c r="F103" i="5" s="1"/>
  <c r="A104" i="5"/>
  <c r="O752" i="6" l="1"/>
  <c r="P752" i="6" s="1"/>
  <c r="N751" i="6"/>
  <c r="Q751" i="6"/>
  <c r="R751" i="6" s="1"/>
  <c r="J103" i="5"/>
  <c r="AK95" i="6"/>
  <c r="AD95" i="6"/>
  <c r="C103" i="5"/>
  <c r="B96" i="6"/>
  <c r="C95" i="6" s="1"/>
  <c r="E104" i="5"/>
  <c r="D104" i="5"/>
  <c r="F104" i="5" s="1"/>
  <c r="B104" i="5"/>
  <c r="A105" i="5"/>
  <c r="M751" i="6" l="1"/>
  <c r="S751" i="6" s="1"/>
  <c r="N752" i="6"/>
  <c r="O753" i="6"/>
  <c r="P753" i="6" s="1"/>
  <c r="Q752" i="6"/>
  <c r="R752" i="6" s="1"/>
  <c r="M752" i="6" s="1"/>
  <c r="S752" i="6" s="1"/>
  <c r="AD96" i="6"/>
  <c r="C104" i="5"/>
  <c r="B97" i="6"/>
  <c r="C96" i="6" s="1"/>
  <c r="G104" i="5"/>
  <c r="H104" i="5" s="1"/>
  <c r="I104" i="5" s="1"/>
  <c r="J104" i="5" s="1"/>
  <c r="AK96" i="6"/>
  <c r="E105" i="5"/>
  <c r="G105" i="5" s="1"/>
  <c r="H105" i="5" s="1"/>
  <c r="D105" i="5"/>
  <c r="F105" i="5" s="1"/>
  <c r="B105" i="5"/>
  <c r="A106" i="5"/>
  <c r="O754" i="6" l="1"/>
  <c r="P754" i="6" s="1"/>
  <c r="N753" i="6"/>
  <c r="Q753" i="6"/>
  <c r="R753" i="6" s="1"/>
  <c r="M753" i="6" s="1"/>
  <c r="S753" i="6" s="1"/>
  <c r="AK97" i="6"/>
  <c r="AD97" i="6"/>
  <c r="C105" i="5"/>
  <c r="B98" i="6"/>
  <c r="C97" i="6" s="1"/>
  <c r="I105" i="5"/>
  <c r="J105" i="5" s="1"/>
  <c r="D106" i="5"/>
  <c r="F106" i="5" s="1"/>
  <c r="A107" i="5"/>
  <c r="E106" i="5"/>
  <c r="B106" i="5"/>
  <c r="O755" i="6" l="1"/>
  <c r="P755" i="6" s="1"/>
  <c r="Q754" i="6"/>
  <c r="R754" i="6" s="1"/>
  <c r="M754" i="6" s="1"/>
  <c r="S754" i="6" s="1"/>
  <c r="N754" i="6"/>
  <c r="AK98" i="6"/>
  <c r="G106" i="5"/>
  <c r="H106" i="5" s="1"/>
  <c r="I106" i="5" s="1"/>
  <c r="J106" i="5" s="1"/>
  <c r="C106" i="5"/>
  <c r="B99" i="6"/>
  <c r="C98" i="6" s="1"/>
  <c r="AD98" i="6"/>
  <c r="A108" i="5"/>
  <c r="E107" i="5"/>
  <c r="G107" i="5" s="1"/>
  <c r="H107" i="5" s="1"/>
  <c r="D107" i="5"/>
  <c r="F107" i="5" s="1"/>
  <c r="B107" i="5"/>
  <c r="N755" i="6" l="1"/>
  <c r="O756" i="6"/>
  <c r="P756" i="6" s="1"/>
  <c r="Q755" i="6"/>
  <c r="R755" i="6" s="1"/>
  <c r="M755" i="6" s="1"/>
  <c r="S755" i="6" s="1"/>
  <c r="AD99" i="6"/>
  <c r="I107" i="5"/>
  <c r="J107" i="5" s="1"/>
  <c r="C107" i="5"/>
  <c r="B100" i="6"/>
  <c r="C99" i="6" s="1"/>
  <c r="AK99" i="6"/>
  <c r="B108" i="5"/>
  <c r="D108" i="5"/>
  <c r="F108" i="5" s="1"/>
  <c r="A109" i="5"/>
  <c r="E108" i="5"/>
  <c r="N756" i="6" l="1"/>
  <c r="O757" i="6"/>
  <c r="P757" i="6" s="1"/>
  <c r="Q756" i="6"/>
  <c r="R756" i="6" s="1"/>
  <c r="M756" i="6" s="1"/>
  <c r="S756" i="6" s="1"/>
  <c r="AK100" i="6"/>
  <c r="G108" i="5"/>
  <c r="H108" i="5" s="1"/>
  <c r="I108" i="5" s="1"/>
  <c r="J108" i="5" s="1"/>
  <c r="AD100" i="6"/>
  <c r="C108" i="5"/>
  <c r="B101" i="6"/>
  <c r="C100" i="6" s="1"/>
  <c r="E109" i="5"/>
  <c r="G109" i="5" s="1"/>
  <c r="H109" i="5" s="1"/>
  <c r="I109" i="5" s="1"/>
  <c r="D109" i="5"/>
  <c r="F109" i="5" s="1"/>
  <c r="B109" i="5"/>
  <c r="A110" i="5"/>
  <c r="O758" i="6" l="1"/>
  <c r="P758" i="6" s="1"/>
  <c r="N757" i="6"/>
  <c r="Q757" i="6"/>
  <c r="R757" i="6" s="1"/>
  <c r="J109" i="5"/>
  <c r="AD101" i="6"/>
  <c r="C109" i="5"/>
  <c r="B102" i="6"/>
  <c r="C101" i="6" s="1"/>
  <c r="AK101" i="6"/>
  <c r="A111" i="5"/>
  <c r="D110" i="5"/>
  <c r="F110" i="5" s="1"/>
  <c r="E110" i="5"/>
  <c r="G110" i="5" s="1"/>
  <c r="H110" i="5" s="1"/>
  <c r="B110" i="5"/>
  <c r="M757" i="6" l="1"/>
  <c r="S757" i="6" s="1"/>
  <c r="O759" i="6"/>
  <c r="P759" i="6" s="1"/>
  <c r="Q758" i="6"/>
  <c r="R758" i="6" s="1"/>
  <c r="N758" i="6"/>
  <c r="I110" i="5"/>
  <c r="J110" i="5" s="1"/>
  <c r="AD102" i="6"/>
  <c r="C110" i="5"/>
  <c r="B103" i="6"/>
  <c r="C102" i="6" s="1"/>
  <c r="AK102" i="6"/>
  <c r="E111" i="5"/>
  <c r="G111" i="5" s="1"/>
  <c r="H111" i="5" s="1"/>
  <c r="I111" i="5" s="1"/>
  <c r="B111" i="5"/>
  <c r="A112" i="5"/>
  <c r="D111" i="5"/>
  <c r="F111" i="5" s="1"/>
  <c r="M758" i="6" l="1"/>
  <c r="S758" i="6" s="1"/>
  <c r="O760" i="6"/>
  <c r="P760" i="6" s="1"/>
  <c r="N759" i="6"/>
  <c r="Q759" i="6"/>
  <c r="R759" i="6" s="1"/>
  <c r="M759" i="6" s="1"/>
  <c r="S759" i="6" s="1"/>
  <c r="J111" i="5"/>
  <c r="AK103" i="6"/>
  <c r="C111" i="5"/>
  <c r="B104" i="6"/>
  <c r="C103" i="6" s="1"/>
  <c r="AD103" i="6"/>
  <c r="D112" i="5"/>
  <c r="F112" i="5" s="1"/>
  <c r="B112" i="5"/>
  <c r="A113" i="5"/>
  <c r="E112" i="5"/>
  <c r="G112" i="5" s="1"/>
  <c r="H112" i="5" s="1"/>
  <c r="N760" i="6" l="1"/>
  <c r="Q760" i="6"/>
  <c r="R760" i="6" s="1"/>
  <c r="O761" i="6"/>
  <c r="P761" i="6" s="1"/>
  <c r="AD104" i="6"/>
  <c r="C112" i="5"/>
  <c r="B105" i="6"/>
  <c r="C104" i="6" s="1"/>
  <c r="I112" i="5"/>
  <c r="J112" i="5" s="1"/>
  <c r="AK104" i="6"/>
  <c r="D113" i="5"/>
  <c r="F113" i="5" s="1"/>
  <c r="A114" i="5"/>
  <c r="B113" i="5"/>
  <c r="E113" i="5"/>
  <c r="G113" i="5" s="1"/>
  <c r="H113" i="5" s="1"/>
  <c r="I113" i="5" s="1"/>
  <c r="M760" i="6" l="1"/>
  <c r="S760" i="6" s="1"/>
  <c r="N761" i="6"/>
  <c r="O762" i="6"/>
  <c r="P762" i="6" s="1"/>
  <c r="Q761" i="6"/>
  <c r="R761" i="6" s="1"/>
  <c r="M761" i="6" s="1"/>
  <c r="S761" i="6" s="1"/>
  <c r="J113" i="5"/>
  <c r="AK105" i="6"/>
  <c r="C113" i="5"/>
  <c r="B106" i="6"/>
  <c r="C105" i="6" s="1"/>
  <c r="AD105" i="6"/>
  <c r="D114" i="5"/>
  <c r="F114" i="5" s="1"/>
  <c r="A115" i="5"/>
  <c r="E114" i="5"/>
  <c r="G114" i="5" s="1"/>
  <c r="H114" i="5" s="1"/>
  <c r="B114" i="5"/>
  <c r="O763" i="6" l="1"/>
  <c r="P763" i="6" s="1"/>
  <c r="N762" i="6"/>
  <c r="Q762" i="6"/>
  <c r="R762" i="6" s="1"/>
  <c r="AD106" i="6"/>
  <c r="C114" i="5"/>
  <c r="B107" i="6"/>
  <c r="C106" i="6" s="1"/>
  <c r="I114" i="5"/>
  <c r="J114" i="5" s="1"/>
  <c r="AK106" i="6"/>
  <c r="A116" i="5"/>
  <c r="D115" i="5"/>
  <c r="F115" i="5" s="1"/>
  <c r="E115" i="5"/>
  <c r="G115" i="5" s="1"/>
  <c r="H115" i="5" s="1"/>
  <c r="B115" i="5"/>
  <c r="M762" i="6" l="1"/>
  <c r="S762" i="6" s="1"/>
  <c r="N763" i="6"/>
  <c r="Q763" i="6"/>
  <c r="R763" i="6" s="1"/>
  <c r="M763" i="6" s="1"/>
  <c r="S763" i="6" s="1"/>
  <c r="O764" i="6"/>
  <c r="P764" i="6" s="1"/>
  <c r="I115" i="5"/>
  <c r="J115" i="5" s="1"/>
  <c r="C115" i="5"/>
  <c r="B108" i="6"/>
  <c r="C107" i="6" s="1"/>
  <c r="AK107" i="6"/>
  <c r="AD107" i="6"/>
  <c r="B116" i="5"/>
  <c r="A117" i="5"/>
  <c r="D116" i="5"/>
  <c r="F116" i="5" s="1"/>
  <c r="E116" i="5"/>
  <c r="G116" i="5" s="1"/>
  <c r="H116" i="5" s="1"/>
  <c r="O765" i="6" l="1"/>
  <c r="P765" i="6" s="1"/>
  <c r="N764" i="6"/>
  <c r="Q764" i="6"/>
  <c r="R764" i="6" s="1"/>
  <c r="M764" i="6" s="1"/>
  <c r="S764" i="6" s="1"/>
  <c r="I116" i="5"/>
  <c r="J116" i="5" s="1"/>
  <c r="AD108" i="6"/>
  <c r="C116" i="5"/>
  <c r="B109" i="6"/>
  <c r="C108" i="6" s="1"/>
  <c r="AK108" i="6"/>
  <c r="E117" i="5"/>
  <c r="G117" i="5" s="1"/>
  <c r="H117" i="5" s="1"/>
  <c r="I117" i="5" s="1"/>
  <c r="A118" i="5"/>
  <c r="B117" i="5"/>
  <c r="D117" i="5"/>
  <c r="F117" i="5" s="1"/>
  <c r="O766" i="6" l="1"/>
  <c r="P766" i="6" s="1"/>
  <c r="N765" i="6"/>
  <c r="Q765" i="6"/>
  <c r="R765" i="6" s="1"/>
  <c r="M765" i="6" s="1"/>
  <c r="S765" i="6" s="1"/>
  <c r="J117" i="5"/>
  <c r="C117" i="5"/>
  <c r="B110" i="6"/>
  <c r="C109" i="6" s="1"/>
  <c r="AK109" i="6"/>
  <c r="AD109" i="6"/>
  <c r="E118" i="5"/>
  <c r="G118" i="5" s="1"/>
  <c r="H118" i="5" s="1"/>
  <c r="A119" i="5"/>
  <c r="B118" i="5"/>
  <c r="D118" i="5"/>
  <c r="F118" i="5" s="1"/>
  <c r="O767" i="6" l="1"/>
  <c r="P767" i="6" s="1"/>
  <c r="N766" i="6"/>
  <c r="Q766" i="6"/>
  <c r="R766" i="6" s="1"/>
  <c r="M766" i="6" s="1"/>
  <c r="S766" i="6" s="1"/>
  <c r="AD110" i="6"/>
  <c r="I118" i="5"/>
  <c r="J118" i="5" s="1"/>
  <c r="C118" i="5"/>
  <c r="B111" i="6"/>
  <c r="C110" i="6" s="1"/>
  <c r="AK110" i="6"/>
  <c r="D119" i="5"/>
  <c r="F119" i="5" s="1"/>
  <c r="E119" i="5"/>
  <c r="G119" i="5" s="1"/>
  <c r="H119" i="5" s="1"/>
  <c r="A120" i="5"/>
  <c r="B119" i="5"/>
  <c r="N767" i="6" l="1"/>
  <c r="Q767" i="6"/>
  <c r="R767" i="6" s="1"/>
  <c r="M767" i="6" s="1"/>
  <c r="S767" i="6" s="1"/>
  <c r="O768" i="6"/>
  <c r="P768" i="6" s="1"/>
  <c r="AK111" i="6"/>
  <c r="AD111" i="6"/>
  <c r="C119" i="5"/>
  <c r="B112" i="6"/>
  <c r="C111" i="6" s="1"/>
  <c r="I119" i="5"/>
  <c r="J119" i="5" s="1"/>
  <c r="A121" i="5"/>
  <c r="D120" i="5"/>
  <c r="F120" i="5" s="1"/>
  <c r="E120" i="5"/>
  <c r="G120" i="5" s="1"/>
  <c r="H120" i="5" s="1"/>
  <c r="B120" i="5"/>
  <c r="N768" i="6" l="1"/>
  <c r="O769" i="6"/>
  <c r="P769" i="6" s="1"/>
  <c r="Q768" i="6"/>
  <c r="R768" i="6" s="1"/>
  <c r="M768" i="6" s="1"/>
  <c r="S768" i="6" s="1"/>
  <c r="AK112" i="6"/>
  <c r="AD112" i="6"/>
  <c r="I120" i="5"/>
  <c r="J120" i="5" s="1"/>
  <c r="C120" i="5"/>
  <c r="B113" i="6"/>
  <c r="C112" i="6" s="1"/>
  <c r="E121" i="5"/>
  <c r="G121" i="5" s="1"/>
  <c r="H121" i="5" s="1"/>
  <c r="B121" i="5"/>
  <c r="A122" i="5"/>
  <c r="D121" i="5"/>
  <c r="F121" i="5" s="1"/>
  <c r="N769" i="6" l="1"/>
  <c r="Q769" i="6"/>
  <c r="R769" i="6" s="1"/>
  <c r="M769" i="6" s="1"/>
  <c r="S769" i="6" s="1"/>
  <c r="O770" i="6"/>
  <c r="P770" i="6" s="1"/>
  <c r="C121" i="5"/>
  <c r="B114" i="6"/>
  <c r="C113" i="6" s="1"/>
  <c r="AD113" i="6"/>
  <c r="AK113" i="6"/>
  <c r="I121" i="5"/>
  <c r="J121" i="5" s="1"/>
  <c r="B122" i="5"/>
  <c r="A123" i="5"/>
  <c r="E122" i="5"/>
  <c r="G122" i="5" s="1"/>
  <c r="H122" i="5" s="1"/>
  <c r="I122" i="5" s="1"/>
  <c r="D122" i="5"/>
  <c r="F122" i="5" s="1"/>
  <c r="O771" i="6" l="1"/>
  <c r="P771" i="6" s="1"/>
  <c r="N770" i="6"/>
  <c r="Q770" i="6"/>
  <c r="R770" i="6" s="1"/>
  <c r="M770" i="6" s="1"/>
  <c r="S770" i="6" s="1"/>
  <c r="J122" i="5"/>
  <c r="AD114" i="6"/>
  <c r="AK114" i="6"/>
  <c r="C122" i="5"/>
  <c r="B115" i="6"/>
  <c r="C114" i="6" s="1"/>
  <c r="A124" i="5"/>
  <c r="E123" i="5"/>
  <c r="G123" i="5" s="1"/>
  <c r="H123" i="5" s="1"/>
  <c r="D123" i="5"/>
  <c r="F123" i="5" s="1"/>
  <c r="B123" i="5"/>
  <c r="N771" i="6" l="1"/>
  <c r="Q771" i="6"/>
  <c r="R771" i="6" s="1"/>
  <c r="M771" i="6" s="1"/>
  <c r="S771" i="6" s="1"/>
  <c r="O772" i="6"/>
  <c r="P772" i="6" s="1"/>
  <c r="AD115" i="6"/>
  <c r="I123" i="5"/>
  <c r="J123" i="5" s="1"/>
  <c r="C123" i="5"/>
  <c r="B116" i="6"/>
  <c r="C115" i="6" s="1"/>
  <c r="AK115" i="6"/>
  <c r="D124" i="5"/>
  <c r="F124" i="5" s="1"/>
  <c r="B124" i="5"/>
  <c r="E124" i="5"/>
  <c r="G124" i="5" s="1"/>
  <c r="H124" i="5" s="1"/>
  <c r="A125" i="5"/>
  <c r="O773" i="6" l="1"/>
  <c r="P773" i="6" s="1"/>
  <c r="N772" i="6"/>
  <c r="Q772" i="6"/>
  <c r="R772" i="6" s="1"/>
  <c r="M772" i="6" s="1"/>
  <c r="S772" i="6" s="1"/>
  <c r="AK116" i="6"/>
  <c r="C124" i="5"/>
  <c r="B117" i="6"/>
  <c r="C116" i="6" s="1"/>
  <c r="AD116" i="6"/>
  <c r="I124" i="5"/>
  <c r="J124" i="5" s="1"/>
  <c r="B125" i="5"/>
  <c r="B118" i="6" s="1"/>
  <c r="C117" i="6" s="1"/>
  <c r="A126" i="5"/>
  <c r="F125" i="5"/>
  <c r="D125" i="5"/>
  <c r="E125" i="5"/>
  <c r="N773" i="6" l="1"/>
  <c r="Q773" i="6"/>
  <c r="R773" i="6" s="1"/>
  <c r="M773" i="6" s="1"/>
  <c r="S773" i="6" s="1"/>
  <c r="O774" i="6"/>
  <c r="P774" i="6" s="1"/>
  <c r="AD117" i="6"/>
  <c r="AD118" i="6" s="1"/>
  <c r="AK117" i="6"/>
  <c r="G125" i="5"/>
  <c r="H125" i="5" s="1"/>
  <c r="I125" i="5" s="1"/>
  <c r="C125" i="5"/>
  <c r="D126" i="5"/>
  <c r="F126" i="5" s="1"/>
  <c r="E126" i="5"/>
  <c r="B126" i="5"/>
  <c r="B119" i="6" s="1"/>
  <c r="C118" i="6" s="1"/>
  <c r="A127" i="5"/>
  <c r="O775" i="6" l="1"/>
  <c r="P775" i="6" s="1"/>
  <c r="Q774" i="6"/>
  <c r="R774" i="6" s="1"/>
  <c r="M774" i="6" s="1"/>
  <c r="S774" i="6" s="1"/>
  <c r="N774" i="6"/>
  <c r="AK118" i="6"/>
  <c r="J125" i="5"/>
  <c r="C126" i="5"/>
  <c r="AD119" i="6"/>
  <c r="G126" i="5"/>
  <c r="H126" i="5" s="1"/>
  <c r="I126" i="5" s="1"/>
  <c r="E127" i="5"/>
  <c r="G127" i="5" s="1"/>
  <c r="H127" i="5" s="1"/>
  <c r="I127" i="5" s="1"/>
  <c r="D127" i="5"/>
  <c r="F127" i="5" s="1"/>
  <c r="B127" i="5"/>
  <c r="B120" i="6" s="1"/>
  <c r="C119" i="6" s="1"/>
  <c r="A128" i="5"/>
  <c r="N775" i="6" l="1"/>
  <c r="O776" i="6"/>
  <c r="P776" i="6" s="1"/>
  <c r="Q775" i="6"/>
  <c r="R775" i="6" s="1"/>
  <c r="M775" i="6" s="1"/>
  <c r="S775" i="6" s="1"/>
  <c r="J127" i="5"/>
  <c r="AK119" i="6"/>
  <c r="J126" i="5"/>
  <c r="AK120" i="6"/>
  <c r="C127" i="5"/>
  <c r="C128" i="5" s="1"/>
  <c r="AD120" i="6"/>
  <c r="E128" i="5"/>
  <c r="G128" i="5" s="1"/>
  <c r="H128" i="5" s="1"/>
  <c r="B128" i="5"/>
  <c r="B121" i="6" s="1"/>
  <c r="C120" i="6" s="1"/>
  <c r="A129" i="5"/>
  <c r="D128" i="5"/>
  <c r="F128" i="5" s="1"/>
  <c r="O777" i="6" l="1"/>
  <c r="P777" i="6" s="1"/>
  <c r="Q776" i="6"/>
  <c r="R776" i="6" s="1"/>
  <c r="N776" i="6"/>
  <c r="I128" i="5"/>
  <c r="AD121" i="6"/>
  <c r="B129" i="5"/>
  <c r="B122" i="6" s="1"/>
  <c r="C121" i="6" s="1"/>
  <c r="E129" i="5"/>
  <c r="A130" i="5"/>
  <c r="D129" i="5"/>
  <c r="F129" i="5" s="1"/>
  <c r="M776" i="6" l="1"/>
  <c r="S776" i="6" s="1"/>
  <c r="Q777" i="6"/>
  <c r="R777" i="6" s="1"/>
  <c r="O778" i="6"/>
  <c r="P778" i="6" s="1"/>
  <c r="N777" i="6"/>
  <c r="AK121" i="6"/>
  <c r="J128" i="5"/>
  <c r="C129" i="5"/>
  <c r="G129" i="5"/>
  <c r="H129" i="5" s="1"/>
  <c r="I129" i="5" s="1"/>
  <c r="AD122" i="6"/>
  <c r="D130" i="5"/>
  <c r="F130" i="5" s="1"/>
  <c r="E130" i="5"/>
  <c r="G130" i="5" s="1"/>
  <c r="H130" i="5" s="1"/>
  <c r="I130" i="5" s="1"/>
  <c r="B130" i="5"/>
  <c r="B123" i="6" s="1"/>
  <c r="C122" i="6" s="1"/>
  <c r="A131" i="5"/>
  <c r="M777" i="6" l="1"/>
  <c r="S777" i="6" s="1"/>
  <c r="N778" i="6"/>
  <c r="O779" i="6"/>
  <c r="P779" i="6" s="1"/>
  <c r="Q778" i="6"/>
  <c r="R778" i="6" s="1"/>
  <c r="M778" i="6" s="1"/>
  <c r="S778" i="6" s="1"/>
  <c r="J130" i="5"/>
  <c r="AK122" i="6"/>
  <c r="J129" i="5"/>
  <c r="AK123" i="6"/>
  <c r="AD123" i="6"/>
  <c r="C130" i="5"/>
  <c r="D131" i="5"/>
  <c r="F131" i="5" s="1"/>
  <c r="E131" i="5"/>
  <c r="B131" i="5"/>
  <c r="B124" i="6" s="1"/>
  <c r="C123" i="6" s="1"/>
  <c r="A132" i="5"/>
  <c r="Q779" i="6" l="1"/>
  <c r="R779" i="6" s="1"/>
  <c r="O780" i="6"/>
  <c r="P780" i="6" s="1"/>
  <c r="N779" i="6"/>
  <c r="G131" i="5"/>
  <c r="H131" i="5" s="1"/>
  <c r="I131" i="5" s="1"/>
  <c r="C131" i="5"/>
  <c r="AD124" i="6"/>
  <c r="E132" i="5"/>
  <c r="A133" i="5"/>
  <c r="D132" i="5"/>
  <c r="F132" i="5" s="1"/>
  <c r="B132" i="5"/>
  <c r="B125" i="6" s="1"/>
  <c r="C124" i="6" s="1"/>
  <c r="M779" i="6" l="1"/>
  <c r="S779" i="6" s="1"/>
  <c r="Q780" i="6"/>
  <c r="R780" i="6" s="1"/>
  <c r="M780" i="6" s="1"/>
  <c r="S780" i="6" s="1"/>
  <c r="N780" i="6"/>
  <c r="O781" i="6"/>
  <c r="P781" i="6" s="1"/>
  <c r="AK124" i="6"/>
  <c r="J131" i="5"/>
  <c r="C132" i="5"/>
  <c r="AD125" i="6"/>
  <c r="AD126" i="6" s="1"/>
  <c r="AD127" i="6" s="1"/>
  <c r="AD128" i="6" s="1"/>
  <c r="AD129" i="6" s="1"/>
  <c r="AD130" i="6" s="1"/>
  <c r="AD131" i="6" s="1"/>
  <c r="AD132" i="6" s="1"/>
  <c r="AD133" i="6" s="1"/>
  <c r="AD134" i="6" s="1"/>
  <c r="AD135" i="6" s="1"/>
  <c r="AD136" i="6" s="1"/>
  <c r="AD137" i="6" s="1"/>
  <c r="AD138" i="6" s="1"/>
  <c r="AD139" i="6" s="1"/>
  <c r="AD140" i="6" s="1"/>
  <c r="AD141" i="6" s="1"/>
  <c r="AD142" i="6" s="1"/>
  <c r="AD143" i="6" s="1"/>
  <c r="AD144" i="6" s="1"/>
  <c r="AD145" i="6" s="1"/>
  <c r="AD146" i="6" s="1"/>
  <c r="AD147" i="6" s="1"/>
  <c r="AD148" i="6" s="1"/>
  <c r="AD149" i="6" s="1"/>
  <c r="AD150" i="6" s="1"/>
  <c r="AD151" i="6" s="1"/>
  <c r="AD152" i="6" s="1"/>
  <c r="AD153" i="6" s="1"/>
  <c r="AD154" i="6" s="1"/>
  <c r="AD155" i="6" s="1"/>
  <c r="AD156" i="6" s="1"/>
  <c r="AD157" i="6" s="1"/>
  <c r="AD158" i="6" s="1"/>
  <c r="AD159" i="6" s="1"/>
  <c r="AD160" i="6" s="1"/>
  <c r="AD161" i="6" s="1"/>
  <c r="AD162" i="6" s="1"/>
  <c r="AD163" i="6" s="1"/>
  <c r="AD164" i="6" s="1"/>
  <c r="AD165" i="6" s="1"/>
  <c r="AD166" i="6" s="1"/>
  <c r="AD167" i="6" s="1"/>
  <c r="AD168" i="6" s="1"/>
  <c r="AD169" i="6" s="1"/>
  <c r="AD170" i="6" s="1"/>
  <c r="AD171" i="6" s="1"/>
  <c r="AD172" i="6" s="1"/>
  <c r="AD173" i="6" s="1"/>
  <c r="AD174" i="6" s="1"/>
  <c r="AD175" i="6" s="1"/>
  <c r="AD176" i="6" s="1"/>
  <c r="AD177" i="6" s="1"/>
  <c r="AD178" i="6" s="1"/>
  <c r="AD179" i="6" s="1"/>
  <c r="AD180" i="6" s="1"/>
  <c r="AD181" i="6" s="1"/>
  <c r="AD182" i="6" s="1"/>
  <c r="AD183" i="6" s="1"/>
  <c r="AD184" i="6" s="1"/>
  <c r="AD185" i="6" s="1"/>
  <c r="AD186" i="6" s="1"/>
  <c r="AD187" i="6" s="1"/>
  <c r="AD188" i="6" s="1"/>
  <c r="AD189" i="6" s="1"/>
  <c r="AD190" i="6" s="1"/>
  <c r="AD191" i="6" s="1"/>
  <c r="AD192" i="6" s="1"/>
  <c r="AD193" i="6" s="1"/>
  <c r="AD194" i="6" s="1"/>
  <c r="AD195" i="6" s="1"/>
  <c r="AD196" i="6" s="1"/>
  <c r="AD197" i="6" s="1"/>
  <c r="AD198" i="6" s="1"/>
  <c r="AD199" i="6" s="1"/>
  <c r="AD200" i="6" s="1"/>
  <c r="AD201" i="6" s="1"/>
  <c r="AD202" i="6" s="1"/>
  <c r="AD203" i="6" s="1"/>
  <c r="AD204" i="6" s="1"/>
  <c r="AD205" i="6" s="1"/>
  <c r="AD206" i="6" s="1"/>
  <c r="AD207" i="6" s="1"/>
  <c r="AD208" i="6" s="1"/>
  <c r="AD209" i="6" s="1"/>
  <c r="AD210" i="6" s="1"/>
  <c r="AD211" i="6" s="1"/>
  <c r="AD212" i="6" s="1"/>
  <c r="AD213" i="6" s="1"/>
  <c r="AD214" i="6" s="1"/>
  <c r="AD215" i="6" s="1"/>
  <c r="AD216" i="6" s="1"/>
  <c r="AD217" i="6" s="1"/>
  <c r="AD218" i="6" s="1"/>
  <c r="AD219" i="6" s="1"/>
  <c r="AD220" i="6" s="1"/>
  <c r="AD221" i="6" s="1"/>
  <c r="AD222" i="6" s="1"/>
  <c r="AD223" i="6" s="1"/>
  <c r="AD224" i="6" s="1"/>
  <c r="AD225" i="6" s="1"/>
  <c r="AD226" i="6" s="1"/>
  <c r="AD227" i="6" s="1"/>
  <c r="AD228" i="6" s="1"/>
  <c r="AD229" i="6" s="1"/>
  <c r="AD230" i="6" s="1"/>
  <c r="AD231" i="6" s="1"/>
  <c r="AD232" i="6" s="1"/>
  <c r="AD233" i="6" s="1"/>
  <c r="AD234" i="6" s="1"/>
  <c r="AD235" i="6" s="1"/>
  <c r="AD236" i="6" s="1"/>
  <c r="AD237" i="6" s="1"/>
  <c r="AD238" i="6" s="1"/>
  <c r="AD239" i="6" s="1"/>
  <c r="AD240" i="6" s="1"/>
  <c r="AD241" i="6" s="1"/>
  <c r="AD242" i="6" s="1"/>
  <c r="AD243" i="6" s="1"/>
  <c r="AD244" i="6" s="1"/>
  <c r="AD245" i="6" s="1"/>
  <c r="AD246" i="6" s="1"/>
  <c r="AD247" i="6" s="1"/>
  <c r="AD248" i="6" s="1"/>
  <c r="AD249" i="6" s="1"/>
  <c r="AD250" i="6" s="1"/>
  <c r="AD251" i="6" s="1"/>
  <c r="AD252" i="6" s="1"/>
  <c r="AD253" i="6" s="1"/>
  <c r="AD254" i="6" s="1"/>
  <c r="AD255" i="6" s="1"/>
  <c r="AD256" i="6" s="1"/>
  <c r="AD257" i="6" s="1"/>
  <c r="AD258" i="6" s="1"/>
  <c r="AD259" i="6" s="1"/>
  <c r="AD260" i="6" s="1"/>
  <c r="AD261" i="6" s="1"/>
  <c r="AD262" i="6" s="1"/>
  <c r="AD263" i="6" s="1"/>
  <c r="AD264" i="6" s="1"/>
  <c r="AD265" i="6" s="1"/>
  <c r="AD266" i="6" s="1"/>
  <c r="AD267" i="6" s="1"/>
  <c r="AD268" i="6" s="1"/>
  <c r="AD269" i="6" s="1"/>
  <c r="AD270" i="6" s="1"/>
  <c r="AD271" i="6" s="1"/>
  <c r="AD272" i="6" s="1"/>
  <c r="AD273" i="6" s="1"/>
  <c r="AD274" i="6" s="1"/>
  <c r="AD275" i="6" s="1"/>
  <c r="AD276" i="6" s="1"/>
  <c r="AD277" i="6" s="1"/>
  <c r="AD278" i="6" s="1"/>
  <c r="AD279" i="6" s="1"/>
  <c r="AD280" i="6" s="1"/>
  <c r="AD281" i="6" s="1"/>
  <c r="AD282" i="6" s="1"/>
  <c r="AD283" i="6" s="1"/>
  <c r="AD284" i="6" s="1"/>
  <c r="AD285" i="6" s="1"/>
  <c r="AD286" i="6" s="1"/>
  <c r="AD287" i="6" s="1"/>
  <c r="AD288" i="6" s="1"/>
  <c r="AD289" i="6" s="1"/>
  <c r="AD290" i="6" s="1"/>
  <c r="AD291" i="6" s="1"/>
  <c r="AD292" i="6" s="1"/>
  <c r="AD293" i="6" s="1"/>
  <c r="AD294" i="6" s="1"/>
  <c r="AD295" i="6" s="1"/>
  <c r="AD296" i="6" s="1"/>
  <c r="AD297" i="6" s="1"/>
  <c r="AD298" i="6" s="1"/>
  <c r="AD299" i="6" s="1"/>
  <c r="AD300" i="6" s="1"/>
  <c r="AD301" i="6" s="1"/>
  <c r="AD302" i="6" s="1"/>
  <c r="AD303" i="6" s="1"/>
  <c r="AD304" i="6" s="1"/>
  <c r="AD305" i="6" s="1"/>
  <c r="AD306" i="6" s="1"/>
  <c r="AD307" i="6" s="1"/>
  <c r="AD308" i="6" s="1"/>
  <c r="AD309" i="6" s="1"/>
  <c r="AD310" i="6" s="1"/>
  <c r="AD311" i="6" s="1"/>
  <c r="AD312" i="6" s="1"/>
  <c r="AD313" i="6" s="1"/>
  <c r="AD314" i="6" s="1"/>
  <c r="AD315" i="6" s="1"/>
  <c r="AD316" i="6" s="1"/>
  <c r="AD317" i="6" s="1"/>
  <c r="AD318" i="6" s="1"/>
  <c r="AD319" i="6" s="1"/>
  <c r="AD320" i="6" s="1"/>
  <c r="AD321" i="6" s="1"/>
  <c r="AD322" i="6" s="1"/>
  <c r="AD323" i="6" s="1"/>
  <c r="AD324" i="6" s="1"/>
  <c r="AD325" i="6" s="1"/>
  <c r="AD326" i="6" s="1"/>
  <c r="AD327" i="6" s="1"/>
  <c r="AD328" i="6" s="1"/>
  <c r="AD329" i="6" s="1"/>
  <c r="AD330" i="6" s="1"/>
  <c r="AD331" i="6" s="1"/>
  <c r="AD332" i="6" s="1"/>
  <c r="AD333" i="6" s="1"/>
  <c r="AD334" i="6" s="1"/>
  <c r="AD335" i="6" s="1"/>
  <c r="AD336" i="6" s="1"/>
  <c r="AD337" i="6" s="1"/>
  <c r="AD338" i="6" s="1"/>
  <c r="AD339" i="6" s="1"/>
  <c r="AD340" i="6" s="1"/>
  <c r="AD341" i="6" s="1"/>
  <c r="AD342" i="6" s="1"/>
  <c r="AD343" i="6" s="1"/>
  <c r="AD344" i="6" s="1"/>
  <c r="AD345" i="6" s="1"/>
  <c r="AD346" i="6" s="1"/>
  <c r="AD347" i="6" s="1"/>
  <c r="AD348" i="6" s="1"/>
  <c r="AD349" i="6" s="1"/>
  <c r="AD350" i="6" s="1"/>
  <c r="AD351" i="6" s="1"/>
  <c r="AD352" i="6" s="1"/>
  <c r="AD353" i="6" s="1"/>
  <c r="AD354" i="6" s="1"/>
  <c r="AD355" i="6" s="1"/>
  <c r="AD356" i="6" s="1"/>
  <c r="AD357" i="6" s="1"/>
  <c r="AD358" i="6" s="1"/>
  <c r="AD359" i="6" s="1"/>
  <c r="AD360" i="6" s="1"/>
  <c r="AD361" i="6" s="1"/>
  <c r="AD362" i="6" s="1"/>
  <c r="AD363" i="6" s="1"/>
  <c r="AD364" i="6" s="1"/>
  <c r="AP10" i="6" s="1"/>
  <c r="G132" i="5"/>
  <c r="H132" i="5" s="1"/>
  <c r="I132" i="5" s="1"/>
  <c r="D133" i="5"/>
  <c r="F133" i="5" s="1"/>
  <c r="E133" i="5"/>
  <c r="G133" i="5" s="1"/>
  <c r="H133" i="5" s="1"/>
  <c r="I133" i="5" s="1"/>
  <c r="B133" i="5"/>
  <c r="C133" i="5" s="1"/>
  <c r="A134" i="5"/>
  <c r="N781" i="6" l="1"/>
  <c r="Q781" i="6"/>
  <c r="R781" i="6" s="1"/>
  <c r="M781" i="6" s="1"/>
  <c r="S781" i="6" s="1"/>
  <c r="O782" i="6"/>
  <c r="P782" i="6" s="1"/>
  <c r="AK126" i="6"/>
  <c r="J133" i="5"/>
  <c r="AK125" i="6"/>
  <c r="J132" i="5"/>
  <c r="A135" i="5"/>
  <c r="E134" i="5"/>
  <c r="G134" i="5" s="1"/>
  <c r="H134" i="5" s="1"/>
  <c r="B134" i="5"/>
  <c r="C134" i="5" s="1"/>
  <c r="D134" i="5"/>
  <c r="F134" i="5" s="1"/>
  <c r="O783" i="6" l="1"/>
  <c r="P783" i="6" s="1"/>
  <c r="N782" i="6"/>
  <c r="Q782" i="6"/>
  <c r="R782" i="6" s="1"/>
  <c r="M782" i="6" s="1"/>
  <c r="S782" i="6" s="1"/>
  <c r="I134" i="5"/>
  <c r="A136" i="5"/>
  <c r="E135" i="5"/>
  <c r="B135" i="5"/>
  <c r="C135" i="5" s="1"/>
  <c r="D135" i="5"/>
  <c r="F135" i="5" s="1"/>
  <c r="Q783" i="6" l="1"/>
  <c r="R783" i="6" s="1"/>
  <c r="M783" i="6" s="1"/>
  <c r="S783" i="6" s="1"/>
  <c r="N783" i="6"/>
  <c r="O784" i="6"/>
  <c r="P784" i="6" s="1"/>
  <c r="AK127" i="6"/>
  <c r="J134" i="5"/>
  <c r="G135" i="5"/>
  <c r="H135" i="5" s="1"/>
  <c r="I135" i="5" s="1"/>
  <c r="A137" i="5"/>
  <c r="D136" i="5"/>
  <c r="F136" i="5" s="1"/>
  <c r="E136" i="5"/>
  <c r="G136" i="5" s="1"/>
  <c r="H136" i="5" s="1"/>
  <c r="B136" i="5"/>
  <c r="C136" i="5" s="1"/>
  <c r="O785" i="6" l="1"/>
  <c r="P785" i="6" s="1"/>
  <c r="N784" i="6"/>
  <c r="Q784" i="6"/>
  <c r="R784" i="6" s="1"/>
  <c r="M784" i="6" s="1"/>
  <c r="S784" i="6" s="1"/>
  <c r="AK128" i="6"/>
  <c r="J135" i="5"/>
  <c r="I136" i="5"/>
  <c r="E137" i="5"/>
  <c r="B137" i="5"/>
  <c r="C137" i="5" s="1"/>
  <c r="D137" i="5"/>
  <c r="F137" i="5" s="1"/>
  <c r="A138" i="5"/>
  <c r="O786" i="6" l="1"/>
  <c r="P786" i="6" s="1"/>
  <c r="N785" i="6"/>
  <c r="Q785" i="6"/>
  <c r="R785" i="6" s="1"/>
  <c r="M785" i="6" s="1"/>
  <c r="S785" i="6" s="1"/>
  <c r="AK129" i="6"/>
  <c r="J136" i="5"/>
  <c r="G137" i="5"/>
  <c r="H137" i="5" s="1"/>
  <c r="I137" i="5" s="1"/>
  <c r="D138" i="5"/>
  <c r="F138" i="5" s="1"/>
  <c r="B138" i="5"/>
  <c r="C138" i="5" s="1"/>
  <c r="E138" i="5"/>
  <c r="A139" i="5"/>
  <c r="O787" i="6" l="1"/>
  <c r="P787" i="6" s="1"/>
  <c r="N786" i="6"/>
  <c r="Q786" i="6"/>
  <c r="R786" i="6" s="1"/>
  <c r="M786" i="6" s="1"/>
  <c r="S786" i="6" s="1"/>
  <c r="AK130" i="6"/>
  <c r="J137" i="5"/>
  <c r="G138" i="5"/>
  <c r="H138" i="5" s="1"/>
  <c r="I138" i="5" s="1"/>
  <c r="A140" i="5"/>
  <c r="D139" i="5"/>
  <c r="F139" i="5" s="1"/>
  <c r="B139" i="5"/>
  <c r="C139" i="5" s="1"/>
  <c r="E139" i="5"/>
  <c r="G139" i="5" s="1"/>
  <c r="H139" i="5" s="1"/>
  <c r="I139" i="5" s="1"/>
  <c r="N787" i="6" l="1"/>
  <c r="Q787" i="6"/>
  <c r="R787" i="6" s="1"/>
  <c r="M787" i="6" s="1"/>
  <c r="S787" i="6" s="1"/>
  <c r="O788" i="6"/>
  <c r="P788" i="6" s="1"/>
  <c r="AK132" i="6"/>
  <c r="J139" i="5"/>
  <c r="AK131" i="6"/>
  <c r="J138" i="5"/>
  <c r="B140" i="5"/>
  <c r="C140" i="5" s="1"/>
  <c r="D140" i="5"/>
  <c r="E140" i="5"/>
  <c r="A141" i="5"/>
  <c r="F140" i="5"/>
  <c r="O789" i="6" l="1"/>
  <c r="P789" i="6" s="1"/>
  <c r="Q788" i="6"/>
  <c r="R788" i="6" s="1"/>
  <c r="M788" i="6" s="1"/>
  <c r="S788" i="6" s="1"/>
  <c r="N788" i="6"/>
  <c r="G140" i="5"/>
  <c r="H140" i="5" s="1"/>
  <c r="I140" i="5" s="1"/>
  <c r="A142" i="5"/>
  <c r="D141" i="5"/>
  <c r="F141" i="5" s="1"/>
  <c r="E141" i="5"/>
  <c r="G141" i="5" s="1"/>
  <c r="H141" i="5" s="1"/>
  <c r="B141" i="5"/>
  <c r="C141" i="5" s="1"/>
  <c r="N789" i="6" l="1"/>
  <c r="Q789" i="6"/>
  <c r="R789" i="6" s="1"/>
  <c r="M789" i="6" s="1"/>
  <c r="S789" i="6" s="1"/>
  <c r="O790" i="6"/>
  <c r="P790" i="6" s="1"/>
  <c r="AK133" i="6"/>
  <c r="J140" i="5"/>
  <c r="I141" i="5"/>
  <c r="D142" i="5"/>
  <c r="E142" i="5"/>
  <c r="B142" i="5"/>
  <c r="C142" i="5" s="1"/>
  <c r="A143" i="5"/>
  <c r="F142" i="5"/>
  <c r="N790" i="6" l="1"/>
  <c r="Q790" i="6"/>
  <c r="R790" i="6" s="1"/>
  <c r="M790" i="6" s="1"/>
  <c r="S790" i="6" s="1"/>
  <c r="O791" i="6"/>
  <c r="P791" i="6" s="1"/>
  <c r="AK134" i="6"/>
  <c r="J141" i="5"/>
  <c r="G142" i="5"/>
  <c r="H142" i="5" s="1"/>
  <c r="I142" i="5" s="1"/>
  <c r="D143" i="5"/>
  <c r="F143" i="5" s="1"/>
  <c r="A144" i="5"/>
  <c r="E143" i="5"/>
  <c r="B143" i="5"/>
  <c r="C143" i="5" s="1"/>
  <c r="N791" i="6" l="1"/>
  <c r="O792" i="6"/>
  <c r="P792" i="6" s="1"/>
  <c r="Q791" i="6"/>
  <c r="R791" i="6" s="1"/>
  <c r="M791" i="6" s="1"/>
  <c r="S791" i="6" s="1"/>
  <c r="AK135" i="6"/>
  <c r="J142" i="5"/>
  <c r="G143" i="5"/>
  <c r="H143" i="5" s="1"/>
  <c r="I143" i="5" s="1"/>
  <c r="D144" i="5"/>
  <c r="F144" i="5" s="1"/>
  <c r="A145" i="5"/>
  <c r="E144" i="5"/>
  <c r="B144" i="5"/>
  <c r="C144" i="5" s="1"/>
  <c r="O793" i="6" l="1"/>
  <c r="P793" i="6" s="1"/>
  <c r="N792" i="6"/>
  <c r="Q792" i="6"/>
  <c r="R792" i="6" s="1"/>
  <c r="M792" i="6" s="1"/>
  <c r="S792" i="6" s="1"/>
  <c r="AK136" i="6"/>
  <c r="J143" i="5"/>
  <c r="G144" i="5"/>
  <c r="H144" i="5" s="1"/>
  <c r="I144" i="5" s="1"/>
  <c r="A146" i="5"/>
  <c r="E145" i="5"/>
  <c r="B145" i="5"/>
  <c r="C145" i="5" s="1"/>
  <c r="D145" i="5"/>
  <c r="F145" i="5" s="1"/>
  <c r="Q793" i="6" l="1"/>
  <c r="R793" i="6" s="1"/>
  <c r="O794" i="6"/>
  <c r="P794" i="6" s="1"/>
  <c r="N793" i="6"/>
  <c r="AK137" i="6"/>
  <c r="J144" i="5"/>
  <c r="G145" i="5"/>
  <c r="H145" i="5" s="1"/>
  <c r="I145" i="5" s="1"/>
  <c r="A147" i="5"/>
  <c r="D146" i="5"/>
  <c r="F146" i="5" s="1"/>
  <c r="E146" i="5"/>
  <c r="B146" i="5"/>
  <c r="C146" i="5" s="1"/>
  <c r="Q794" i="6" l="1"/>
  <c r="R794" i="6" s="1"/>
  <c r="N794" i="6"/>
  <c r="O795" i="6"/>
  <c r="P795" i="6" s="1"/>
  <c r="M793" i="6"/>
  <c r="S793" i="6" s="1"/>
  <c r="AK138" i="6"/>
  <c r="J145" i="5"/>
  <c r="G146" i="5"/>
  <c r="H146" i="5" s="1"/>
  <c r="I146" i="5" s="1"/>
  <c r="A148" i="5"/>
  <c r="E147" i="5"/>
  <c r="B147" i="5"/>
  <c r="C147" i="5" s="1"/>
  <c r="D147" i="5"/>
  <c r="F147" i="5" s="1"/>
  <c r="M794" i="6" l="1"/>
  <c r="S794" i="6" s="1"/>
  <c r="N795" i="6"/>
  <c r="O796" i="6"/>
  <c r="P796" i="6" s="1"/>
  <c r="Q795" i="6"/>
  <c r="R795" i="6" s="1"/>
  <c r="M795" i="6" s="1"/>
  <c r="S795" i="6" s="1"/>
  <c r="AK139" i="6"/>
  <c r="J146" i="5"/>
  <c r="G147" i="5"/>
  <c r="H147" i="5" s="1"/>
  <c r="I147" i="5" s="1"/>
  <c r="E148" i="5"/>
  <c r="G148" i="5" s="1"/>
  <c r="H148" i="5" s="1"/>
  <c r="D148" i="5"/>
  <c r="F148" i="5" s="1"/>
  <c r="B148" i="5"/>
  <c r="C148" i="5" s="1"/>
  <c r="A149" i="5"/>
  <c r="Q796" i="6" l="1"/>
  <c r="R796" i="6" s="1"/>
  <c r="M796" i="6" s="1"/>
  <c r="S796" i="6" s="1"/>
  <c r="N796" i="6"/>
  <c r="O797" i="6"/>
  <c r="P797" i="6" s="1"/>
  <c r="AK140" i="6"/>
  <c r="J147" i="5"/>
  <c r="I148" i="5"/>
  <c r="D149" i="5"/>
  <c r="F149" i="5" s="1"/>
  <c r="E149" i="5"/>
  <c r="G149" i="5" s="1"/>
  <c r="H149" i="5" s="1"/>
  <c r="B149" i="5"/>
  <c r="C149" i="5" s="1"/>
  <c r="A150" i="5"/>
  <c r="N797" i="6" l="1"/>
  <c r="O798" i="6"/>
  <c r="P798" i="6" s="1"/>
  <c r="Q797" i="6"/>
  <c r="R797" i="6" s="1"/>
  <c r="M797" i="6" s="1"/>
  <c r="S797" i="6" s="1"/>
  <c r="AK141" i="6"/>
  <c r="J148" i="5"/>
  <c r="I149" i="5"/>
  <c r="D150" i="5"/>
  <c r="F150" i="5" s="1"/>
  <c r="A151" i="5"/>
  <c r="B150" i="5"/>
  <c r="C150" i="5" s="1"/>
  <c r="E150" i="5"/>
  <c r="Q798" i="6" l="1"/>
  <c r="R798" i="6" s="1"/>
  <c r="O799" i="6"/>
  <c r="P799" i="6" s="1"/>
  <c r="N798" i="6"/>
  <c r="AK142" i="6"/>
  <c r="J149" i="5"/>
  <c r="G150" i="5"/>
  <c r="H150" i="5" s="1"/>
  <c r="I150" i="5" s="1"/>
  <c r="E151" i="5"/>
  <c r="D151" i="5"/>
  <c r="F151" i="5" s="1"/>
  <c r="A152" i="5"/>
  <c r="B151" i="5"/>
  <c r="C151" i="5" s="1"/>
  <c r="M798" i="6" l="1"/>
  <c r="S798" i="6" s="1"/>
  <c r="N799" i="6"/>
  <c r="O800" i="6"/>
  <c r="P800" i="6" s="1"/>
  <c r="Q799" i="6"/>
  <c r="R799" i="6" s="1"/>
  <c r="M799" i="6" s="1"/>
  <c r="S799" i="6" s="1"/>
  <c r="AK143" i="6"/>
  <c r="J150" i="5"/>
  <c r="G151" i="5"/>
  <c r="H151" i="5" s="1"/>
  <c r="I151" i="5" s="1"/>
  <c r="E152" i="5"/>
  <c r="G152" i="5" s="1"/>
  <c r="H152" i="5" s="1"/>
  <c r="I152" i="5" s="1"/>
  <c r="A153" i="5"/>
  <c r="B152" i="5"/>
  <c r="C152" i="5" s="1"/>
  <c r="D152" i="5"/>
  <c r="F152" i="5" s="1"/>
  <c r="Q800" i="6" l="1"/>
  <c r="R800" i="6" s="1"/>
  <c r="O801" i="6"/>
  <c r="P801" i="6" s="1"/>
  <c r="N800" i="6"/>
  <c r="AK144" i="6"/>
  <c r="J151" i="5"/>
  <c r="AK145" i="6"/>
  <c r="J152" i="5"/>
  <c r="B153" i="5"/>
  <c r="C153" i="5" s="1"/>
  <c r="A154" i="5"/>
  <c r="E153" i="5"/>
  <c r="D153" i="5"/>
  <c r="F153" i="5" s="1"/>
  <c r="M800" i="6" l="1"/>
  <c r="S800" i="6" s="1"/>
  <c r="N801" i="6"/>
  <c r="Q801" i="6"/>
  <c r="R801" i="6" s="1"/>
  <c r="M801" i="6" s="1"/>
  <c r="S801" i="6" s="1"/>
  <c r="O802" i="6"/>
  <c r="P802" i="6" s="1"/>
  <c r="G153" i="5"/>
  <c r="H153" i="5" s="1"/>
  <c r="I153" i="5" s="1"/>
  <c r="B154" i="5"/>
  <c r="C154" i="5" s="1"/>
  <c r="E154" i="5"/>
  <c r="A155" i="5"/>
  <c r="D154" i="5"/>
  <c r="F154" i="5" s="1"/>
  <c r="O803" i="6" l="1"/>
  <c r="P803" i="6" s="1"/>
  <c r="N802" i="6"/>
  <c r="Q802" i="6"/>
  <c r="R802" i="6" s="1"/>
  <c r="M802" i="6" s="1"/>
  <c r="S802" i="6" s="1"/>
  <c r="AK146" i="6"/>
  <c r="J153" i="5"/>
  <c r="G154" i="5"/>
  <c r="H154" i="5" s="1"/>
  <c r="I154" i="5" s="1"/>
  <c r="D155" i="5"/>
  <c r="F155" i="5" s="1"/>
  <c r="E155" i="5"/>
  <c r="B155" i="5"/>
  <c r="C155" i="5" s="1"/>
  <c r="A156" i="5"/>
  <c r="O804" i="6" l="1"/>
  <c r="P804" i="6" s="1"/>
  <c r="N803" i="6"/>
  <c r="Q803" i="6"/>
  <c r="R803" i="6" s="1"/>
  <c r="M803" i="6" s="1"/>
  <c r="S803" i="6" s="1"/>
  <c r="AK147" i="6"/>
  <c r="J154" i="5"/>
  <c r="G155" i="5"/>
  <c r="H155" i="5" s="1"/>
  <c r="I155" i="5" s="1"/>
  <c r="D156" i="5"/>
  <c r="F156" i="5" s="1"/>
  <c r="B156" i="5"/>
  <c r="C156" i="5" s="1"/>
  <c r="E156" i="5"/>
  <c r="A157" i="5"/>
  <c r="N804" i="6" l="1"/>
  <c r="O805" i="6"/>
  <c r="P805" i="6" s="1"/>
  <c r="Q804" i="6"/>
  <c r="R804" i="6" s="1"/>
  <c r="M804" i="6" s="1"/>
  <c r="S804" i="6" s="1"/>
  <c r="AK148" i="6"/>
  <c r="J155" i="5"/>
  <c r="G156" i="5"/>
  <c r="H156" i="5" s="1"/>
  <c r="I156" i="5" s="1"/>
  <c r="B157" i="5"/>
  <c r="C157" i="5" s="1"/>
  <c r="D157" i="5"/>
  <c r="F157" i="5" s="1"/>
  <c r="A158" i="5"/>
  <c r="E157" i="5"/>
  <c r="G157" i="5" s="1"/>
  <c r="H157" i="5" s="1"/>
  <c r="I157" i="5" s="1"/>
  <c r="O806" i="6" l="1"/>
  <c r="P806" i="6" s="1"/>
  <c r="N805" i="6"/>
  <c r="Q805" i="6"/>
  <c r="R805" i="6" s="1"/>
  <c r="M805" i="6" s="1"/>
  <c r="S805" i="6" s="1"/>
  <c r="AK149" i="6"/>
  <c r="J156" i="5"/>
  <c r="AK150" i="6"/>
  <c r="J157" i="5"/>
  <c r="A159" i="5"/>
  <c r="B158" i="5"/>
  <c r="C158" i="5" s="1"/>
  <c r="D158" i="5"/>
  <c r="F158" i="5" s="1"/>
  <c r="E158" i="5"/>
  <c r="N806" i="6" l="1"/>
  <c r="Q806" i="6"/>
  <c r="R806" i="6" s="1"/>
  <c r="M806" i="6" s="1"/>
  <c r="S806" i="6" s="1"/>
  <c r="O807" i="6"/>
  <c r="P807" i="6" s="1"/>
  <c r="G158" i="5"/>
  <c r="H158" i="5" s="1"/>
  <c r="I158" i="5" s="1"/>
  <c r="D159" i="5"/>
  <c r="F159" i="5" s="1"/>
  <c r="A160" i="5"/>
  <c r="E159" i="5"/>
  <c r="G159" i="5" s="1"/>
  <c r="H159" i="5" s="1"/>
  <c r="I159" i="5" s="1"/>
  <c r="B159" i="5"/>
  <c r="C159" i="5" s="1"/>
  <c r="N807" i="6" l="1"/>
  <c r="O808" i="6"/>
  <c r="P808" i="6" s="1"/>
  <c r="Q807" i="6"/>
  <c r="R807" i="6" s="1"/>
  <c r="M807" i="6" s="1"/>
  <c r="S807" i="6" s="1"/>
  <c r="AK152" i="6"/>
  <c r="J159" i="5"/>
  <c r="AK151" i="6"/>
  <c r="J158" i="5"/>
  <c r="D160" i="5"/>
  <c r="F160" i="5" s="1"/>
  <c r="E160" i="5"/>
  <c r="B160" i="5"/>
  <c r="C160" i="5" s="1"/>
  <c r="A161" i="5"/>
  <c r="N808" i="6" l="1"/>
  <c r="Q808" i="6"/>
  <c r="R808" i="6" s="1"/>
  <c r="M808" i="6" s="1"/>
  <c r="S808" i="6" s="1"/>
  <c r="O809" i="6"/>
  <c r="P809" i="6" s="1"/>
  <c r="G160" i="5"/>
  <c r="H160" i="5" s="1"/>
  <c r="I160" i="5" s="1"/>
  <c r="D161" i="5"/>
  <c r="F161" i="5" s="1"/>
  <c r="B161" i="5"/>
  <c r="C161" i="5" s="1"/>
  <c r="E161" i="5"/>
  <c r="A162" i="5"/>
  <c r="O810" i="6" l="1"/>
  <c r="P810" i="6" s="1"/>
  <c r="N809" i="6"/>
  <c r="Q809" i="6"/>
  <c r="R809" i="6" s="1"/>
  <c r="M809" i="6" s="1"/>
  <c r="S809" i="6" s="1"/>
  <c r="AK153" i="6"/>
  <c r="J160" i="5"/>
  <c r="G161" i="5"/>
  <c r="H161" i="5" s="1"/>
  <c r="I161" i="5" s="1"/>
  <c r="D162" i="5"/>
  <c r="F162" i="5" s="1"/>
  <c r="E162" i="5"/>
  <c r="B162" i="5"/>
  <c r="C162" i="5" s="1"/>
  <c r="A163" i="5"/>
  <c r="O811" i="6" l="1"/>
  <c r="P811" i="6" s="1"/>
  <c r="Q810" i="6"/>
  <c r="R810" i="6" s="1"/>
  <c r="N810" i="6"/>
  <c r="AK154" i="6"/>
  <c r="J161" i="5"/>
  <c r="G162" i="5"/>
  <c r="H162" i="5" s="1"/>
  <c r="I162" i="5" s="1"/>
  <c r="E163" i="5"/>
  <c r="B163" i="5"/>
  <c r="C163" i="5" s="1"/>
  <c r="A164" i="5"/>
  <c r="D163" i="5"/>
  <c r="F163" i="5" s="1"/>
  <c r="M810" i="6" l="1"/>
  <c r="S810" i="6" s="1"/>
  <c r="Q811" i="6"/>
  <c r="R811" i="6" s="1"/>
  <c r="M811" i="6" s="1"/>
  <c r="S811" i="6" s="1"/>
  <c r="N811" i="6"/>
  <c r="O812" i="6"/>
  <c r="P812" i="6" s="1"/>
  <c r="AK155" i="6"/>
  <c r="J162" i="5"/>
  <c r="G163" i="5"/>
  <c r="H163" i="5" s="1"/>
  <c r="I163" i="5" s="1"/>
  <c r="D164" i="5"/>
  <c r="F164" i="5" s="1"/>
  <c r="E164" i="5"/>
  <c r="B164" i="5"/>
  <c r="C164" i="5" s="1"/>
  <c r="A165" i="5"/>
  <c r="Q812" i="6" l="1"/>
  <c r="R812" i="6" s="1"/>
  <c r="N812" i="6"/>
  <c r="O813" i="6"/>
  <c r="P813" i="6" s="1"/>
  <c r="AK156" i="6"/>
  <c r="J163" i="5"/>
  <c r="G164" i="5"/>
  <c r="H164" i="5" s="1"/>
  <c r="I164" i="5" s="1"/>
  <c r="A166" i="5"/>
  <c r="E165" i="5"/>
  <c r="G165" i="5" s="1"/>
  <c r="H165" i="5" s="1"/>
  <c r="D165" i="5"/>
  <c r="F165" i="5" s="1"/>
  <c r="B165" i="5"/>
  <c r="C165" i="5" s="1"/>
  <c r="M812" i="6" l="1"/>
  <c r="S812" i="6" s="1"/>
  <c r="N813" i="6"/>
  <c r="Q813" i="6"/>
  <c r="R813" i="6" s="1"/>
  <c r="M813" i="6" s="1"/>
  <c r="S813" i="6" s="1"/>
  <c r="O814" i="6"/>
  <c r="P814" i="6" s="1"/>
  <c r="AK157" i="6"/>
  <c r="J164" i="5"/>
  <c r="I165" i="5"/>
  <c r="A167" i="5"/>
  <c r="B166" i="5"/>
  <c r="C166" i="5" s="1"/>
  <c r="E166" i="5"/>
  <c r="D166" i="5"/>
  <c r="F166" i="5" s="1"/>
  <c r="N814" i="6" l="1"/>
  <c r="O815" i="6"/>
  <c r="P815" i="6" s="1"/>
  <c r="Q814" i="6"/>
  <c r="R814" i="6" s="1"/>
  <c r="M814" i="6" s="1"/>
  <c r="S814" i="6" s="1"/>
  <c r="AK158" i="6"/>
  <c r="J165" i="5"/>
  <c r="G166" i="5"/>
  <c r="H166" i="5" s="1"/>
  <c r="I166" i="5" s="1"/>
  <c r="B167" i="5"/>
  <c r="C167" i="5" s="1"/>
  <c r="D167" i="5"/>
  <c r="F167" i="5" s="1"/>
  <c r="E167" i="5"/>
  <c r="A168" i="5"/>
  <c r="O816" i="6" l="1"/>
  <c r="P816" i="6" s="1"/>
  <c r="N815" i="6"/>
  <c r="Q815" i="6"/>
  <c r="R815" i="6" s="1"/>
  <c r="M815" i="6" s="1"/>
  <c r="S815" i="6" s="1"/>
  <c r="AK159" i="6"/>
  <c r="J166" i="5"/>
  <c r="G167" i="5"/>
  <c r="H167" i="5" s="1"/>
  <c r="I167" i="5" s="1"/>
  <c r="D168" i="5"/>
  <c r="F168" i="5" s="1"/>
  <c r="B168" i="5"/>
  <c r="C168" i="5" s="1"/>
  <c r="A169" i="5"/>
  <c r="E168" i="5"/>
  <c r="G168" i="5" s="1"/>
  <c r="H168" i="5" s="1"/>
  <c r="I168" i="5" s="1"/>
  <c r="N816" i="6" l="1"/>
  <c r="O817" i="6"/>
  <c r="P817" i="6" s="1"/>
  <c r="Q816" i="6"/>
  <c r="R816" i="6" s="1"/>
  <c r="M816" i="6" s="1"/>
  <c r="S816" i="6" s="1"/>
  <c r="AK161" i="6"/>
  <c r="J168" i="5"/>
  <c r="AK160" i="6"/>
  <c r="J167" i="5"/>
  <c r="D169" i="5"/>
  <c r="F169" i="5" s="1"/>
  <c r="B169" i="5"/>
  <c r="C169" i="5" s="1"/>
  <c r="E169" i="5"/>
  <c r="A170" i="5"/>
  <c r="N817" i="6" l="1"/>
  <c r="Q817" i="6"/>
  <c r="R817" i="6" s="1"/>
  <c r="M817" i="6" s="1"/>
  <c r="S817" i="6" s="1"/>
  <c r="O818" i="6"/>
  <c r="P818" i="6" s="1"/>
  <c r="G169" i="5"/>
  <c r="H169" i="5" s="1"/>
  <c r="I169" i="5" s="1"/>
  <c r="A171" i="5"/>
  <c r="E170" i="5"/>
  <c r="B170" i="5"/>
  <c r="C170" i="5" s="1"/>
  <c r="D170" i="5"/>
  <c r="F170" i="5" s="1"/>
  <c r="Q818" i="6" l="1"/>
  <c r="R818" i="6" s="1"/>
  <c r="O819" i="6"/>
  <c r="P819" i="6" s="1"/>
  <c r="N818" i="6"/>
  <c r="AK162" i="6"/>
  <c r="J169" i="5"/>
  <c r="G170" i="5"/>
  <c r="H170" i="5" s="1"/>
  <c r="I170" i="5" s="1"/>
  <c r="A172" i="5"/>
  <c r="E171" i="5"/>
  <c r="D171" i="5"/>
  <c r="F171" i="5" s="1"/>
  <c r="B171" i="5"/>
  <c r="C171" i="5" s="1"/>
  <c r="M818" i="6" l="1"/>
  <c r="S818" i="6" s="1"/>
  <c r="O820" i="6"/>
  <c r="P820" i="6" s="1"/>
  <c r="N819" i="6"/>
  <c r="Q819" i="6"/>
  <c r="R819" i="6" s="1"/>
  <c r="M819" i="6" s="1"/>
  <c r="S819" i="6" s="1"/>
  <c r="AK163" i="6"/>
  <c r="J170" i="5"/>
  <c r="G171" i="5"/>
  <c r="H171" i="5" s="1"/>
  <c r="I171" i="5" s="1"/>
  <c r="A173" i="5"/>
  <c r="D172" i="5"/>
  <c r="F172" i="5" s="1"/>
  <c r="E172" i="5"/>
  <c r="G172" i="5" s="1"/>
  <c r="H172" i="5" s="1"/>
  <c r="B172" i="5"/>
  <c r="C172" i="5" s="1"/>
  <c r="Q820" i="6" l="1"/>
  <c r="R820" i="6" s="1"/>
  <c r="O821" i="6"/>
  <c r="P821" i="6" s="1"/>
  <c r="N820" i="6"/>
  <c r="AK164" i="6"/>
  <c r="J171" i="5"/>
  <c r="I172" i="5"/>
  <c r="A174" i="5"/>
  <c r="E173" i="5"/>
  <c r="B173" i="5"/>
  <c r="C173" i="5" s="1"/>
  <c r="D173" i="5"/>
  <c r="F173" i="5" s="1"/>
  <c r="N821" i="6" l="1"/>
  <c r="O822" i="6"/>
  <c r="P822" i="6" s="1"/>
  <c r="Q821" i="6"/>
  <c r="R821" i="6" s="1"/>
  <c r="M821" i="6" s="1"/>
  <c r="S821" i="6" s="1"/>
  <c r="M820" i="6"/>
  <c r="S820" i="6" s="1"/>
  <c r="AK165" i="6"/>
  <c r="J172" i="5"/>
  <c r="G173" i="5"/>
  <c r="H173" i="5" s="1"/>
  <c r="I173" i="5" s="1"/>
  <c r="E174" i="5"/>
  <c r="D174" i="5"/>
  <c r="F174" i="5" s="1"/>
  <c r="A175" i="5"/>
  <c r="B174" i="5"/>
  <c r="C174" i="5" s="1"/>
  <c r="O823" i="6" l="1"/>
  <c r="P823" i="6" s="1"/>
  <c r="N822" i="6"/>
  <c r="Q822" i="6"/>
  <c r="R822" i="6" s="1"/>
  <c r="M822" i="6" s="1"/>
  <c r="S822" i="6" s="1"/>
  <c r="AK166" i="6"/>
  <c r="J173" i="5"/>
  <c r="G174" i="5"/>
  <c r="H174" i="5" s="1"/>
  <c r="I174" i="5" s="1"/>
  <c r="D175" i="5"/>
  <c r="F175" i="5" s="1"/>
  <c r="E175" i="5"/>
  <c r="G175" i="5" s="1"/>
  <c r="H175" i="5" s="1"/>
  <c r="B175" i="5"/>
  <c r="C175" i="5" s="1"/>
  <c r="A176" i="5"/>
  <c r="N823" i="6" l="1"/>
  <c r="Q823" i="6"/>
  <c r="R823" i="6" s="1"/>
  <c r="M823" i="6" s="1"/>
  <c r="S823" i="6" s="1"/>
  <c r="O824" i="6"/>
  <c r="P824" i="6" s="1"/>
  <c r="AK167" i="6"/>
  <c r="J174" i="5"/>
  <c r="I175" i="5"/>
  <c r="D176" i="5"/>
  <c r="F176" i="5" s="1"/>
  <c r="B176" i="5"/>
  <c r="C176" i="5" s="1"/>
  <c r="A177" i="5"/>
  <c r="E176" i="5"/>
  <c r="N824" i="6" l="1"/>
  <c r="Q824" i="6"/>
  <c r="R824" i="6" s="1"/>
  <c r="M824" i="6" s="1"/>
  <c r="S824" i="6" s="1"/>
  <c r="O825" i="6"/>
  <c r="P825" i="6" s="1"/>
  <c r="AK168" i="6"/>
  <c r="J175" i="5"/>
  <c r="G176" i="5"/>
  <c r="H176" i="5" s="1"/>
  <c r="I176" i="5" s="1"/>
  <c r="D177" i="5"/>
  <c r="F177" i="5" s="1"/>
  <c r="B177" i="5"/>
  <c r="C177" i="5" s="1"/>
  <c r="A178" i="5"/>
  <c r="E177" i="5"/>
  <c r="N825" i="6" l="1"/>
  <c r="O826" i="6"/>
  <c r="P826" i="6" s="1"/>
  <c r="Q825" i="6"/>
  <c r="R825" i="6" s="1"/>
  <c r="M825" i="6" s="1"/>
  <c r="S825" i="6" s="1"/>
  <c r="AK169" i="6"/>
  <c r="J176" i="5"/>
  <c r="G177" i="5"/>
  <c r="H177" i="5" s="1"/>
  <c r="I177" i="5" s="1"/>
  <c r="B178" i="5"/>
  <c r="C178" i="5" s="1"/>
  <c r="E178" i="5"/>
  <c r="A179" i="5"/>
  <c r="D178" i="5"/>
  <c r="F178" i="5" s="1"/>
  <c r="O827" i="6" l="1"/>
  <c r="P827" i="6" s="1"/>
  <c r="N826" i="6"/>
  <c r="Q826" i="6"/>
  <c r="R826" i="6" s="1"/>
  <c r="M826" i="6" s="1"/>
  <c r="S826" i="6" s="1"/>
  <c r="AK170" i="6"/>
  <c r="J177" i="5"/>
  <c r="G178" i="5"/>
  <c r="H178" i="5" s="1"/>
  <c r="I178" i="5" s="1"/>
  <c r="D179" i="5"/>
  <c r="F179" i="5" s="1"/>
  <c r="B179" i="5"/>
  <c r="C179" i="5" s="1"/>
  <c r="A180" i="5"/>
  <c r="E179" i="5"/>
  <c r="G179" i="5" s="1"/>
  <c r="H179" i="5" s="1"/>
  <c r="O828" i="6" l="1"/>
  <c r="P828" i="6" s="1"/>
  <c r="Q827" i="6"/>
  <c r="R827" i="6" s="1"/>
  <c r="N827" i="6"/>
  <c r="AK171" i="6"/>
  <c r="J178" i="5"/>
  <c r="I179" i="5"/>
  <c r="D180" i="5"/>
  <c r="F180" i="5" s="1"/>
  <c r="B180" i="5"/>
  <c r="C180" i="5" s="1"/>
  <c r="A181" i="5"/>
  <c r="E180" i="5"/>
  <c r="M827" i="6" l="1"/>
  <c r="S827" i="6" s="1"/>
  <c r="N828" i="6"/>
  <c r="O829" i="6"/>
  <c r="P829" i="6" s="1"/>
  <c r="Q828" i="6"/>
  <c r="R828" i="6" s="1"/>
  <c r="M828" i="6" s="1"/>
  <c r="S828" i="6" s="1"/>
  <c r="AK172" i="6"/>
  <c r="J179" i="5"/>
  <c r="G180" i="5"/>
  <c r="H180" i="5" s="1"/>
  <c r="I180" i="5" s="1"/>
  <c r="D181" i="5"/>
  <c r="F181" i="5" s="1"/>
  <c r="E181" i="5"/>
  <c r="G181" i="5" s="1"/>
  <c r="H181" i="5" s="1"/>
  <c r="I181" i="5" s="1"/>
  <c r="A182" i="5"/>
  <c r="B181" i="5"/>
  <c r="C181" i="5" s="1"/>
  <c r="O830" i="6" l="1"/>
  <c r="P830" i="6" s="1"/>
  <c r="N829" i="6"/>
  <c r="Q829" i="6"/>
  <c r="R829" i="6" s="1"/>
  <c r="M829" i="6" s="1"/>
  <c r="S829" i="6" s="1"/>
  <c r="AK174" i="6"/>
  <c r="J181" i="5"/>
  <c r="AK173" i="6"/>
  <c r="J180" i="5"/>
  <c r="E182" i="5"/>
  <c r="D182" i="5"/>
  <c r="F182" i="5" s="1"/>
  <c r="A183" i="5"/>
  <c r="B182" i="5"/>
  <c r="C182" i="5" s="1"/>
  <c r="O831" i="6" l="1"/>
  <c r="P831" i="6" s="1"/>
  <c r="N830" i="6"/>
  <c r="Q830" i="6"/>
  <c r="R830" i="6" s="1"/>
  <c r="M830" i="6" s="1"/>
  <c r="S830" i="6" s="1"/>
  <c r="G182" i="5"/>
  <c r="H182" i="5" s="1"/>
  <c r="I182" i="5" s="1"/>
  <c r="D183" i="5"/>
  <c r="F183" i="5" s="1"/>
  <c r="B183" i="5"/>
  <c r="C183" i="5" s="1"/>
  <c r="E183" i="5"/>
  <c r="G183" i="5" s="1"/>
  <c r="H183" i="5" s="1"/>
  <c r="A184" i="5"/>
  <c r="N831" i="6" l="1"/>
  <c r="Q831" i="6"/>
  <c r="R831" i="6" s="1"/>
  <c r="M831" i="6" s="1"/>
  <c r="S831" i="6" s="1"/>
  <c r="O832" i="6"/>
  <c r="P832" i="6" s="1"/>
  <c r="AK175" i="6"/>
  <c r="J182" i="5"/>
  <c r="I183" i="5"/>
  <c r="D184" i="5"/>
  <c r="F184" i="5" s="1"/>
  <c r="A185" i="5"/>
  <c r="B184" i="5"/>
  <c r="C184" i="5" s="1"/>
  <c r="E184" i="5"/>
  <c r="O833" i="6" l="1"/>
  <c r="P833" i="6" s="1"/>
  <c r="N832" i="6"/>
  <c r="Q832" i="6"/>
  <c r="R832" i="6" s="1"/>
  <c r="M832" i="6" s="1"/>
  <c r="S832" i="6" s="1"/>
  <c r="AK176" i="6"/>
  <c r="J183" i="5"/>
  <c r="G184" i="5"/>
  <c r="H184" i="5" s="1"/>
  <c r="I184" i="5" s="1"/>
  <c r="B185" i="5"/>
  <c r="C185" i="5" s="1"/>
  <c r="D185" i="5"/>
  <c r="F185" i="5" s="1"/>
  <c r="A186" i="5"/>
  <c r="E185" i="5"/>
  <c r="Q833" i="6" l="1"/>
  <c r="R833" i="6" s="1"/>
  <c r="O834" i="6"/>
  <c r="P834" i="6" s="1"/>
  <c r="N833" i="6"/>
  <c r="AK177" i="6"/>
  <c r="J184" i="5"/>
  <c r="G185" i="5"/>
  <c r="H185" i="5" s="1"/>
  <c r="I185" i="5" s="1"/>
  <c r="D186" i="5"/>
  <c r="F186" i="5" s="1"/>
  <c r="A187" i="5"/>
  <c r="E186" i="5"/>
  <c r="G186" i="5" s="1"/>
  <c r="H186" i="5" s="1"/>
  <c r="B186" i="5"/>
  <c r="C186" i="5" s="1"/>
  <c r="M833" i="6" l="1"/>
  <c r="S833" i="6" s="1"/>
  <c r="Q834" i="6"/>
  <c r="R834" i="6" s="1"/>
  <c r="O835" i="6"/>
  <c r="P835" i="6" s="1"/>
  <c r="N834" i="6"/>
  <c r="AK178" i="6"/>
  <c r="J185" i="5"/>
  <c r="I186" i="5"/>
  <c r="E187" i="5"/>
  <c r="G187" i="5" s="1"/>
  <c r="H187" i="5" s="1"/>
  <c r="D187" i="5"/>
  <c r="F187" i="5" s="1"/>
  <c r="B187" i="5"/>
  <c r="C187" i="5" s="1"/>
  <c r="A188" i="5"/>
  <c r="M834" i="6" l="1"/>
  <c r="S834" i="6" s="1"/>
  <c r="Q835" i="6"/>
  <c r="R835" i="6" s="1"/>
  <c r="M835" i="6" s="1"/>
  <c r="S835" i="6" s="1"/>
  <c r="N835" i="6"/>
  <c r="O836" i="6"/>
  <c r="P836" i="6" s="1"/>
  <c r="AK179" i="6"/>
  <c r="J186" i="5"/>
  <c r="I187" i="5"/>
  <c r="A189" i="5"/>
  <c r="B188" i="5"/>
  <c r="C188" i="5" s="1"/>
  <c r="E188" i="5"/>
  <c r="D188" i="5"/>
  <c r="F188" i="5" s="1"/>
  <c r="N836" i="6" l="1"/>
  <c r="O837" i="6"/>
  <c r="P837" i="6" s="1"/>
  <c r="Q836" i="6"/>
  <c r="R836" i="6" s="1"/>
  <c r="M836" i="6" s="1"/>
  <c r="S836" i="6" s="1"/>
  <c r="AK180" i="6"/>
  <c r="J187" i="5"/>
  <c r="G188" i="5"/>
  <c r="H188" i="5" s="1"/>
  <c r="I188" i="5" s="1"/>
  <c r="D189" i="5"/>
  <c r="F189" i="5" s="1"/>
  <c r="A190" i="5"/>
  <c r="B189" i="5"/>
  <c r="C189" i="5" s="1"/>
  <c r="E189" i="5"/>
  <c r="O838" i="6" l="1"/>
  <c r="P838" i="6" s="1"/>
  <c r="N837" i="6"/>
  <c r="Q837" i="6"/>
  <c r="R837" i="6" s="1"/>
  <c r="M837" i="6" s="1"/>
  <c r="S837" i="6" s="1"/>
  <c r="AK181" i="6"/>
  <c r="J188" i="5"/>
  <c r="G189" i="5"/>
  <c r="H189" i="5" s="1"/>
  <c r="I189" i="5" s="1"/>
  <c r="E190" i="5"/>
  <c r="D190" i="5"/>
  <c r="F190" i="5" s="1"/>
  <c r="A191" i="5"/>
  <c r="B190" i="5"/>
  <c r="C190" i="5" s="1"/>
  <c r="N838" i="6" l="1"/>
  <c r="O839" i="6"/>
  <c r="P839" i="6" s="1"/>
  <c r="Q838" i="6"/>
  <c r="R838" i="6" s="1"/>
  <c r="M838" i="6" s="1"/>
  <c r="S838" i="6" s="1"/>
  <c r="AK182" i="6"/>
  <c r="J189" i="5"/>
  <c r="G190" i="5"/>
  <c r="H190" i="5" s="1"/>
  <c r="I190" i="5" s="1"/>
  <c r="E191" i="5"/>
  <c r="B191" i="5"/>
  <c r="C191" i="5" s="1"/>
  <c r="A192" i="5"/>
  <c r="D191" i="5"/>
  <c r="F191" i="5" s="1"/>
  <c r="O840" i="6" l="1"/>
  <c r="P840" i="6" s="1"/>
  <c r="N839" i="6"/>
  <c r="Q839" i="6"/>
  <c r="R839" i="6" s="1"/>
  <c r="AK183" i="6"/>
  <c r="J190" i="5"/>
  <c r="G191" i="5"/>
  <c r="H191" i="5" s="1"/>
  <c r="I191" i="5" s="1"/>
  <c r="A193" i="5"/>
  <c r="D192" i="5"/>
  <c r="F192" i="5" s="1"/>
  <c r="E192" i="5"/>
  <c r="B192" i="5"/>
  <c r="C192" i="5" s="1"/>
  <c r="M839" i="6" l="1"/>
  <c r="S839" i="6" s="1"/>
  <c r="Q840" i="6"/>
  <c r="R840" i="6" s="1"/>
  <c r="O841" i="6"/>
  <c r="P841" i="6" s="1"/>
  <c r="N840" i="6"/>
  <c r="AK184" i="6"/>
  <c r="J191" i="5"/>
  <c r="G192" i="5"/>
  <c r="H192" i="5" s="1"/>
  <c r="I192" i="5" s="1"/>
  <c r="D193" i="5"/>
  <c r="F193" i="5" s="1"/>
  <c r="A194" i="5"/>
  <c r="B193" i="5"/>
  <c r="C193" i="5" s="1"/>
  <c r="E193" i="5"/>
  <c r="G193" i="5" s="1"/>
  <c r="H193" i="5" s="1"/>
  <c r="I193" i="5" s="1"/>
  <c r="M840" i="6" l="1"/>
  <c r="S840" i="6" s="1"/>
  <c r="Q841" i="6"/>
  <c r="R841" i="6" s="1"/>
  <c r="M841" i="6" s="1"/>
  <c r="S841" i="6" s="1"/>
  <c r="N841" i="6"/>
  <c r="O842" i="6"/>
  <c r="P842" i="6" s="1"/>
  <c r="J193" i="5"/>
  <c r="AK185" i="6"/>
  <c r="J192" i="5"/>
  <c r="B194" i="5"/>
  <c r="C194" i="5" s="1"/>
  <c r="E194" i="5"/>
  <c r="A195" i="5"/>
  <c r="D194" i="5"/>
  <c r="F194" i="5" s="1"/>
  <c r="N842" i="6" l="1"/>
  <c r="O843" i="6"/>
  <c r="P843" i="6" s="1"/>
  <c r="Q842" i="6"/>
  <c r="R842" i="6" s="1"/>
  <c r="M842" i="6" s="1"/>
  <c r="S842" i="6" s="1"/>
  <c r="G194" i="5"/>
  <c r="H194" i="5" s="1"/>
  <c r="I194" i="5" s="1"/>
  <c r="J194" i="5" s="1"/>
  <c r="E195" i="5"/>
  <c r="G195" i="5" s="1"/>
  <c r="H195" i="5" s="1"/>
  <c r="B195" i="5"/>
  <c r="C195" i="5" s="1"/>
  <c r="A196" i="5"/>
  <c r="D195" i="5"/>
  <c r="F195" i="5" s="1"/>
  <c r="N843" i="6" l="1"/>
  <c r="Q843" i="6"/>
  <c r="R843" i="6" s="1"/>
  <c r="M843" i="6" s="1"/>
  <c r="S843" i="6" s="1"/>
  <c r="O844" i="6"/>
  <c r="P844" i="6" s="1"/>
  <c r="I195" i="5"/>
  <c r="J195" i="5" s="1"/>
  <c r="E196" i="5"/>
  <c r="B196" i="5"/>
  <c r="C196" i="5" s="1"/>
  <c r="A197" i="5"/>
  <c r="D196" i="5"/>
  <c r="F196" i="5" s="1"/>
  <c r="Q844" i="6" l="1"/>
  <c r="R844" i="6" s="1"/>
  <c r="M844" i="6" s="1"/>
  <c r="S844" i="6" s="1"/>
  <c r="N844" i="6"/>
  <c r="O845" i="6"/>
  <c r="P845" i="6" s="1"/>
  <c r="G196" i="5"/>
  <c r="H196" i="5" s="1"/>
  <c r="I196" i="5" s="1"/>
  <c r="J196" i="5" s="1"/>
  <c r="E197" i="5"/>
  <c r="D197" i="5"/>
  <c r="F197" i="5" s="1"/>
  <c r="A198" i="5"/>
  <c r="B197" i="5"/>
  <c r="C197" i="5" s="1"/>
  <c r="Q845" i="6" l="1"/>
  <c r="R845" i="6" s="1"/>
  <c r="O846" i="6"/>
  <c r="P846" i="6" s="1"/>
  <c r="N845" i="6"/>
  <c r="G197" i="5"/>
  <c r="H197" i="5" s="1"/>
  <c r="I197" i="5" s="1"/>
  <c r="J197" i="5" s="1"/>
  <c r="E198" i="5"/>
  <c r="G198" i="5" s="1"/>
  <c r="H198" i="5" s="1"/>
  <c r="D198" i="5"/>
  <c r="F198" i="5" s="1"/>
  <c r="B198" i="5"/>
  <c r="C198" i="5" s="1"/>
  <c r="A199" i="5"/>
  <c r="M845" i="6" l="1"/>
  <c r="S845" i="6" s="1"/>
  <c r="Q846" i="6"/>
  <c r="R846" i="6" s="1"/>
  <c r="M846" i="6" s="1"/>
  <c r="S846" i="6" s="1"/>
  <c r="N846" i="6"/>
  <c r="O847" i="6"/>
  <c r="P847" i="6" s="1"/>
  <c r="D199" i="5"/>
  <c r="F199" i="5" s="1"/>
  <c r="I198" i="5"/>
  <c r="J198" i="5" s="1"/>
  <c r="A200" i="5"/>
  <c r="B199" i="5"/>
  <c r="C199" i="5" s="1"/>
  <c r="E199" i="5"/>
  <c r="G199" i="5" s="1"/>
  <c r="H199" i="5" s="1"/>
  <c r="N847" i="6" l="1"/>
  <c r="Q847" i="6"/>
  <c r="R847" i="6" s="1"/>
  <c r="M847" i="6" s="1"/>
  <c r="S847" i="6" s="1"/>
  <c r="O848" i="6"/>
  <c r="P848" i="6" s="1"/>
  <c r="I199" i="5"/>
  <c r="J199" i="5" s="1"/>
  <c r="E200" i="5"/>
  <c r="D200" i="5"/>
  <c r="F200" i="5" s="1"/>
  <c r="B200" i="5"/>
  <c r="C200" i="5" s="1"/>
  <c r="A201" i="5"/>
  <c r="O849" i="6" l="1"/>
  <c r="P849" i="6" s="1"/>
  <c r="N848" i="6"/>
  <c r="Q848" i="6"/>
  <c r="R848" i="6" s="1"/>
  <c r="M848" i="6" s="1"/>
  <c r="S848" i="6" s="1"/>
  <c r="G200" i="5"/>
  <c r="H200" i="5" s="1"/>
  <c r="I200" i="5" s="1"/>
  <c r="J200" i="5" s="1"/>
  <c r="E201" i="5"/>
  <c r="G201" i="5" s="1"/>
  <c r="H201" i="5" s="1"/>
  <c r="D201" i="5"/>
  <c r="F201" i="5" s="1"/>
  <c r="A202" i="5"/>
  <c r="D202" i="5" s="1"/>
  <c r="B201" i="5"/>
  <c r="C201" i="5" s="1"/>
  <c r="Q849" i="6" l="1"/>
  <c r="R849" i="6" s="1"/>
  <c r="O850" i="6"/>
  <c r="P850" i="6" s="1"/>
  <c r="N849" i="6"/>
  <c r="B202" i="5"/>
  <c r="C202" i="5" s="1"/>
  <c r="I201" i="5"/>
  <c r="J201" i="5" s="1"/>
  <c r="A203" i="5"/>
  <c r="F202" i="5"/>
  <c r="E202" i="5"/>
  <c r="M849" i="6" l="1"/>
  <c r="S849" i="6" s="1"/>
  <c r="Q850" i="6"/>
  <c r="R850" i="6" s="1"/>
  <c r="M850" i="6" s="1"/>
  <c r="S850" i="6" s="1"/>
  <c r="N850" i="6"/>
  <c r="O851" i="6"/>
  <c r="P851" i="6" s="1"/>
  <c r="E203" i="5"/>
  <c r="G203" i="5" s="1"/>
  <c r="H203" i="5" s="1"/>
  <c r="B203" i="5"/>
  <c r="C203" i="5" s="1"/>
  <c r="G202" i="5"/>
  <c r="H202" i="5" s="1"/>
  <c r="I202" i="5" s="1"/>
  <c r="J202" i="5" s="1"/>
  <c r="D203" i="5"/>
  <c r="F203" i="5" s="1"/>
  <c r="A204" i="5"/>
  <c r="Q851" i="6" l="1"/>
  <c r="R851" i="6" s="1"/>
  <c r="O852" i="6"/>
  <c r="P852" i="6" s="1"/>
  <c r="N851" i="6"/>
  <c r="D204" i="5"/>
  <c r="F204" i="5" s="1"/>
  <c r="I203" i="5"/>
  <c r="J203" i="5" s="1"/>
  <c r="E204" i="5"/>
  <c r="G204" i="5" s="1"/>
  <c r="H204" i="5" s="1"/>
  <c r="I204" i="5" s="1"/>
  <c r="B204" i="5"/>
  <c r="C204" i="5" s="1"/>
  <c r="A205" i="5"/>
  <c r="E205" i="5" s="1"/>
  <c r="M851" i="6" l="1"/>
  <c r="S851" i="6" s="1"/>
  <c r="N852" i="6"/>
  <c r="Q852" i="6"/>
  <c r="R852" i="6" s="1"/>
  <c r="M852" i="6" s="1"/>
  <c r="S852" i="6" s="1"/>
  <c r="O853" i="6"/>
  <c r="P853" i="6" s="1"/>
  <c r="J204" i="5"/>
  <c r="D205" i="5"/>
  <c r="F205" i="5" s="1"/>
  <c r="B205" i="5"/>
  <c r="C205" i="5" s="1"/>
  <c r="A206" i="5"/>
  <c r="B206" i="5" s="1"/>
  <c r="G205" i="5"/>
  <c r="H205" i="5" s="1"/>
  <c r="I205" i="5" s="1"/>
  <c r="N853" i="6" l="1"/>
  <c r="O854" i="6"/>
  <c r="P854" i="6" s="1"/>
  <c r="Q853" i="6"/>
  <c r="R853" i="6" s="1"/>
  <c r="M853" i="6" s="1"/>
  <c r="S853" i="6" s="1"/>
  <c r="J205" i="5"/>
  <c r="C206" i="5"/>
  <c r="E206" i="5"/>
  <c r="G206" i="5" s="1"/>
  <c r="H206" i="5" s="1"/>
  <c r="I206" i="5" s="1"/>
  <c r="J206" i="5" s="1"/>
  <c r="A207" i="5"/>
  <c r="D206" i="5"/>
  <c r="F206" i="5" s="1"/>
  <c r="N854" i="6" l="1"/>
  <c r="O855" i="6"/>
  <c r="P855" i="6" s="1"/>
  <c r="Q854" i="6"/>
  <c r="R854" i="6" s="1"/>
  <c r="M854" i="6" s="1"/>
  <c r="S854" i="6" s="1"/>
  <c r="E207" i="5"/>
  <c r="B207" i="5"/>
  <c r="C207" i="5" s="1"/>
  <c r="A208" i="5"/>
  <c r="A209" i="5" s="1"/>
  <c r="D207" i="5"/>
  <c r="F207" i="5" s="1"/>
  <c r="N855" i="6" l="1"/>
  <c r="Q855" i="6"/>
  <c r="R855" i="6" s="1"/>
  <c r="M855" i="6" s="1"/>
  <c r="S855" i="6" s="1"/>
  <c r="O856" i="6"/>
  <c r="P856" i="6" s="1"/>
  <c r="B208" i="5"/>
  <c r="C208" i="5" s="1"/>
  <c r="D208" i="5"/>
  <c r="F208" i="5" s="1"/>
  <c r="E208" i="5"/>
  <c r="G208" i="5" s="1"/>
  <c r="H208" i="5" s="1"/>
  <c r="G207" i="5"/>
  <c r="H207" i="5" s="1"/>
  <c r="I207" i="5" s="1"/>
  <c r="J207" i="5" s="1"/>
  <c r="A210" i="5"/>
  <c r="D209" i="5"/>
  <c r="F209" i="5" s="1"/>
  <c r="B209" i="5"/>
  <c r="E209" i="5"/>
  <c r="N856" i="6" l="1"/>
  <c r="Q856" i="6"/>
  <c r="R856" i="6" s="1"/>
  <c r="M856" i="6" s="1"/>
  <c r="S856" i="6" s="1"/>
  <c r="O857" i="6"/>
  <c r="P857" i="6" s="1"/>
  <c r="C209" i="5"/>
  <c r="G209" i="5"/>
  <c r="H209" i="5" s="1"/>
  <c r="I209" i="5" s="1"/>
  <c r="J209" i="5" s="1"/>
  <c r="I208" i="5"/>
  <c r="J208" i="5" s="1"/>
  <c r="D210" i="5"/>
  <c r="F210" i="5" s="1"/>
  <c r="E210" i="5"/>
  <c r="G210" i="5" s="1"/>
  <c r="H210" i="5" s="1"/>
  <c r="A211" i="5"/>
  <c r="B210" i="5"/>
  <c r="C210" i="5" s="1"/>
  <c r="Q857" i="6" l="1"/>
  <c r="R857" i="6" s="1"/>
  <c r="M857" i="6" s="1"/>
  <c r="S857" i="6" s="1"/>
  <c r="N857" i="6"/>
  <c r="O858" i="6"/>
  <c r="P858" i="6" s="1"/>
  <c r="I210" i="5"/>
  <c r="J210" i="5" s="1"/>
  <c r="B211" i="5"/>
  <c r="C211" i="5" s="1"/>
  <c r="E211" i="5"/>
  <c r="A212" i="5"/>
  <c r="D211" i="5"/>
  <c r="F211" i="5" s="1"/>
  <c r="O859" i="6" l="1"/>
  <c r="P859" i="6" s="1"/>
  <c r="N858" i="6"/>
  <c r="Q858" i="6"/>
  <c r="R858" i="6" s="1"/>
  <c r="M858" i="6" s="1"/>
  <c r="S858" i="6" s="1"/>
  <c r="G211" i="5"/>
  <c r="H211" i="5" s="1"/>
  <c r="I211" i="5" s="1"/>
  <c r="J211" i="5" s="1"/>
  <c r="E212" i="5"/>
  <c r="A213" i="5"/>
  <c r="B212" i="5"/>
  <c r="C212" i="5" s="1"/>
  <c r="D212" i="5"/>
  <c r="F212" i="5" s="1"/>
  <c r="G212" i="5"/>
  <c r="H212" i="5" s="1"/>
  <c r="O860" i="6" l="1"/>
  <c r="P860" i="6" s="1"/>
  <c r="N859" i="6"/>
  <c r="Q859" i="6"/>
  <c r="R859" i="6" s="1"/>
  <c r="M859" i="6" s="1"/>
  <c r="S859" i="6" s="1"/>
  <c r="I212" i="5"/>
  <c r="J212" i="5" s="1"/>
  <c r="B213" i="5"/>
  <c r="C213" i="5" s="1"/>
  <c r="A214" i="5"/>
  <c r="D213" i="5"/>
  <c r="F213" i="5" s="1"/>
  <c r="E213" i="5"/>
  <c r="N860" i="6" l="1"/>
  <c r="O861" i="6"/>
  <c r="P861" i="6" s="1"/>
  <c r="Q860" i="6"/>
  <c r="R860" i="6" s="1"/>
  <c r="M860" i="6" s="1"/>
  <c r="S860" i="6" s="1"/>
  <c r="G213" i="5"/>
  <c r="H213" i="5" s="1"/>
  <c r="I213" i="5" s="1"/>
  <c r="J213" i="5" s="1"/>
  <c r="A215" i="5"/>
  <c r="D214" i="5"/>
  <c r="F214" i="5" s="1"/>
  <c r="B214" i="5"/>
  <c r="C214" i="5" s="1"/>
  <c r="E214" i="5"/>
  <c r="N861" i="6" l="1"/>
  <c r="Q861" i="6"/>
  <c r="R861" i="6" s="1"/>
  <c r="M861" i="6" s="1"/>
  <c r="S861" i="6" s="1"/>
  <c r="O862" i="6"/>
  <c r="P862" i="6" s="1"/>
  <c r="G214" i="5"/>
  <c r="H214" i="5" s="1"/>
  <c r="I214" i="5" s="1"/>
  <c r="J214" i="5" s="1"/>
  <c r="B215" i="5"/>
  <c r="C215" i="5" s="1"/>
  <c r="A216" i="5"/>
  <c r="E215" i="5"/>
  <c r="D215" i="5"/>
  <c r="F215" i="5" s="1"/>
  <c r="N862" i="6" l="1"/>
  <c r="Q862" i="6"/>
  <c r="R862" i="6" s="1"/>
  <c r="M862" i="6" s="1"/>
  <c r="S862" i="6" s="1"/>
  <c r="O863" i="6"/>
  <c r="P863" i="6" s="1"/>
  <c r="G215" i="5"/>
  <c r="H215" i="5" s="1"/>
  <c r="I215" i="5" s="1"/>
  <c r="J215" i="5" s="1"/>
  <c r="D216" i="5"/>
  <c r="F216" i="5" s="1"/>
  <c r="A217" i="5"/>
  <c r="B216" i="5"/>
  <c r="C216" i="5" s="1"/>
  <c r="E216" i="5"/>
  <c r="N863" i="6" l="1"/>
  <c r="Q863" i="6"/>
  <c r="R863" i="6" s="1"/>
  <c r="M863" i="6" s="1"/>
  <c r="S863" i="6" s="1"/>
  <c r="O864" i="6"/>
  <c r="P864" i="6" s="1"/>
  <c r="G216" i="5"/>
  <c r="H216" i="5" s="1"/>
  <c r="I216" i="5" s="1"/>
  <c r="J216" i="5" s="1"/>
  <c r="E217" i="5"/>
  <c r="A218" i="5"/>
  <c r="D217" i="5"/>
  <c r="F217" i="5" s="1"/>
  <c r="G217" i="5"/>
  <c r="H217" i="5" s="1"/>
  <c r="I217" i="5" s="1"/>
  <c r="B217" i="5"/>
  <c r="C217" i="5" s="1"/>
  <c r="O865" i="6" l="1"/>
  <c r="P865" i="6" s="1"/>
  <c r="Q864" i="6"/>
  <c r="R864" i="6" s="1"/>
  <c r="N864" i="6"/>
  <c r="J217" i="5"/>
  <c r="B218" i="5"/>
  <c r="C218" i="5" s="1"/>
  <c r="A219" i="5"/>
  <c r="D218" i="5"/>
  <c r="F218" i="5" s="1"/>
  <c r="E218" i="5"/>
  <c r="M864" i="6" l="1"/>
  <c r="S864" i="6" s="1"/>
  <c r="N865" i="6"/>
  <c r="O866" i="6"/>
  <c r="P866" i="6" s="1"/>
  <c r="Q865" i="6"/>
  <c r="R865" i="6" s="1"/>
  <c r="M865" i="6" s="1"/>
  <c r="S865" i="6" s="1"/>
  <c r="G218" i="5"/>
  <c r="H218" i="5" s="1"/>
  <c r="I218" i="5" s="1"/>
  <c r="J218" i="5" s="1"/>
  <c r="D219" i="5"/>
  <c r="F219" i="5" s="1"/>
  <c r="A220" i="5"/>
  <c r="B219" i="5"/>
  <c r="C219" i="5" s="1"/>
  <c r="E219" i="5"/>
  <c r="N866" i="6" l="1"/>
  <c r="Q866" i="6"/>
  <c r="R866" i="6" s="1"/>
  <c r="M866" i="6" s="1"/>
  <c r="S866" i="6" s="1"/>
  <c r="O867" i="6"/>
  <c r="P867" i="6" s="1"/>
  <c r="G219" i="5"/>
  <c r="H219" i="5" s="1"/>
  <c r="I219" i="5" s="1"/>
  <c r="J219" i="5" s="1"/>
  <c r="B220" i="5"/>
  <c r="C220" i="5" s="1"/>
  <c r="E220" i="5"/>
  <c r="A221" i="5"/>
  <c r="D220" i="5"/>
  <c r="F220" i="5" s="1"/>
  <c r="N867" i="6" l="1"/>
  <c r="Q867" i="6"/>
  <c r="R867" i="6" s="1"/>
  <c r="M867" i="6" s="1"/>
  <c r="S867" i="6" s="1"/>
  <c r="O868" i="6"/>
  <c r="P868" i="6" s="1"/>
  <c r="G220" i="5"/>
  <c r="H220" i="5" s="1"/>
  <c r="I220" i="5" s="1"/>
  <c r="J220" i="5" s="1"/>
  <c r="E221" i="5"/>
  <c r="B221" i="5"/>
  <c r="C221" i="5" s="1"/>
  <c r="D221" i="5"/>
  <c r="F221" i="5" s="1"/>
  <c r="A222" i="5"/>
  <c r="O869" i="6" l="1"/>
  <c r="P869" i="6" s="1"/>
  <c r="N868" i="6"/>
  <c r="Q868" i="6"/>
  <c r="R868" i="6" s="1"/>
  <c r="M868" i="6" s="1"/>
  <c r="S868" i="6" s="1"/>
  <c r="G221" i="5"/>
  <c r="H221" i="5" s="1"/>
  <c r="I221" i="5" s="1"/>
  <c r="J221" i="5" s="1"/>
  <c r="E222" i="5"/>
  <c r="A223" i="5"/>
  <c r="B222" i="5"/>
  <c r="C222" i="5" s="1"/>
  <c r="D222" i="5"/>
  <c r="F222" i="5" s="1"/>
  <c r="G222" i="5"/>
  <c r="H222" i="5" s="1"/>
  <c r="N869" i="6" l="1"/>
  <c r="O870" i="6"/>
  <c r="P870" i="6" s="1"/>
  <c r="Q869" i="6"/>
  <c r="R869" i="6" s="1"/>
  <c r="M869" i="6" s="1"/>
  <c r="S869" i="6" s="1"/>
  <c r="I222" i="5"/>
  <c r="J222" i="5" s="1"/>
  <c r="D223" i="5"/>
  <c r="F223" i="5" s="1"/>
  <c r="A224" i="5"/>
  <c r="B223" i="5"/>
  <c r="C223" i="5"/>
  <c r="E223" i="5"/>
  <c r="N870" i="6" l="1"/>
  <c r="Q870" i="6"/>
  <c r="R870" i="6" s="1"/>
  <c r="M870" i="6" s="1"/>
  <c r="S870" i="6" s="1"/>
  <c r="O871" i="6"/>
  <c r="P871" i="6" s="1"/>
  <c r="G223" i="5"/>
  <c r="H223" i="5" s="1"/>
  <c r="I223" i="5" s="1"/>
  <c r="J223" i="5" s="1"/>
  <c r="E224" i="5"/>
  <c r="G224" i="5" s="1"/>
  <c r="H224" i="5" s="1"/>
  <c r="I224" i="5" s="1"/>
  <c r="D224" i="5"/>
  <c r="F224" i="5" s="1"/>
  <c r="B224" i="5"/>
  <c r="C224" i="5" s="1"/>
  <c r="A225" i="5"/>
  <c r="O872" i="6" l="1"/>
  <c r="P872" i="6" s="1"/>
  <c r="Q871" i="6"/>
  <c r="R871" i="6" s="1"/>
  <c r="N871" i="6"/>
  <c r="J224" i="5"/>
  <c r="E225" i="5"/>
  <c r="G225" i="5" s="1"/>
  <c r="H225" i="5" s="1"/>
  <c r="B225" i="5"/>
  <c r="C225" i="5" s="1"/>
  <c r="A226" i="5"/>
  <c r="D225" i="5"/>
  <c r="F225" i="5" s="1"/>
  <c r="M871" i="6" l="1"/>
  <c r="S871" i="6" s="1"/>
  <c r="N872" i="6"/>
  <c r="O873" i="6"/>
  <c r="P873" i="6" s="1"/>
  <c r="Q872" i="6"/>
  <c r="R872" i="6" s="1"/>
  <c r="M872" i="6" s="1"/>
  <c r="S872" i="6" s="1"/>
  <c r="I225" i="5"/>
  <c r="J225" i="5" s="1"/>
  <c r="A227" i="5"/>
  <c r="B226" i="5"/>
  <c r="C226" i="5" s="1"/>
  <c r="D226" i="5"/>
  <c r="F226" i="5" s="1"/>
  <c r="E226" i="5"/>
  <c r="N873" i="6" l="1"/>
  <c r="O874" i="6"/>
  <c r="P874" i="6" s="1"/>
  <c r="Q873" i="6"/>
  <c r="R873" i="6" s="1"/>
  <c r="M873" i="6" s="1"/>
  <c r="S873" i="6" s="1"/>
  <c r="G226" i="5"/>
  <c r="H226" i="5" s="1"/>
  <c r="I226" i="5" s="1"/>
  <c r="J226" i="5" s="1"/>
  <c r="A228" i="5"/>
  <c r="D227" i="5"/>
  <c r="F227" i="5" s="1"/>
  <c r="B227" i="5"/>
  <c r="C227" i="5" s="1"/>
  <c r="E227" i="5"/>
  <c r="G227" i="5" s="1"/>
  <c r="H227" i="5" s="1"/>
  <c r="N874" i="6" l="1"/>
  <c r="O875" i="6"/>
  <c r="P875" i="6" s="1"/>
  <c r="Q874" i="6"/>
  <c r="R874" i="6" s="1"/>
  <c r="M874" i="6" s="1"/>
  <c r="S874" i="6" s="1"/>
  <c r="I227" i="5"/>
  <c r="J227" i="5" s="1"/>
  <c r="A229" i="5"/>
  <c r="E228" i="5"/>
  <c r="G228" i="5" s="1"/>
  <c r="H228" i="5" s="1"/>
  <c r="D228" i="5"/>
  <c r="F228" i="5" s="1"/>
  <c r="B228" i="5"/>
  <c r="C228" i="5" s="1"/>
  <c r="O876" i="6" l="1"/>
  <c r="P876" i="6" s="1"/>
  <c r="N875" i="6"/>
  <c r="Q875" i="6"/>
  <c r="R875" i="6" s="1"/>
  <c r="M875" i="6" s="1"/>
  <c r="S875" i="6" s="1"/>
  <c r="I228" i="5"/>
  <c r="J228" i="5" s="1"/>
  <c r="B229" i="5"/>
  <c r="C229" i="5" s="1"/>
  <c r="D229" i="5"/>
  <c r="F229" i="5" s="1"/>
  <c r="E229" i="5"/>
  <c r="A230" i="5"/>
  <c r="N876" i="6" l="1"/>
  <c r="O877" i="6"/>
  <c r="P877" i="6" s="1"/>
  <c r="Q876" i="6"/>
  <c r="R876" i="6" s="1"/>
  <c r="M876" i="6" s="1"/>
  <c r="S876" i="6" s="1"/>
  <c r="G229" i="5"/>
  <c r="H229" i="5" s="1"/>
  <c r="I229" i="5" s="1"/>
  <c r="J229" i="5" s="1"/>
  <c r="A231" i="5"/>
  <c r="B230" i="5"/>
  <c r="C230" i="5" s="1"/>
  <c r="D230" i="5"/>
  <c r="F230" i="5" s="1"/>
  <c r="E230" i="5"/>
  <c r="O878" i="6" l="1"/>
  <c r="P878" i="6" s="1"/>
  <c r="Q877" i="6"/>
  <c r="R877" i="6" s="1"/>
  <c r="M877" i="6" s="1"/>
  <c r="S877" i="6" s="1"/>
  <c r="N877" i="6"/>
  <c r="G230" i="5"/>
  <c r="H230" i="5" s="1"/>
  <c r="I230" i="5" s="1"/>
  <c r="J230" i="5" s="1"/>
  <c r="E231" i="5"/>
  <c r="G231" i="5" s="1"/>
  <c r="H231" i="5" s="1"/>
  <c r="A232" i="5"/>
  <c r="B231" i="5"/>
  <c r="C231" i="5" s="1"/>
  <c r="D231" i="5"/>
  <c r="F231" i="5" s="1"/>
  <c r="N878" i="6" l="1"/>
  <c r="Q878" i="6"/>
  <c r="R878" i="6" s="1"/>
  <c r="M878" i="6" s="1"/>
  <c r="S878" i="6" s="1"/>
  <c r="O879" i="6"/>
  <c r="P879" i="6" s="1"/>
  <c r="I231" i="5"/>
  <c r="J231" i="5" s="1"/>
  <c r="B232" i="5"/>
  <c r="C232" i="5" s="1"/>
  <c r="E232" i="5"/>
  <c r="G232" i="5" s="1"/>
  <c r="H232" i="5" s="1"/>
  <c r="D232" i="5"/>
  <c r="F232" i="5" s="1"/>
  <c r="A233" i="5"/>
  <c r="O880" i="6" l="1"/>
  <c r="P880" i="6" s="1"/>
  <c r="Q879" i="6"/>
  <c r="R879" i="6" s="1"/>
  <c r="N879" i="6"/>
  <c r="I232" i="5"/>
  <c r="J232" i="5" s="1"/>
  <c r="D233" i="5"/>
  <c r="F233" i="5" s="1"/>
  <c r="B233" i="5"/>
  <c r="C233" i="5" s="1"/>
  <c r="E233" i="5"/>
  <c r="A234" i="5"/>
  <c r="M879" i="6" l="1"/>
  <c r="S879" i="6" s="1"/>
  <c r="O881" i="6"/>
  <c r="P881" i="6" s="1"/>
  <c r="Q880" i="6"/>
  <c r="R880" i="6" s="1"/>
  <c r="M880" i="6" s="1"/>
  <c r="S880" i="6" s="1"/>
  <c r="N880" i="6"/>
  <c r="G233" i="5"/>
  <c r="H233" i="5" s="1"/>
  <c r="I233" i="5" s="1"/>
  <c r="J233" i="5" s="1"/>
  <c r="A235" i="5"/>
  <c r="D234" i="5"/>
  <c r="F234" i="5" s="1"/>
  <c r="B234" i="5"/>
  <c r="C234" i="5" s="1"/>
  <c r="E234" i="5"/>
  <c r="N881" i="6" l="1"/>
  <c r="Q881" i="6"/>
  <c r="R881" i="6" s="1"/>
  <c r="M881" i="6" s="1"/>
  <c r="S881" i="6" s="1"/>
  <c r="O882" i="6"/>
  <c r="P882" i="6" s="1"/>
  <c r="G234" i="5"/>
  <c r="H234" i="5" s="1"/>
  <c r="I234" i="5" s="1"/>
  <c r="J234" i="5" s="1"/>
  <c r="A236" i="5"/>
  <c r="B235" i="5"/>
  <c r="C235" i="5" s="1"/>
  <c r="E235" i="5"/>
  <c r="G235" i="5" s="1"/>
  <c r="H235" i="5" s="1"/>
  <c r="D235" i="5"/>
  <c r="F235" i="5" s="1"/>
  <c r="O883" i="6" l="1"/>
  <c r="P883" i="6" s="1"/>
  <c r="Q882" i="6"/>
  <c r="R882" i="6" s="1"/>
  <c r="M882" i="6" s="1"/>
  <c r="S882" i="6" s="1"/>
  <c r="N882" i="6"/>
  <c r="I235" i="5"/>
  <c r="J235" i="5" s="1"/>
  <c r="B236" i="5"/>
  <c r="C236" i="5" s="1"/>
  <c r="D236" i="5"/>
  <c r="F236" i="5" s="1"/>
  <c r="E236" i="5"/>
  <c r="A237" i="5"/>
  <c r="Q883" i="6" l="1"/>
  <c r="R883" i="6" s="1"/>
  <c r="M883" i="6" s="1"/>
  <c r="S883" i="6" s="1"/>
  <c r="N883" i="6"/>
  <c r="O884" i="6"/>
  <c r="P884" i="6" s="1"/>
  <c r="G236" i="5"/>
  <c r="H236" i="5" s="1"/>
  <c r="I236" i="5" s="1"/>
  <c r="J236" i="5" s="1"/>
  <c r="D237" i="5"/>
  <c r="F237" i="5" s="1"/>
  <c r="E237" i="5"/>
  <c r="G237" i="5" s="1"/>
  <c r="H237" i="5" s="1"/>
  <c r="A238" i="5"/>
  <c r="B237" i="5"/>
  <c r="C237" i="5" s="1"/>
  <c r="O885" i="6" l="1"/>
  <c r="P885" i="6" s="1"/>
  <c r="N884" i="6"/>
  <c r="Q884" i="6"/>
  <c r="R884" i="6" s="1"/>
  <c r="M884" i="6" s="1"/>
  <c r="S884" i="6" s="1"/>
  <c r="I237" i="5"/>
  <c r="J237" i="5" s="1"/>
  <c r="A239" i="5"/>
  <c r="B238" i="5"/>
  <c r="C238" i="5" s="1"/>
  <c r="D238" i="5"/>
  <c r="F238" i="5" s="1"/>
  <c r="E238" i="5"/>
  <c r="N885" i="6" l="1"/>
  <c r="O886" i="6"/>
  <c r="P886" i="6" s="1"/>
  <c r="Q885" i="6"/>
  <c r="R885" i="6" s="1"/>
  <c r="M885" i="6" s="1"/>
  <c r="S885" i="6" s="1"/>
  <c r="G238" i="5"/>
  <c r="H238" i="5" s="1"/>
  <c r="I238" i="5" s="1"/>
  <c r="J238" i="5" s="1"/>
  <c r="E239" i="5"/>
  <c r="G239" i="5" s="1"/>
  <c r="H239" i="5" s="1"/>
  <c r="I239" i="5" s="1"/>
  <c r="B239" i="5"/>
  <c r="C239" i="5" s="1"/>
  <c r="D239" i="5"/>
  <c r="F239" i="5"/>
  <c r="A240" i="5"/>
  <c r="O887" i="6" l="1"/>
  <c r="P887" i="6" s="1"/>
  <c r="Q886" i="6"/>
  <c r="R886" i="6" s="1"/>
  <c r="M886" i="6" s="1"/>
  <c r="S886" i="6" s="1"/>
  <c r="N886" i="6"/>
  <c r="J239" i="5"/>
  <c r="B240" i="5"/>
  <c r="C240" i="5" s="1"/>
  <c r="A241" i="5"/>
  <c r="E240" i="5"/>
  <c r="G240" i="5" s="1"/>
  <c r="H240" i="5" s="1"/>
  <c r="D240" i="5"/>
  <c r="F240" i="5" s="1"/>
  <c r="N887" i="6" l="1"/>
  <c r="Q887" i="6"/>
  <c r="R887" i="6" s="1"/>
  <c r="M887" i="6" s="1"/>
  <c r="S887" i="6" s="1"/>
  <c r="O888" i="6"/>
  <c r="P888" i="6" s="1"/>
  <c r="I240" i="5"/>
  <c r="J240" i="5" s="1"/>
  <c r="E241" i="5"/>
  <c r="B241" i="5"/>
  <c r="C241" i="5" s="1"/>
  <c r="D241" i="5"/>
  <c r="F241" i="5" s="1"/>
  <c r="A242" i="5"/>
  <c r="O889" i="6" l="1"/>
  <c r="P889" i="6" s="1"/>
  <c r="Q888" i="6"/>
  <c r="R888" i="6" s="1"/>
  <c r="M888" i="6" s="1"/>
  <c r="S888" i="6" s="1"/>
  <c r="N888" i="6"/>
  <c r="G241" i="5"/>
  <c r="H241" i="5" s="1"/>
  <c r="I241" i="5" s="1"/>
  <c r="J241" i="5" s="1"/>
  <c r="A243" i="5"/>
  <c r="B242" i="5"/>
  <c r="C242" i="5" s="1"/>
  <c r="D242" i="5"/>
  <c r="F242" i="5" s="1"/>
  <c r="E242" i="5"/>
  <c r="O890" i="6" l="1"/>
  <c r="P890" i="6" s="1"/>
  <c r="Q889" i="6"/>
  <c r="R889" i="6" s="1"/>
  <c r="M889" i="6" s="1"/>
  <c r="S889" i="6" s="1"/>
  <c r="N889" i="6"/>
  <c r="G242" i="5"/>
  <c r="H242" i="5" s="1"/>
  <c r="I242" i="5" s="1"/>
  <c r="J242" i="5" s="1"/>
  <c r="A244" i="5"/>
  <c r="B243" i="5"/>
  <c r="C243" i="5" s="1"/>
  <c r="D243" i="5"/>
  <c r="F243" i="5" s="1"/>
  <c r="E243" i="5"/>
  <c r="N890" i="6" l="1"/>
  <c r="O891" i="6"/>
  <c r="P891" i="6" s="1"/>
  <c r="Q890" i="6"/>
  <c r="R890" i="6" s="1"/>
  <c r="M890" i="6" s="1"/>
  <c r="S890" i="6" s="1"/>
  <c r="G243" i="5"/>
  <c r="H243" i="5" s="1"/>
  <c r="I243" i="5" s="1"/>
  <c r="J243" i="5" s="1"/>
  <c r="B244" i="5"/>
  <c r="C244" i="5" s="1"/>
  <c r="E244" i="5"/>
  <c r="G244" i="5" s="1"/>
  <c r="H244" i="5" s="1"/>
  <c r="D244" i="5"/>
  <c r="F244" i="5" s="1"/>
  <c r="A245" i="5"/>
  <c r="N891" i="6" l="1"/>
  <c r="Q891" i="6"/>
  <c r="R891" i="6" s="1"/>
  <c r="M891" i="6" s="1"/>
  <c r="S891" i="6" s="1"/>
  <c r="O892" i="6"/>
  <c r="P892" i="6" s="1"/>
  <c r="I244" i="5"/>
  <c r="J244" i="5" s="1"/>
  <c r="A246" i="5"/>
  <c r="B245" i="5"/>
  <c r="C245" i="5" s="1"/>
  <c r="E245" i="5"/>
  <c r="D245" i="5"/>
  <c r="F245" i="5" s="1"/>
  <c r="O893" i="6" l="1"/>
  <c r="P893" i="6" s="1"/>
  <c r="Q892" i="6"/>
  <c r="R892" i="6" s="1"/>
  <c r="M892" i="6" s="1"/>
  <c r="S892" i="6" s="1"/>
  <c r="N892" i="6"/>
  <c r="G245" i="5"/>
  <c r="H245" i="5" s="1"/>
  <c r="I245" i="5" s="1"/>
  <c r="J245" i="5" s="1"/>
  <c r="A247" i="5"/>
  <c r="E246" i="5"/>
  <c r="B246" i="5"/>
  <c r="C246" i="5" s="1"/>
  <c r="D246" i="5"/>
  <c r="F246" i="5" s="1"/>
  <c r="N893" i="6" l="1"/>
  <c r="O894" i="6"/>
  <c r="P894" i="6" s="1"/>
  <c r="Q893" i="6"/>
  <c r="R893" i="6" s="1"/>
  <c r="M893" i="6" s="1"/>
  <c r="S893" i="6" s="1"/>
  <c r="G246" i="5"/>
  <c r="H246" i="5" s="1"/>
  <c r="I246" i="5" s="1"/>
  <c r="J246" i="5" s="1"/>
  <c r="A248" i="5"/>
  <c r="D247" i="5"/>
  <c r="F247" i="5" s="1"/>
  <c r="B247" i="5"/>
  <c r="C247" i="5" s="1"/>
  <c r="E247" i="5"/>
  <c r="G247" i="5" s="1"/>
  <c r="H247" i="5" s="1"/>
  <c r="O895" i="6" l="1"/>
  <c r="P895" i="6" s="1"/>
  <c r="Q894" i="6"/>
  <c r="R894" i="6" s="1"/>
  <c r="M894" i="6" s="1"/>
  <c r="S894" i="6" s="1"/>
  <c r="N894" i="6"/>
  <c r="I247" i="5"/>
  <c r="J247" i="5" s="1"/>
  <c r="A249" i="5"/>
  <c r="D248" i="5"/>
  <c r="F248" i="5" s="1"/>
  <c r="E248" i="5"/>
  <c r="G248" i="5" s="1"/>
  <c r="H248" i="5" s="1"/>
  <c r="B248" i="5"/>
  <c r="C248" i="5" s="1"/>
  <c r="O896" i="6" l="1"/>
  <c r="P896" i="6" s="1"/>
  <c r="N895" i="6"/>
  <c r="Q895" i="6"/>
  <c r="R895" i="6" s="1"/>
  <c r="M895" i="6" s="1"/>
  <c r="S895" i="6" s="1"/>
  <c r="I248" i="5"/>
  <c r="J248" i="5" s="1"/>
  <c r="A250" i="5"/>
  <c r="B249" i="5"/>
  <c r="C249" i="5" s="1"/>
  <c r="E249" i="5"/>
  <c r="G249" i="5"/>
  <c r="H249" i="5" s="1"/>
  <c r="D249" i="5"/>
  <c r="F249" i="5" s="1"/>
  <c r="O897" i="6" l="1"/>
  <c r="P897" i="6" s="1"/>
  <c r="N896" i="6"/>
  <c r="Q896" i="6"/>
  <c r="R896" i="6" s="1"/>
  <c r="M896" i="6" s="1"/>
  <c r="S896" i="6" s="1"/>
  <c r="I249" i="5"/>
  <c r="J249" i="5" s="1"/>
  <c r="A251" i="5"/>
  <c r="E250" i="5"/>
  <c r="G250" i="5" s="1"/>
  <c r="H250" i="5" s="1"/>
  <c r="D250" i="5"/>
  <c r="F250" i="5" s="1"/>
  <c r="B250" i="5"/>
  <c r="C250" i="5" s="1"/>
  <c r="N897" i="6" l="1"/>
  <c r="O898" i="6"/>
  <c r="P898" i="6" s="1"/>
  <c r="Q897" i="6"/>
  <c r="R897" i="6" s="1"/>
  <c r="M897" i="6" s="1"/>
  <c r="S897" i="6" s="1"/>
  <c r="I250" i="5"/>
  <c r="J250" i="5" s="1"/>
  <c r="A252" i="5"/>
  <c r="B251" i="5"/>
  <c r="C251" i="5" s="1"/>
  <c r="E251" i="5"/>
  <c r="G251" i="5"/>
  <c r="H251" i="5" s="1"/>
  <c r="D251" i="5"/>
  <c r="F251" i="5" s="1"/>
  <c r="N898" i="6" l="1"/>
  <c r="Q898" i="6"/>
  <c r="R898" i="6" s="1"/>
  <c r="M898" i="6" s="1"/>
  <c r="S898" i="6" s="1"/>
  <c r="O899" i="6"/>
  <c r="P899" i="6" s="1"/>
  <c r="I251" i="5"/>
  <c r="J251" i="5" s="1"/>
  <c r="A253" i="5"/>
  <c r="E252" i="5"/>
  <c r="B252" i="5"/>
  <c r="C252" i="5" s="1"/>
  <c r="D252" i="5"/>
  <c r="F252" i="5" s="1"/>
  <c r="G252" i="5"/>
  <c r="H252" i="5" s="1"/>
  <c r="N899" i="6" l="1"/>
  <c r="Q899" i="6"/>
  <c r="R899" i="6" s="1"/>
  <c r="M899" i="6" s="1"/>
  <c r="S899" i="6" s="1"/>
  <c r="O900" i="6"/>
  <c r="P900" i="6" s="1"/>
  <c r="I252" i="5"/>
  <c r="J252" i="5" s="1"/>
  <c r="A254" i="5"/>
  <c r="E253" i="5"/>
  <c r="B253" i="5"/>
  <c r="C253" i="5" s="1"/>
  <c r="D253" i="5"/>
  <c r="F253" i="5" s="1"/>
  <c r="G253" i="5"/>
  <c r="H253" i="5" s="1"/>
  <c r="O901" i="6" l="1"/>
  <c r="P901" i="6" s="1"/>
  <c r="Q900" i="6"/>
  <c r="R900" i="6" s="1"/>
  <c r="N900" i="6"/>
  <c r="I253" i="5"/>
  <c r="J253" i="5" s="1"/>
  <c r="A255" i="5"/>
  <c r="D254" i="5"/>
  <c r="F254" i="5" s="1"/>
  <c r="B254" i="5"/>
  <c r="C254" i="5"/>
  <c r="E254" i="5"/>
  <c r="M900" i="6" l="1"/>
  <c r="S900" i="6" s="1"/>
  <c r="N901" i="6"/>
  <c r="O902" i="6"/>
  <c r="P902" i="6" s="1"/>
  <c r="Q901" i="6"/>
  <c r="R901" i="6" s="1"/>
  <c r="M901" i="6" s="1"/>
  <c r="S901" i="6" s="1"/>
  <c r="G254" i="5"/>
  <c r="H254" i="5" s="1"/>
  <c r="I254" i="5" s="1"/>
  <c r="J254" i="5" s="1"/>
  <c r="A256" i="5"/>
  <c r="E255" i="5"/>
  <c r="B255" i="5"/>
  <c r="C255" i="5" s="1"/>
  <c r="D255" i="5"/>
  <c r="F255" i="5" s="1"/>
  <c r="G255" i="5"/>
  <c r="H255" i="5" s="1"/>
  <c r="O903" i="6" l="1"/>
  <c r="P903" i="6" s="1"/>
  <c r="Q902" i="6"/>
  <c r="R902" i="6" s="1"/>
  <c r="N902" i="6"/>
  <c r="I255" i="5"/>
  <c r="J255" i="5" s="1"/>
  <c r="A257" i="5"/>
  <c r="D256" i="5"/>
  <c r="F256" i="5" s="1"/>
  <c r="E256" i="5"/>
  <c r="B256" i="5"/>
  <c r="C256" i="5" s="1"/>
  <c r="M902" i="6" l="1"/>
  <c r="S902" i="6" s="1"/>
  <c r="O904" i="6"/>
  <c r="P904" i="6" s="1"/>
  <c r="Q903" i="6"/>
  <c r="R903" i="6" s="1"/>
  <c r="N903" i="6"/>
  <c r="G256" i="5"/>
  <c r="H256" i="5" s="1"/>
  <c r="I256" i="5" s="1"/>
  <c r="J256" i="5" s="1"/>
  <c r="A258" i="5"/>
  <c r="E257" i="5"/>
  <c r="B257" i="5"/>
  <c r="C257" i="5" s="1"/>
  <c r="D257" i="5"/>
  <c r="F257" i="5" s="1"/>
  <c r="M903" i="6" l="1"/>
  <c r="S903" i="6" s="1"/>
  <c r="Q904" i="6"/>
  <c r="R904" i="6" s="1"/>
  <c r="O905" i="6"/>
  <c r="P905" i="6" s="1"/>
  <c r="N904" i="6"/>
  <c r="G257" i="5"/>
  <c r="H257" i="5" s="1"/>
  <c r="I257" i="5" s="1"/>
  <c r="J257" i="5" s="1"/>
  <c r="A259" i="5"/>
  <c r="B258" i="5"/>
  <c r="C258" i="5" s="1"/>
  <c r="E258" i="5"/>
  <c r="G258" i="5" s="1"/>
  <c r="H258" i="5" s="1"/>
  <c r="D258" i="5"/>
  <c r="F258" i="5" s="1"/>
  <c r="M904" i="6" l="1"/>
  <c r="S904" i="6" s="1"/>
  <c r="O906" i="6"/>
  <c r="P906" i="6" s="1"/>
  <c r="Q905" i="6"/>
  <c r="R905" i="6" s="1"/>
  <c r="N905" i="6"/>
  <c r="I258" i="5"/>
  <c r="J258" i="5" s="1"/>
  <c r="A260" i="5"/>
  <c r="D259" i="5"/>
  <c r="F259" i="5" s="1"/>
  <c r="B259" i="5"/>
  <c r="C259" i="5" s="1"/>
  <c r="E259" i="5"/>
  <c r="M905" i="6" l="1"/>
  <c r="S905" i="6" s="1"/>
  <c r="O907" i="6"/>
  <c r="P907" i="6" s="1"/>
  <c r="Q906" i="6"/>
  <c r="R906" i="6" s="1"/>
  <c r="N906" i="6"/>
  <c r="G259" i="5"/>
  <c r="H259" i="5" s="1"/>
  <c r="I259" i="5" s="1"/>
  <c r="J259" i="5" s="1"/>
  <c r="A261" i="5"/>
  <c r="B260" i="5"/>
  <c r="C260" i="5" s="1"/>
  <c r="D260" i="5"/>
  <c r="F260" i="5" s="1"/>
  <c r="E260" i="5"/>
  <c r="G260" i="5" s="1"/>
  <c r="H260" i="5" s="1"/>
  <c r="M906" i="6" l="1"/>
  <c r="S906" i="6" s="1"/>
  <c r="Q907" i="6"/>
  <c r="R907" i="6" s="1"/>
  <c r="O908" i="6"/>
  <c r="P908" i="6" s="1"/>
  <c r="N907" i="6"/>
  <c r="I260" i="5"/>
  <c r="J260" i="5" s="1"/>
  <c r="A262" i="5"/>
  <c r="B261" i="5"/>
  <c r="C261" i="5" s="1"/>
  <c r="D261" i="5"/>
  <c r="F261" i="5" s="1"/>
  <c r="E261" i="5"/>
  <c r="M907" i="6" l="1"/>
  <c r="S907" i="6" s="1"/>
  <c r="N908" i="6"/>
  <c r="O909" i="6"/>
  <c r="P909" i="6" s="1"/>
  <c r="Q908" i="6"/>
  <c r="R908" i="6" s="1"/>
  <c r="M908" i="6" s="1"/>
  <c r="S908" i="6" s="1"/>
  <c r="G261" i="5"/>
  <c r="H261" i="5" s="1"/>
  <c r="I261" i="5" s="1"/>
  <c r="J261" i="5" s="1"/>
  <c r="A263" i="5"/>
  <c r="E262" i="5"/>
  <c r="B262" i="5"/>
  <c r="C262" i="5" s="1"/>
  <c r="D262" i="5"/>
  <c r="F262" i="5" s="1"/>
  <c r="N909" i="6" l="1"/>
  <c r="Q909" i="6"/>
  <c r="R909" i="6" s="1"/>
  <c r="M909" i="6" s="1"/>
  <c r="S909" i="6" s="1"/>
  <c r="O910" i="6"/>
  <c r="P910" i="6" s="1"/>
  <c r="G262" i="5"/>
  <c r="H262" i="5" s="1"/>
  <c r="I262" i="5" s="1"/>
  <c r="J262" i="5" s="1"/>
  <c r="A264" i="5"/>
  <c r="B263" i="5"/>
  <c r="C263" i="5" s="1"/>
  <c r="D263" i="5"/>
  <c r="F263" i="5" s="1"/>
  <c r="E263" i="5"/>
  <c r="N910" i="6" l="1"/>
  <c r="Q910" i="6"/>
  <c r="R910" i="6" s="1"/>
  <c r="M910" i="6" s="1"/>
  <c r="S910" i="6" s="1"/>
  <c r="O911" i="6"/>
  <c r="P911" i="6" s="1"/>
  <c r="G263" i="5"/>
  <c r="H263" i="5" s="1"/>
  <c r="I263" i="5" s="1"/>
  <c r="J263" i="5" s="1"/>
  <c r="A265" i="5"/>
  <c r="D264" i="5"/>
  <c r="F264" i="5" s="1"/>
  <c r="E264" i="5"/>
  <c r="B264" i="5"/>
  <c r="C264" i="5" s="1"/>
  <c r="N911" i="6" l="1"/>
  <c r="Q911" i="6"/>
  <c r="R911" i="6" s="1"/>
  <c r="M911" i="6" s="1"/>
  <c r="S911" i="6" s="1"/>
  <c r="O912" i="6"/>
  <c r="P912" i="6" s="1"/>
  <c r="G264" i="5"/>
  <c r="H264" i="5" s="1"/>
  <c r="I264" i="5" s="1"/>
  <c r="J264" i="5" s="1"/>
  <c r="A266" i="5"/>
  <c r="E265" i="5"/>
  <c r="G265" i="5" s="1"/>
  <c r="H265" i="5" s="1"/>
  <c r="B265" i="5"/>
  <c r="C265" i="5" s="1"/>
  <c r="D265" i="5"/>
  <c r="F265" i="5" s="1"/>
  <c r="Q912" i="6" l="1"/>
  <c r="R912" i="6" s="1"/>
  <c r="O913" i="6"/>
  <c r="P913" i="6" s="1"/>
  <c r="N912" i="6"/>
  <c r="I265" i="5"/>
  <c r="J265" i="5" s="1"/>
  <c r="A267" i="5"/>
  <c r="B266" i="5"/>
  <c r="C266" i="5" s="1"/>
  <c r="D266" i="5"/>
  <c r="F266" i="5" s="1"/>
  <c r="E266" i="5"/>
  <c r="M912" i="6" l="1"/>
  <c r="S912" i="6" s="1"/>
  <c r="N913" i="6"/>
  <c r="Q913" i="6"/>
  <c r="R913" i="6" s="1"/>
  <c r="M913" i="6" s="1"/>
  <c r="S913" i="6" s="1"/>
  <c r="O914" i="6"/>
  <c r="P914" i="6" s="1"/>
  <c r="G266" i="5"/>
  <c r="H266" i="5" s="1"/>
  <c r="I266" i="5" s="1"/>
  <c r="J266" i="5" s="1"/>
  <c r="A268" i="5"/>
  <c r="B267" i="5"/>
  <c r="C267" i="5" s="1"/>
  <c r="E267" i="5"/>
  <c r="D267" i="5"/>
  <c r="F267" i="5" s="1"/>
  <c r="N914" i="6" l="1"/>
  <c r="Q914" i="6"/>
  <c r="R914" i="6" s="1"/>
  <c r="M914" i="6" s="1"/>
  <c r="S914" i="6" s="1"/>
  <c r="O915" i="6"/>
  <c r="P915" i="6" s="1"/>
  <c r="G267" i="5"/>
  <c r="H267" i="5" s="1"/>
  <c r="I267" i="5" s="1"/>
  <c r="J267" i="5" s="1"/>
  <c r="A269" i="5"/>
  <c r="B268" i="5"/>
  <c r="C268" i="5" s="1"/>
  <c r="E268" i="5"/>
  <c r="D268" i="5"/>
  <c r="F268" i="5" s="1"/>
  <c r="O916" i="6" l="1"/>
  <c r="P916" i="6" s="1"/>
  <c r="Q915" i="6"/>
  <c r="R915" i="6" s="1"/>
  <c r="N915" i="6"/>
  <c r="G268" i="5"/>
  <c r="H268" i="5" s="1"/>
  <c r="I268" i="5" s="1"/>
  <c r="J268" i="5" s="1"/>
  <c r="A270" i="5"/>
  <c r="B269" i="5"/>
  <c r="C269" i="5" s="1"/>
  <c r="E269" i="5"/>
  <c r="G269" i="5" s="1"/>
  <c r="H269" i="5" s="1"/>
  <c r="D269" i="5"/>
  <c r="F269" i="5" s="1"/>
  <c r="M915" i="6" l="1"/>
  <c r="S915" i="6" s="1"/>
  <c r="O917" i="6"/>
  <c r="P917" i="6" s="1"/>
  <c r="Q916" i="6"/>
  <c r="R916" i="6" s="1"/>
  <c r="N916" i="6"/>
  <c r="I269" i="5"/>
  <c r="J269" i="5" s="1"/>
  <c r="A271" i="5"/>
  <c r="D270" i="5"/>
  <c r="F270" i="5" s="1"/>
  <c r="B270" i="5"/>
  <c r="C270" i="5" s="1"/>
  <c r="E270" i="5"/>
  <c r="M916" i="6" l="1"/>
  <c r="S916" i="6" s="1"/>
  <c r="N917" i="6"/>
  <c r="O918" i="6"/>
  <c r="P918" i="6" s="1"/>
  <c r="Q917" i="6"/>
  <c r="R917" i="6" s="1"/>
  <c r="M917" i="6" s="1"/>
  <c r="S917" i="6" s="1"/>
  <c r="G270" i="5"/>
  <c r="H270" i="5" s="1"/>
  <c r="I270" i="5" s="1"/>
  <c r="J270" i="5" s="1"/>
  <c r="A272" i="5"/>
  <c r="B271" i="5"/>
  <c r="C271" i="5" s="1"/>
  <c r="E271" i="5"/>
  <c r="D271" i="5"/>
  <c r="F271" i="5" s="1"/>
  <c r="O919" i="6" l="1"/>
  <c r="P919" i="6" s="1"/>
  <c r="Q918" i="6"/>
  <c r="R918" i="6" s="1"/>
  <c r="N918" i="6"/>
  <c r="G271" i="5"/>
  <c r="H271" i="5" s="1"/>
  <c r="I271" i="5" s="1"/>
  <c r="J271" i="5" s="1"/>
  <c r="A273" i="5"/>
  <c r="E272" i="5"/>
  <c r="D272" i="5"/>
  <c r="F272" i="5" s="1"/>
  <c r="B272" i="5"/>
  <c r="C272" i="5" s="1"/>
  <c r="M918" i="6" l="1"/>
  <c r="S918" i="6" s="1"/>
  <c r="N919" i="6"/>
  <c r="O920" i="6"/>
  <c r="P920" i="6" s="1"/>
  <c r="Q919" i="6"/>
  <c r="R919" i="6" s="1"/>
  <c r="M919" i="6" s="1"/>
  <c r="S919" i="6" s="1"/>
  <c r="G272" i="5"/>
  <c r="H272" i="5" s="1"/>
  <c r="I272" i="5" s="1"/>
  <c r="J272" i="5" s="1"/>
  <c r="A274" i="5"/>
  <c r="E273" i="5"/>
  <c r="B273" i="5"/>
  <c r="C273" i="5" s="1"/>
  <c r="D273" i="5"/>
  <c r="F273" i="5" s="1"/>
  <c r="N920" i="6" l="1"/>
  <c r="Q920" i="6"/>
  <c r="R920" i="6" s="1"/>
  <c r="M920" i="6" s="1"/>
  <c r="S920" i="6" s="1"/>
  <c r="O921" i="6"/>
  <c r="P921" i="6" s="1"/>
  <c r="G273" i="5"/>
  <c r="H273" i="5" s="1"/>
  <c r="I273" i="5" s="1"/>
  <c r="J273" i="5" s="1"/>
  <c r="A275" i="5"/>
  <c r="E274" i="5"/>
  <c r="B274" i="5"/>
  <c r="C274" i="5" s="1"/>
  <c r="D274" i="5"/>
  <c r="F274" i="5" s="1"/>
  <c r="O922" i="6" l="1"/>
  <c r="P922" i="6" s="1"/>
  <c r="Q921" i="6"/>
  <c r="R921" i="6" s="1"/>
  <c r="M921" i="6" s="1"/>
  <c r="S921" i="6" s="1"/>
  <c r="N921" i="6"/>
  <c r="G274" i="5"/>
  <c r="H274" i="5" s="1"/>
  <c r="I274" i="5" s="1"/>
  <c r="J274" i="5" s="1"/>
  <c r="A276" i="5"/>
  <c r="B275" i="5"/>
  <c r="C275" i="5" s="1"/>
  <c r="D275" i="5"/>
  <c r="F275" i="5" s="1"/>
  <c r="E275" i="5"/>
  <c r="G275" i="5" s="1"/>
  <c r="H275" i="5" s="1"/>
  <c r="I275" i="5" s="1"/>
  <c r="N922" i="6" l="1"/>
  <c r="O923" i="6"/>
  <c r="P923" i="6" s="1"/>
  <c r="Q922" i="6"/>
  <c r="R922" i="6" s="1"/>
  <c r="M922" i="6" s="1"/>
  <c r="S922" i="6" s="1"/>
  <c r="J275" i="5"/>
  <c r="A277" i="5"/>
  <c r="B276" i="5"/>
  <c r="C276" i="5" s="1"/>
  <c r="E276" i="5"/>
  <c r="D276" i="5"/>
  <c r="F276" i="5" s="1"/>
  <c r="Q923" i="6" l="1"/>
  <c r="R923" i="6" s="1"/>
  <c r="M923" i="6" s="1"/>
  <c r="S923" i="6" s="1"/>
  <c r="O924" i="6"/>
  <c r="P924" i="6" s="1"/>
  <c r="N923" i="6"/>
  <c r="G276" i="5"/>
  <c r="H276" i="5" s="1"/>
  <c r="I276" i="5" s="1"/>
  <c r="J276" i="5" s="1"/>
  <c r="A278" i="5"/>
  <c r="D277" i="5"/>
  <c r="F277" i="5" s="1"/>
  <c r="E277" i="5"/>
  <c r="B277" i="5"/>
  <c r="C277" i="5" s="1"/>
  <c r="N924" i="6" l="1"/>
  <c r="Q924" i="6"/>
  <c r="R924" i="6" s="1"/>
  <c r="M924" i="6" s="1"/>
  <c r="S924" i="6" s="1"/>
  <c r="O925" i="6"/>
  <c r="P925" i="6" s="1"/>
  <c r="G277" i="5"/>
  <c r="H277" i="5" s="1"/>
  <c r="I277" i="5" s="1"/>
  <c r="J277" i="5" s="1"/>
  <c r="A279" i="5"/>
  <c r="E278" i="5"/>
  <c r="G278" i="5" s="1"/>
  <c r="H278" i="5" s="1"/>
  <c r="D278" i="5"/>
  <c r="F278" i="5" s="1"/>
  <c r="B278" i="5"/>
  <c r="C278" i="5" s="1"/>
  <c r="N925" i="6" l="1"/>
  <c r="Q925" i="6"/>
  <c r="R925" i="6" s="1"/>
  <c r="M925" i="6" s="1"/>
  <c r="S925" i="6" s="1"/>
  <c r="O926" i="6"/>
  <c r="P926" i="6" s="1"/>
  <c r="I278" i="5"/>
  <c r="J278" i="5" s="1"/>
  <c r="A280" i="5"/>
  <c r="E279" i="5"/>
  <c r="G279" i="5" s="1"/>
  <c r="H279" i="5" s="1"/>
  <c r="B279" i="5"/>
  <c r="C279" i="5" s="1"/>
  <c r="D279" i="5"/>
  <c r="F279" i="5" s="1"/>
  <c r="N926" i="6" l="1"/>
  <c r="Q926" i="6"/>
  <c r="R926" i="6" s="1"/>
  <c r="M926" i="6" s="1"/>
  <c r="S926" i="6" s="1"/>
  <c r="O927" i="6"/>
  <c r="P927" i="6" s="1"/>
  <c r="I279" i="5"/>
  <c r="J279" i="5" s="1"/>
  <c r="A281" i="5"/>
  <c r="B280" i="5"/>
  <c r="C280" i="5" s="1"/>
  <c r="D280" i="5"/>
  <c r="F280" i="5" s="1"/>
  <c r="E280" i="5"/>
  <c r="O928" i="6" l="1"/>
  <c r="P928" i="6" s="1"/>
  <c r="N927" i="6"/>
  <c r="Q927" i="6"/>
  <c r="R927" i="6" s="1"/>
  <c r="M927" i="6" s="1"/>
  <c r="S927" i="6" s="1"/>
  <c r="G280" i="5"/>
  <c r="H280" i="5" s="1"/>
  <c r="I280" i="5" s="1"/>
  <c r="J280" i="5" s="1"/>
  <c r="A282" i="5"/>
  <c r="B281" i="5"/>
  <c r="C281" i="5" s="1"/>
  <c r="E281" i="5"/>
  <c r="D281" i="5"/>
  <c r="F281" i="5" s="1"/>
  <c r="N928" i="6" l="1"/>
  <c r="O929" i="6"/>
  <c r="P929" i="6" s="1"/>
  <c r="Q928" i="6"/>
  <c r="R928" i="6" s="1"/>
  <c r="M928" i="6" s="1"/>
  <c r="S928" i="6" s="1"/>
  <c r="G281" i="5"/>
  <c r="H281" i="5" s="1"/>
  <c r="I281" i="5" s="1"/>
  <c r="J281" i="5" s="1"/>
  <c r="B282" i="5"/>
  <c r="A283" i="5"/>
  <c r="E282" i="5"/>
  <c r="G282" i="5" s="1"/>
  <c r="H282" i="5" s="1"/>
  <c r="D282" i="5"/>
  <c r="F282" i="5" s="1"/>
  <c r="C282" i="5"/>
  <c r="N929" i="6" l="1"/>
  <c r="Q929" i="6"/>
  <c r="R929" i="6" s="1"/>
  <c r="M929" i="6" s="1"/>
  <c r="S929" i="6" s="1"/>
  <c r="O930" i="6"/>
  <c r="P930" i="6" s="1"/>
  <c r="I282" i="5"/>
  <c r="J282" i="5" s="1"/>
  <c r="D283" i="5"/>
  <c r="F283" i="5" s="1"/>
  <c r="A284" i="5"/>
  <c r="E283" i="5"/>
  <c r="G283" i="5"/>
  <c r="H283" i="5" s="1"/>
  <c r="B283" i="5"/>
  <c r="C283" i="5" s="1"/>
  <c r="N930" i="6" l="1"/>
  <c r="O931" i="6"/>
  <c r="P931" i="6" s="1"/>
  <c r="Q930" i="6"/>
  <c r="R930" i="6" s="1"/>
  <c r="M930" i="6" s="1"/>
  <c r="S930" i="6" s="1"/>
  <c r="I283" i="5"/>
  <c r="J283" i="5" s="1"/>
  <c r="E284" i="5"/>
  <c r="D284" i="5"/>
  <c r="F284" i="5" s="1"/>
  <c r="B284" i="5"/>
  <c r="C284" i="5" s="1"/>
  <c r="A285" i="5"/>
  <c r="N931" i="6" l="1"/>
  <c r="O932" i="6"/>
  <c r="P932" i="6" s="1"/>
  <c r="Q931" i="6"/>
  <c r="R931" i="6" s="1"/>
  <c r="G284" i="5"/>
  <c r="H284" i="5" s="1"/>
  <c r="I284" i="5" s="1"/>
  <c r="J284" i="5" s="1"/>
  <c r="E285" i="5"/>
  <c r="G285" i="5" s="1"/>
  <c r="H285" i="5" s="1"/>
  <c r="B285" i="5"/>
  <c r="C285" i="5" s="1"/>
  <c r="A286" i="5"/>
  <c r="D285" i="5"/>
  <c r="F285" i="5" s="1"/>
  <c r="M931" i="6" l="1"/>
  <c r="S931" i="6" s="1"/>
  <c r="N932" i="6"/>
  <c r="Q932" i="6"/>
  <c r="R932" i="6" s="1"/>
  <c r="M932" i="6" s="1"/>
  <c r="S932" i="6" s="1"/>
  <c r="O933" i="6"/>
  <c r="P933" i="6" s="1"/>
  <c r="I285" i="5"/>
  <c r="J285" i="5" s="1"/>
  <c r="B286" i="5"/>
  <c r="C286" i="5" s="1"/>
  <c r="A287" i="5"/>
  <c r="D286" i="5"/>
  <c r="F286" i="5" s="1"/>
  <c r="E286" i="5"/>
  <c r="N933" i="6" l="1"/>
  <c r="Q933" i="6"/>
  <c r="R933" i="6" s="1"/>
  <c r="M933" i="6" s="1"/>
  <c r="S933" i="6" s="1"/>
  <c r="O934" i="6"/>
  <c r="P934" i="6" s="1"/>
  <c r="G286" i="5"/>
  <c r="H286" i="5" s="1"/>
  <c r="I286" i="5" s="1"/>
  <c r="J286" i="5" s="1"/>
  <c r="A288" i="5"/>
  <c r="D287" i="5"/>
  <c r="F287" i="5" s="1"/>
  <c r="E287" i="5"/>
  <c r="G287" i="5" s="1"/>
  <c r="H287" i="5" s="1"/>
  <c r="B287" i="5"/>
  <c r="C287" i="5" s="1"/>
  <c r="N934" i="6" l="1"/>
  <c r="O935" i="6"/>
  <c r="P935" i="6" s="1"/>
  <c r="Q934" i="6"/>
  <c r="R934" i="6" s="1"/>
  <c r="M934" i="6" s="1"/>
  <c r="S934" i="6" s="1"/>
  <c r="I287" i="5"/>
  <c r="J287" i="5" s="1"/>
  <c r="E288" i="5"/>
  <c r="G288" i="5" s="1"/>
  <c r="H288" i="5" s="1"/>
  <c r="B288" i="5"/>
  <c r="C288" i="5" s="1"/>
  <c r="A289" i="5"/>
  <c r="D288" i="5"/>
  <c r="F288" i="5" s="1"/>
  <c r="N935" i="6" l="1"/>
  <c r="O936" i="6"/>
  <c r="P936" i="6" s="1"/>
  <c r="Q935" i="6"/>
  <c r="R935" i="6" s="1"/>
  <c r="M935" i="6" s="1"/>
  <c r="S935" i="6" s="1"/>
  <c r="I288" i="5"/>
  <c r="J288" i="5" s="1"/>
  <c r="D289" i="5"/>
  <c r="F289" i="5" s="1"/>
  <c r="A290" i="5"/>
  <c r="E289" i="5"/>
  <c r="B289" i="5"/>
  <c r="C289" i="5" s="1"/>
  <c r="O937" i="6" l="1"/>
  <c r="P937" i="6" s="1"/>
  <c r="N936" i="6"/>
  <c r="Q936" i="6"/>
  <c r="R936" i="6" s="1"/>
  <c r="M936" i="6" s="1"/>
  <c r="S936" i="6" s="1"/>
  <c r="G289" i="5"/>
  <c r="H289" i="5" s="1"/>
  <c r="I289" i="5" s="1"/>
  <c r="J289" i="5" s="1"/>
  <c r="A291" i="5"/>
  <c r="B290" i="5"/>
  <c r="C290" i="5" s="1"/>
  <c r="E290" i="5"/>
  <c r="G290" i="5" s="1"/>
  <c r="H290" i="5" s="1"/>
  <c r="D290" i="5"/>
  <c r="F290" i="5" s="1"/>
  <c r="N937" i="6" l="1"/>
  <c r="O938" i="6"/>
  <c r="P938" i="6" s="1"/>
  <c r="Q937" i="6"/>
  <c r="R937" i="6" s="1"/>
  <c r="M937" i="6" s="1"/>
  <c r="S937" i="6" s="1"/>
  <c r="I290" i="5"/>
  <c r="J290" i="5" s="1"/>
  <c r="D291" i="5"/>
  <c r="F291" i="5" s="1"/>
  <c r="A292" i="5"/>
  <c r="B291" i="5"/>
  <c r="C291" i="5" s="1"/>
  <c r="E291" i="5"/>
  <c r="N938" i="6" l="1"/>
  <c r="Q938" i="6"/>
  <c r="R938" i="6" s="1"/>
  <c r="M938" i="6" s="1"/>
  <c r="S938" i="6" s="1"/>
  <c r="O939" i="6"/>
  <c r="P939" i="6" s="1"/>
  <c r="G291" i="5"/>
  <c r="H291" i="5" s="1"/>
  <c r="I291" i="5" s="1"/>
  <c r="J291" i="5" s="1"/>
  <c r="E292" i="5"/>
  <c r="B292" i="5"/>
  <c r="C292" i="5" s="1"/>
  <c r="A293" i="5"/>
  <c r="D292" i="5"/>
  <c r="F292" i="5" s="1"/>
  <c r="G292" i="5"/>
  <c r="H292" i="5" s="1"/>
  <c r="I292" i="5" s="1"/>
  <c r="O940" i="6" l="1"/>
  <c r="P940" i="6" s="1"/>
  <c r="N939" i="6"/>
  <c r="Q939" i="6"/>
  <c r="R939" i="6" s="1"/>
  <c r="J292" i="5"/>
  <c r="E293" i="5"/>
  <c r="G293" i="5" s="1"/>
  <c r="H293" i="5" s="1"/>
  <c r="B293" i="5"/>
  <c r="C293" i="5" s="1"/>
  <c r="A294" i="5"/>
  <c r="D293" i="5"/>
  <c r="F293" i="5" s="1"/>
  <c r="M939" i="6" l="1"/>
  <c r="S939" i="6" s="1"/>
  <c r="N940" i="6"/>
  <c r="O941" i="6"/>
  <c r="P941" i="6" s="1"/>
  <c r="Q940" i="6"/>
  <c r="R940" i="6" s="1"/>
  <c r="M940" i="6" s="1"/>
  <c r="S940" i="6" s="1"/>
  <c r="I293" i="5"/>
  <c r="J293" i="5" s="1"/>
  <c r="A295" i="5"/>
  <c r="B294" i="5"/>
  <c r="C294" i="5" s="1"/>
  <c r="D294" i="5"/>
  <c r="F294" i="5" s="1"/>
  <c r="E294" i="5"/>
  <c r="Q941" i="6" l="1"/>
  <c r="R941" i="6" s="1"/>
  <c r="N941" i="6"/>
  <c r="O942" i="6"/>
  <c r="P942" i="6" s="1"/>
  <c r="G294" i="5"/>
  <c r="H294" i="5" s="1"/>
  <c r="I294" i="5" s="1"/>
  <c r="J294" i="5" s="1"/>
  <c r="D295" i="5"/>
  <c r="F295" i="5" s="1"/>
  <c r="A296" i="5"/>
  <c r="B295" i="5"/>
  <c r="C295" i="5" s="1"/>
  <c r="E295" i="5"/>
  <c r="M941" i="6" l="1"/>
  <c r="S941" i="6" s="1"/>
  <c r="N942" i="6"/>
  <c r="O943" i="6"/>
  <c r="P943" i="6" s="1"/>
  <c r="Q942" i="6"/>
  <c r="R942" i="6" s="1"/>
  <c r="M942" i="6" s="1"/>
  <c r="S942" i="6" s="1"/>
  <c r="G295" i="5"/>
  <c r="H295" i="5" s="1"/>
  <c r="I295" i="5" s="1"/>
  <c r="J295" i="5" s="1"/>
  <c r="B296" i="5"/>
  <c r="C296" i="5" s="1"/>
  <c r="A297" i="5"/>
  <c r="D296" i="5"/>
  <c r="F296" i="5" s="1"/>
  <c r="E296" i="5"/>
  <c r="N943" i="6" l="1"/>
  <c r="Q943" i="6"/>
  <c r="R943" i="6" s="1"/>
  <c r="M943" i="6" s="1"/>
  <c r="S943" i="6" s="1"/>
  <c r="O944" i="6"/>
  <c r="P944" i="6" s="1"/>
  <c r="G296" i="5"/>
  <c r="H296" i="5" s="1"/>
  <c r="I296" i="5" s="1"/>
  <c r="J296" i="5" s="1"/>
  <c r="B297" i="5"/>
  <c r="C297" i="5" s="1"/>
  <c r="A298" i="5"/>
  <c r="E297" i="5"/>
  <c r="G297" i="5" s="1"/>
  <c r="H297" i="5" s="1"/>
  <c r="D297" i="5"/>
  <c r="F297" i="5" s="1"/>
  <c r="O945" i="6" l="1"/>
  <c r="P945" i="6" s="1"/>
  <c r="N944" i="6"/>
  <c r="Q944" i="6"/>
  <c r="R944" i="6" s="1"/>
  <c r="I297" i="5"/>
  <c r="J297" i="5" s="1"/>
  <c r="A299" i="5"/>
  <c r="B298" i="5"/>
  <c r="C298" i="5" s="1"/>
  <c r="D298" i="5"/>
  <c r="F298" i="5" s="1"/>
  <c r="E298" i="5"/>
  <c r="M944" i="6" l="1"/>
  <c r="S944" i="6" s="1"/>
  <c r="N945" i="6"/>
  <c r="Q945" i="6"/>
  <c r="R945" i="6" s="1"/>
  <c r="M945" i="6" s="1"/>
  <c r="S945" i="6" s="1"/>
  <c r="O946" i="6"/>
  <c r="P946" i="6" s="1"/>
  <c r="G298" i="5"/>
  <c r="H298" i="5" s="1"/>
  <c r="I298" i="5" s="1"/>
  <c r="J298" i="5" s="1"/>
  <c r="E299" i="5"/>
  <c r="G299" i="5" s="1"/>
  <c r="H299" i="5" s="1"/>
  <c r="I299" i="5" s="1"/>
  <c r="D299" i="5"/>
  <c r="F299" i="5" s="1"/>
  <c r="A300" i="5"/>
  <c r="B299" i="5"/>
  <c r="C299" i="5" s="1"/>
  <c r="Q946" i="6" l="1"/>
  <c r="R946" i="6" s="1"/>
  <c r="M946" i="6" s="1"/>
  <c r="S946" i="6" s="1"/>
  <c r="N946" i="6"/>
  <c r="O947" i="6"/>
  <c r="P947" i="6" s="1"/>
  <c r="J299" i="5"/>
  <c r="D300" i="5"/>
  <c r="F300" i="5" s="1"/>
  <c r="E300" i="5"/>
  <c r="G300" i="5" s="1"/>
  <c r="H300" i="5" s="1"/>
  <c r="A301" i="5"/>
  <c r="B300" i="5"/>
  <c r="C300" i="5" s="1"/>
  <c r="O948" i="6" l="1"/>
  <c r="P948" i="6" s="1"/>
  <c r="Q947" i="6"/>
  <c r="R947" i="6" s="1"/>
  <c r="N947" i="6"/>
  <c r="I300" i="5"/>
  <c r="J300" i="5" s="1"/>
  <c r="N948" i="6"/>
  <c r="E301" i="5"/>
  <c r="A302" i="5"/>
  <c r="B301" i="5"/>
  <c r="C301" i="5" s="1"/>
  <c r="D301" i="5"/>
  <c r="F301" i="5" s="1"/>
  <c r="O949" i="6" l="1"/>
  <c r="P949" i="6" s="1"/>
  <c r="M947" i="6"/>
  <c r="S947" i="6" s="1"/>
  <c r="Q948" i="6"/>
  <c r="R948" i="6" s="1"/>
  <c r="M948" i="6" s="1"/>
  <c r="S948" i="6" s="1"/>
  <c r="G301" i="5"/>
  <c r="H301" i="5" s="1"/>
  <c r="I301" i="5" s="1"/>
  <c r="J301" i="5" s="1"/>
  <c r="O950" i="6"/>
  <c r="P950" i="6" s="1"/>
  <c r="N949" i="6"/>
  <c r="A303" i="5"/>
  <c r="E302" i="5"/>
  <c r="B302" i="5"/>
  <c r="C302" i="5" s="1"/>
  <c r="D302" i="5"/>
  <c r="F302" i="5" s="1"/>
  <c r="Q949" i="6" l="1"/>
  <c r="R949" i="6" s="1"/>
  <c r="M949" i="6" s="1"/>
  <c r="S949" i="6" s="1"/>
  <c r="G302" i="5"/>
  <c r="H302" i="5" s="1"/>
  <c r="I302" i="5" s="1"/>
  <c r="J302" i="5" s="1"/>
  <c r="Q950" i="6"/>
  <c r="O951" i="6"/>
  <c r="P951" i="6" s="1"/>
  <c r="N950" i="6"/>
  <c r="D303" i="5"/>
  <c r="A304" i="5"/>
  <c r="E303" i="5"/>
  <c r="B303" i="5"/>
  <c r="C303" i="5" s="1"/>
  <c r="F303" i="5"/>
  <c r="G303" i="5" l="1"/>
  <c r="H303" i="5" s="1"/>
  <c r="I303" i="5" s="1"/>
  <c r="J303" i="5" s="1"/>
  <c r="Q951" i="6"/>
  <c r="R950" i="6"/>
  <c r="M950" i="6" s="1"/>
  <c r="S950" i="6" s="1"/>
  <c r="N951" i="6"/>
  <c r="O952" i="6"/>
  <c r="P952" i="6" s="1"/>
  <c r="D304" i="5"/>
  <c r="F304" i="5" s="1"/>
  <c r="E304" i="5"/>
  <c r="B304" i="5"/>
  <c r="C304" i="5" s="1"/>
  <c r="A305" i="5"/>
  <c r="G304" i="5" l="1"/>
  <c r="H304" i="5" s="1"/>
  <c r="I304" i="5" s="1"/>
  <c r="J304" i="5" s="1"/>
  <c r="Q952" i="6"/>
  <c r="R951" i="6"/>
  <c r="M951" i="6" s="1"/>
  <c r="S951" i="6" s="1"/>
  <c r="N952" i="6"/>
  <c r="O953" i="6"/>
  <c r="P953" i="6" s="1"/>
  <c r="E305" i="5"/>
  <c r="G305" i="5" s="1"/>
  <c r="H305" i="5" s="1"/>
  <c r="A306" i="5"/>
  <c r="B305" i="5"/>
  <c r="C305" i="5" s="1"/>
  <c r="D305" i="5"/>
  <c r="F305" i="5" s="1"/>
  <c r="I305" i="5" l="1"/>
  <c r="J305" i="5" s="1"/>
  <c r="Q953" i="6"/>
  <c r="R952" i="6"/>
  <c r="M952" i="6" s="1"/>
  <c r="S952" i="6" s="1"/>
  <c r="N953" i="6"/>
  <c r="O954" i="6"/>
  <c r="P954" i="6" s="1"/>
  <c r="A307" i="5"/>
  <c r="D306" i="5"/>
  <c r="F306" i="5" s="1"/>
  <c r="B306" i="5"/>
  <c r="C306" i="5" s="1"/>
  <c r="E306" i="5"/>
  <c r="G306" i="5" l="1"/>
  <c r="H306" i="5" s="1"/>
  <c r="I306" i="5" s="1"/>
  <c r="J306" i="5" s="1"/>
  <c r="Q954" i="6"/>
  <c r="R953" i="6"/>
  <c r="M953" i="6" s="1"/>
  <c r="S953" i="6" s="1"/>
  <c r="N954" i="6"/>
  <c r="O955" i="6"/>
  <c r="P955" i="6" s="1"/>
  <c r="D307" i="5"/>
  <c r="A308" i="5"/>
  <c r="E307" i="5"/>
  <c r="G307" i="5" s="1"/>
  <c r="H307" i="5" s="1"/>
  <c r="B307" i="5"/>
  <c r="C307" i="5" s="1"/>
  <c r="F307" i="5"/>
  <c r="I307" i="5" l="1"/>
  <c r="J307" i="5" s="1"/>
  <c r="Q955" i="6"/>
  <c r="R954" i="6"/>
  <c r="M954" i="6" s="1"/>
  <c r="S954" i="6" s="1"/>
  <c r="O956" i="6"/>
  <c r="P956" i="6" s="1"/>
  <c r="N955" i="6"/>
  <c r="D308" i="5"/>
  <c r="F308" i="5" s="1"/>
  <c r="E308" i="5"/>
  <c r="G308" i="5" s="1"/>
  <c r="H308" i="5" s="1"/>
  <c r="B308" i="5"/>
  <c r="C308" i="5" s="1"/>
  <c r="A309" i="5"/>
  <c r="I308" i="5" l="1"/>
  <c r="J308" i="5" s="1"/>
  <c r="Q956" i="6"/>
  <c r="R955" i="6"/>
  <c r="M955" i="6" s="1"/>
  <c r="S955" i="6" s="1"/>
  <c r="O957" i="6"/>
  <c r="P957" i="6" s="1"/>
  <c r="N956" i="6"/>
  <c r="E309" i="5"/>
  <c r="A310" i="5"/>
  <c r="B309" i="5"/>
  <c r="C309" i="5" s="1"/>
  <c r="D309" i="5"/>
  <c r="F309" i="5" s="1"/>
  <c r="G309" i="5" l="1"/>
  <c r="H309" i="5" s="1"/>
  <c r="I309" i="5" s="1"/>
  <c r="J309" i="5" s="1"/>
  <c r="Q957" i="6"/>
  <c r="R956" i="6"/>
  <c r="M956" i="6" s="1"/>
  <c r="S956" i="6" s="1"/>
  <c r="N957" i="6"/>
  <c r="O958" i="6"/>
  <c r="P958" i="6" s="1"/>
  <c r="D310" i="5"/>
  <c r="A311" i="5"/>
  <c r="B310" i="5"/>
  <c r="C310" i="5" s="1"/>
  <c r="E310" i="5"/>
  <c r="G310" i="5" s="1"/>
  <c r="H310" i="5" s="1"/>
  <c r="F310" i="5"/>
  <c r="I310" i="5" l="1"/>
  <c r="J310" i="5" s="1"/>
  <c r="Q958" i="6"/>
  <c r="R957" i="6"/>
  <c r="M957" i="6" s="1"/>
  <c r="S957" i="6" s="1"/>
  <c r="O959" i="6"/>
  <c r="P959" i="6" s="1"/>
  <c r="N958" i="6"/>
  <c r="D311" i="5"/>
  <c r="F311" i="5" s="1"/>
  <c r="A312" i="5"/>
  <c r="B311" i="5"/>
  <c r="C311" i="5" s="1"/>
  <c r="E311" i="5"/>
  <c r="G311" i="5" l="1"/>
  <c r="H311" i="5" s="1"/>
  <c r="I311" i="5" s="1"/>
  <c r="J311" i="5" s="1"/>
  <c r="Q959" i="6"/>
  <c r="R958" i="6"/>
  <c r="M958" i="6" s="1"/>
  <c r="S958" i="6" s="1"/>
  <c r="N959" i="6"/>
  <c r="O960" i="6"/>
  <c r="P960" i="6" s="1"/>
  <c r="D312" i="5"/>
  <c r="F312" i="5" s="1"/>
  <c r="B312" i="5"/>
  <c r="A313" i="5"/>
  <c r="E312" i="5"/>
  <c r="C312" i="5"/>
  <c r="G312" i="5" l="1"/>
  <c r="H312" i="5" s="1"/>
  <c r="I312" i="5" s="1"/>
  <c r="J312" i="5" s="1"/>
  <c r="Q960" i="6"/>
  <c r="R959" i="6"/>
  <c r="M959" i="6" s="1"/>
  <c r="S959" i="6" s="1"/>
  <c r="N960" i="6"/>
  <c r="O961" i="6"/>
  <c r="P961" i="6" s="1"/>
  <c r="D313" i="5"/>
  <c r="B313" i="5"/>
  <c r="C313" i="5" s="1"/>
  <c r="A314" i="5"/>
  <c r="F313" i="5"/>
  <c r="E313" i="5"/>
  <c r="G313" i="5" s="1"/>
  <c r="H313" i="5" s="1"/>
  <c r="I313" i="5" l="1"/>
  <c r="J313" i="5" s="1"/>
  <c r="Q961" i="6"/>
  <c r="R960" i="6"/>
  <c r="M960" i="6" s="1"/>
  <c r="S960" i="6" s="1"/>
  <c r="N961" i="6"/>
  <c r="O962" i="6"/>
  <c r="P962" i="6" s="1"/>
  <c r="A315" i="5"/>
  <c r="E314" i="5"/>
  <c r="B314" i="5"/>
  <c r="C314" i="5" s="1"/>
  <c r="D314" i="5"/>
  <c r="F314" i="5" s="1"/>
  <c r="G314" i="5" l="1"/>
  <c r="H314" i="5" s="1"/>
  <c r="I314" i="5" s="1"/>
  <c r="J314" i="5" s="1"/>
  <c r="Q962" i="6"/>
  <c r="R961" i="6"/>
  <c r="M961" i="6" s="1"/>
  <c r="S961" i="6" s="1"/>
  <c r="N962" i="6"/>
  <c r="O963" i="6"/>
  <c r="P963" i="6" s="1"/>
  <c r="D315" i="5"/>
  <c r="F315" i="5" s="1"/>
  <c r="A316" i="5"/>
  <c r="B315" i="5"/>
  <c r="C315" i="5" s="1"/>
  <c r="E315" i="5"/>
  <c r="G315" i="5" s="1"/>
  <c r="H315" i="5" s="1"/>
  <c r="I315" i="5" l="1"/>
  <c r="J315" i="5" s="1"/>
  <c r="Q963" i="6"/>
  <c r="R962" i="6"/>
  <c r="M962" i="6" s="1"/>
  <c r="S962" i="6" s="1"/>
  <c r="N963" i="6"/>
  <c r="O964" i="6"/>
  <c r="P964" i="6" s="1"/>
  <c r="D316" i="5"/>
  <c r="F316" i="5" s="1"/>
  <c r="B316" i="5"/>
  <c r="C316" i="5" s="1"/>
  <c r="A317" i="5"/>
  <c r="E316" i="5"/>
  <c r="G316" i="5" l="1"/>
  <c r="H316" i="5" s="1"/>
  <c r="I316" i="5" s="1"/>
  <c r="J316" i="5" s="1"/>
  <c r="Q964" i="6"/>
  <c r="R963" i="6"/>
  <c r="M963" i="6" s="1"/>
  <c r="S963" i="6" s="1"/>
  <c r="O965" i="6"/>
  <c r="P965" i="6" s="1"/>
  <c r="N964" i="6"/>
  <c r="D317" i="5"/>
  <c r="E317" i="5"/>
  <c r="G317" i="5" s="1"/>
  <c r="H317" i="5" s="1"/>
  <c r="I317" i="5" s="1"/>
  <c r="B317" i="5"/>
  <c r="C317" i="5" s="1"/>
  <c r="A318" i="5"/>
  <c r="F317" i="5"/>
  <c r="J317" i="5" l="1"/>
  <c r="Q965" i="6"/>
  <c r="R964" i="6"/>
  <c r="M964" i="6" s="1"/>
  <c r="S964" i="6" s="1"/>
  <c r="O966" i="6"/>
  <c r="P966" i="6" s="1"/>
  <c r="N965" i="6"/>
  <c r="A319" i="5"/>
  <c r="B318" i="5"/>
  <c r="C318" i="5" s="1"/>
  <c r="D318" i="5"/>
  <c r="F318" i="5" s="1"/>
  <c r="E318" i="5"/>
  <c r="G318" i="5" l="1"/>
  <c r="H318" i="5" s="1"/>
  <c r="I318" i="5" s="1"/>
  <c r="J318" i="5" s="1"/>
  <c r="Q966" i="6"/>
  <c r="R965" i="6"/>
  <c r="M965" i="6" s="1"/>
  <c r="S965" i="6" s="1"/>
  <c r="N966" i="6"/>
  <c r="O967" i="6"/>
  <c r="P967" i="6" s="1"/>
  <c r="D319" i="5"/>
  <c r="E319" i="5"/>
  <c r="B319" i="5"/>
  <c r="C319" i="5" s="1"/>
  <c r="F319" i="5"/>
  <c r="G319" i="5"/>
  <c r="H319" i="5" s="1"/>
  <c r="A320" i="5"/>
  <c r="I319" i="5" l="1"/>
  <c r="J319" i="5" s="1"/>
  <c r="Q967" i="6"/>
  <c r="R966" i="6"/>
  <c r="M966" i="6" s="1"/>
  <c r="S966" i="6" s="1"/>
  <c r="O968" i="6"/>
  <c r="P968" i="6" s="1"/>
  <c r="N967" i="6"/>
  <c r="A321" i="5"/>
  <c r="B320" i="5"/>
  <c r="C320" i="5" s="1"/>
  <c r="D320" i="5"/>
  <c r="F320" i="5" s="1"/>
  <c r="E320" i="5"/>
  <c r="G320" i="5" l="1"/>
  <c r="H320" i="5" s="1"/>
  <c r="I320" i="5" s="1"/>
  <c r="J320" i="5" s="1"/>
  <c r="Q968" i="6"/>
  <c r="R967" i="6"/>
  <c r="M967" i="6" s="1"/>
  <c r="S967" i="6" s="1"/>
  <c r="N968" i="6"/>
  <c r="O969" i="6"/>
  <c r="P969" i="6" s="1"/>
  <c r="B321" i="5"/>
  <c r="C321" i="5" s="1"/>
  <c r="A322" i="5"/>
  <c r="E321" i="5"/>
  <c r="D321" i="5"/>
  <c r="F321" i="5" s="1"/>
  <c r="G321" i="5" l="1"/>
  <c r="H321" i="5" s="1"/>
  <c r="I321" i="5" s="1"/>
  <c r="J321" i="5" s="1"/>
  <c r="Q969" i="6"/>
  <c r="R968" i="6"/>
  <c r="M968" i="6" s="1"/>
  <c r="S968" i="6" s="1"/>
  <c r="N969" i="6"/>
  <c r="O970" i="6"/>
  <c r="P970" i="6" s="1"/>
  <c r="D322" i="5"/>
  <c r="F322" i="5" s="1"/>
  <c r="B322" i="5"/>
  <c r="C322" i="5" s="1"/>
  <c r="E322" i="5"/>
  <c r="A323" i="5"/>
  <c r="G322" i="5" l="1"/>
  <c r="H322" i="5" s="1"/>
  <c r="I322" i="5" s="1"/>
  <c r="J322" i="5" s="1"/>
  <c r="Q970" i="6"/>
  <c r="R969" i="6"/>
  <c r="M969" i="6" s="1"/>
  <c r="S969" i="6" s="1"/>
  <c r="N970" i="6"/>
  <c r="O971" i="6"/>
  <c r="P971" i="6" s="1"/>
  <c r="A324" i="5"/>
  <c r="B323" i="5"/>
  <c r="C323" i="5" s="1"/>
  <c r="E323" i="5"/>
  <c r="D323" i="5"/>
  <c r="F323" i="5" s="1"/>
  <c r="G323" i="5" l="1"/>
  <c r="H323" i="5" s="1"/>
  <c r="I323" i="5" s="1"/>
  <c r="J323" i="5" s="1"/>
  <c r="Q971" i="6"/>
  <c r="R970" i="6"/>
  <c r="M970" i="6" s="1"/>
  <c r="S970" i="6" s="1"/>
  <c r="N971" i="6"/>
  <c r="O972" i="6"/>
  <c r="P972" i="6" s="1"/>
  <c r="E324" i="5"/>
  <c r="G324" i="5" s="1"/>
  <c r="H324" i="5" s="1"/>
  <c r="I324" i="5" s="1"/>
  <c r="A325" i="5"/>
  <c r="B324" i="5"/>
  <c r="C324" i="5" s="1"/>
  <c r="D324" i="5"/>
  <c r="F324" i="5" s="1"/>
  <c r="J324" i="5" l="1"/>
  <c r="Q972" i="6"/>
  <c r="R971" i="6"/>
  <c r="M971" i="6" s="1"/>
  <c r="S971" i="6" s="1"/>
  <c r="N972" i="6"/>
  <c r="O973" i="6"/>
  <c r="P973" i="6" s="1"/>
  <c r="E325" i="5"/>
  <c r="B325" i="5"/>
  <c r="C325" i="5" s="1"/>
  <c r="A326" i="5"/>
  <c r="G325" i="5"/>
  <c r="H325" i="5" s="1"/>
  <c r="D325" i="5"/>
  <c r="F325" i="5" s="1"/>
  <c r="I325" i="5" l="1"/>
  <c r="J325" i="5" s="1"/>
  <c r="Q973" i="6"/>
  <c r="R972" i="6"/>
  <c r="M972" i="6" s="1"/>
  <c r="S972" i="6" s="1"/>
  <c r="O974" i="6"/>
  <c r="P974" i="6" s="1"/>
  <c r="N973" i="6"/>
  <c r="A327" i="5"/>
  <c r="E326" i="5"/>
  <c r="B326" i="5"/>
  <c r="C326" i="5"/>
  <c r="D326" i="5"/>
  <c r="F326" i="5" s="1"/>
  <c r="G326" i="5" l="1"/>
  <c r="H326" i="5" s="1"/>
  <c r="I326" i="5" s="1"/>
  <c r="J326" i="5" s="1"/>
  <c r="Q974" i="6"/>
  <c r="R973" i="6"/>
  <c r="M973" i="6" s="1"/>
  <c r="S973" i="6" s="1"/>
  <c r="O975" i="6"/>
  <c r="P975" i="6" s="1"/>
  <c r="N974" i="6"/>
  <c r="A328" i="5"/>
  <c r="E327" i="5"/>
  <c r="B327" i="5"/>
  <c r="C327" i="5" s="1"/>
  <c r="G327" i="5"/>
  <c r="H327" i="5" s="1"/>
  <c r="D327" i="5"/>
  <c r="F327" i="5" s="1"/>
  <c r="I327" i="5" l="1"/>
  <c r="J327" i="5" s="1"/>
  <c r="Q975" i="6"/>
  <c r="R974" i="6"/>
  <c r="M974" i="6" s="1"/>
  <c r="S974" i="6" s="1"/>
  <c r="N975" i="6"/>
  <c r="O976" i="6"/>
  <c r="P976" i="6" s="1"/>
  <c r="B328" i="5"/>
  <c r="C328" i="5" s="1"/>
  <c r="A329" i="5"/>
  <c r="D328" i="5"/>
  <c r="F328" i="5" s="1"/>
  <c r="E328" i="5"/>
  <c r="G328" i="5" l="1"/>
  <c r="H328" i="5" s="1"/>
  <c r="I328" i="5" s="1"/>
  <c r="J328" i="5" s="1"/>
  <c r="Q976" i="6"/>
  <c r="R975" i="6"/>
  <c r="M975" i="6" s="1"/>
  <c r="S975" i="6" s="1"/>
  <c r="O977" i="6"/>
  <c r="P977" i="6" s="1"/>
  <c r="N976" i="6"/>
  <c r="E329" i="5"/>
  <c r="G329" i="5" s="1"/>
  <c r="H329" i="5" s="1"/>
  <c r="D329" i="5"/>
  <c r="F329" i="5" s="1"/>
  <c r="B329" i="5"/>
  <c r="C329" i="5" s="1"/>
  <c r="A330" i="5"/>
  <c r="I329" i="5" l="1"/>
  <c r="J329" i="5" s="1"/>
  <c r="Q977" i="6"/>
  <c r="R976" i="6"/>
  <c r="M976" i="6" s="1"/>
  <c r="S976" i="6" s="1"/>
  <c r="O978" i="6"/>
  <c r="P978" i="6" s="1"/>
  <c r="N977" i="6"/>
  <c r="E330" i="5"/>
  <c r="B330" i="5"/>
  <c r="C330" i="5" s="1"/>
  <c r="D330" i="5"/>
  <c r="F330" i="5" s="1"/>
  <c r="A331" i="5"/>
  <c r="G330" i="5" l="1"/>
  <c r="H330" i="5" s="1"/>
  <c r="I330" i="5" s="1"/>
  <c r="J330" i="5" s="1"/>
  <c r="Q978" i="6"/>
  <c r="R977" i="6"/>
  <c r="M977" i="6" s="1"/>
  <c r="S977" i="6" s="1"/>
  <c r="N978" i="6"/>
  <c r="O979" i="6"/>
  <c r="P979" i="6" s="1"/>
  <c r="A332" i="5"/>
  <c r="B331" i="5"/>
  <c r="C331" i="5" s="1"/>
  <c r="E331" i="5"/>
  <c r="D331" i="5"/>
  <c r="F331" i="5" s="1"/>
  <c r="G331" i="5" l="1"/>
  <c r="H331" i="5" s="1"/>
  <c r="I331" i="5" s="1"/>
  <c r="J331" i="5" s="1"/>
  <c r="Q979" i="6"/>
  <c r="R978" i="6"/>
  <c r="M978" i="6" s="1"/>
  <c r="S978" i="6" s="1"/>
  <c r="N979" i="6"/>
  <c r="O980" i="6"/>
  <c r="P980" i="6" s="1"/>
  <c r="A333" i="5"/>
  <c r="B332" i="5"/>
  <c r="C332" i="5" s="1"/>
  <c r="D332" i="5"/>
  <c r="F332" i="5" s="1"/>
  <c r="E332" i="5"/>
  <c r="G332" i="5" l="1"/>
  <c r="H332" i="5" s="1"/>
  <c r="I332" i="5" s="1"/>
  <c r="J332" i="5" s="1"/>
  <c r="Q980" i="6"/>
  <c r="R979" i="6"/>
  <c r="M979" i="6" s="1"/>
  <c r="S979" i="6" s="1"/>
  <c r="N980" i="6"/>
  <c r="O981" i="6"/>
  <c r="P981" i="6" s="1"/>
  <c r="D333" i="5"/>
  <c r="F333" i="5" s="1"/>
  <c r="A334" i="5"/>
  <c r="B333" i="5"/>
  <c r="C333" i="5" s="1"/>
  <c r="E333" i="5"/>
  <c r="G333" i="5" l="1"/>
  <c r="H333" i="5" s="1"/>
  <c r="I333" i="5" s="1"/>
  <c r="J333" i="5" s="1"/>
  <c r="Q981" i="6"/>
  <c r="R980" i="6"/>
  <c r="M980" i="6" s="1"/>
  <c r="S980" i="6" s="1"/>
  <c r="O982" i="6"/>
  <c r="P982" i="6" s="1"/>
  <c r="N981" i="6"/>
  <c r="D334" i="5"/>
  <c r="E334" i="5"/>
  <c r="B334" i="5"/>
  <c r="C334" i="5" s="1"/>
  <c r="F334" i="5"/>
  <c r="G334" i="5"/>
  <c r="H334" i="5" s="1"/>
  <c r="I334" i="5" s="1"/>
  <c r="A335" i="5"/>
  <c r="J334" i="5" l="1"/>
  <c r="Q982" i="6"/>
  <c r="R981" i="6"/>
  <c r="M981" i="6" s="1"/>
  <c r="S981" i="6" s="1"/>
  <c r="O983" i="6"/>
  <c r="P983" i="6" s="1"/>
  <c r="N982" i="6"/>
  <c r="B335" i="5"/>
  <c r="C335" i="5" s="1"/>
  <c r="E335" i="5"/>
  <c r="D335" i="5"/>
  <c r="F335" i="5" s="1"/>
  <c r="A336" i="5"/>
  <c r="G335" i="5" l="1"/>
  <c r="H335" i="5" s="1"/>
  <c r="I335" i="5" s="1"/>
  <c r="J335" i="5" s="1"/>
  <c r="Q983" i="6"/>
  <c r="R982" i="6"/>
  <c r="M982" i="6" s="1"/>
  <c r="S982" i="6" s="1"/>
  <c r="O984" i="6"/>
  <c r="P984" i="6" s="1"/>
  <c r="N983" i="6"/>
  <c r="B336" i="5"/>
  <c r="C336" i="5" s="1"/>
  <c r="A337" i="5"/>
  <c r="E336" i="5"/>
  <c r="G336" i="5" s="1"/>
  <c r="H336" i="5" s="1"/>
  <c r="D336" i="5"/>
  <c r="F336" i="5" s="1"/>
  <c r="I336" i="5" l="1"/>
  <c r="J336" i="5" s="1"/>
  <c r="Q984" i="6"/>
  <c r="R983" i="6"/>
  <c r="M983" i="6" s="1"/>
  <c r="S983" i="6" s="1"/>
  <c r="N984" i="6"/>
  <c r="O985" i="6"/>
  <c r="P985" i="6" s="1"/>
  <c r="B337" i="5"/>
  <c r="C337" i="5" s="1"/>
  <c r="E337" i="5"/>
  <c r="D337" i="5"/>
  <c r="A338" i="5"/>
  <c r="F337" i="5"/>
  <c r="G337" i="5" l="1"/>
  <c r="H337" i="5" s="1"/>
  <c r="I337" i="5" s="1"/>
  <c r="J337" i="5" s="1"/>
  <c r="Q985" i="6"/>
  <c r="R984" i="6"/>
  <c r="M984" i="6" s="1"/>
  <c r="S984" i="6" s="1"/>
  <c r="O986" i="6"/>
  <c r="P986" i="6" s="1"/>
  <c r="N985" i="6"/>
  <c r="B338" i="5"/>
  <c r="C338" i="5" s="1"/>
  <c r="D338" i="5"/>
  <c r="F338" i="5" s="1"/>
  <c r="E338" i="5"/>
  <c r="G338" i="5" s="1"/>
  <c r="H338" i="5" s="1"/>
  <c r="A339" i="5"/>
  <c r="I338" i="5" l="1"/>
  <c r="J338" i="5" s="1"/>
  <c r="Q986" i="6"/>
  <c r="R985" i="6"/>
  <c r="M985" i="6" s="1"/>
  <c r="S985" i="6" s="1"/>
  <c r="N986" i="6"/>
  <c r="O987" i="6"/>
  <c r="P987" i="6" s="1"/>
  <c r="B339" i="5"/>
  <c r="C339" i="5" s="1"/>
  <c r="E339" i="5"/>
  <c r="D339" i="5"/>
  <c r="F339" i="5"/>
  <c r="A340" i="5"/>
  <c r="G339" i="5" l="1"/>
  <c r="H339" i="5" s="1"/>
  <c r="I339" i="5" s="1"/>
  <c r="J339" i="5" s="1"/>
  <c r="Q987" i="6"/>
  <c r="R986" i="6"/>
  <c r="M986" i="6" s="1"/>
  <c r="S986" i="6" s="1"/>
  <c r="O988" i="6"/>
  <c r="P988" i="6" s="1"/>
  <c r="N987" i="6"/>
  <c r="B340" i="5"/>
  <c r="C340" i="5" s="1"/>
  <c r="A341" i="5"/>
  <c r="D340" i="5"/>
  <c r="F340" i="5" s="1"/>
  <c r="E340" i="5"/>
  <c r="G340" i="5" l="1"/>
  <c r="H340" i="5" s="1"/>
  <c r="I340" i="5" s="1"/>
  <c r="J340" i="5" s="1"/>
  <c r="Q988" i="6"/>
  <c r="R987" i="6"/>
  <c r="M987" i="6" s="1"/>
  <c r="S987" i="6" s="1"/>
  <c r="O989" i="6"/>
  <c r="P989" i="6" s="1"/>
  <c r="N988" i="6"/>
  <c r="B341" i="5"/>
  <c r="C341" i="5" s="1"/>
  <c r="A342" i="5"/>
  <c r="E341" i="5"/>
  <c r="D341" i="5"/>
  <c r="F341" i="5" s="1"/>
  <c r="G341" i="5" l="1"/>
  <c r="H341" i="5" s="1"/>
  <c r="I341" i="5" s="1"/>
  <c r="J341" i="5" s="1"/>
  <c r="Q989" i="6"/>
  <c r="R988" i="6"/>
  <c r="M988" i="6" s="1"/>
  <c r="S988" i="6" s="1"/>
  <c r="N989" i="6"/>
  <c r="O990" i="6"/>
  <c r="P990" i="6" s="1"/>
  <c r="B342" i="5"/>
  <c r="C342" i="5" s="1"/>
  <c r="A343" i="5"/>
  <c r="D342" i="5"/>
  <c r="E342" i="5"/>
  <c r="G342" i="5" s="1"/>
  <c r="H342" i="5" s="1"/>
  <c r="F342" i="5"/>
  <c r="I342" i="5" l="1"/>
  <c r="J342" i="5" s="1"/>
  <c r="Q990" i="6"/>
  <c r="R989" i="6"/>
  <c r="M989" i="6" s="1"/>
  <c r="S989" i="6" s="1"/>
  <c r="N990" i="6"/>
  <c r="O991" i="6"/>
  <c r="P991" i="6" s="1"/>
  <c r="B343" i="5"/>
  <c r="C343" i="5" s="1"/>
  <c r="E343" i="5"/>
  <c r="D343" i="5"/>
  <c r="F343" i="5"/>
  <c r="A344" i="5"/>
  <c r="G343" i="5" l="1"/>
  <c r="H343" i="5" s="1"/>
  <c r="I343" i="5" s="1"/>
  <c r="J343" i="5" s="1"/>
  <c r="Q991" i="6"/>
  <c r="R990" i="6"/>
  <c r="M990" i="6" s="1"/>
  <c r="S990" i="6" s="1"/>
  <c r="O992" i="6"/>
  <c r="P992" i="6" s="1"/>
  <c r="N991" i="6"/>
  <c r="B344" i="5"/>
  <c r="C344" i="5" s="1"/>
  <c r="D344" i="5"/>
  <c r="F344" i="5" s="1"/>
  <c r="E344" i="5"/>
  <c r="A345" i="5"/>
  <c r="G344" i="5" l="1"/>
  <c r="H344" i="5" s="1"/>
  <c r="I344" i="5" s="1"/>
  <c r="J344" i="5" s="1"/>
  <c r="Q992" i="6"/>
  <c r="R991" i="6"/>
  <c r="M991" i="6" s="1"/>
  <c r="S991" i="6" s="1"/>
  <c r="O993" i="6"/>
  <c r="P993" i="6" s="1"/>
  <c r="N992" i="6"/>
  <c r="B345" i="5"/>
  <c r="C345" i="5" s="1"/>
  <c r="A346" i="5"/>
  <c r="D345" i="5"/>
  <c r="F345" i="5" s="1"/>
  <c r="E345" i="5"/>
  <c r="G345" i="5"/>
  <c r="H345" i="5" s="1"/>
  <c r="I345" i="5" l="1"/>
  <c r="J345" i="5" s="1"/>
  <c r="Q993" i="6"/>
  <c r="R992" i="6"/>
  <c r="M992" i="6" s="1"/>
  <c r="S992" i="6" s="1"/>
  <c r="N993" i="6"/>
  <c r="O994" i="6"/>
  <c r="P994" i="6" s="1"/>
  <c r="B346" i="5"/>
  <c r="C346" i="5" s="1"/>
  <c r="A347" i="5"/>
  <c r="D346" i="5"/>
  <c r="F346" i="5" s="1"/>
  <c r="E346" i="5"/>
  <c r="G346" i="5" s="1"/>
  <c r="H346" i="5" s="1"/>
  <c r="I346" i="5" l="1"/>
  <c r="J346" i="5" s="1"/>
  <c r="Q994" i="6"/>
  <c r="R993" i="6"/>
  <c r="M993" i="6" s="1"/>
  <c r="S993" i="6" s="1"/>
  <c r="O995" i="6"/>
  <c r="P995" i="6" s="1"/>
  <c r="N994" i="6"/>
  <c r="B347" i="5"/>
  <c r="C347" i="5" s="1"/>
  <c r="D347" i="5"/>
  <c r="F347" i="5" s="1"/>
  <c r="E347" i="5"/>
  <c r="G347" i="5"/>
  <c r="H347" i="5" s="1"/>
  <c r="A348" i="5"/>
  <c r="I347" i="5" l="1"/>
  <c r="J347" i="5" s="1"/>
  <c r="Q995" i="6"/>
  <c r="R994" i="6"/>
  <c r="M994" i="6" s="1"/>
  <c r="S994" i="6" s="1"/>
  <c r="O996" i="6"/>
  <c r="P996" i="6" s="1"/>
  <c r="N995" i="6"/>
  <c r="B348" i="5"/>
  <c r="C348" i="5" s="1"/>
  <c r="E348" i="5"/>
  <c r="D348" i="5"/>
  <c r="F348" i="5"/>
  <c r="A349" i="5"/>
  <c r="G348" i="5" l="1"/>
  <c r="H348" i="5" s="1"/>
  <c r="I348" i="5" s="1"/>
  <c r="J348" i="5" s="1"/>
  <c r="Q996" i="6"/>
  <c r="R995" i="6"/>
  <c r="M995" i="6" s="1"/>
  <c r="S995" i="6" s="1"/>
  <c r="O997" i="6"/>
  <c r="P997" i="6" s="1"/>
  <c r="N996" i="6"/>
  <c r="B349" i="5"/>
  <c r="C349" i="5" s="1"/>
  <c r="A350" i="5"/>
  <c r="E349" i="5"/>
  <c r="G349" i="5" s="1"/>
  <c r="H349" i="5" s="1"/>
  <c r="D349" i="5"/>
  <c r="F349" i="5" s="1"/>
  <c r="I349" i="5" l="1"/>
  <c r="J349" i="5" s="1"/>
  <c r="Q997" i="6"/>
  <c r="R996" i="6"/>
  <c r="M996" i="6" s="1"/>
  <c r="S996" i="6" s="1"/>
  <c r="N997" i="6"/>
  <c r="O998" i="6"/>
  <c r="P998" i="6" s="1"/>
  <c r="D350" i="5"/>
  <c r="F350" i="5" s="1"/>
  <c r="B350" i="5"/>
  <c r="C350" i="5" s="1"/>
  <c r="E350" i="5"/>
  <c r="G350" i="5" s="1"/>
  <c r="H350" i="5" s="1"/>
  <c r="A351" i="5"/>
  <c r="I350" i="5" l="1"/>
  <c r="J350" i="5" s="1"/>
  <c r="Q998" i="6"/>
  <c r="R997" i="6"/>
  <c r="M997" i="6" s="1"/>
  <c r="S997" i="6" s="1"/>
  <c r="N998" i="6"/>
  <c r="O999" i="6"/>
  <c r="P999" i="6" s="1"/>
  <c r="B351" i="5"/>
  <c r="C351" i="5" s="1"/>
  <c r="E351" i="5"/>
  <c r="G351" i="5" s="1"/>
  <c r="H351" i="5" s="1"/>
  <c r="A352" i="5"/>
  <c r="D351" i="5"/>
  <c r="F351" i="5" s="1"/>
  <c r="I351" i="5" l="1"/>
  <c r="J351" i="5" s="1"/>
  <c r="Q999" i="6"/>
  <c r="R998" i="6"/>
  <c r="M998" i="6" s="1"/>
  <c r="S998" i="6" s="1"/>
  <c r="N999" i="6"/>
  <c r="O1000" i="6"/>
  <c r="P1000" i="6" s="1"/>
  <c r="B352" i="5"/>
  <c r="C352" i="5" s="1"/>
  <c r="A353" i="5"/>
  <c r="D352" i="5"/>
  <c r="F352" i="5" s="1"/>
  <c r="E352" i="5"/>
  <c r="G352" i="5" s="1"/>
  <c r="H352" i="5" s="1"/>
  <c r="I352" i="5" l="1"/>
  <c r="J352" i="5" s="1"/>
  <c r="Q1000" i="6"/>
  <c r="R999" i="6"/>
  <c r="M999" i="6" s="1"/>
  <c r="S999" i="6" s="1"/>
  <c r="O1001" i="6"/>
  <c r="P1001" i="6" s="1"/>
  <c r="N1000" i="6"/>
  <c r="B353" i="5"/>
  <c r="C353" i="5" s="1"/>
  <c r="D353" i="5"/>
  <c r="F353" i="5" s="1"/>
  <c r="A354" i="5"/>
  <c r="E353" i="5"/>
  <c r="G353" i="5" l="1"/>
  <c r="H353" i="5" s="1"/>
  <c r="I353" i="5" s="1"/>
  <c r="J353" i="5" s="1"/>
  <c r="Q1001" i="6"/>
  <c r="R1000" i="6"/>
  <c r="M1000" i="6" s="1"/>
  <c r="S1000" i="6" s="1"/>
  <c r="O1002" i="6"/>
  <c r="P1002" i="6" s="1"/>
  <c r="N1001" i="6"/>
  <c r="B354" i="5"/>
  <c r="C354" i="5" s="1"/>
  <c r="A355" i="5"/>
  <c r="D354" i="5"/>
  <c r="F354" i="5" s="1"/>
  <c r="E354" i="5"/>
  <c r="G354" i="5" s="1"/>
  <c r="H354" i="5" s="1"/>
  <c r="I354" i="5" l="1"/>
  <c r="J354" i="5" s="1"/>
  <c r="Q1002" i="6"/>
  <c r="R1001" i="6"/>
  <c r="M1001" i="6" s="1"/>
  <c r="S1001" i="6" s="1"/>
  <c r="N1002" i="6"/>
  <c r="O1003" i="6"/>
  <c r="P1003" i="6" s="1"/>
  <c r="B355" i="5"/>
  <c r="C355" i="5" s="1"/>
  <c r="A356" i="5"/>
  <c r="D355" i="5"/>
  <c r="F355" i="5"/>
  <c r="E355" i="5"/>
  <c r="G355" i="5" l="1"/>
  <c r="H355" i="5" s="1"/>
  <c r="I355" i="5" s="1"/>
  <c r="J355" i="5" s="1"/>
  <c r="Q1003" i="6"/>
  <c r="R1002" i="6"/>
  <c r="M1002" i="6" s="1"/>
  <c r="S1002" i="6" s="1"/>
  <c r="N1003" i="6"/>
  <c r="O1004" i="6"/>
  <c r="P1004" i="6" s="1"/>
  <c r="B356" i="5"/>
  <c r="C356" i="5" s="1"/>
  <c r="E356" i="5"/>
  <c r="D356" i="5"/>
  <c r="F356" i="5" s="1"/>
  <c r="A357" i="5"/>
  <c r="G356" i="5" l="1"/>
  <c r="H356" i="5" s="1"/>
  <c r="I356" i="5" s="1"/>
  <c r="J356" i="5" s="1"/>
  <c r="Q1004" i="6"/>
  <c r="R1003" i="6"/>
  <c r="M1003" i="6" s="1"/>
  <c r="S1003" i="6" s="1"/>
  <c r="N1004" i="6"/>
  <c r="O1005" i="6"/>
  <c r="P1005" i="6" s="1"/>
  <c r="B357" i="5"/>
  <c r="C357" i="5" s="1"/>
  <c r="D357" i="5"/>
  <c r="F357" i="5" s="1"/>
  <c r="E357" i="5"/>
  <c r="G357" i="5" s="1"/>
  <c r="H357" i="5" s="1"/>
  <c r="A358" i="5"/>
  <c r="I357" i="5" l="1"/>
  <c r="J357" i="5" s="1"/>
  <c r="Q1005" i="6"/>
  <c r="R1004" i="6"/>
  <c r="M1004" i="6" s="1"/>
  <c r="S1004" i="6" s="1"/>
  <c r="O1006" i="6"/>
  <c r="P1006" i="6" s="1"/>
  <c r="N1005" i="6"/>
  <c r="B358" i="5"/>
  <c r="C358" i="5" s="1"/>
  <c r="A359" i="5"/>
  <c r="D358" i="5"/>
  <c r="F358" i="5" s="1"/>
  <c r="E358" i="5"/>
  <c r="G358" i="5" l="1"/>
  <c r="H358" i="5" s="1"/>
  <c r="I358" i="5" s="1"/>
  <c r="J358" i="5" s="1"/>
  <c r="Q1006" i="6"/>
  <c r="R1005" i="6"/>
  <c r="M1005" i="6" s="1"/>
  <c r="S1005" i="6" s="1"/>
  <c r="O1007" i="6"/>
  <c r="P1007" i="6" s="1"/>
  <c r="N1006" i="6"/>
  <c r="B359" i="5"/>
  <c r="C359" i="5" s="1"/>
  <c r="A360" i="5"/>
  <c r="E359" i="5"/>
  <c r="D359" i="5"/>
  <c r="F359" i="5" s="1"/>
  <c r="G359" i="5" l="1"/>
  <c r="H359" i="5" s="1"/>
  <c r="I359" i="5" s="1"/>
  <c r="J359" i="5" s="1"/>
  <c r="Q1007" i="6"/>
  <c r="R1006" i="6"/>
  <c r="M1006" i="6" s="1"/>
  <c r="S1006" i="6" s="1"/>
  <c r="O1008" i="6"/>
  <c r="P1008" i="6" s="1"/>
  <c r="N1007" i="6"/>
  <c r="B360" i="5"/>
  <c r="C360" i="5" s="1"/>
  <c r="A361" i="5"/>
  <c r="D360" i="5"/>
  <c r="F360" i="5" s="1"/>
  <c r="E360" i="5"/>
  <c r="G360" i="5" l="1"/>
  <c r="H360" i="5" s="1"/>
  <c r="I360" i="5" s="1"/>
  <c r="J360" i="5" s="1"/>
  <c r="Q1008" i="6"/>
  <c r="R1007" i="6"/>
  <c r="M1007" i="6" s="1"/>
  <c r="S1007" i="6" s="1"/>
  <c r="N1008" i="6"/>
  <c r="O1009" i="6"/>
  <c r="P1009" i="6" s="1"/>
  <c r="B361" i="5"/>
  <c r="C361" i="5" s="1"/>
  <c r="D361" i="5"/>
  <c r="F361" i="5" s="1"/>
  <c r="A362" i="5"/>
  <c r="E361" i="5"/>
  <c r="G361" i="5" l="1"/>
  <c r="H361" i="5" s="1"/>
  <c r="I361" i="5" s="1"/>
  <c r="J361" i="5" s="1"/>
  <c r="Q1009" i="6"/>
  <c r="R1008" i="6"/>
  <c r="M1008" i="6" s="1"/>
  <c r="S1008" i="6" s="1"/>
  <c r="O1010" i="6"/>
  <c r="P1010" i="6" s="1"/>
  <c r="N1009" i="6"/>
  <c r="B362" i="5"/>
  <c r="C362" i="5" s="1"/>
  <c r="E362" i="5"/>
  <c r="D362" i="5"/>
  <c r="F362" i="5" s="1"/>
  <c r="A363" i="5"/>
  <c r="G362" i="5" l="1"/>
  <c r="H362" i="5" s="1"/>
  <c r="I362" i="5" s="1"/>
  <c r="J362" i="5" s="1"/>
  <c r="Q1010" i="6"/>
  <c r="R1009" i="6"/>
  <c r="M1009" i="6" s="1"/>
  <c r="S1009" i="6" s="1"/>
  <c r="N1010" i="6"/>
  <c r="O1011" i="6"/>
  <c r="P1011" i="6" s="1"/>
  <c r="B363" i="5"/>
  <c r="C363" i="5" s="1"/>
  <c r="A364" i="5"/>
  <c r="D363" i="5"/>
  <c r="F363" i="5" s="1"/>
  <c r="E363" i="5"/>
  <c r="G363" i="5" l="1"/>
  <c r="H363" i="5" s="1"/>
  <c r="I363" i="5" s="1"/>
  <c r="J363" i="5" s="1"/>
  <c r="Q1011" i="6"/>
  <c r="R1010" i="6"/>
  <c r="M1010" i="6" s="1"/>
  <c r="S1010" i="6" s="1"/>
  <c r="O1012" i="6"/>
  <c r="P1012" i="6" s="1"/>
  <c r="N1011" i="6"/>
  <c r="B364" i="5"/>
  <c r="C364" i="5" s="1"/>
  <c r="E364" i="5"/>
  <c r="G364" i="5" s="1"/>
  <c r="H364" i="5" s="1"/>
  <c r="D364" i="5"/>
  <c r="F364" i="5" s="1"/>
  <c r="A365" i="5"/>
  <c r="I364" i="5" l="1"/>
  <c r="J364" i="5" s="1"/>
  <c r="Q1012" i="6"/>
  <c r="R1011" i="6"/>
  <c r="M1011" i="6" s="1"/>
  <c r="S1011" i="6" s="1"/>
  <c r="N1012" i="6"/>
  <c r="O1013" i="6"/>
  <c r="P1013" i="6" s="1"/>
  <c r="B365" i="5"/>
  <c r="C365" i="5" s="1"/>
  <c r="A366" i="5"/>
  <c r="E365" i="5"/>
  <c r="D365" i="5"/>
  <c r="F365" i="5" s="1"/>
  <c r="G365" i="5" l="1"/>
  <c r="H365" i="5" s="1"/>
  <c r="I365" i="5" s="1"/>
  <c r="J365" i="5" s="1"/>
  <c r="Q1013" i="6"/>
  <c r="R1012" i="6"/>
  <c r="M1012" i="6" s="1"/>
  <c r="S1012" i="6" s="1"/>
  <c r="N1013" i="6"/>
  <c r="O1014" i="6"/>
  <c r="P1014" i="6" s="1"/>
  <c r="B366" i="5"/>
  <c r="C366" i="5" s="1"/>
  <c r="E366" i="5"/>
  <c r="G366" i="5" s="1"/>
  <c r="H366" i="5" s="1"/>
  <c r="I366" i="5" s="1"/>
  <c r="A367" i="5"/>
  <c r="D366" i="5"/>
  <c r="F366" i="5" s="1"/>
  <c r="J366" i="5" l="1"/>
  <c r="Q1014" i="6"/>
  <c r="R1013" i="6"/>
  <c r="M1013" i="6" s="1"/>
  <c r="S1013" i="6" s="1"/>
  <c r="O1015" i="6"/>
  <c r="P1015" i="6" s="1"/>
  <c r="N1014" i="6"/>
  <c r="B367" i="5"/>
  <c r="C367" i="5" s="1"/>
  <c r="A368" i="5"/>
  <c r="D367" i="5"/>
  <c r="F367" i="5" s="1"/>
  <c r="E367" i="5"/>
  <c r="G367" i="5" l="1"/>
  <c r="H367" i="5" s="1"/>
  <c r="I367" i="5" s="1"/>
  <c r="J367" i="5" s="1"/>
  <c r="Q1015" i="6"/>
  <c r="R1014" i="6"/>
  <c r="M1014" i="6" s="1"/>
  <c r="S1014" i="6" s="1"/>
  <c r="O1016" i="6"/>
  <c r="P1016" i="6" s="1"/>
  <c r="N1015" i="6"/>
  <c r="E368" i="5"/>
  <c r="G368" i="5" s="1"/>
  <c r="H368" i="5" s="1"/>
  <c r="I368" i="5" s="1"/>
  <c r="A369" i="5"/>
  <c r="D368" i="5"/>
  <c r="F368" i="5" s="1"/>
  <c r="B368" i="5"/>
  <c r="C368" i="5" s="1"/>
  <c r="J368" i="5" l="1"/>
  <c r="Q1016" i="6"/>
  <c r="R1015" i="6"/>
  <c r="M1015" i="6" s="1"/>
  <c r="S1015" i="6" s="1"/>
  <c r="O1017" i="6"/>
  <c r="P1017" i="6" s="1"/>
  <c r="N1016" i="6"/>
  <c r="A370" i="5"/>
  <c r="E369" i="5"/>
  <c r="D369" i="5"/>
  <c r="F369" i="5"/>
  <c r="B369" i="5"/>
  <c r="C369" i="5" s="1"/>
  <c r="G369" i="5" l="1"/>
  <c r="H369" i="5" s="1"/>
  <c r="I369" i="5" s="1"/>
  <c r="J369" i="5" s="1"/>
  <c r="Q1017" i="6"/>
  <c r="R1016" i="6"/>
  <c r="M1016" i="6" s="1"/>
  <c r="S1016" i="6" s="1"/>
  <c r="N1017" i="6"/>
  <c r="O1018" i="6"/>
  <c r="P1018" i="6" s="1"/>
  <c r="A371" i="5"/>
  <c r="D370" i="5"/>
  <c r="F370" i="5" s="1"/>
  <c r="E370" i="5"/>
  <c r="B370" i="5"/>
  <c r="C370" i="5" s="1"/>
  <c r="G370" i="5" l="1"/>
  <c r="H370" i="5" s="1"/>
  <c r="I370" i="5" s="1"/>
  <c r="J370" i="5" s="1"/>
  <c r="Q1018" i="6"/>
  <c r="R1017" i="6"/>
  <c r="M1017" i="6" s="1"/>
  <c r="S1017" i="6" s="1"/>
  <c r="N1018" i="6"/>
  <c r="O1019" i="6"/>
  <c r="P1019" i="6" s="1"/>
  <c r="B371" i="5"/>
  <c r="C371" i="5" s="1"/>
  <c r="A372" i="5"/>
  <c r="D371" i="5"/>
  <c r="F371" i="5" s="1"/>
  <c r="E371" i="5"/>
  <c r="G371" i="5" s="1"/>
  <c r="H371" i="5" s="1"/>
  <c r="I371" i="5" l="1"/>
  <c r="J371" i="5" s="1"/>
  <c r="Q1019" i="6"/>
  <c r="R1018" i="6"/>
  <c r="M1018" i="6" s="1"/>
  <c r="S1018" i="6" s="1"/>
  <c r="N1019" i="6"/>
  <c r="O1020" i="6"/>
  <c r="P1020" i="6" s="1"/>
  <c r="E372" i="5"/>
  <c r="G372" i="5" s="1"/>
  <c r="H372" i="5" s="1"/>
  <c r="A373" i="5"/>
  <c r="D372" i="5"/>
  <c r="F372" i="5" s="1"/>
  <c r="B372" i="5"/>
  <c r="C372" i="5" s="1"/>
  <c r="I372" i="5" l="1"/>
  <c r="J372" i="5" s="1"/>
  <c r="Q1020" i="6"/>
  <c r="R1019" i="6"/>
  <c r="M1019" i="6" s="1"/>
  <c r="S1019" i="6" s="1"/>
  <c r="N1020" i="6"/>
  <c r="O1021" i="6"/>
  <c r="P1021" i="6" s="1"/>
  <c r="A374" i="5"/>
  <c r="D373" i="5"/>
  <c r="F373" i="5" s="1"/>
  <c r="B373" i="5"/>
  <c r="C373" i="5" s="1"/>
  <c r="E373" i="5"/>
  <c r="G373" i="5" l="1"/>
  <c r="H373" i="5" s="1"/>
  <c r="I373" i="5" s="1"/>
  <c r="J373" i="5" s="1"/>
  <c r="Q1021" i="6"/>
  <c r="R1020" i="6"/>
  <c r="M1020" i="6" s="1"/>
  <c r="S1020" i="6" s="1"/>
  <c r="O1022" i="6"/>
  <c r="P1022" i="6" s="1"/>
  <c r="N1021" i="6"/>
  <c r="E374" i="5"/>
  <c r="G374" i="5" s="1"/>
  <c r="H374" i="5" s="1"/>
  <c r="I374" i="5" s="1"/>
  <c r="A375" i="5"/>
  <c r="D374" i="5"/>
  <c r="F374" i="5" s="1"/>
  <c r="B374" i="5"/>
  <c r="C374" i="5" s="1"/>
  <c r="J374" i="5" l="1"/>
  <c r="Q1022" i="6"/>
  <c r="R1021" i="6"/>
  <c r="M1021" i="6" s="1"/>
  <c r="S1021" i="6" s="1"/>
  <c r="O1023" i="6"/>
  <c r="P1023" i="6" s="1"/>
  <c r="N1022" i="6"/>
  <c r="D375" i="5"/>
  <c r="F375" i="5" s="1"/>
  <c r="B375" i="5"/>
  <c r="C375" i="5" s="1"/>
  <c r="H3" i="5" s="1"/>
  <c r="E375" i="5"/>
  <c r="G375" i="5" l="1"/>
  <c r="H375" i="5" s="1"/>
  <c r="I375" i="5" s="1"/>
  <c r="J375" i="5" s="1"/>
  <c r="Q1023" i="6"/>
  <c r="R1022" i="6"/>
  <c r="M1022" i="6" s="1"/>
  <c r="S1022" i="6" s="1"/>
  <c r="N1023" i="6"/>
  <c r="O1024" i="6"/>
  <c r="P1024" i="6" s="1"/>
  <c r="Q1024" i="6" l="1"/>
  <c r="R1023" i="6"/>
  <c r="M1023" i="6" s="1"/>
  <c r="S1023" i="6" s="1"/>
  <c r="N1024" i="6"/>
  <c r="O1025" i="6"/>
  <c r="P1025" i="6" s="1"/>
  <c r="Q1025" i="6" l="1"/>
  <c r="R1024" i="6"/>
  <c r="M1024" i="6" s="1"/>
  <c r="S1024" i="6" s="1"/>
  <c r="O1026" i="6"/>
  <c r="P1026" i="6" s="1"/>
  <c r="N1025" i="6"/>
  <c r="Q1026" i="6" l="1"/>
  <c r="R1025" i="6"/>
  <c r="M1025" i="6" s="1"/>
  <c r="S1025" i="6" s="1"/>
  <c r="N1026" i="6"/>
  <c r="O1027" i="6"/>
  <c r="P1027" i="6" s="1"/>
  <c r="Q1027" i="6" l="1"/>
  <c r="R1026" i="6"/>
  <c r="M1026" i="6" s="1"/>
  <c r="S1026" i="6" s="1"/>
  <c r="O1028" i="6"/>
  <c r="P1028" i="6" s="1"/>
  <c r="N1027" i="6"/>
  <c r="Q1028" i="6" l="1"/>
  <c r="R1027" i="6"/>
  <c r="M1027" i="6" s="1"/>
  <c r="S1027" i="6" s="1"/>
  <c r="N1028" i="6"/>
  <c r="O1029" i="6"/>
  <c r="P1029" i="6" s="1"/>
  <c r="Q1029" i="6" l="1"/>
  <c r="R1028" i="6"/>
  <c r="M1028" i="6" s="1"/>
  <c r="S1028" i="6" s="1"/>
  <c r="N1029" i="6"/>
  <c r="O1030" i="6"/>
  <c r="P1030" i="6" s="1"/>
  <c r="Q1030" i="6" l="1"/>
  <c r="R1029" i="6"/>
  <c r="M1029" i="6" s="1"/>
  <c r="S1029" i="6" s="1"/>
  <c r="O1031" i="6"/>
  <c r="P1031" i="6" s="1"/>
  <c r="N1030" i="6"/>
  <c r="Q1031" i="6" l="1"/>
  <c r="R1030" i="6"/>
  <c r="M1030" i="6" s="1"/>
  <c r="S1030" i="6" s="1"/>
  <c r="O1032" i="6"/>
  <c r="P1032" i="6" s="1"/>
  <c r="N1031" i="6"/>
  <c r="Q1032" i="6" l="1"/>
  <c r="R1031" i="6"/>
  <c r="M1031" i="6" s="1"/>
  <c r="S1031" i="6" s="1"/>
  <c r="O1033" i="6"/>
  <c r="P1033" i="6" s="1"/>
  <c r="N1032" i="6"/>
  <c r="Q1033" i="6" l="1"/>
  <c r="R1032" i="6"/>
  <c r="M1032" i="6" s="1"/>
  <c r="S1032" i="6" s="1"/>
  <c r="O1034" i="6"/>
  <c r="P1034" i="6" s="1"/>
  <c r="N1033" i="6"/>
  <c r="Q1034" i="6" l="1"/>
  <c r="R1033" i="6"/>
  <c r="M1033" i="6" s="1"/>
  <c r="S1033" i="6" s="1"/>
  <c r="O1035" i="6"/>
  <c r="P1035" i="6" s="1"/>
  <c r="N1034" i="6"/>
  <c r="Q1035" i="6" l="1"/>
  <c r="R1034" i="6"/>
  <c r="M1034" i="6" s="1"/>
  <c r="S1034" i="6" s="1"/>
  <c r="O1036" i="6"/>
  <c r="P1036" i="6" s="1"/>
  <c r="N1035" i="6"/>
  <c r="Q1036" i="6" l="1"/>
  <c r="R1035" i="6"/>
  <c r="M1035" i="6" s="1"/>
  <c r="S1035" i="6" s="1"/>
  <c r="N1036" i="6"/>
  <c r="O1037" i="6"/>
  <c r="P1037" i="6" s="1"/>
  <c r="Q1037" i="6" l="1"/>
  <c r="R1036" i="6"/>
  <c r="M1036" i="6" s="1"/>
  <c r="S1036" i="6" s="1"/>
  <c r="O1038" i="6"/>
  <c r="P1038" i="6" s="1"/>
  <c r="N1037" i="6"/>
  <c r="Q1038" i="6" l="1"/>
  <c r="R1037" i="6"/>
  <c r="M1037" i="6" s="1"/>
  <c r="S1037" i="6" s="1"/>
  <c r="N1038" i="6"/>
  <c r="O1039" i="6"/>
  <c r="P1039" i="6" s="1"/>
  <c r="Q1039" i="6" l="1"/>
  <c r="R1038" i="6"/>
  <c r="M1038" i="6" s="1"/>
  <c r="S1038" i="6" s="1"/>
  <c r="N1039" i="6"/>
  <c r="O1040" i="6"/>
  <c r="P1040" i="6" s="1"/>
  <c r="Q1040" i="6" l="1"/>
  <c r="R1039" i="6"/>
  <c r="M1039" i="6" s="1"/>
  <c r="S1039" i="6" s="1"/>
  <c r="O1041" i="6"/>
  <c r="P1041" i="6" s="1"/>
  <c r="N1040" i="6"/>
  <c r="Q1041" i="6" l="1"/>
  <c r="R1040" i="6"/>
  <c r="M1040" i="6" s="1"/>
  <c r="S1040" i="6" s="1"/>
  <c r="N1041" i="6"/>
  <c r="O1042" i="6"/>
  <c r="P1042" i="6" s="1"/>
  <c r="Q1042" i="6" l="1"/>
  <c r="R1041" i="6"/>
  <c r="M1041" i="6" s="1"/>
  <c r="S1041" i="6" s="1"/>
  <c r="N1042" i="6"/>
  <c r="O1043" i="6"/>
  <c r="P1043" i="6" s="1"/>
  <c r="Q1043" i="6" l="1"/>
  <c r="R1042" i="6"/>
  <c r="M1042" i="6" s="1"/>
  <c r="S1042" i="6" s="1"/>
  <c r="N1043" i="6"/>
  <c r="O1044" i="6"/>
  <c r="P1044" i="6" s="1"/>
  <c r="Q1044" i="6" l="1"/>
  <c r="R1043" i="6"/>
  <c r="M1043" i="6" s="1"/>
  <c r="S1043" i="6" s="1"/>
  <c r="N1044" i="6"/>
  <c r="O1045" i="6"/>
  <c r="P1045" i="6" s="1"/>
  <c r="Q1045" i="6" l="1"/>
  <c r="R1044" i="6"/>
  <c r="M1044" i="6" s="1"/>
  <c r="S1044" i="6" s="1"/>
  <c r="N1045" i="6"/>
  <c r="O1046" i="6"/>
  <c r="P1046" i="6" s="1"/>
  <c r="Q1046" i="6" l="1"/>
  <c r="R1045" i="6"/>
  <c r="M1045" i="6" s="1"/>
  <c r="S1045" i="6" s="1"/>
  <c r="O1047" i="6"/>
  <c r="P1047" i="6" s="1"/>
  <c r="N1046" i="6"/>
  <c r="Q1047" i="6" l="1"/>
  <c r="R1046" i="6"/>
  <c r="M1046" i="6" s="1"/>
  <c r="S1046" i="6" s="1"/>
  <c r="O1048" i="6"/>
  <c r="P1048" i="6" s="1"/>
  <c r="N1047" i="6"/>
  <c r="Q1048" i="6" l="1"/>
  <c r="R1047" i="6"/>
  <c r="M1047" i="6" s="1"/>
  <c r="S1047" i="6" s="1"/>
  <c r="O1049" i="6"/>
  <c r="P1049" i="6" s="1"/>
  <c r="N1048" i="6"/>
  <c r="Q1049" i="6" l="1"/>
  <c r="R1048" i="6"/>
  <c r="M1048" i="6" s="1"/>
  <c r="S1048" i="6" s="1"/>
  <c r="N1049" i="6"/>
  <c r="O1050" i="6"/>
  <c r="P1050" i="6" s="1"/>
  <c r="Q1050" i="6" l="1"/>
  <c r="R1049" i="6"/>
  <c r="M1049" i="6" s="1"/>
  <c r="S1049" i="6" s="1"/>
  <c r="N1050" i="6"/>
  <c r="O1051" i="6"/>
  <c r="P1051" i="6" s="1"/>
  <c r="Q1051" i="6" l="1"/>
  <c r="R1050" i="6"/>
  <c r="M1050" i="6" s="1"/>
  <c r="S1050" i="6" s="1"/>
  <c r="O1052" i="6"/>
  <c r="P1052" i="6" s="1"/>
  <c r="N1051" i="6"/>
  <c r="Q1052" i="6" l="1"/>
  <c r="R1051" i="6"/>
  <c r="M1051" i="6" s="1"/>
  <c r="S1051" i="6" s="1"/>
  <c r="N1052" i="6"/>
  <c r="O1053" i="6"/>
  <c r="P1053" i="6" s="1"/>
  <c r="Q1053" i="6" l="1"/>
  <c r="R1052" i="6"/>
  <c r="M1052" i="6" s="1"/>
  <c r="S1052" i="6" s="1"/>
  <c r="O1054" i="6"/>
  <c r="P1054" i="6" s="1"/>
  <c r="N1053" i="6"/>
  <c r="Q1054" i="6" l="1"/>
  <c r="R1053" i="6"/>
  <c r="M1053" i="6" s="1"/>
  <c r="S1053" i="6" s="1"/>
  <c r="N1054" i="6"/>
  <c r="O1055" i="6"/>
  <c r="P1055" i="6" s="1"/>
  <c r="Q1055" i="6" l="1"/>
  <c r="R1054" i="6"/>
  <c r="M1054" i="6" s="1"/>
  <c r="S1054" i="6" s="1"/>
  <c r="N1055" i="6"/>
  <c r="O1056" i="6"/>
  <c r="P1056" i="6" s="1"/>
  <c r="Q1056" i="6" l="1"/>
  <c r="R1055" i="6"/>
  <c r="M1055" i="6" s="1"/>
  <c r="S1055" i="6" s="1"/>
  <c r="O1057" i="6"/>
  <c r="P1057" i="6" s="1"/>
  <c r="N1056" i="6"/>
  <c r="Q1057" i="6" l="1"/>
  <c r="R1056" i="6"/>
  <c r="M1056" i="6" s="1"/>
  <c r="S1056" i="6" s="1"/>
  <c r="N1057" i="6"/>
  <c r="O1058" i="6"/>
  <c r="P1058" i="6" s="1"/>
  <c r="Q1058" i="6" l="1"/>
  <c r="R1057" i="6"/>
  <c r="M1057" i="6" s="1"/>
  <c r="S1057" i="6" s="1"/>
  <c r="O1059" i="6"/>
  <c r="P1059" i="6" s="1"/>
  <c r="N1058" i="6"/>
  <c r="Q1059" i="6" l="1"/>
  <c r="R1058" i="6"/>
  <c r="M1058" i="6" s="1"/>
  <c r="S1058" i="6" s="1"/>
  <c r="O1060" i="6"/>
  <c r="P1060" i="6" s="1"/>
  <c r="N1059" i="6"/>
  <c r="Q1060" i="6" l="1"/>
  <c r="R1059" i="6"/>
  <c r="M1059" i="6" s="1"/>
  <c r="S1059" i="6" s="1"/>
  <c r="N1060" i="6"/>
  <c r="O1061" i="6"/>
  <c r="P1061" i="6" s="1"/>
  <c r="Q1061" i="6" l="1"/>
  <c r="R1060" i="6"/>
  <c r="M1060" i="6" s="1"/>
  <c r="S1060" i="6" s="1"/>
  <c r="N1061" i="6"/>
  <c r="O1062" i="6"/>
  <c r="P1062" i="6" s="1"/>
  <c r="Q1062" i="6" l="1"/>
  <c r="R1061" i="6"/>
  <c r="M1061" i="6" s="1"/>
  <c r="S1061" i="6" s="1"/>
  <c r="N1062" i="6"/>
  <c r="O1063" i="6"/>
  <c r="P1063" i="6" s="1"/>
  <c r="Q1063" i="6" l="1"/>
  <c r="R1062" i="6"/>
  <c r="M1062" i="6" s="1"/>
  <c r="S1062" i="6" s="1"/>
  <c r="O1064" i="6"/>
  <c r="P1064" i="6" s="1"/>
  <c r="N1063" i="6"/>
  <c r="Q1064" i="6" l="1"/>
  <c r="R1063" i="6"/>
  <c r="M1063" i="6" s="1"/>
  <c r="S1063" i="6" s="1"/>
  <c r="N1064" i="6"/>
  <c r="O1065" i="6"/>
  <c r="P1065" i="6" s="1"/>
  <c r="Q1065" i="6" l="1"/>
  <c r="R1064" i="6"/>
  <c r="M1064" i="6" s="1"/>
  <c r="S1064" i="6" s="1"/>
  <c r="N1065" i="6"/>
  <c r="O1066" i="6"/>
  <c r="P1066" i="6" s="1"/>
  <c r="Q1066" i="6" l="1"/>
  <c r="R1065" i="6"/>
  <c r="M1065" i="6" s="1"/>
  <c r="S1065" i="6" s="1"/>
  <c r="N1066" i="6"/>
  <c r="O1067" i="6"/>
  <c r="P1067" i="6" s="1"/>
  <c r="Q1067" i="6" l="1"/>
  <c r="R1066" i="6"/>
  <c r="M1066" i="6" s="1"/>
  <c r="S1066" i="6" s="1"/>
  <c r="O1068" i="6"/>
  <c r="P1068" i="6" s="1"/>
  <c r="N1067" i="6"/>
  <c r="Q1068" i="6" l="1"/>
  <c r="R1067" i="6"/>
  <c r="M1067" i="6" s="1"/>
  <c r="S1067" i="6" s="1"/>
  <c r="O1069" i="6"/>
  <c r="P1069" i="6" s="1"/>
  <c r="N1068" i="6"/>
  <c r="Q1069" i="6" l="1"/>
  <c r="R1068" i="6"/>
  <c r="M1068" i="6" s="1"/>
  <c r="S1068" i="6" s="1"/>
  <c r="O1070" i="6"/>
  <c r="P1070" i="6" s="1"/>
  <c r="N1069" i="6"/>
  <c r="Q1070" i="6" l="1"/>
  <c r="R1069" i="6"/>
  <c r="M1069" i="6" s="1"/>
  <c r="S1069" i="6" s="1"/>
  <c r="N1070" i="6"/>
  <c r="O1071" i="6"/>
  <c r="P1071" i="6" s="1"/>
  <c r="Q1071" i="6" l="1"/>
  <c r="R1070" i="6"/>
  <c r="M1070" i="6" s="1"/>
  <c r="S1070" i="6" s="1"/>
  <c r="N1071" i="6"/>
  <c r="O1072" i="6"/>
  <c r="P1072" i="6" s="1"/>
  <c r="Q1072" i="6" l="1"/>
  <c r="R1071" i="6"/>
  <c r="M1071" i="6" s="1"/>
  <c r="S1071" i="6" s="1"/>
  <c r="N1072" i="6"/>
  <c r="O1073" i="6"/>
  <c r="P1073" i="6" s="1"/>
  <c r="Q1073" i="6" l="1"/>
  <c r="R1072" i="6"/>
  <c r="M1072" i="6" s="1"/>
  <c r="S1072" i="6" s="1"/>
  <c r="N1073" i="6"/>
  <c r="O1074" i="6"/>
  <c r="P1074" i="6" s="1"/>
  <c r="Q1074" i="6" l="1"/>
  <c r="R1073" i="6"/>
  <c r="M1073" i="6" s="1"/>
  <c r="S1073" i="6" s="1"/>
  <c r="N1074" i="6"/>
  <c r="O1075" i="6"/>
  <c r="P1075" i="6" s="1"/>
  <c r="Q1075" i="6" l="1"/>
  <c r="R1074" i="6"/>
  <c r="M1074" i="6" s="1"/>
  <c r="S1074" i="6" s="1"/>
  <c r="O1076" i="6"/>
  <c r="P1076" i="6" s="1"/>
  <c r="N1075" i="6"/>
  <c r="Q1076" i="6" l="1"/>
  <c r="R1075" i="6"/>
  <c r="M1075" i="6" s="1"/>
  <c r="S1075" i="6" s="1"/>
  <c r="O1077" i="6"/>
  <c r="P1077" i="6" s="1"/>
  <c r="N1076" i="6"/>
  <c r="Q1077" i="6" l="1"/>
  <c r="R1076" i="6"/>
  <c r="M1076" i="6" s="1"/>
  <c r="S1076" i="6" s="1"/>
  <c r="O1078" i="6"/>
  <c r="P1078" i="6" s="1"/>
  <c r="N1077" i="6"/>
  <c r="Q1078" i="6" l="1"/>
  <c r="R1077" i="6"/>
  <c r="M1077" i="6" s="1"/>
  <c r="S1077" i="6" s="1"/>
  <c r="N1078" i="6"/>
  <c r="O1079" i="6"/>
  <c r="P1079" i="6" s="1"/>
  <c r="Q1079" i="6" l="1"/>
  <c r="R1078" i="6"/>
  <c r="M1078" i="6" s="1"/>
  <c r="S1078" i="6" s="1"/>
  <c r="N1079" i="6"/>
  <c r="O1080" i="6"/>
  <c r="P1080" i="6" s="1"/>
  <c r="Q1080" i="6" l="1"/>
  <c r="R1079" i="6"/>
  <c r="M1079" i="6" s="1"/>
  <c r="S1079" i="6" s="1"/>
  <c r="N1080" i="6"/>
  <c r="O1081" i="6"/>
  <c r="P1081" i="6" s="1"/>
  <c r="Q1081" i="6" l="1"/>
  <c r="R1080" i="6"/>
  <c r="M1080" i="6" s="1"/>
  <c r="S1080" i="6" s="1"/>
  <c r="N1081" i="6"/>
  <c r="O1082" i="6"/>
  <c r="P1082" i="6" s="1"/>
  <c r="Q1082" i="6" l="1"/>
  <c r="R1081" i="6"/>
  <c r="M1081" i="6" s="1"/>
  <c r="S1081" i="6" s="1"/>
  <c r="O1083" i="6"/>
  <c r="P1083" i="6" s="1"/>
  <c r="N1082" i="6"/>
  <c r="Q1083" i="6" l="1"/>
  <c r="R1082" i="6"/>
  <c r="M1082" i="6" s="1"/>
  <c r="S1082" i="6" s="1"/>
  <c r="O1084" i="6"/>
  <c r="P1084" i="6" s="1"/>
  <c r="N1083" i="6"/>
  <c r="Q1084" i="6" l="1"/>
  <c r="R1083" i="6"/>
  <c r="M1083" i="6" s="1"/>
  <c r="S1083" i="6" s="1"/>
  <c r="N1084" i="6"/>
  <c r="O1085" i="6"/>
  <c r="P1085" i="6" s="1"/>
  <c r="Q1085" i="6" l="1"/>
  <c r="R1084" i="6"/>
  <c r="M1084" i="6" s="1"/>
  <c r="S1084" i="6" s="1"/>
  <c r="N1085" i="6"/>
  <c r="O1086" i="6"/>
  <c r="P1086" i="6" s="1"/>
  <c r="Q1086" i="6" l="1"/>
  <c r="R1085" i="6"/>
  <c r="M1085" i="6" s="1"/>
  <c r="S1085" i="6" s="1"/>
  <c r="O1087" i="6"/>
  <c r="P1087" i="6" s="1"/>
  <c r="N1086" i="6"/>
  <c r="Q1087" i="6" l="1"/>
  <c r="R1086" i="6"/>
  <c r="M1086" i="6" s="1"/>
  <c r="S1086" i="6" s="1"/>
  <c r="O1088" i="6"/>
  <c r="P1088" i="6" s="1"/>
  <c r="N1087" i="6"/>
  <c r="Q1088" i="6" l="1"/>
  <c r="R1087" i="6"/>
  <c r="M1087" i="6" s="1"/>
  <c r="S1087" i="6" s="1"/>
  <c r="N1088" i="6"/>
  <c r="O1089" i="6"/>
  <c r="P1089" i="6" s="1"/>
  <c r="Q1089" i="6" l="1"/>
  <c r="R1088" i="6"/>
  <c r="M1088" i="6" s="1"/>
  <c r="S1088" i="6" s="1"/>
  <c r="N1089" i="6"/>
  <c r="O1090" i="6"/>
  <c r="P1090" i="6" s="1"/>
  <c r="Q1090" i="6" l="1"/>
  <c r="R1089" i="6"/>
  <c r="M1089" i="6" s="1"/>
  <c r="S1089" i="6" s="1"/>
  <c r="N1090" i="6"/>
  <c r="O1091" i="6"/>
  <c r="P1091" i="6" s="1"/>
  <c r="Q1091" i="6" l="1"/>
  <c r="R1090" i="6"/>
  <c r="M1090" i="6" s="1"/>
  <c r="S1090" i="6" s="1"/>
  <c r="N1091" i="6"/>
  <c r="O1092" i="6"/>
  <c r="P1092" i="6" s="1"/>
  <c r="Q1092" i="6" l="1"/>
  <c r="R1091" i="6"/>
  <c r="M1091" i="6" s="1"/>
  <c r="S1091" i="6" s="1"/>
  <c r="N1092" i="6"/>
  <c r="O1093" i="6"/>
  <c r="P1093" i="6" s="1"/>
  <c r="Q1093" i="6" l="1"/>
  <c r="R1092" i="6"/>
  <c r="M1092" i="6" s="1"/>
  <c r="S1092" i="6" s="1"/>
  <c r="N1093" i="6"/>
  <c r="O1094" i="6"/>
  <c r="P1094" i="6" s="1"/>
  <c r="Q1094" i="6" l="1"/>
  <c r="R1093" i="6"/>
  <c r="M1093" i="6" s="1"/>
  <c r="S1093" i="6" s="1"/>
  <c r="O1095" i="6"/>
  <c r="P1095" i="6" s="1"/>
  <c r="N1094" i="6"/>
  <c r="Q1095" i="6" l="1"/>
  <c r="R1094" i="6"/>
  <c r="M1094" i="6" s="1"/>
  <c r="S1094" i="6" s="1"/>
  <c r="O1096" i="6"/>
  <c r="P1096" i="6" s="1"/>
  <c r="N1095" i="6"/>
  <c r="Q1096" i="6" l="1"/>
  <c r="R1095" i="6"/>
  <c r="M1095" i="6" s="1"/>
  <c r="S1095" i="6" s="1"/>
  <c r="N1096" i="6"/>
  <c r="O1097" i="6"/>
  <c r="P1097" i="6" s="1"/>
  <c r="Q1097" i="6" l="1"/>
  <c r="R1096" i="6"/>
  <c r="M1096" i="6" s="1"/>
  <c r="S1096" i="6" s="1"/>
  <c r="N1097" i="6"/>
  <c r="O1098" i="6"/>
  <c r="P1098" i="6" s="1"/>
  <c r="Q1098" i="6" l="1"/>
  <c r="R1097" i="6"/>
  <c r="M1097" i="6" s="1"/>
  <c r="S1097" i="6" s="1"/>
  <c r="O1099" i="6"/>
  <c r="P1099" i="6" s="1"/>
  <c r="N1098" i="6"/>
  <c r="Q1099" i="6" l="1"/>
  <c r="R1098" i="6"/>
  <c r="M1098" i="6" s="1"/>
  <c r="S1098" i="6" s="1"/>
  <c r="O1100" i="6"/>
  <c r="P1100" i="6" s="1"/>
  <c r="N1099" i="6"/>
  <c r="Q1100" i="6" l="1"/>
  <c r="R1099" i="6"/>
  <c r="M1099" i="6" s="1"/>
  <c r="S1099" i="6" s="1"/>
  <c r="N1100" i="6"/>
  <c r="O1101" i="6"/>
  <c r="P1101" i="6" s="1"/>
  <c r="Q1101" i="6" l="1"/>
  <c r="R1100" i="6"/>
  <c r="M1100" i="6" s="1"/>
  <c r="S1100" i="6" s="1"/>
  <c r="N1101" i="6"/>
  <c r="O1102" i="6"/>
  <c r="P1102" i="6" s="1"/>
  <c r="Q1102" i="6" l="1"/>
  <c r="R1101" i="6"/>
  <c r="M1101" i="6" s="1"/>
  <c r="S1101" i="6" s="1"/>
  <c r="O1103" i="6"/>
  <c r="P1103" i="6" s="1"/>
  <c r="N1102" i="6"/>
  <c r="Q1103" i="6" l="1"/>
  <c r="R1102" i="6"/>
  <c r="M1102" i="6" s="1"/>
  <c r="S1102" i="6" s="1"/>
  <c r="O1104" i="6"/>
  <c r="P1104" i="6" s="1"/>
  <c r="N1103" i="6"/>
  <c r="Q1104" i="6" l="1"/>
  <c r="R1103" i="6"/>
  <c r="M1103" i="6" s="1"/>
  <c r="S1103" i="6" s="1"/>
  <c r="N1104" i="6"/>
  <c r="O1105" i="6"/>
  <c r="P1105" i="6" s="1"/>
  <c r="Q1105" i="6" l="1"/>
  <c r="R1104" i="6"/>
  <c r="M1104" i="6" s="1"/>
  <c r="S1104" i="6" s="1"/>
  <c r="O1106" i="6"/>
  <c r="P1106" i="6" s="1"/>
  <c r="N1105" i="6"/>
  <c r="Q1106" i="6" l="1"/>
  <c r="R1105" i="6"/>
  <c r="M1105" i="6" s="1"/>
  <c r="S1105" i="6" s="1"/>
  <c r="N1106" i="6"/>
  <c r="O1107" i="6"/>
  <c r="P1107" i="6" s="1"/>
  <c r="Q1107" i="6" l="1"/>
  <c r="R1106" i="6"/>
  <c r="M1106" i="6" s="1"/>
  <c r="S1106" i="6" s="1"/>
  <c r="N1107" i="6"/>
  <c r="O1108" i="6"/>
  <c r="P1108" i="6" s="1"/>
  <c r="Q1108" i="6" l="1"/>
  <c r="R1107" i="6"/>
  <c r="M1107" i="6" s="1"/>
  <c r="S1107" i="6" s="1"/>
  <c r="N1108" i="6"/>
  <c r="O1109" i="6"/>
  <c r="P1109" i="6" s="1"/>
  <c r="Q1109" i="6" l="1"/>
  <c r="R1108" i="6"/>
  <c r="M1108" i="6" s="1"/>
  <c r="S1108" i="6" s="1"/>
  <c r="N1109" i="6"/>
  <c r="O1110" i="6"/>
  <c r="P1110" i="6" s="1"/>
  <c r="Q1110" i="6" l="1"/>
  <c r="R1109" i="6"/>
  <c r="M1109" i="6" s="1"/>
  <c r="S1109" i="6" s="1"/>
  <c r="O1111" i="6"/>
  <c r="P1111" i="6" s="1"/>
  <c r="N1110" i="6"/>
  <c r="Q1111" i="6" l="1"/>
  <c r="R1110" i="6"/>
  <c r="M1110" i="6" s="1"/>
  <c r="S1110" i="6" s="1"/>
  <c r="O1112" i="6"/>
  <c r="P1112" i="6" s="1"/>
  <c r="N1111" i="6"/>
  <c r="Q1112" i="6" l="1"/>
  <c r="R1111" i="6"/>
  <c r="M1111" i="6" s="1"/>
  <c r="S1111" i="6" s="1"/>
  <c r="N1112" i="6"/>
  <c r="O1113" i="6"/>
  <c r="P1113" i="6" s="1"/>
  <c r="Q1113" i="6" l="1"/>
  <c r="R1112" i="6"/>
  <c r="M1112" i="6" s="1"/>
  <c r="S1112" i="6" s="1"/>
  <c r="N1113" i="6"/>
  <c r="O1114" i="6"/>
  <c r="P1114" i="6" s="1"/>
  <c r="Q1114" i="6" l="1"/>
  <c r="R1113" i="6"/>
  <c r="M1113" i="6" s="1"/>
  <c r="S1113" i="6" s="1"/>
  <c r="O1115" i="6"/>
  <c r="P1115" i="6" s="1"/>
  <c r="N1114" i="6"/>
  <c r="Q1115" i="6" l="1"/>
  <c r="R1114" i="6"/>
  <c r="M1114" i="6" s="1"/>
  <c r="S1114" i="6" s="1"/>
  <c r="O1116" i="6"/>
  <c r="P1116" i="6" s="1"/>
  <c r="N1115" i="6"/>
  <c r="Q1116" i="6" l="1"/>
  <c r="R1115" i="6"/>
  <c r="M1115" i="6" s="1"/>
  <c r="S1115" i="6" s="1"/>
  <c r="N1116" i="6"/>
  <c r="O1117" i="6"/>
  <c r="P1117" i="6" s="1"/>
  <c r="Q1117" i="6" l="1"/>
  <c r="R1116" i="6"/>
  <c r="M1116" i="6" s="1"/>
  <c r="S1116" i="6" s="1"/>
  <c r="N1117" i="6"/>
  <c r="O1118" i="6"/>
  <c r="P1118" i="6" s="1"/>
  <c r="Q1118" i="6" l="1"/>
  <c r="R1117" i="6"/>
  <c r="M1117" i="6" s="1"/>
  <c r="S1117" i="6" s="1"/>
  <c r="O1119" i="6"/>
  <c r="P1119" i="6" s="1"/>
  <c r="N1118" i="6"/>
  <c r="Q1119" i="6" l="1"/>
  <c r="R1118" i="6"/>
  <c r="M1118" i="6" s="1"/>
  <c r="S1118" i="6" s="1"/>
  <c r="N1119" i="6"/>
  <c r="O1120" i="6"/>
  <c r="P1120" i="6" s="1"/>
  <c r="Q1120" i="6" l="1"/>
  <c r="R1119" i="6"/>
  <c r="M1119" i="6" s="1"/>
  <c r="S1119" i="6" s="1"/>
  <c r="N1120" i="6"/>
  <c r="O1121" i="6"/>
  <c r="P1121" i="6" s="1"/>
  <c r="Q1121" i="6" l="1"/>
  <c r="R1120" i="6"/>
  <c r="M1120" i="6" s="1"/>
  <c r="S1120" i="6" s="1"/>
  <c r="O1122" i="6"/>
  <c r="P1122" i="6" s="1"/>
  <c r="N1121" i="6"/>
  <c r="Q1122" i="6" l="1"/>
  <c r="R1121" i="6"/>
  <c r="M1121" i="6" s="1"/>
  <c r="S1121" i="6" s="1"/>
  <c r="N1122" i="6"/>
  <c r="O1123" i="6"/>
  <c r="P1123" i="6" s="1"/>
  <c r="Q1123" i="6" l="1"/>
  <c r="R1122" i="6"/>
  <c r="M1122" i="6" s="1"/>
  <c r="S1122" i="6" s="1"/>
  <c r="N1123" i="6"/>
  <c r="O1124" i="6"/>
  <c r="P1124" i="6" s="1"/>
  <c r="Q1124" i="6" l="1"/>
  <c r="R1123" i="6"/>
  <c r="M1123" i="6" s="1"/>
  <c r="S1123" i="6" s="1"/>
  <c r="N1124" i="6"/>
  <c r="O1125" i="6"/>
  <c r="P1125" i="6" s="1"/>
  <c r="Q1125" i="6" l="1"/>
  <c r="R1124" i="6"/>
  <c r="M1124" i="6" s="1"/>
  <c r="S1124" i="6" s="1"/>
  <c r="N1125" i="6"/>
  <c r="O1126" i="6"/>
  <c r="P1126" i="6" s="1"/>
  <c r="Q1126" i="6" l="1"/>
  <c r="R1125" i="6"/>
  <c r="M1125" i="6" s="1"/>
  <c r="S1125" i="6" s="1"/>
  <c r="O1127" i="6"/>
  <c r="P1127" i="6" s="1"/>
  <c r="N1126" i="6"/>
  <c r="Q1127" i="6" l="1"/>
  <c r="R1126" i="6"/>
  <c r="M1126" i="6" s="1"/>
  <c r="S1126" i="6" s="1"/>
  <c r="N1127" i="6"/>
  <c r="O1128" i="6"/>
  <c r="P1128" i="6" s="1"/>
  <c r="Q1128" i="6" l="1"/>
  <c r="R1127" i="6"/>
  <c r="M1127" i="6" s="1"/>
  <c r="S1127" i="6" s="1"/>
  <c r="N1128" i="6"/>
  <c r="O1129" i="6"/>
  <c r="P1129" i="6" s="1"/>
  <c r="Q1129" i="6" l="1"/>
  <c r="R1128" i="6"/>
  <c r="M1128" i="6" s="1"/>
  <c r="S1128" i="6" s="1"/>
  <c r="N1129" i="6"/>
  <c r="O1130" i="6"/>
  <c r="P1130" i="6" s="1"/>
  <c r="Q1130" i="6" l="1"/>
  <c r="R1129" i="6"/>
  <c r="M1129" i="6" s="1"/>
  <c r="S1129" i="6" s="1"/>
  <c r="O1131" i="6"/>
  <c r="P1131" i="6" s="1"/>
  <c r="N1130" i="6"/>
  <c r="Q1131" i="6" l="1"/>
  <c r="R1130" i="6"/>
  <c r="M1130" i="6" s="1"/>
  <c r="S1130" i="6" s="1"/>
  <c r="O1132" i="6"/>
  <c r="P1132" i="6" s="1"/>
  <c r="N1131" i="6"/>
  <c r="Q1132" i="6" l="1"/>
  <c r="R1131" i="6"/>
  <c r="M1131" i="6" s="1"/>
  <c r="S1131" i="6" s="1"/>
  <c r="N1132" i="6"/>
  <c r="O1133" i="6"/>
  <c r="P1133" i="6" s="1"/>
  <c r="Q1133" i="6" l="1"/>
  <c r="R1132" i="6"/>
  <c r="M1132" i="6" s="1"/>
  <c r="S1132" i="6" s="1"/>
  <c r="N1133" i="6"/>
  <c r="O1134" i="6"/>
  <c r="P1134" i="6" s="1"/>
  <c r="Q1134" i="6" l="1"/>
  <c r="R1133" i="6"/>
  <c r="M1133" i="6" s="1"/>
  <c r="S1133" i="6" s="1"/>
  <c r="N1134" i="6"/>
  <c r="O1135" i="6"/>
  <c r="P1135" i="6" s="1"/>
  <c r="Q1135" i="6" l="1"/>
  <c r="R1134" i="6"/>
  <c r="M1134" i="6" s="1"/>
  <c r="S1134" i="6" s="1"/>
  <c r="N1135" i="6"/>
  <c r="O1136" i="6"/>
  <c r="P1136" i="6" s="1"/>
  <c r="Q1136" i="6" l="1"/>
  <c r="R1135" i="6"/>
  <c r="M1135" i="6" s="1"/>
  <c r="S1135" i="6" s="1"/>
  <c r="N1136" i="6"/>
  <c r="O1137" i="6"/>
  <c r="P1137" i="6" s="1"/>
  <c r="Q1137" i="6" l="1"/>
  <c r="R1136" i="6"/>
  <c r="M1136" i="6" s="1"/>
  <c r="S1136" i="6" s="1"/>
  <c r="N1137" i="6"/>
  <c r="O1138" i="6"/>
  <c r="P1138" i="6" s="1"/>
  <c r="Q1138" i="6" l="1"/>
  <c r="R1137" i="6"/>
  <c r="M1137" i="6" s="1"/>
  <c r="S1137" i="6" s="1"/>
  <c r="N1138" i="6"/>
  <c r="O1139" i="6"/>
  <c r="P1139" i="6" s="1"/>
  <c r="Q1139" i="6" l="1"/>
  <c r="R1138" i="6"/>
  <c r="M1138" i="6" s="1"/>
  <c r="S1138" i="6" s="1"/>
  <c r="N1139" i="6"/>
  <c r="O1140" i="6"/>
  <c r="P1140" i="6" s="1"/>
  <c r="Q1140" i="6" l="1"/>
  <c r="R1139" i="6"/>
  <c r="M1139" i="6" s="1"/>
  <c r="S1139" i="6" s="1"/>
  <c r="N1140" i="6"/>
  <c r="O1141" i="6"/>
  <c r="P1141" i="6" s="1"/>
  <c r="Q1141" i="6" l="1"/>
  <c r="R1140" i="6"/>
  <c r="M1140" i="6" s="1"/>
  <c r="S1140" i="6" s="1"/>
  <c r="N1141" i="6"/>
  <c r="O1142" i="6"/>
  <c r="P1142" i="6" s="1"/>
  <c r="Q1142" i="6" l="1"/>
  <c r="R1141" i="6"/>
  <c r="M1141" i="6" s="1"/>
  <c r="S1141" i="6" s="1"/>
  <c r="O1143" i="6"/>
  <c r="P1143" i="6" s="1"/>
  <c r="N1142" i="6"/>
  <c r="Q1143" i="6" l="1"/>
  <c r="R1142" i="6"/>
  <c r="M1142" i="6" s="1"/>
  <c r="S1142" i="6" s="1"/>
  <c r="O1144" i="6"/>
  <c r="P1144" i="6" s="1"/>
  <c r="N1143" i="6"/>
  <c r="Q1144" i="6" l="1"/>
  <c r="R1143" i="6"/>
  <c r="M1143" i="6" s="1"/>
  <c r="S1143" i="6" s="1"/>
  <c r="N1144" i="6"/>
  <c r="O1145" i="6"/>
  <c r="P1145" i="6" s="1"/>
  <c r="Q1145" i="6" l="1"/>
  <c r="R1144" i="6"/>
  <c r="M1144" i="6" s="1"/>
  <c r="S1144" i="6" s="1"/>
  <c r="N1145" i="6"/>
  <c r="O1146" i="6"/>
  <c r="P1146" i="6" s="1"/>
  <c r="Q1146" i="6" l="1"/>
  <c r="R1145" i="6"/>
  <c r="M1145" i="6" s="1"/>
  <c r="S1145" i="6" s="1"/>
  <c r="O1147" i="6"/>
  <c r="P1147" i="6" s="1"/>
  <c r="N1146" i="6"/>
  <c r="Q1147" i="6" l="1"/>
  <c r="R1146" i="6"/>
  <c r="M1146" i="6" s="1"/>
  <c r="S1146" i="6" s="1"/>
  <c r="O1148" i="6"/>
  <c r="P1148" i="6" s="1"/>
  <c r="N1147" i="6"/>
  <c r="Q1148" i="6" l="1"/>
  <c r="R1147" i="6"/>
  <c r="M1147" i="6" s="1"/>
  <c r="S1147" i="6" s="1"/>
  <c r="N1148" i="6"/>
  <c r="O1149" i="6"/>
  <c r="P1149" i="6" s="1"/>
  <c r="Q1149" i="6" l="1"/>
  <c r="R1148" i="6"/>
  <c r="M1148" i="6" s="1"/>
  <c r="S1148" i="6" s="1"/>
  <c r="N1149" i="6"/>
  <c r="O1150" i="6"/>
  <c r="P1150" i="6" s="1"/>
  <c r="Q1150" i="6" l="1"/>
  <c r="R1149" i="6"/>
  <c r="M1149" i="6" s="1"/>
  <c r="S1149" i="6" s="1"/>
  <c r="O1151" i="6"/>
  <c r="P1151" i="6" s="1"/>
  <c r="N1150" i="6"/>
  <c r="Q1151" i="6" l="1"/>
  <c r="R1150" i="6"/>
  <c r="M1150" i="6" s="1"/>
  <c r="S1150" i="6" s="1"/>
  <c r="O1152" i="6"/>
  <c r="P1152" i="6" s="1"/>
  <c r="N1151" i="6"/>
  <c r="Q1152" i="6" l="1"/>
  <c r="R1151" i="6"/>
  <c r="M1151" i="6" s="1"/>
  <c r="S1151" i="6" s="1"/>
  <c r="N1152" i="6"/>
  <c r="O1153" i="6"/>
  <c r="P1153" i="6" s="1"/>
  <c r="Q1153" i="6" l="1"/>
  <c r="R1152" i="6"/>
  <c r="M1152" i="6" s="1"/>
  <c r="S1152" i="6" s="1"/>
  <c r="O1154" i="6"/>
  <c r="P1154" i="6" s="1"/>
  <c r="N1153" i="6"/>
  <c r="Q1154" i="6" l="1"/>
  <c r="R1153" i="6"/>
  <c r="M1153" i="6" s="1"/>
  <c r="S1153" i="6" s="1"/>
  <c r="N1154" i="6"/>
  <c r="O1155" i="6"/>
  <c r="P1155" i="6" s="1"/>
  <c r="Q1155" i="6" l="1"/>
  <c r="R1154" i="6"/>
  <c r="M1154" i="6" s="1"/>
  <c r="S1154" i="6" s="1"/>
  <c r="N1155" i="6"/>
  <c r="O1156" i="6"/>
  <c r="P1156" i="6" s="1"/>
  <c r="Q1156" i="6" l="1"/>
  <c r="R1155" i="6"/>
  <c r="M1155" i="6" s="1"/>
  <c r="S1155" i="6" s="1"/>
  <c r="N1156" i="6"/>
  <c r="O1157" i="6"/>
  <c r="P1157" i="6" s="1"/>
  <c r="Q1157" i="6" l="1"/>
  <c r="R1156" i="6"/>
  <c r="M1156" i="6" s="1"/>
  <c r="S1156" i="6" s="1"/>
  <c r="O1158" i="6"/>
  <c r="P1158" i="6" s="1"/>
  <c r="N1157" i="6"/>
  <c r="Q1158" i="6" l="1"/>
  <c r="R1157" i="6"/>
  <c r="M1157" i="6" s="1"/>
  <c r="S1157" i="6" s="1"/>
  <c r="N1158" i="6"/>
  <c r="O1159" i="6"/>
  <c r="P1159" i="6" s="1"/>
  <c r="Q1159" i="6" l="1"/>
  <c r="R1158" i="6"/>
  <c r="M1158" i="6" s="1"/>
  <c r="S1158" i="6" s="1"/>
  <c r="O1160" i="6"/>
  <c r="P1160" i="6" s="1"/>
  <c r="N1159" i="6"/>
  <c r="Q1160" i="6" l="1"/>
  <c r="R1159" i="6"/>
  <c r="M1159" i="6" s="1"/>
  <c r="S1159" i="6" s="1"/>
  <c r="N1160" i="6"/>
  <c r="O1161" i="6"/>
  <c r="P1161" i="6" s="1"/>
  <c r="Q1161" i="6" l="1"/>
  <c r="R1160" i="6"/>
  <c r="M1160" i="6" s="1"/>
  <c r="S1160" i="6" s="1"/>
  <c r="N1161" i="6"/>
  <c r="O1162" i="6"/>
  <c r="P1162" i="6" s="1"/>
  <c r="Q1162" i="6" l="1"/>
  <c r="R1161" i="6"/>
  <c r="M1161" i="6" s="1"/>
  <c r="S1161" i="6" s="1"/>
  <c r="N1162" i="6"/>
  <c r="O1163" i="6"/>
  <c r="P1163" i="6" s="1"/>
  <c r="Q1163" i="6" l="1"/>
  <c r="R1162" i="6"/>
  <c r="M1162" i="6" s="1"/>
  <c r="S1162" i="6" s="1"/>
  <c r="N1163" i="6"/>
  <c r="O1164" i="6"/>
  <c r="P1164" i="6" s="1"/>
  <c r="Q1164" i="6" l="1"/>
  <c r="R1163" i="6"/>
  <c r="M1163" i="6" s="1"/>
  <c r="S1163" i="6" s="1"/>
  <c r="O1165" i="6"/>
  <c r="P1165" i="6" s="1"/>
  <c r="N1164" i="6"/>
  <c r="Q1165" i="6" l="1"/>
  <c r="R1164" i="6"/>
  <c r="M1164" i="6" s="1"/>
  <c r="S1164" i="6" s="1"/>
  <c r="N1165" i="6"/>
  <c r="O1166" i="6"/>
  <c r="P1166" i="6" s="1"/>
  <c r="Q1166" i="6" l="1"/>
  <c r="R1165" i="6"/>
  <c r="M1165" i="6" s="1"/>
  <c r="S1165" i="6" s="1"/>
  <c r="O1167" i="6"/>
  <c r="P1167" i="6" s="1"/>
  <c r="N1166" i="6"/>
  <c r="Q1167" i="6" l="1"/>
  <c r="R1166" i="6"/>
  <c r="M1166" i="6" s="1"/>
  <c r="S1166" i="6" s="1"/>
  <c r="O1168" i="6"/>
  <c r="P1168" i="6" s="1"/>
  <c r="N1167" i="6"/>
  <c r="Q1168" i="6" l="1"/>
  <c r="R1167" i="6"/>
  <c r="M1167" i="6" s="1"/>
  <c r="S1167" i="6" s="1"/>
  <c r="N1168" i="6"/>
  <c r="O1169" i="6"/>
  <c r="P1169" i="6" s="1"/>
  <c r="Q1169" i="6" l="1"/>
  <c r="R1168" i="6"/>
  <c r="M1168" i="6" s="1"/>
  <c r="S1168" i="6" s="1"/>
  <c r="O1170" i="6"/>
  <c r="P1170" i="6" s="1"/>
  <c r="N1169" i="6"/>
  <c r="Q1170" i="6" l="1"/>
  <c r="R1169" i="6"/>
  <c r="M1169" i="6" s="1"/>
  <c r="S1169" i="6" s="1"/>
  <c r="O1171" i="6"/>
  <c r="P1171" i="6" s="1"/>
  <c r="N1170" i="6"/>
  <c r="Q1171" i="6" l="1"/>
  <c r="R1170" i="6"/>
  <c r="M1170" i="6" s="1"/>
  <c r="S1170" i="6" s="1"/>
  <c r="O1172" i="6"/>
  <c r="P1172" i="6" s="1"/>
  <c r="N1171" i="6"/>
  <c r="I246" i="6"/>
  <c r="D246" i="6"/>
  <c r="H246" i="6" s="1"/>
  <c r="G246" i="6"/>
  <c r="E246" i="6"/>
  <c r="Q1172" i="6" l="1"/>
  <c r="AE246" i="6"/>
  <c r="AF246" i="6"/>
  <c r="R1171" i="6"/>
  <c r="M1171" i="6" s="1"/>
  <c r="S1171" i="6" s="1"/>
  <c r="O1173" i="6"/>
  <c r="P1173" i="6" s="1"/>
  <c r="N1172" i="6"/>
  <c r="D247" i="6"/>
  <c r="E247" i="6"/>
  <c r="G247" i="6"/>
  <c r="AF247" i="6" s="1"/>
  <c r="I247" i="6"/>
  <c r="F247" i="6"/>
  <c r="Q1173" i="6" l="1"/>
  <c r="R1172" i="6"/>
  <c r="M1172" i="6" s="1"/>
  <c r="S1172" i="6" s="1"/>
  <c r="O1174" i="6"/>
  <c r="P1174" i="6" s="1"/>
  <c r="N1173" i="6"/>
  <c r="AE247" i="6"/>
  <c r="H247" i="6"/>
  <c r="Q1174" i="6" l="1"/>
  <c r="O1175" i="6"/>
  <c r="P1175" i="6" s="1"/>
  <c r="R1173" i="6"/>
  <c r="M1173" i="6" s="1"/>
  <c r="S1173" i="6" s="1"/>
  <c r="N1174" i="6"/>
  <c r="F248" i="6"/>
  <c r="D248" i="6"/>
  <c r="G248" i="6"/>
  <c r="I248" i="6"/>
  <c r="E248" i="6"/>
  <c r="Q1175" i="6" l="1"/>
  <c r="O1176" i="6"/>
  <c r="P1176" i="6" s="1"/>
  <c r="N1175" i="6"/>
  <c r="AE248" i="6"/>
  <c r="AF248" i="6"/>
  <c r="R1174" i="6"/>
  <c r="M1174" i="6" s="1"/>
  <c r="H248" i="6"/>
  <c r="D249" i="6" s="1"/>
  <c r="R1175" i="6" l="1"/>
  <c r="M1175" i="6" s="1"/>
  <c r="S1175" i="6" s="1"/>
  <c r="Q1176" i="6"/>
  <c r="O1177" i="6"/>
  <c r="P1177" i="6" s="1"/>
  <c r="N1176" i="6"/>
  <c r="S1174" i="6"/>
  <c r="G249" i="6"/>
  <c r="I249" i="6"/>
  <c r="F249" i="6"/>
  <c r="E249" i="6"/>
  <c r="R1176" i="6" l="1"/>
  <c r="M1176" i="6" s="1"/>
  <c r="S1176" i="6" s="1"/>
  <c r="Q1177" i="6"/>
  <c r="N1177" i="6"/>
  <c r="O1178" i="6"/>
  <c r="P1178" i="6" s="1"/>
  <c r="AE249" i="6"/>
  <c r="AF249" i="6"/>
  <c r="H249" i="6"/>
  <c r="D250" i="6" s="1"/>
  <c r="G250" i="6"/>
  <c r="F250" i="6"/>
  <c r="I250" i="6"/>
  <c r="E250" i="6"/>
  <c r="R1177" i="6" l="1"/>
  <c r="M1177" i="6" s="1"/>
  <c r="S1177" i="6" s="1"/>
  <c r="Q1178" i="6"/>
  <c r="N1178" i="6"/>
  <c r="O1179" i="6"/>
  <c r="P1179" i="6" s="1"/>
  <c r="AE250" i="6"/>
  <c r="AF250" i="6"/>
  <c r="H250" i="6"/>
  <c r="R1178" i="6" l="1"/>
  <c r="M1178" i="6" s="1"/>
  <c r="S1178" i="6" s="1"/>
  <c r="Q1179" i="6"/>
  <c r="O1180" i="6"/>
  <c r="P1180" i="6" s="1"/>
  <c r="N1179" i="6"/>
  <c r="D251" i="6"/>
  <c r="E251" i="6"/>
  <c r="F251" i="6"/>
  <c r="I251" i="6"/>
  <c r="G251" i="6"/>
  <c r="R1179" i="6" l="1"/>
  <c r="M1179" i="6" s="1"/>
  <c r="S1179" i="6" s="1"/>
  <c r="Q1180" i="6"/>
  <c r="N1180" i="6"/>
  <c r="O1181" i="6"/>
  <c r="P1181" i="6" s="1"/>
  <c r="AE251" i="6"/>
  <c r="AF251" i="6"/>
  <c r="H251" i="6"/>
  <c r="D252" i="6" s="1"/>
  <c r="G252" i="6"/>
  <c r="R1180" i="6" l="1"/>
  <c r="M1180" i="6" s="1"/>
  <c r="S1180" i="6" s="1"/>
  <c r="Q1181" i="6"/>
  <c r="O1182" i="6"/>
  <c r="P1182" i="6" s="1"/>
  <c r="N1181" i="6"/>
  <c r="AE252" i="6"/>
  <c r="AF252" i="6"/>
  <c r="I252" i="6"/>
  <c r="F252" i="6"/>
  <c r="E252" i="6"/>
  <c r="H252" i="6"/>
  <c r="D253" i="6" s="1"/>
  <c r="F253" i="6"/>
  <c r="I253" i="6"/>
  <c r="R1181" i="6" l="1"/>
  <c r="M1181" i="6" s="1"/>
  <c r="S1181" i="6" s="1"/>
  <c r="Q1182" i="6"/>
  <c r="N1182" i="6"/>
  <c r="O1183" i="6"/>
  <c r="P1183" i="6" s="1"/>
  <c r="E253" i="6"/>
  <c r="G253" i="6"/>
  <c r="R1182" i="6" l="1"/>
  <c r="M1182" i="6" s="1"/>
  <c r="S1182" i="6" s="1"/>
  <c r="Q1183" i="6"/>
  <c r="N1183" i="6"/>
  <c r="O1184" i="6"/>
  <c r="P1184" i="6" s="1"/>
  <c r="AE253" i="6"/>
  <c r="AF253" i="6"/>
  <c r="H253" i="6"/>
  <c r="R1183" i="6" l="1"/>
  <c r="M1183" i="6" s="1"/>
  <c r="S1183" i="6" s="1"/>
  <c r="Q1184" i="6"/>
  <c r="N1184" i="6"/>
  <c r="O1185" i="6"/>
  <c r="P1185" i="6" s="1"/>
  <c r="E254" i="6"/>
  <c r="G254" i="6"/>
  <c r="I254" i="6"/>
  <c r="F254" i="6"/>
  <c r="D254" i="6"/>
  <c r="R1184" i="6" l="1"/>
  <c r="M1184" i="6" s="1"/>
  <c r="S1184" i="6" s="1"/>
  <c r="Q1185" i="6"/>
  <c r="N1185" i="6"/>
  <c r="O1186" i="6"/>
  <c r="P1186" i="6" s="1"/>
  <c r="AE254" i="6"/>
  <c r="AF254" i="6"/>
  <c r="H254" i="6"/>
  <c r="F255" i="6" s="1"/>
  <c r="I255" i="6"/>
  <c r="E255" i="6"/>
  <c r="G255" i="6"/>
  <c r="R1185" i="6" l="1"/>
  <c r="M1185" i="6" s="1"/>
  <c r="S1185" i="6" s="1"/>
  <c r="Q1186" i="6"/>
  <c r="N1186" i="6"/>
  <c r="O1187" i="6"/>
  <c r="P1187" i="6" s="1"/>
  <c r="AE255" i="6"/>
  <c r="AF255" i="6"/>
  <c r="D255" i="6"/>
  <c r="H255" i="6" s="1"/>
  <c r="R1186" i="6" l="1"/>
  <c r="M1186" i="6" s="1"/>
  <c r="S1186" i="6" s="1"/>
  <c r="Q1187" i="6"/>
  <c r="N1187" i="6"/>
  <c r="O1188" i="6"/>
  <c r="P1188" i="6" s="1"/>
  <c r="F256" i="6"/>
  <c r="G256" i="6"/>
  <c r="I256" i="6"/>
  <c r="E256" i="6"/>
  <c r="D256" i="6"/>
  <c r="R1187" i="6" l="1"/>
  <c r="M1187" i="6" s="1"/>
  <c r="S1187" i="6" s="1"/>
  <c r="Q1188" i="6"/>
  <c r="N1188" i="6"/>
  <c r="O1189" i="6"/>
  <c r="P1189" i="6" s="1"/>
  <c r="AE256" i="6"/>
  <c r="AF256" i="6"/>
  <c r="H256" i="6"/>
  <c r="R1188" i="6" l="1"/>
  <c r="M1188" i="6" s="1"/>
  <c r="S1188" i="6" s="1"/>
  <c r="Q1189" i="6"/>
  <c r="N1189" i="6"/>
  <c r="O1190" i="6"/>
  <c r="P1190" i="6" s="1"/>
  <c r="D257" i="6"/>
  <c r="I257" i="6"/>
  <c r="F257" i="6"/>
  <c r="E257" i="6"/>
  <c r="G257" i="6"/>
  <c r="R1189" i="6" l="1"/>
  <c r="M1189" i="6" s="1"/>
  <c r="S1189" i="6" s="1"/>
  <c r="Q1190" i="6"/>
  <c r="N1190" i="6"/>
  <c r="O1191" i="6"/>
  <c r="P1191" i="6" s="1"/>
  <c r="AE257" i="6"/>
  <c r="AF257" i="6"/>
  <c r="H257" i="6"/>
  <c r="R1190" i="6" l="1"/>
  <c r="M1190" i="6" s="1"/>
  <c r="S1190" i="6" s="1"/>
  <c r="Q1191" i="6"/>
  <c r="O1192" i="6"/>
  <c r="P1192" i="6" s="1"/>
  <c r="N1191" i="6"/>
  <c r="D258" i="6"/>
  <c r="E258" i="6"/>
  <c r="G258" i="6"/>
  <c r="I258" i="6"/>
  <c r="F258" i="6"/>
  <c r="R1191" i="6" l="1"/>
  <c r="M1191" i="6" s="1"/>
  <c r="S1191" i="6" s="1"/>
  <c r="Q1192" i="6"/>
  <c r="N1192" i="6"/>
  <c r="O1193" i="6"/>
  <c r="P1193" i="6" s="1"/>
  <c r="AE258" i="6"/>
  <c r="AF258" i="6"/>
  <c r="H258" i="6"/>
  <c r="R1192" i="6" l="1"/>
  <c r="M1192" i="6" s="1"/>
  <c r="S1192" i="6" s="1"/>
  <c r="Q1193" i="6"/>
  <c r="N1193" i="6"/>
  <c r="O1194" i="6"/>
  <c r="P1194" i="6" s="1"/>
  <c r="D259" i="6"/>
  <c r="E259" i="6"/>
  <c r="F259" i="6"/>
  <c r="G259" i="6"/>
  <c r="I259" i="6"/>
  <c r="R1193" i="6" l="1"/>
  <c r="M1193" i="6" s="1"/>
  <c r="S1193" i="6" s="1"/>
  <c r="Q1194" i="6"/>
  <c r="N1194" i="6"/>
  <c r="O1195" i="6"/>
  <c r="P1195" i="6" s="1"/>
  <c r="AE259" i="6"/>
  <c r="AF259" i="6"/>
  <c r="H259" i="6"/>
  <c r="I260" i="6" s="1"/>
  <c r="R1194" i="6" l="1"/>
  <c r="M1194" i="6" s="1"/>
  <c r="S1194" i="6" s="1"/>
  <c r="Q1195" i="6"/>
  <c r="N1195" i="6"/>
  <c r="O1196" i="6"/>
  <c r="P1196" i="6" s="1"/>
  <c r="E260" i="6"/>
  <c r="G260" i="6"/>
  <c r="D260" i="6"/>
  <c r="F260" i="6"/>
  <c r="R1195" i="6" l="1"/>
  <c r="M1195" i="6" s="1"/>
  <c r="S1195" i="6" s="1"/>
  <c r="Q1196" i="6"/>
  <c r="N1196" i="6"/>
  <c r="O1197" i="6"/>
  <c r="P1197" i="6" s="1"/>
  <c r="AE260" i="6"/>
  <c r="AF260" i="6"/>
  <c r="H260" i="6"/>
  <c r="R1196" i="6" l="1"/>
  <c r="M1196" i="6" s="1"/>
  <c r="S1196" i="6" s="1"/>
  <c r="Q1197" i="6"/>
  <c r="N1197" i="6"/>
  <c r="O1198" i="6"/>
  <c r="P1198" i="6" s="1"/>
  <c r="F261" i="6"/>
  <c r="D261" i="6"/>
  <c r="G261" i="6"/>
  <c r="I261" i="6"/>
  <c r="E261" i="6"/>
  <c r="R1197" i="6" l="1"/>
  <c r="M1197" i="6" s="1"/>
  <c r="S1197" i="6" s="1"/>
  <c r="Q1198" i="6"/>
  <c r="N1198" i="6"/>
  <c r="O1199" i="6"/>
  <c r="P1199" i="6" s="1"/>
  <c r="AE261" i="6"/>
  <c r="AF261" i="6"/>
  <c r="H261" i="6"/>
  <c r="G262" i="6" s="1"/>
  <c r="F262" i="6"/>
  <c r="I262" i="6"/>
  <c r="E262" i="6"/>
  <c r="D262" i="6"/>
  <c r="R1198" i="6" l="1"/>
  <c r="M1198" i="6" s="1"/>
  <c r="S1198" i="6" s="1"/>
  <c r="Q1199" i="6"/>
  <c r="N1199" i="6"/>
  <c r="O1200" i="6"/>
  <c r="P1200" i="6" s="1"/>
  <c r="AE262" i="6"/>
  <c r="AF262" i="6"/>
  <c r="H262" i="6"/>
  <c r="I263" i="6" s="1"/>
  <c r="G263" i="6"/>
  <c r="F263" i="6"/>
  <c r="D263" i="6"/>
  <c r="H263" i="6" s="1"/>
  <c r="E263" i="6"/>
  <c r="R1199" i="6" l="1"/>
  <c r="M1199" i="6" s="1"/>
  <c r="S1199" i="6" s="1"/>
  <c r="Q1200" i="6"/>
  <c r="N1200" i="6"/>
  <c r="O1201" i="6"/>
  <c r="P1201" i="6" s="1"/>
  <c r="AE263" i="6"/>
  <c r="AF263" i="6"/>
  <c r="I264" i="6"/>
  <c r="F264" i="6"/>
  <c r="G264" i="6"/>
  <c r="D264" i="6"/>
  <c r="H264" i="6" s="1"/>
  <c r="E264" i="6"/>
  <c r="R1200" i="6" l="1"/>
  <c r="M1200" i="6" s="1"/>
  <c r="S1200" i="6" s="1"/>
  <c r="Q1201" i="6"/>
  <c r="O1202" i="6"/>
  <c r="P1202" i="6" s="1"/>
  <c r="N1201" i="6"/>
  <c r="AE264" i="6"/>
  <c r="AF264" i="6"/>
  <c r="I265" i="6"/>
  <c r="G265" i="6"/>
  <c r="F265" i="6"/>
  <c r="D265" i="6"/>
  <c r="E265" i="6"/>
  <c r="R1201" i="6" l="1"/>
  <c r="M1201" i="6" s="1"/>
  <c r="S1201" i="6" s="1"/>
  <c r="Q1202" i="6"/>
  <c r="O1203" i="6"/>
  <c r="P1203" i="6" s="1"/>
  <c r="N1202" i="6"/>
  <c r="AE265" i="6"/>
  <c r="AF265" i="6"/>
  <c r="H265" i="6"/>
  <c r="R1202" i="6" l="1"/>
  <c r="M1202" i="6" s="1"/>
  <c r="S1202" i="6" s="1"/>
  <c r="Q1203" i="6"/>
  <c r="O1204" i="6"/>
  <c r="P1204" i="6" s="1"/>
  <c r="N1203" i="6"/>
  <c r="D266" i="6"/>
  <c r="E266" i="6"/>
  <c r="G266" i="6"/>
  <c r="I266" i="6"/>
  <c r="F266" i="6"/>
  <c r="R1203" i="6" l="1"/>
  <c r="M1203" i="6" s="1"/>
  <c r="S1203" i="6" s="1"/>
  <c r="Q1204" i="6"/>
  <c r="N1204" i="6"/>
  <c r="O1205" i="6"/>
  <c r="P1205" i="6" s="1"/>
  <c r="AE266" i="6"/>
  <c r="AF266" i="6"/>
  <c r="H266" i="6"/>
  <c r="E267" i="6" s="1"/>
  <c r="G267" i="6"/>
  <c r="F267" i="6"/>
  <c r="D267" i="6"/>
  <c r="H267" i="6" s="1"/>
  <c r="I267" i="6"/>
  <c r="R1204" i="6" l="1"/>
  <c r="M1204" i="6" s="1"/>
  <c r="S1204" i="6" s="1"/>
  <c r="Q1205" i="6"/>
  <c r="N1205" i="6"/>
  <c r="O1206" i="6"/>
  <c r="P1206" i="6" s="1"/>
  <c r="AE267" i="6"/>
  <c r="AF267" i="6"/>
  <c r="G268" i="6"/>
  <c r="D268" i="6"/>
  <c r="H268" i="6" s="1"/>
  <c r="I268" i="6"/>
  <c r="F268" i="6"/>
  <c r="E268" i="6"/>
  <c r="R1205" i="6" l="1"/>
  <c r="M1205" i="6" s="1"/>
  <c r="S1205" i="6" s="1"/>
  <c r="Q1206" i="6"/>
  <c r="N1206" i="6"/>
  <c r="O1207" i="6"/>
  <c r="P1207" i="6" s="1"/>
  <c r="AE268" i="6"/>
  <c r="AF268" i="6"/>
  <c r="G269" i="6"/>
  <c r="F269" i="6"/>
  <c r="E269" i="6"/>
  <c r="I269" i="6"/>
  <c r="D269" i="6"/>
  <c r="H269" i="6" s="1"/>
  <c r="R1206" i="6" l="1"/>
  <c r="M1206" i="6" s="1"/>
  <c r="S1206" i="6" s="1"/>
  <c r="Q1207" i="6"/>
  <c r="N1207" i="6"/>
  <c r="O1208" i="6"/>
  <c r="P1208" i="6" s="1"/>
  <c r="AE269" i="6"/>
  <c r="AF269" i="6"/>
  <c r="I270" i="6"/>
  <c r="D270" i="6"/>
  <c r="G270" i="6"/>
  <c r="E270" i="6"/>
  <c r="F270" i="6"/>
  <c r="R1207" i="6" l="1"/>
  <c r="M1207" i="6" s="1"/>
  <c r="S1207" i="6" s="1"/>
  <c r="Q1208" i="6"/>
  <c r="N1208" i="6"/>
  <c r="O1209" i="6"/>
  <c r="P1209" i="6" s="1"/>
  <c r="AE270" i="6"/>
  <c r="AF270" i="6"/>
  <c r="H270" i="6"/>
  <c r="R1208" i="6" l="1"/>
  <c r="M1208" i="6" s="1"/>
  <c r="S1208" i="6" s="1"/>
  <c r="Q1209" i="6"/>
  <c r="N1209" i="6"/>
  <c r="O1210" i="6"/>
  <c r="P1210" i="6" s="1"/>
  <c r="I271" i="6"/>
  <c r="F271" i="6"/>
  <c r="D271" i="6"/>
  <c r="E271" i="6"/>
  <c r="G271" i="6"/>
  <c r="R1209" i="6" l="1"/>
  <c r="M1209" i="6" s="1"/>
  <c r="S1209" i="6" s="1"/>
  <c r="Q1210" i="6"/>
  <c r="O1211" i="6"/>
  <c r="P1211" i="6" s="1"/>
  <c r="N1210" i="6"/>
  <c r="AE271" i="6"/>
  <c r="AF271" i="6"/>
  <c r="H271" i="6"/>
  <c r="F272" i="6" s="1"/>
  <c r="G272" i="6"/>
  <c r="D272" i="6"/>
  <c r="I272" i="6"/>
  <c r="E272" i="6"/>
  <c r="R1210" i="6" l="1"/>
  <c r="M1210" i="6" s="1"/>
  <c r="S1210" i="6" s="1"/>
  <c r="Q1211" i="6"/>
  <c r="N1211" i="6"/>
  <c r="O1212" i="6"/>
  <c r="P1212" i="6" s="1"/>
  <c r="AE272" i="6"/>
  <c r="AF272" i="6"/>
  <c r="H272" i="6"/>
  <c r="F273" i="6" s="1"/>
  <c r="E273" i="6"/>
  <c r="I273" i="6"/>
  <c r="G273" i="6"/>
  <c r="D273" i="6"/>
  <c r="R1211" i="6" l="1"/>
  <c r="M1211" i="6" s="1"/>
  <c r="S1211" i="6" s="1"/>
  <c r="Q1212" i="6"/>
  <c r="N1212" i="6"/>
  <c r="O1213" i="6"/>
  <c r="P1213" i="6" s="1"/>
  <c r="AE273" i="6"/>
  <c r="AF273" i="6"/>
  <c r="H273" i="6"/>
  <c r="R1212" i="6" l="1"/>
  <c r="M1212" i="6" s="1"/>
  <c r="S1212" i="6" s="1"/>
  <c r="Q1213" i="6"/>
  <c r="O1214" i="6"/>
  <c r="P1214" i="6" s="1"/>
  <c r="N1213" i="6"/>
  <c r="I274" i="6"/>
  <c r="F274" i="6"/>
  <c r="D274" i="6"/>
  <c r="E274" i="6"/>
  <c r="G274" i="6"/>
  <c r="R1213" i="6" l="1"/>
  <c r="M1213" i="6" s="1"/>
  <c r="S1213" i="6" s="1"/>
  <c r="Q1214" i="6"/>
  <c r="N1214" i="6"/>
  <c r="O1215" i="6"/>
  <c r="P1215" i="6" s="1"/>
  <c r="AE274" i="6"/>
  <c r="AF274" i="6"/>
  <c r="H274" i="6"/>
  <c r="I275" i="6" s="1"/>
  <c r="F275" i="6"/>
  <c r="D275" i="6"/>
  <c r="G275" i="6"/>
  <c r="E275" i="6"/>
  <c r="R1214" i="6" l="1"/>
  <c r="M1214" i="6" s="1"/>
  <c r="S1214" i="6" s="1"/>
  <c r="Q1215" i="6"/>
  <c r="O1216" i="6"/>
  <c r="P1216" i="6" s="1"/>
  <c r="N1215" i="6"/>
  <c r="AE275" i="6"/>
  <c r="AF275" i="6"/>
  <c r="H275" i="6"/>
  <c r="R1215" i="6" l="1"/>
  <c r="M1215" i="6" s="1"/>
  <c r="S1215" i="6" s="1"/>
  <c r="Q1216" i="6"/>
  <c r="N1216" i="6"/>
  <c r="O1217" i="6"/>
  <c r="P1217" i="6" s="1"/>
  <c r="I276" i="6"/>
  <c r="D276" i="6"/>
  <c r="E276" i="6"/>
  <c r="F276" i="6"/>
  <c r="G276" i="6"/>
  <c r="R1216" i="6" l="1"/>
  <c r="M1216" i="6" s="1"/>
  <c r="S1216" i="6" s="1"/>
  <c r="Q1217" i="6"/>
  <c r="N1217" i="6"/>
  <c r="O1218" i="6"/>
  <c r="P1218" i="6" s="1"/>
  <c r="AE276" i="6"/>
  <c r="AF276" i="6"/>
  <c r="H276" i="6"/>
  <c r="D277" i="6" s="1"/>
  <c r="G277" i="6"/>
  <c r="E277" i="6"/>
  <c r="R1217" i="6" l="1"/>
  <c r="M1217" i="6" s="1"/>
  <c r="S1217" i="6" s="1"/>
  <c r="Q1218" i="6"/>
  <c r="N1218" i="6"/>
  <c r="O1219" i="6"/>
  <c r="P1219" i="6" s="1"/>
  <c r="AE277" i="6"/>
  <c r="AF277" i="6"/>
  <c r="F277" i="6"/>
  <c r="I277" i="6"/>
  <c r="H277" i="6"/>
  <c r="R1218" i="6" l="1"/>
  <c r="M1218" i="6" s="1"/>
  <c r="S1218" i="6" s="1"/>
  <c r="Q1219" i="6"/>
  <c r="O1220" i="6"/>
  <c r="P1220" i="6" s="1"/>
  <c r="N1219" i="6"/>
  <c r="G278" i="6"/>
  <c r="F278" i="6"/>
  <c r="D278" i="6"/>
  <c r="H278" i="6" s="1"/>
  <c r="I279" i="6" s="1"/>
  <c r="I278" i="6"/>
  <c r="E278" i="6"/>
  <c r="R1219" i="6" l="1"/>
  <c r="M1219" i="6" s="1"/>
  <c r="S1219" i="6" s="1"/>
  <c r="Q1220" i="6"/>
  <c r="N1220" i="6"/>
  <c r="O1221" i="6"/>
  <c r="P1221" i="6" s="1"/>
  <c r="AE278" i="6"/>
  <c r="AF278" i="6"/>
  <c r="F279" i="6"/>
  <c r="E279" i="6"/>
  <c r="G279" i="6"/>
  <c r="D279" i="6"/>
  <c r="R1220" i="6" l="1"/>
  <c r="M1220" i="6" s="1"/>
  <c r="S1220" i="6" s="1"/>
  <c r="Q1221" i="6"/>
  <c r="O1222" i="6"/>
  <c r="P1222" i="6" s="1"/>
  <c r="N1221" i="6"/>
  <c r="AE279" i="6"/>
  <c r="AF279" i="6"/>
  <c r="H279" i="6"/>
  <c r="G280" i="6" s="1"/>
  <c r="E280" i="6"/>
  <c r="I280" i="6"/>
  <c r="F280" i="6"/>
  <c r="R1221" i="6" l="1"/>
  <c r="M1221" i="6" s="1"/>
  <c r="S1221" i="6" s="1"/>
  <c r="Q1222" i="6"/>
  <c r="O1223" i="6"/>
  <c r="P1223" i="6" s="1"/>
  <c r="N1222" i="6"/>
  <c r="AE280" i="6"/>
  <c r="AF280" i="6"/>
  <c r="D280" i="6"/>
  <c r="H280" i="6" s="1"/>
  <c r="E281" i="6" s="1"/>
  <c r="R1222" i="6" l="1"/>
  <c r="M1222" i="6" s="1"/>
  <c r="S1222" i="6" s="1"/>
  <c r="Q1223" i="6"/>
  <c r="N1223" i="6"/>
  <c r="O1224" i="6"/>
  <c r="P1224" i="6" s="1"/>
  <c r="I281" i="6"/>
  <c r="F281" i="6"/>
  <c r="G281" i="6"/>
  <c r="D281" i="6"/>
  <c r="H281" i="6" s="1"/>
  <c r="E282" i="6" s="1"/>
  <c r="R1223" i="6" l="1"/>
  <c r="M1223" i="6" s="1"/>
  <c r="S1223" i="6" s="1"/>
  <c r="Q1224" i="6"/>
  <c r="N1224" i="6"/>
  <c r="O1225" i="6"/>
  <c r="P1225" i="6" s="1"/>
  <c r="AE281" i="6"/>
  <c r="AF281" i="6"/>
  <c r="G282" i="6"/>
  <c r="I282" i="6"/>
  <c r="F282" i="6"/>
  <c r="D282" i="6"/>
  <c r="H282" i="6" s="1"/>
  <c r="R1224" i="6" l="1"/>
  <c r="M1224" i="6" s="1"/>
  <c r="S1224" i="6" s="1"/>
  <c r="Q1225" i="6"/>
  <c r="O1226" i="6"/>
  <c r="P1226" i="6" s="1"/>
  <c r="N1225" i="6"/>
  <c r="AE282" i="6"/>
  <c r="AF282" i="6"/>
  <c r="D283" i="6"/>
  <c r="H283" i="6" s="1"/>
  <c r="E283" i="6"/>
  <c r="F283" i="6"/>
  <c r="I283" i="6"/>
  <c r="G283" i="6"/>
  <c r="R1225" i="6" l="1"/>
  <c r="M1225" i="6" s="1"/>
  <c r="S1225" i="6" s="1"/>
  <c r="Q1226" i="6"/>
  <c r="N1226" i="6"/>
  <c r="O1227" i="6"/>
  <c r="P1227" i="6" s="1"/>
  <c r="AE283" i="6"/>
  <c r="AF283" i="6"/>
  <c r="G284" i="6"/>
  <c r="D284" i="6"/>
  <c r="F284" i="6"/>
  <c r="I284" i="6"/>
  <c r="E284" i="6"/>
  <c r="R1226" i="6" l="1"/>
  <c r="M1226" i="6" s="1"/>
  <c r="S1226" i="6" s="1"/>
  <c r="Q1227" i="6"/>
  <c r="N1227" i="6"/>
  <c r="O1228" i="6"/>
  <c r="P1228" i="6" s="1"/>
  <c r="AE284" i="6"/>
  <c r="AF284" i="6"/>
  <c r="H284" i="6"/>
  <c r="R1227" i="6" l="1"/>
  <c r="M1227" i="6" s="1"/>
  <c r="S1227" i="6" s="1"/>
  <c r="Q1228" i="6"/>
  <c r="N1228" i="6"/>
  <c r="O1229" i="6"/>
  <c r="P1229" i="6" s="1"/>
  <c r="I285" i="6"/>
  <c r="D285" i="6"/>
  <c r="E285" i="6"/>
  <c r="F285" i="6"/>
  <c r="G285" i="6"/>
  <c r="R1228" i="6" l="1"/>
  <c r="M1228" i="6" s="1"/>
  <c r="S1228" i="6" s="1"/>
  <c r="Q1229" i="6"/>
  <c r="O1230" i="6"/>
  <c r="P1230" i="6" s="1"/>
  <c r="N1229" i="6"/>
  <c r="AE285" i="6"/>
  <c r="AF285" i="6"/>
  <c r="H285" i="6"/>
  <c r="R1229" i="6" l="1"/>
  <c r="M1229" i="6" s="1"/>
  <c r="S1229" i="6" s="1"/>
  <c r="Q1230" i="6"/>
  <c r="N1230" i="6"/>
  <c r="O1231" i="6"/>
  <c r="P1231" i="6" s="1"/>
  <c r="F286" i="6"/>
  <c r="D286" i="6"/>
  <c r="I286" i="6"/>
  <c r="G286" i="6"/>
  <c r="E286" i="6"/>
  <c r="R1230" i="6" l="1"/>
  <c r="M1230" i="6" s="1"/>
  <c r="S1230" i="6" s="1"/>
  <c r="Q1231" i="6"/>
  <c r="N1231" i="6"/>
  <c r="O1232" i="6"/>
  <c r="P1232" i="6" s="1"/>
  <c r="AE286" i="6"/>
  <c r="AF286" i="6"/>
  <c r="H286" i="6"/>
  <c r="I287" i="6"/>
  <c r="D287" i="6"/>
  <c r="F287" i="6"/>
  <c r="E287" i="6"/>
  <c r="G287" i="6"/>
  <c r="R1231" i="6" l="1"/>
  <c r="M1231" i="6" s="1"/>
  <c r="S1231" i="6" s="1"/>
  <c r="Q1232" i="6"/>
  <c r="N1232" i="6"/>
  <c r="O1233" i="6"/>
  <c r="P1233" i="6" s="1"/>
  <c r="AE287" i="6"/>
  <c r="AF287" i="6"/>
  <c r="H287" i="6"/>
  <c r="R1232" i="6" l="1"/>
  <c r="M1232" i="6" s="1"/>
  <c r="S1232" i="6" s="1"/>
  <c r="Q1233" i="6"/>
  <c r="N1233" i="6"/>
  <c r="O1234" i="6"/>
  <c r="P1234" i="6" s="1"/>
  <c r="D288" i="6"/>
  <c r="E288" i="6"/>
  <c r="F288" i="6"/>
  <c r="I288" i="6"/>
  <c r="G288" i="6"/>
  <c r="R1233" i="6" l="1"/>
  <c r="M1233" i="6" s="1"/>
  <c r="S1233" i="6" s="1"/>
  <c r="Q1234" i="6"/>
  <c r="N1234" i="6"/>
  <c r="O1235" i="6"/>
  <c r="P1235" i="6" s="1"/>
  <c r="AE288" i="6"/>
  <c r="AF288" i="6"/>
  <c r="H288" i="6"/>
  <c r="D289" i="6" s="1"/>
  <c r="E289" i="6"/>
  <c r="I289" i="6"/>
  <c r="F289" i="6"/>
  <c r="G289" i="6"/>
  <c r="R1234" i="6" l="1"/>
  <c r="M1234" i="6" s="1"/>
  <c r="S1234" i="6" s="1"/>
  <c r="Q1235" i="6"/>
  <c r="O1236" i="6"/>
  <c r="P1236" i="6" s="1"/>
  <c r="N1235" i="6"/>
  <c r="AE289" i="6"/>
  <c r="AF289" i="6"/>
  <c r="H289" i="6"/>
  <c r="D290" i="6" s="1"/>
  <c r="F290" i="6"/>
  <c r="G290" i="6"/>
  <c r="I290" i="6"/>
  <c r="E290" i="6"/>
  <c r="R1235" i="6" l="1"/>
  <c r="M1235" i="6" s="1"/>
  <c r="S1235" i="6" s="1"/>
  <c r="Q1236" i="6"/>
  <c r="N1236" i="6"/>
  <c r="O1237" i="6"/>
  <c r="P1237" i="6" s="1"/>
  <c r="AE290" i="6"/>
  <c r="AF290" i="6"/>
  <c r="H290" i="6"/>
  <c r="R1236" i="6" l="1"/>
  <c r="M1236" i="6" s="1"/>
  <c r="S1236" i="6" s="1"/>
  <c r="Q1237" i="6"/>
  <c r="N1237" i="6"/>
  <c r="O1238" i="6"/>
  <c r="P1238" i="6" s="1"/>
  <c r="D291" i="6"/>
  <c r="F291" i="6"/>
  <c r="G291" i="6"/>
  <c r="I291" i="6"/>
  <c r="E291" i="6"/>
  <c r="R1237" i="6" l="1"/>
  <c r="M1237" i="6" s="1"/>
  <c r="S1237" i="6" s="1"/>
  <c r="Q1238" i="6"/>
  <c r="O1239" i="6"/>
  <c r="P1239" i="6" s="1"/>
  <c r="N1238" i="6"/>
  <c r="AE291" i="6"/>
  <c r="AF291" i="6"/>
  <c r="H291" i="6"/>
  <c r="R1238" i="6" l="1"/>
  <c r="M1238" i="6" s="1"/>
  <c r="S1238" i="6" s="1"/>
  <c r="Q1239" i="6"/>
  <c r="O1240" i="6"/>
  <c r="P1240" i="6" s="1"/>
  <c r="N1239" i="6"/>
  <c r="D292" i="6"/>
  <c r="G292" i="6"/>
  <c r="F292" i="6"/>
  <c r="I292" i="6"/>
  <c r="E292" i="6"/>
  <c r="R1239" i="6" l="1"/>
  <c r="M1239" i="6" s="1"/>
  <c r="S1239" i="6" s="1"/>
  <c r="Q1240" i="6"/>
  <c r="N1240" i="6"/>
  <c r="O1241" i="6"/>
  <c r="P1241" i="6" s="1"/>
  <c r="AE292" i="6"/>
  <c r="AF292" i="6"/>
  <c r="H292" i="6"/>
  <c r="R1240" i="6" l="1"/>
  <c r="M1240" i="6" s="1"/>
  <c r="S1240" i="6" s="1"/>
  <c r="Q1241" i="6"/>
  <c r="O1242" i="6"/>
  <c r="P1242" i="6" s="1"/>
  <c r="N1241" i="6"/>
  <c r="D293" i="6"/>
  <c r="E293" i="6"/>
  <c r="G293" i="6"/>
  <c r="I293" i="6"/>
  <c r="F293" i="6"/>
  <c r="R1241" i="6" l="1"/>
  <c r="M1241" i="6" s="1"/>
  <c r="S1241" i="6" s="1"/>
  <c r="Q1242" i="6"/>
  <c r="N1242" i="6"/>
  <c r="O1243" i="6"/>
  <c r="P1243" i="6" s="1"/>
  <c r="AE293" i="6"/>
  <c r="AF293" i="6"/>
  <c r="H293" i="6"/>
  <c r="R1242" i="6" l="1"/>
  <c r="M1242" i="6" s="1"/>
  <c r="S1242" i="6" s="1"/>
  <c r="Q1243" i="6"/>
  <c r="N1243" i="6"/>
  <c r="O1244" i="6"/>
  <c r="P1244" i="6" s="1"/>
  <c r="D294" i="6"/>
  <c r="E294" i="6"/>
  <c r="F294" i="6"/>
  <c r="I294" i="6"/>
  <c r="G294" i="6"/>
  <c r="R1243" i="6" l="1"/>
  <c r="M1243" i="6" s="1"/>
  <c r="S1243" i="6" s="1"/>
  <c r="Q1244" i="6"/>
  <c r="N1244" i="6"/>
  <c r="O1245" i="6"/>
  <c r="P1245" i="6" s="1"/>
  <c r="AE294" i="6"/>
  <c r="AF294" i="6"/>
  <c r="H294" i="6"/>
  <c r="R1244" i="6" l="1"/>
  <c r="M1244" i="6" s="1"/>
  <c r="S1244" i="6" s="1"/>
  <c r="Q1245" i="6"/>
  <c r="O1246" i="6"/>
  <c r="P1246" i="6" s="1"/>
  <c r="N1245" i="6"/>
  <c r="D295" i="6"/>
  <c r="G295" i="6"/>
  <c r="F295" i="6"/>
  <c r="I295" i="6"/>
  <c r="E295" i="6"/>
  <c r="R1245" i="6" l="1"/>
  <c r="M1245" i="6" s="1"/>
  <c r="S1245" i="6" s="1"/>
  <c r="Q1246" i="6"/>
  <c r="N1246" i="6"/>
  <c r="O1247" i="6"/>
  <c r="P1247" i="6" s="1"/>
  <c r="AE295" i="6"/>
  <c r="AF295" i="6"/>
  <c r="H295" i="6"/>
  <c r="R1246" i="6" l="1"/>
  <c r="M1246" i="6" s="1"/>
  <c r="S1246" i="6" s="1"/>
  <c r="Q1247" i="6"/>
  <c r="O1248" i="6"/>
  <c r="P1248" i="6" s="1"/>
  <c r="N1247" i="6"/>
  <c r="I296" i="6"/>
  <c r="F296" i="6"/>
  <c r="G296" i="6"/>
  <c r="D296" i="6"/>
  <c r="E296" i="6"/>
  <c r="R1247" i="6" l="1"/>
  <c r="M1247" i="6" s="1"/>
  <c r="S1247" i="6" s="1"/>
  <c r="Q1248" i="6"/>
  <c r="N1248" i="6"/>
  <c r="O1249" i="6"/>
  <c r="P1249" i="6" s="1"/>
  <c r="AE296" i="6"/>
  <c r="AF296" i="6"/>
  <c r="H296" i="6"/>
  <c r="D297" i="6" s="1"/>
  <c r="F297" i="6"/>
  <c r="I297" i="6"/>
  <c r="G297" i="6"/>
  <c r="R1248" i="6" l="1"/>
  <c r="M1248" i="6" s="1"/>
  <c r="S1248" i="6" s="1"/>
  <c r="Q1249" i="6"/>
  <c r="N1249" i="6"/>
  <c r="O1250" i="6"/>
  <c r="P1250" i="6" s="1"/>
  <c r="AE297" i="6"/>
  <c r="AF297" i="6"/>
  <c r="E297" i="6"/>
  <c r="H297" i="6"/>
  <c r="R1249" i="6" l="1"/>
  <c r="M1249" i="6" s="1"/>
  <c r="S1249" i="6" s="1"/>
  <c r="Q1250" i="6"/>
  <c r="O1251" i="6"/>
  <c r="P1251" i="6" s="1"/>
  <c r="N1250" i="6"/>
  <c r="D298" i="6"/>
  <c r="F298" i="6"/>
  <c r="G298" i="6"/>
  <c r="I298" i="6"/>
  <c r="E298" i="6"/>
  <c r="R1250" i="6" l="1"/>
  <c r="M1250" i="6" s="1"/>
  <c r="S1250" i="6" s="1"/>
  <c r="Q1251" i="6"/>
  <c r="O1252" i="6"/>
  <c r="P1252" i="6" s="1"/>
  <c r="N1251" i="6"/>
  <c r="AE298" i="6"/>
  <c r="AF298" i="6"/>
  <c r="H298" i="6"/>
  <c r="D299" i="6" s="1"/>
  <c r="G299" i="6"/>
  <c r="F299" i="6"/>
  <c r="I299" i="6"/>
  <c r="E299" i="6"/>
  <c r="R1251" i="6" l="1"/>
  <c r="M1251" i="6" s="1"/>
  <c r="S1251" i="6" s="1"/>
  <c r="Q1252" i="6"/>
  <c r="N1252" i="6"/>
  <c r="O1253" i="6"/>
  <c r="P1253" i="6" s="1"/>
  <c r="AE299" i="6"/>
  <c r="AF299" i="6"/>
  <c r="H299" i="6"/>
  <c r="R1252" i="6" l="1"/>
  <c r="M1252" i="6" s="1"/>
  <c r="S1252" i="6" s="1"/>
  <c r="Q1253" i="6"/>
  <c r="O1254" i="6"/>
  <c r="P1254" i="6" s="1"/>
  <c r="N1253" i="6"/>
  <c r="I300" i="6"/>
  <c r="G300" i="6"/>
  <c r="F300" i="6"/>
  <c r="D300" i="6"/>
  <c r="E300" i="6"/>
  <c r="R1253" i="6" l="1"/>
  <c r="M1253" i="6" s="1"/>
  <c r="S1253" i="6" s="1"/>
  <c r="Q1254" i="6"/>
  <c r="O1255" i="6"/>
  <c r="P1255" i="6" s="1"/>
  <c r="N1254" i="6"/>
  <c r="AE300" i="6"/>
  <c r="AF300" i="6"/>
  <c r="H300" i="6"/>
  <c r="I301" i="6" s="1"/>
  <c r="R1254" i="6" l="1"/>
  <c r="M1254" i="6" s="1"/>
  <c r="S1254" i="6" s="1"/>
  <c r="Q1255" i="6"/>
  <c r="O1256" i="6"/>
  <c r="P1256" i="6" s="1"/>
  <c r="N1255" i="6"/>
  <c r="E301" i="6"/>
  <c r="D301" i="6"/>
  <c r="F301" i="6"/>
  <c r="G301" i="6"/>
  <c r="R1255" i="6" l="1"/>
  <c r="M1255" i="6" s="1"/>
  <c r="S1255" i="6" s="1"/>
  <c r="Q1256" i="6"/>
  <c r="N1256" i="6"/>
  <c r="O1257" i="6"/>
  <c r="P1257" i="6" s="1"/>
  <c r="AE301" i="6"/>
  <c r="AF301" i="6"/>
  <c r="H301" i="6"/>
  <c r="F302" i="6" s="1"/>
  <c r="R1256" i="6" l="1"/>
  <c r="M1256" i="6" s="1"/>
  <c r="S1256" i="6" s="1"/>
  <c r="Q1257" i="6"/>
  <c r="O1258" i="6"/>
  <c r="P1258" i="6" s="1"/>
  <c r="N1257" i="6"/>
  <c r="I302" i="6"/>
  <c r="E302" i="6"/>
  <c r="D302" i="6"/>
  <c r="G302" i="6"/>
  <c r="R1257" i="6" l="1"/>
  <c r="M1257" i="6" s="1"/>
  <c r="S1257" i="6" s="1"/>
  <c r="Q1258" i="6"/>
  <c r="O1259" i="6"/>
  <c r="P1259" i="6" s="1"/>
  <c r="N1258" i="6"/>
  <c r="AE302" i="6"/>
  <c r="AF302" i="6"/>
  <c r="H302" i="6"/>
  <c r="R1258" i="6" l="1"/>
  <c r="M1258" i="6" s="1"/>
  <c r="S1258" i="6" s="1"/>
  <c r="Q1259" i="6"/>
  <c r="O1260" i="6"/>
  <c r="P1260" i="6" s="1"/>
  <c r="N1259" i="6"/>
  <c r="E303" i="6"/>
  <c r="G303" i="6"/>
  <c r="I303" i="6"/>
  <c r="F303" i="6"/>
  <c r="D303" i="6"/>
  <c r="R1259" i="6" l="1"/>
  <c r="M1259" i="6" s="1"/>
  <c r="S1259" i="6" s="1"/>
  <c r="Q1260" i="6"/>
  <c r="N1260" i="6"/>
  <c r="O1261" i="6"/>
  <c r="P1261" i="6" s="1"/>
  <c r="AE303" i="6"/>
  <c r="AF303" i="6"/>
  <c r="H303" i="6"/>
  <c r="R1260" i="6" l="1"/>
  <c r="M1260" i="6" s="1"/>
  <c r="S1260" i="6" s="1"/>
  <c r="Q1261" i="6"/>
  <c r="O1262" i="6"/>
  <c r="P1262" i="6" s="1"/>
  <c r="N1261" i="6"/>
  <c r="F304" i="6"/>
  <c r="I304" i="6"/>
  <c r="D304" i="6"/>
  <c r="E304" i="6"/>
  <c r="G304" i="6"/>
  <c r="R1261" i="6" l="1"/>
  <c r="M1261" i="6" s="1"/>
  <c r="S1261" i="6" s="1"/>
  <c r="Q1262" i="6"/>
  <c r="N1262" i="6"/>
  <c r="O1263" i="6"/>
  <c r="P1263" i="6" s="1"/>
  <c r="AE304" i="6"/>
  <c r="AF304" i="6"/>
  <c r="H304" i="6"/>
  <c r="G305" i="6" s="1"/>
  <c r="I305" i="6"/>
  <c r="E305" i="6"/>
  <c r="F305" i="6"/>
  <c r="R1262" i="6" l="1"/>
  <c r="M1262" i="6" s="1"/>
  <c r="S1262" i="6" s="1"/>
  <c r="Q1263" i="6"/>
  <c r="O1264" i="6"/>
  <c r="P1264" i="6" s="1"/>
  <c r="N1263" i="6"/>
  <c r="AE305" i="6"/>
  <c r="AF305" i="6"/>
  <c r="D305" i="6"/>
  <c r="H305" i="6" s="1"/>
  <c r="R1263" i="6" l="1"/>
  <c r="M1263" i="6" s="1"/>
  <c r="S1263" i="6" s="1"/>
  <c r="Q1264" i="6"/>
  <c r="N1264" i="6"/>
  <c r="O1265" i="6"/>
  <c r="P1265" i="6" s="1"/>
  <c r="D306" i="6"/>
  <c r="I306" i="6"/>
  <c r="F306" i="6"/>
  <c r="G306" i="6"/>
  <c r="E306" i="6"/>
  <c r="R1264" i="6" l="1"/>
  <c r="M1264" i="6" s="1"/>
  <c r="S1264" i="6" s="1"/>
  <c r="Q1265" i="6"/>
  <c r="O1266" i="6"/>
  <c r="P1266" i="6" s="1"/>
  <c r="N1265" i="6"/>
  <c r="AE306" i="6"/>
  <c r="AF306" i="6"/>
  <c r="H306" i="6"/>
  <c r="R1265" i="6" l="1"/>
  <c r="M1265" i="6" s="1"/>
  <c r="S1265" i="6" s="1"/>
  <c r="Q1266" i="6"/>
  <c r="O1267" i="6"/>
  <c r="P1267" i="6" s="1"/>
  <c r="N1266" i="6"/>
  <c r="D307" i="6"/>
  <c r="F307" i="6"/>
  <c r="I307" i="6"/>
  <c r="E307" i="6"/>
  <c r="G307" i="6"/>
  <c r="R1266" i="6" l="1"/>
  <c r="M1266" i="6" s="1"/>
  <c r="S1266" i="6" s="1"/>
  <c r="Q1267" i="6"/>
  <c r="N1267" i="6"/>
  <c r="O1268" i="6"/>
  <c r="P1268" i="6" s="1"/>
  <c r="AE307" i="6"/>
  <c r="AF307" i="6"/>
  <c r="H307" i="6"/>
  <c r="R1267" i="6" l="1"/>
  <c r="M1267" i="6" s="1"/>
  <c r="S1267" i="6" s="1"/>
  <c r="Q1268" i="6"/>
  <c r="N1268" i="6"/>
  <c r="O1269" i="6"/>
  <c r="P1269" i="6" s="1"/>
  <c r="F308" i="6"/>
  <c r="D308" i="6"/>
  <c r="G308" i="6"/>
  <c r="E308" i="6"/>
  <c r="I308" i="6"/>
  <c r="R1268" i="6" l="1"/>
  <c r="M1268" i="6" s="1"/>
  <c r="S1268" i="6" s="1"/>
  <c r="Q1269" i="6"/>
  <c r="O1270" i="6"/>
  <c r="P1270" i="6" s="1"/>
  <c r="N1269" i="6"/>
  <c r="AE308" i="6"/>
  <c r="AF308" i="6"/>
  <c r="H308" i="6"/>
  <c r="R1269" i="6" l="1"/>
  <c r="M1269" i="6" s="1"/>
  <c r="S1269" i="6" s="1"/>
  <c r="Q1270" i="6"/>
  <c r="O1271" i="6"/>
  <c r="P1271" i="6" s="1"/>
  <c r="N1270" i="6"/>
  <c r="E309" i="6"/>
  <c r="G309" i="6"/>
  <c r="D309" i="6"/>
  <c r="H309" i="6" s="1"/>
  <c r="F309" i="6"/>
  <c r="I309" i="6"/>
  <c r="R1270" i="6" l="1"/>
  <c r="M1270" i="6" s="1"/>
  <c r="S1270" i="6" s="1"/>
  <c r="Q1271" i="6"/>
  <c r="O1272" i="6"/>
  <c r="P1272" i="6" s="1"/>
  <c r="N1271" i="6"/>
  <c r="AE309" i="6"/>
  <c r="AF309" i="6"/>
  <c r="F310" i="6"/>
  <c r="I310" i="6"/>
  <c r="E310" i="6"/>
  <c r="D310" i="6"/>
  <c r="G310" i="6"/>
  <c r="R1271" i="6" l="1"/>
  <c r="M1271" i="6" s="1"/>
  <c r="S1271" i="6" s="1"/>
  <c r="Q1272" i="6"/>
  <c r="N1272" i="6"/>
  <c r="O1273" i="6"/>
  <c r="P1273" i="6" s="1"/>
  <c r="AE310" i="6"/>
  <c r="AF310" i="6"/>
  <c r="H310" i="6"/>
  <c r="R1272" i="6" l="1"/>
  <c r="M1272" i="6" s="1"/>
  <c r="S1272" i="6" s="1"/>
  <c r="Q1273" i="6"/>
  <c r="N1273" i="6"/>
  <c r="O1274" i="6"/>
  <c r="P1274" i="6" s="1"/>
  <c r="I311" i="6"/>
  <c r="E311" i="6"/>
  <c r="G311" i="6"/>
  <c r="D311" i="6"/>
  <c r="F311" i="6"/>
  <c r="R1273" i="6" l="1"/>
  <c r="M1273" i="6" s="1"/>
  <c r="S1273" i="6" s="1"/>
  <c r="Q1274" i="6"/>
  <c r="N1274" i="6"/>
  <c r="O1275" i="6"/>
  <c r="P1275" i="6" s="1"/>
  <c r="AE311" i="6"/>
  <c r="AF311" i="6"/>
  <c r="H311" i="6"/>
  <c r="R1274" i="6" l="1"/>
  <c r="M1274" i="6" s="1"/>
  <c r="S1274" i="6" s="1"/>
  <c r="Q1275" i="6"/>
  <c r="N1275" i="6"/>
  <c r="O1276" i="6"/>
  <c r="P1276" i="6" s="1"/>
  <c r="D312" i="6"/>
  <c r="F312" i="6"/>
  <c r="I312" i="6"/>
  <c r="E312" i="6"/>
  <c r="G312" i="6"/>
  <c r="R1275" i="6" l="1"/>
  <c r="M1275" i="6" s="1"/>
  <c r="S1275" i="6" s="1"/>
  <c r="Q1276" i="6"/>
  <c r="N1276" i="6"/>
  <c r="O1277" i="6"/>
  <c r="P1277" i="6" s="1"/>
  <c r="AE312" i="6"/>
  <c r="AF312" i="6"/>
  <c r="H312" i="6"/>
  <c r="R1276" i="6" l="1"/>
  <c r="M1276" i="6" s="1"/>
  <c r="S1276" i="6" s="1"/>
  <c r="Q1277" i="6"/>
  <c r="N1277" i="6"/>
  <c r="O1278" i="6"/>
  <c r="P1278" i="6" s="1"/>
  <c r="I313" i="6"/>
  <c r="G313" i="6"/>
  <c r="F313" i="6"/>
  <c r="D313" i="6"/>
  <c r="E313" i="6"/>
  <c r="R1277" i="6" l="1"/>
  <c r="M1277" i="6" s="1"/>
  <c r="S1277" i="6" s="1"/>
  <c r="Q1278" i="6"/>
  <c r="N1278" i="6"/>
  <c r="O1279" i="6"/>
  <c r="P1279" i="6" s="1"/>
  <c r="AE313" i="6"/>
  <c r="AF313" i="6"/>
  <c r="H313" i="6"/>
  <c r="R1278" i="6" l="1"/>
  <c r="M1278" i="6" s="1"/>
  <c r="S1278" i="6" s="1"/>
  <c r="Q1279" i="6"/>
  <c r="N1279" i="6"/>
  <c r="O1280" i="6"/>
  <c r="P1280" i="6" s="1"/>
  <c r="I314" i="6"/>
  <c r="E314" i="6"/>
  <c r="F314" i="6"/>
  <c r="G314" i="6"/>
  <c r="D314" i="6"/>
  <c r="H314" i="6" s="1"/>
  <c r="R1279" i="6" l="1"/>
  <c r="M1279" i="6" s="1"/>
  <c r="S1279" i="6" s="1"/>
  <c r="Q1280" i="6"/>
  <c r="N1280" i="6"/>
  <c r="O1281" i="6"/>
  <c r="P1281" i="6" s="1"/>
  <c r="AE314" i="6"/>
  <c r="AF314" i="6"/>
  <c r="D315" i="6"/>
  <c r="H315" i="6" s="1"/>
  <c r="G315" i="6"/>
  <c r="F315" i="6"/>
  <c r="I315" i="6"/>
  <c r="E315" i="6"/>
  <c r="R1280" i="6" l="1"/>
  <c r="M1280" i="6" s="1"/>
  <c r="S1280" i="6" s="1"/>
  <c r="Q1281" i="6"/>
  <c r="N1281" i="6"/>
  <c r="O1282" i="6"/>
  <c r="P1282" i="6" s="1"/>
  <c r="AE315" i="6"/>
  <c r="AF315" i="6"/>
  <c r="D316" i="6"/>
  <c r="F316" i="6"/>
  <c r="I316" i="6"/>
  <c r="E316" i="6"/>
  <c r="G316" i="6"/>
  <c r="R1281" i="6" l="1"/>
  <c r="M1281" i="6" s="1"/>
  <c r="S1281" i="6" s="1"/>
  <c r="Q1282" i="6"/>
  <c r="O1283" i="6"/>
  <c r="P1283" i="6" s="1"/>
  <c r="N1282" i="6"/>
  <c r="AE316" i="6"/>
  <c r="AF316" i="6"/>
  <c r="H316" i="6"/>
  <c r="R1282" i="6" l="1"/>
  <c r="M1282" i="6" s="1"/>
  <c r="S1282" i="6" s="1"/>
  <c r="Q1283" i="6"/>
  <c r="O1284" i="6"/>
  <c r="P1284" i="6" s="1"/>
  <c r="N1283" i="6"/>
  <c r="D317" i="6"/>
  <c r="E317" i="6"/>
  <c r="G317" i="6"/>
  <c r="F317" i="6"/>
  <c r="I317" i="6"/>
  <c r="R1283" i="6" l="1"/>
  <c r="M1283" i="6" s="1"/>
  <c r="S1283" i="6" s="1"/>
  <c r="Q1284" i="6"/>
  <c r="O1285" i="6"/>
  <c r="P1285" i="6" s="1"/>
  <c r="N1284" i="6"/>
  <c r="AE317" i="6"/>
  <c r="AF317" i="6"/>
  <c r="H317" i="6"/>
  <c r="R1284" i="6" l="1"/>
  <c r="M1284" i="6" s="1"/>
  <c r="S1284" i="6" s="1"/>
  <c r="Q1285" i="6"/>
  <c r="N1285" i="6"/>
  <c r="O1286" i="6"/>
  <c r="P1286" i="6" s="1"/>
  <c r="D318" i="6"/>
  <c r="H318" i="6" s="1"/>
  <c r="G318" i="6"/>
  <c r="F318" i="6"/>
  <c r="I318" i="6"/>
  <c r="E318" i="6"/>
  <c r="R1285" i="6" l="1"/>
  <c r="M1285" i="6" s="1"/>
  <c r="S1285" i="6" s="1"/>
  <c r="Q1286" i="6"/>
  <c r="O1287" i="6"/>
  <c r="P1287" i="6" s="1"/>
  <c r="N1286" i="6"/>
  <c r="AE318" i="6"/>
  <c r="AF318" i="6"/>
  <c r="I319" i="6"/>
  <c r="F319" i="6"/>
  <c r="D319" i="6"/>
  <c r="E319" i="6"/>
  <c r="G319" i="6"/>
  <c r="R1286" i="6" l="1"/>
  <c r="M1286" i="6" s="1"/>
  <c r="S1286" i="6" s="1"/>
  <c r="Q1287" i="6"/>
  <c r="O1288" i="6"/>
  <c r="P1288" i="6" s="1"/>
  <c r="N1287" i="6"/>
  <c r="AE319" i="6"/>
  <c r="AF319" i="6"/>
  <c r="H319" i="6"/>
  <c r="R1287" i="6" l="1"/>
  <c r="M1287" i="6" s="1"/>
  <c r="S1287" i="6" s="1"/>
  <c r="Q1288" i="6"/>
  <c r="O1289" i="6"/>
  <c r="P1289" i="6" s="1"/>
  <c r="N1288" i="6"/>
  <c r="D320" i="6"/>
  <c r="E320" i="6"/>
  <c r="G320" i="6"/>
  <c r="I320" i="6"/>
  <c r="F320" i="6"/>
  <c r="R1288" i="6" l="1"/>
  <c r="M1288" i="6" s="1"/>
  <c r="S1288" i="6" s="1"/>
  <c r="Q1289" i="6"/>
  <c r="N1289" i="6"/>
  <c r="O1290" i="6"/>
  <c r="P1290" i="6" s="1"/>
  <c r="AE320" i="6"/>
  <c r="AF320" i="6"/>
  <c r="H320" i="6"/>
  <c r="R1289" i="6" l="1"/>
  <c r="M1289" i="6" s="1"/>
  <c r="S1289" i="6" s="1"/>
  <c r="Q1290" i="6"/>
  <c r="O1291" i="6"/>
  <c r="P1291" i="6" s="1"/>
  <c r="N1290" i="6"/>
  <c r="E321" i="6"/>
  <c r="F321" i="6"/>
  <c r="D321" i="6"/>
  <c r="H321" i="6" s="1"/>
  <c r="I321" i="6"/>
  <c r="G321" i="6"/>
  <c r="R1290" i="6" l="1"/>
  <c r="M1290" i="6" s="1"/>
  <c r="S1290" i="6" s="1"/>
  <c r="Q1291" i="6"/>
  <c r="N1291" i="6"/>
  <c r="O1292" i="6"/>
  <c r="P1292" i="6" s="1"/>
  <c r="AE321" i="6"/>
  <c r="AF321" i="6"/>
  <c r="I322" i="6"/>
  <c r="E322" i="6"/>
  <c r="G322" i="6"/>
  <c r="D322" i="6"/>
  <c r="H322" i="6" s="1"/>
  <c r="F322" i="6"/>
  <c r="R1291" i="6" l="1"/>
  <c r="M1291" i="6" s="1"/>
  <c r="S1291" i="6" s="1"/>
  <c r="Q1292" i="6"/>
  <c r="N1292" i="6"/>
  <c r="O1293" i="6"/>
  <c r="P1293" i="6" s="1"/>
  <c r="AE322" i="6"/>
  <c r="AF322" i="6"/>
  <c r="I323" i="6"/>
  <c r="G323" i="6"/>
  <c r="D323" i="6"/>
  <c r="H323" i="6" s="1"/>
  <c r="E323" i="6"/>
  <c r="F323" i="6"/>
  <c r="R1292" i="6" l="1"/>
  <c r="M1292" i="6" s="1"/>
  <c r="S1292" i="6" s="1"/>
  <c r="Q1293" i="6"/>
  <c r="N1293" i="6"/>
  <c r="O1294" i="6"/>
  <c r="P1294" i="6" s="1"/>
  <c r="AE323" i="6"/>
  <c r="AF323" i="6"/>
  <c r="G324" i="6"/>
  <c r="I324" i="6"/>
  <c r="D324" i="6"/>
  <c r="E324" i="6"/>
  <c r="F324" i="6"/>
  <c r="R1293" i="6" l="1"/>
  <c r="M1293" i="6" s="1"/>
  <c r="S1293" i="6" s="1"/>
  <c r="Q1294" i="6"/>
  <c r="O1295" i="6"/>
  <c r="P1295" i="6" s="1"/>
  <c r="N1294" i="6"/>
  <c r="AE324" i="6"/>
  <c r="AF324" i="6"/>
  <c r="H324" i="6"/>
  <c r="R1294" i="6" l="1"/>
  <c r="M1294" i="6" s="1"/>
  <c r="S1294" i="6" s="1"/>
  <c r="Q1295" i="6"/>
  <c r="N1295" i="6"/>
  <c r="O1296" i="6"/>
  <c r="P1296" i="6" s="1"/>
  <c r="I325" i="6"/>
  <c r="E325" i="6"/>
  <c r="G325" i="6"/>
  <c r="D325" i="6"/>
  <c r="H325" i="6" s="1"/>
  <c r="F325" i="6"/>
  <c r="R1295" i="6" l="1"/>
  <c r="M1295" i="6" s="1"/>
  <c r="S1295" i="6" s="1"/>
  <c r="Q1296" i="6"/>
  <c r="N1296" i="6"/>
  <c r="O1297" i="6"/>
  <c r="P1297" i="6" s="1"/>
  <c r="AE325" i="6"/>
  <c r="AF325" i="6"/>
  <c r="D326" i="6"/>
  <c r="H326" i="6" s="1"/>
  <c r="E326" i="6"/>
  <c r="F326" i="6"/>
  <c r="I326" i="6"/>
  <c r="G326" i="6"/>
  <c r="R1296" i="6" l="1"/>
  <c r="M1296" i="6" s="1"/>
  <c r="S1296" i="6" s="1"/>
  <c r="Q1297" i="6"/>
  <c r="N1297" i="6"/>
  <c r="O1298" i="6"/>
  <c r="P1298" i="6" s="1"/>
  <c r="AE326" i="6"/>
  <c r="AF326" i="6"/>
  <c r="E327" i="6"/>
  <c r="F327" i="6"/>
  <c r="G327" i="6"/>
  <c r="D327" i="6"/>
  <c r="I327" i="6"/>
  <c r="R1297" i="6" l="1"/>
  <c r="M1297" i="6" s="1"/>
  <c r="S1297" i="6" s="1"/>
  <c r="Q1298" i="6"/>
  <c r="N1298" i="6"/>
  <c r="O1299" i="6"/>
  <c r="P1299" i="6" s="1"/>
  <c r="AE327" i="6"/>
  <c r="AF327" i="6"/>
  <c r="H327" i="6"/>
  <c r="R1298" i="6" l="1"/>
  <c r="M1298" i="6" s="1"/>
  <c r="S1298" i="6" s="1"/>
  <c r="Q1299" i="6"/>
  <c r="O1300" i="6"/>
  <c r="P1300" i="6" s="1"/>
  <c r="N1299" i="6"/>
  <c r="I328" i="6"/>
  <c r="G328" i="6"/>
  <c r="F328" i="6"/>
  <c r="D328" i="6"/>
  <c r="H328" i="6" s="1"/>
  <c r="E328" i="6"/>
  <c r="R1299" i="6" l="1"/>
  <c r="M1299" i="6" s="1"/>
  <c r="S1299" i="6" s="1"/>
  <c r="Q1300" i="6"/>
  <c r="O1301" i="6"/>
  <c r="P1301" i="6" s="1"/>
  <c r="N1300" i="6"/>
  <c r="AE328" i="6"/>
  <c r="AF328" i="6"/>
  <c r="G329" i="6"/>
  <c r="F329" i="6"/>
  <c r="I329" i="6"/>
  <c r="E329" i="6"/>
  <c r="D329" i="6"/>
  <c r="H329" i="6" s="1"/>
  <c r="R1300" i="6" l="1"/>
  <c r="M1300" i="6" s="1"/>
  <c r="S1300" i="6" s="1"/>
  <c r="Q1301" i="6"/>
  <c r="N1301" i="6"/>
  <c r="O1302" i="6"/>
  <c r="P1302" i="6" s="1"/>
  <c r="AE329" i="6"/>
  <c r="AF329" i="6"/>
  <c r="D330" i="6"/>
  <c r="H330" i="6" s="1"/>
  <c r="F331" i="6" s="1"/>
  <c r="G330" i="6"/>
  <c r="F330" i="6"/>
  <c r="E330" i="6"/>
  <c r="I330" i="6"/>
  <c r="R1301" i="6" l="1"/>
  <c r="M1301" i="6" s="1"/>
  <c r="S1301" i="6" s="1"/>
  <c r="Q1302" i="6"/>
  <c r="N1302" i="6"/>
  <c r="O1303" i="6"/>
  <c r="P1303" i="6" s="1"/>
  <c r="AE330" i="6"/>
  <c r="AF330" i="6"/>
  <c r="E331" i="6"/>
  <c r="D331" i="6"/>
  <c r="I331" i="6"/>
  <c r="G331" i="6"/>
  <c r="R1302" i="6" l="1"/>
  <c r="M1302" i="6" s="1"/>
  <c r="S1302" i="6" s="1"/>
  <c r="Q1303" i="6"/>
  <c r="O1304" i="6"/>
  <c r="P1304" i="6" s="1"/>
  <c r="N1303" i="6"/>
  <c r="AE331" i="6"/>
  <c r="AF331" i="6"/>
  <c r="H331" i="6"/>
  <c r="R1303" i="6" l="1"/>
  <c r="M1303" i="6" s="1"/>
  <c r="S1303" i="6" s="1"/>
  <c r="Q1304" i="6"/>
  <c r="O1305" i="6"/>
  <c r="P1305" i="6" s="1"/>
  <c r="N1304" i="6"/>
  <c r="D332" i="6"/>
  <c r="I332" i="6"/>
  <c r="G332" i="6"/>
  <c r="F332" i="6"/>
  <c r="E332" i="6"/>
  <c r="R1304" i="6" l="1"/>
  <c r="M1304" i="6" s="1"/>
  <c r="S1304" i="6" s="1"/>
  <c r="Q1305" i="6"/>
  <c r="O1306" i="6"/>
  <c r="P1306" i="6" s="1"/>
  <c r="N1305" i="6"/>
  <c r="AE332" i="6"/>
  <c r="AF332" i="6"/>
  <c r="H332" i="6"/>
  <c r="R1305" i="6" l="1"/>
  <c r="M1305" i="6" s="1"/>
  <c r="S1305" i="6" s="1"/>
  <c r="Q1306" i="6"/>
  <c r="N1306" i="6"/>
  <c r="O1307" i="6"/>
  <c r="P1307" i="6" s="1"/>
  <c r="D333" i="6"/>
  <c r="I333" i="6"/>
  <c r="E333" i="6"/>
  <c r="F333" i="6"/>
  <c r="G333" i="6"/>
  <c r="R1306" i="6" l="1"/>
  <c r="M1306" i="6" s="1"/>
  <c r="S1306" i="6" s="1"/>
  <c r="Q1307" i="6"/>
  <c r="N1307" i="6"/>
  <c r="O1308" i="6"/>
  <c r="P1308" i="6" s="1"/>
  <c r="AE333" i="6"/>
  <c r="AF333" i="6"/>
  <c r="H333" i="6"/>
  <c r="R1307" i="6" l="1"/>
  <c r="M1307" i="6" s="1"/>
  <c r="S1307" i="6" s="1"/>
  <c r="Q1308" i="6"/>
  <c r="N1308" i="6"/>
  <c r="O1309" i="6"/>
  <c r="P1309" i="6" s="1"/>
  <c r="I334" i="6"/>
  <c r="E334" i="6"/>
  <c r="F334" i="6"/>
  <c r="D334" i="6"/>
  <c r="H334" i="6" s="1"/>
  <c r="G334" i="6"/>
  <c r="R1308" i="6" l="1"/>
  <c r="M1308" i="6" s="1"/>
  <c r="S1308" i="6" s="1"/>
  <c r="Q1309" i="6"/>
  <c r="O1310" i="6"/>
  <c r="P1310" i="6" s="1"/>
  <c r="N1309" i="6"/>
  <c r="AE334" i="6"/>
  <c r="AF334" i="6"/>
  <c r="I335" i="6"/>
  <c r="E335" i="6"/>
  <c r="F335" i="6"/>
  <c r="D335" i="6"/>
  <c r="H335" i="6" s="1"/>
  <c r="G335" i="6"/>
  <c r="R1309" i="6" l="1"/>
  <c r="M1309" i="6" s="1"/>
  <c r="S1309" i="6" s="1"/>
  <c r="Q1310" i="6"/>
  <c r="N1310" i="6"/>
  <c r="O1311" i="6"/>
  <c r="P1311" i="6" s="1"/>
  <c r="AE335" i="6"/>
  <c r="AF335" i="6"/>
  <c r="D336" i="6"/>
  <c r="F336" i="6"/>
  <c r="E336" i="6"/>
  <c r="I336" i="6"/>
  <c r="G336" i="6"/>
  <c r="R1310" i="6" l="1"/>
  <c r="M1310" i="6" s="1"/>
  <c r="S1310" i="6" s="1"/>
  <c r="Q1311" i="6"/>
  <c r="N1311" i="6"/>
  <c r="O1312" i="6"/>
  <c r="P1312" i="6" s="1"/>
  <c r="AE336" i="6"/>
  <c r="AF336" i="6"/>
  <c r="H336" i="6"/>
  <c r="R1311" i="6" l="1"/>
  <c r="M1311" i="6" s="1"/>
  <c r="S1311" i="6" s="1"/>
  <c r="Q1312" i="6"/>
  <c r="O1313" i="6"/>
  <c r="P1313" i="6" s="1"/>
  <c r="N1312" i="6"/>
  <c r="I337" i="6"/>
  <c r="E337" i="6"/>
  <c r="D337" i="6"/>
  <c r="H337" i="6" s="1"/>
  <c r="I338" i="6" s="1"/>
  <c r="G337" i="6"/>
  <c r="F337" i="6"/>
  <c r="R1312" i="6" l="1"/>
  <c r="M1312" i="6" s="1"/>
  <c r="S1312" i="6" s="1"/>
  <c r="Q1313" i="6"/>
  <c r="N1313" i="6"/>
  <c r="O1314" i="6"/>
  <c r="P1314" i="6" s="1"/>
  <c r="AE337" i="6"/>
  <c r="AF337" i="6"/>
  <c r="E338" i="6"/>
  <c r="D338" i="6"/>
  <c r="H338" i="6" s="1"/>
  <c r="I339" i="6" s="1"/>
  <c r="F338" i="6"/>
  <c r="G338" i="6"/>
  <c r="R1313" i="6" l="1"/>
  <c r="M1313" i="6" s="1"/>
  <c r="S1313" i="6" s="1"/>
  <c r="Q1314" i="6"/>
  <c r="N1314" i="6"/>
  <c r="O1315" i="6"/>
  <c r="P1315" i="6" s="1"/>
  <c r="AE338" i="6"/>
  <c r="AF338" i="6"/>
  <c r="G339" i="6"/>
  <c r="D339" i="6"/>
  <c r="H339" i="6" s="1"/>
  <c r="E340" i="6" s="1"/>
  <c r="E339" i="6"/>
  <c r="F339" i="6"/>
  <c r="R1314" i="6" l="1"/>
  <c r="M1314" i="6" s="1"/>
  <c r="S1314" i="6" s="1"/>
  <c r="Q1315" i="6"/>
  <c r="O1316" i="6"/>
  <c r="P1316" i="6" s="1"/>
  <c r="N1315" i="6"/>
  <c r="AE339" i="6"/>
  <c r="AF339" i="6"/>
  <c r="G340" i="6"/>
  <c r="D340" i="6"/>
  <c r="H340" i="6" s="1"/>
  <c r="D341" i="6" s="1"/>
  <c r="I340" i="6"/>
  <c r="F340" i="6"/>
  <c r="R1315" i="6" l="1"/>
  <c r="M1315" i="6" s="1"/>
  <c r="S1315" i="6" s="1"/>
  <c r="Q1316" i="6"/>
  <c r="N1316" i="6"/>
  <c r="O1317" i="6"/>
  <c r="P1317" i="6" s="1"/>
  <c r="AE340" i="6"/>
  <c r="AF340" i="6"/>
  <c r="E341" i="6"/>
  <c r="I341" i="6"/>
  <c r="G341" i="6"/>
  <c r="F341" i="6"/>
  <c r="R1316" i="6" l="1"/>
  <c r="M1316" i="6" s="1"/>
  <c r="S1316" i="6" s="1"/>
  <c r="Q1317" i="6"/>
  <c r="N1317" i="6"/>
  <c r="O1318" i="6"/>
  <c r="P1318" i="6" s="1"/>
  <c r="AE341" i="6"/>
  <c r="AF341" i="6"/>
  <c r="H341" i="6"/>
  <c r="I342" i="6" s="1"/>
  <c r="G342" i="6"/>
  <c r="D342" i="6"/>
  <c r="E342" i="6"/>
  <c r="R1317" i="6" l="1"/>
  <c r="M1317" i="6" s="1"/>
  <c r="S1317" i="6" s="1"/>
  <c r="Q1318" i="6"/>
  <c r="N1318" i="6"/>
  <c r="O1319" i="6"/>
  <c r="P1319" i="6" s="1"/>
  <c r="AE342" i="6"/>
  <c r="AF342" i="6"/>
  <c r="F342" i="6"/>
  <c r="H342" i="6"/>
  <c r="R1318" i="6" l="1"/>
  <c r="M1318" i="6" s="1"/>
  <c r="S1318" i="6" s="1"/>
  <c r="Q1319" i="6"/>
  <c r="O1320" i="6"/>
  <c r="P1320" i="6" s="1"/>
  <c r="N1319" i="6"/>
  <c r="I343" i="6"/>
  <c r="E343" i="6"/>
  <c r="D343" i="6"/>
  <c r="H343" i="6" s="1"/>
  <c r="F343" i="6"/>
  <c r="G343" i="6"/>
  <c r="R1319" i="6" l="1"/>
  <c r="M1319" i="6" s="1"/>
  <c r="S1319" i="6" s="1"/>
  <c r="Q1320" i="6"/>
  <c r="N1320" i="6"/>
  <c r="O1321" i="6"/>
  <c r="P1321" i="6" s="1"/>
  <c r="AE343" i="6"/>
  <c r="AF343" i="6"/>
  <c r="I344" i="6"/>
  <c r="G344" i="6"/>
  <c r="F344" i="6"/>
  <c r="D344" i="6"/>
  <c r="H344" i="6" s="1"/>
  <c r="E344" i="6"/>
  <c r="R1320" i="6" l="1"/>
  <c r="M1320" i="6" s="1"/>
  <c r="S1320" i="6" s="1"/>
  <c r="Q1321" i="6"/>
  <c r="O1322" i="6"/>
  <c r="P1322" i="6" s="1"/>
  <c r="N1321" i="6"/>
  <c r="AE344" i="6"/>
  <c r="AF344" i="6"/>
  <c r="D345" i="6"/>
  <c r="I345" i="6"/>
  <c r="G345" i="6"/>
  <c r="E345" i="6"/>
  <c r="F345" i="6"/>
  <c r="R1321" i="6" l="1"/>
  <c r="M1321" i="6" s="1"/>
  <c r="S1321" i="6" s="1"/>
  <c r="Q1322" i="6"/>
  <c r="N1322" i="6"/>
  <c r="O1323" i="6"/>
  <c r="P1323" i="6" s="1"/>
  <c r="AE345" i="6"/>
  <c r="AF345" i="6"/>
  <c r="H345" i="6"/>
  <c r="D346" i="6" s="1"/>
  <c r="H346" i="6" s="1"/>
  <c r="G346" i="6"/>
  <c r="I346" i="6"/>
  <c r="F346" i="6"/>
  <c r="E346" i="6"/>
  <c r="R1322" i="6" l="1"/>
  <c r="M1322" i="6" s="1"/>
  <c r="S1322" i="6" s="1"/>
  <c r="Q1323" i="6"/>
  <c r="N1323" i="6"/>
  <c r="O1324" i="6"/>
  <c r="P1324" i="6" s="1"/>
  <c r="AE346" i="6"/>
  <c r="AF346" i="6"/>
  <c r="D347" i="6"/>
  <c r="F347" i="6"/>
  <c r="G347" i="6"/>
  <c r="I347" i="6"/>
  <c r="E347" i="6"/>
  <c r="R1323" i="6" l="1"/>
  <c r="M1323" i="6" s="1"/>
  <c r="S1323" i="6" s="1"/>
  <c r="Q1324" i="6"/>
  <c r="N1324" i="6"/>
  <c r="O1325" i="6"/>
  <c r="P1325" i="6" s="1"/>
  <c r="AE347" i="6"/>
  <c r="AF347" i="6"/>
  <c r="H347" i="6"/>
  <c r="R1324" i="6" l="1"/>
  <c r="M1324" i="6" s="1"/>
  <c r="S1324" i="6" s="1"/>
  <c r="Q1325" i="6"/>
  <c r="O1326" i="6"/>
  <c r="P1326" i="6" s="1"/>
  <c r="N1325" i="6"/>
  <c r="E348" i="6"/>
  <c r="F348" i="6"/>
  <c r="G348" i="6"/>
  <c r="I348" i="6"/>
  <c r="D348" i="6"/>
  <c r="H348" i="6" s="1"/>
  <c r="R1325" i="6" l="1"/>
  <c r="M1325" i="6" s="1"/>
  <c r="S1325" i="6" s="1"/>
  <c r="Q1326" i="6"/>
  <c r="N1326" i="6"/>
  <c r="O1327" i="6"/>
  <c r="P1327" i="6" s="1"/>
  <c r="AE348" i="6"/>
  <c r="AF348" i="6"/>
  <c r="G349" i="6"/>
  <c r="D349" i="6"/>
  <c r="H349" i="6" s="1"/>
  <c r="E349" i="6"/>
  <c r="I349" i="6"/>
  <c r="F349" i="6"/>
  <c r="R1326" i="6" l="1"/>
  <c r="M1326" i="6" s="1"/>
  <c r="S1326" i="6" s="1"/>
  <c r="Q1327" i="6"/>
  <c r="O1328" i="6"/>
  <c r="P1328" i="6" s="1"/>
  <c r="N1327" i="6"/>
  <c r="AE349" i="6"/>
  <c r="AF349" i="6"/>
  <c r="I350" i="6"/>
  <c r="G350" i="6"/>
  <c r="D350" i="6"/>
  <c r="E350" i="6"/>
  <c r="F350" i="6"/>
  <c r="R1327" i="6" l="1"/>
  <c r="M1327" i="6" s="1"/>
  <c r="S1327" i="6" s="1"/>
  <c r="Q1328" i="6"/>
  <c r="O1329" i="6"/>
  <c r="P1329" i="6" s="1"/>
  <c r="N1328" i="6"/>
  <c r="AE350" i="6"/>
  <c r="AF350" i="6"/>
  <c r="H350" i="6"/>
  <c r="G351" i="6" s="1"/>
  <c r="E351" i="6"/>
  <c r="D351" i="6"/>
  <c r="F351" i="6"/>
  <c r="I351" i="6"/>
  <c r="R1328" i="6" l="1"/>
  <c r="M1328" i="6" s="1"/>
  <c r="S1328" i="6" s="1"/>
  <c r="Q1329" i="6"/>
  <c r="N1329" i="6"/>
  <c r="O1330" i="6"/>
  <c r="P1330" i="6" s="1"/>
  <c r="AE351" i="6"/>
  <c r="AF351" i="6"/>
  <c r="H351" i="6"/>
  <c r="D352" i="6" s="1"/>
  <c r="I352" i="6"/>
  <c r="F352" i="6"/>
  <c r="E352" i="6"/>
  <c r="R1329" i="6" l="1"/>
  <c r="M1329" i="6" s="1"/>
  <c r="S1329" i="6" s="1"/>
  <c r="Q1330" i="6"/>
  <c r="N1330" i="6"/>
  <c r="O1331" i="6"/>
  <c r="P1331" i="6" s="1"/>
  <c r="G352" i="6"/>
  <c r="R1330" i="6" l="1"/>
  <c r="M1330" i="6" s="1"/>
  <c r="S1330" i="6" s="1"/>
  <c r="Q1331" i="6"/>
  <c r="N1331" i="6"/>
  <c r="O1332" i="6"/>
  <c r="P1332" i="6" s="1"/>
  <c r="AE352" i="6"/>
  <c r="AF352" i="6"/>
  <c r="H352" i="6"/>
  <c r="R1331" i="6" l="1"/>
  <c r="M1331" i="6" s="1"/>
  <c r="S1331" i="6" s="1"/>
  <c r="Q1332" i="6"/>
  <c r="N1332" i="6"/>
  <c r="O1333" i="6"/>
  <c r="P1333" i="6" s="1"/>
  <c r="E353" i="6"/>
  <c r="F353" i="6"/>
  <c r="G353" i="6"/>
  <c r="D353" i="6"/>
  <c r="H353" i="6" s="1"/>
  <c r="D354" i="6" s="1"/>
  <c r="I353" i="6"/>
  <c r="R1332" i="6" l="1"/>
  <c r="M1332" i="6" s="1"/>
  <c r="S1332" i="6" s="1"/>
  <c r="Q1333" i="6"/>
  <c r="N1333" i="6"/>
  <c r="O1334" i="6"/>
  <c r="P1334" i="6" s="1"/>
  <c r="AE353" i="6"/>
  <c r="AF353" i="6"/>
  <c r="F354" i="6"/>
  <c r="I354" i="6"/>
  <c r="G354" i="6"/>
  <c r="E354" i="6"/>
  <c r="R1333" i="6" l="1"/>
  <c r="M1333" i="6" s="1"/>
  <c r="S1333" i="6" s="1"/>
  <c r="Q1334" i="6"/>
  <c r="N1334" i="6"/>
  <c r="O1335" i="6"/>
  <c r="P1335" i="6" s="1"/>
  <c r="AE354" i="6"/>
  <c r="AF354" i="6"/>
  <c r="H354" i="6"/>
  <c r="R1334" i="6" l="1"/>
  <c r="M1334" i="6" s="1"/>
  <c r="S1334" i="6" s="1"/>
  <c r="Q1335" i="6"/>
  <c r="N1335" i="6"/>
  <c r="O1336" i="6"/>
  <c r="P1336" i="6" s="1"/>
  <c r="D355" i="6"/>
  <c r="F355" i="6"/>
  <c r="G355" i="6"/>
  <c r="I355" i="6"/>
  <c r="E355" i="6"/>
  <c r="R1335" i="6" l="1"/>
  <c r="M1335" i="6" s="1"/>
  <c r="S1335" i="6" s="1"/>
  <c r="Q1336" i="6"/>
  <c r="N1336" i="6"/>
  <c r="O1337" i="6"/>
  <c r="P1337" i="6" s="1"/>
  <c r="AE355" i="6"/>
  <c r="AF355" i="6"/>
  <c r="H355" i="6"/>
  <c r="R1336" i="6" l="1"/>
  <c r="M1336" i="6" s="1"/>
  <c r="S1336" i="6" s="1"/>
  <c r="Q1337" i="6"/>
  <c r="N1337" i="6"/>
  <c r="O1338" i="6"/>
  <c r="P1338" i="6" s="1"/>
  <c r="I356" i="6"/>
  <c r="D356" i="6"/>
  <c r="F356" i="6"/>
  <c r="E356" i="6"/>
  <c r="G356" i="6"/>
  <c r="R1337" i="6" l="1"/>
  <c r="M1337" i="6" s="1"/>
  <c r="S1337" i="6" s="1"/>
  <c r="Q1338" i="6"/>
  <c r="O1339" i="6"/>
  <c r="P1339" i="6" s="1"/>
  <c r="N1338" i="6"/>
  <c r="AE356" i="6"/>
  <c r="AF356" i="6"/>
  <c r="H356" i="6"/>
  <c r="R1338" i="6" l="1"/>
  <c r="M1338" i="6" s="1"/>
  <c r="S1338" i="6" s="1"/>
  <c r="Q1339" i="6"/>
  <c r="N1339" i="6"/>
  <c r="O1340" i="6"/>
  <c r="P1340" i="6" s="1"/>
  <c r="D357" i="6"/>
  <c r="H357" i="6" s="1"/>
  <c r="G357" i="6"/>
  <c r="I357" i="6"/>
  <c r="E357" i="6"/>
  <c r="F357" i="6"/>
  <c r="R1339" i="6" l="1"/>
  <c r="M1339" i="6" s="1"/>
  <c r="S1339" i="6" s="1"/>
  <c r="Q1340" i="6"/>
  <c r="N1340" i="6"/>
  <c r="O1341" i="6"/>
  <c r="P1341" i="6" s="1"/>
  <c r="AE357" i="6"/>
  <c r="AF357" i="6"/>
  <c r="D358" i="6"/>
  <c r="I358" i="6"/>
  <c r="G358" i="6"/>
  <c r="F358" i="6"/>
  <c r="E358" i="6"/>
  <c r="R1340" i="6" l="1"/>
  <c r="M1340" i="6" s="1"/>
  <c r="S1340" i="6" s="1"/>
  <c r="Q1341" i="6"/>
  <c r="N1341" i="6"/>
  <c r="O1342" i="6"/>
  <c r="P1342" i="6" s="1"/>
  <c r="AE358" i="6"/>
  <c r="AF358" i="6"/>
  <c r="H358" i="6"/>
  <c r="R1341" i="6" l="1"/>
  <c r="M1341" i="6" s="1"/>
  <c r="S1341" i="6" s="1"/>
  <c r="Q1342" i="6"/>
  <c r="O1343" i="6"/>
  <c r="P1343" i="6" s="1"/>
  <c r="N1342" i="6"/>
  <c r="I359" i="6"/>
  <c r="D359" i="6"/>
  <c r="G359" i="6"/>
  <c r="E359" i="6"/>
  <c r="F359" i="6"/>
  <c r="R1342" i="6" l="1"/>
  <c r="M1342" i="6" s="1"/>
  <c r="S1342" i="6" s="1"/>
  <c r="Q1343" i="6"/>
  <c r="O1344" i="6"/>
  <c r="P1344" i="6" s="1"/>
  <c r="N1343" i="6"/>
  <c r="AE359" i="6"/>
  <c r="AF359" i="6"/>
  <c r="H359" i="6"/>
  <c r="R1343" i="6" l="1"/>
  <c r="M1343" i="6" s="1"/>
  <c r="S1343" i="6" s="1"/>
  <c r="Q1344" i="6"/>
  <c r="O1345" i="6"/>
  <c r="P1345" i="6" s="1"/>
  <c r="N1344" i="6"/>
  <c r="D360" i="6"/>
  <c r="H360" i="6" s="1"/>
  <c r="G360" i="6"/>
  <c r="F360" i="6"/>
  <c r="I360" i="6"/>
  <c r="E360" i="6"/>
  <c r="R1344" i="6" l="1"/>
  <c r="M1344" i="6" s="1"/>
  <c r="S1344" i="6" s="1"/>
  <c r="Q1345" i="6"/>
  <c r="N1345" i="6"/>
  <c r="O1346" i="6"/>
  <c r="P1346" i="6" s="1"/>
  <c r="AE360" i="6"/>
  <c r="AF360" i="6"/>
  <c r="G361" i="6"/>
  <c r="I361" i="6"/>
  <c r="E361" i="6"/>
  <c r="F361" i="6"/>
  <c r="D361" i="6"/>
  <c r="H361" i="6" s="1"/>
  <c r="R1345" i="6" l="1"/>
  <c r="M1345" i="6" s="1"/>
  <c r="S1345" i="6" s="1"/>
  <c r="Q1346" i="6"/>
  <c r="O1347" i="6"/>
  <c r="P1347" i="6" s="1"/>
  <c r="N1346" i="6"/>
  <c r="AE361" i="6"/>
  <c r="AF361" i="6"/>
  <c r="G362" i="6"/>
  <c r="D362" i="6"/>
  <c r="H362" i="6" s="1"/>
  <c r="E362" i="6"/>
  <c r="F362" i="6"/>
  <c r="I362" i="6"/>
  <c r="R1346" i="6" l="1"/>
  <c r="M1346" i="6" s="1"/>
  <c r="S1346" i="6" s="1"/>
  <c r="Q1347" i="6"/>
  <c r="N1347" i="6"/>
  <c r="O1348" i="6"/>
  <c r="P1348" i="6" s="1"/>
  <c r="AE362" i="6"/>
  <c r="AF362" i="6"/>
  <c r="D363" i="6"/>
  <c r="H363" i="6" s="1"/>
  <c r="D364" i="6" s="1"/>
  <c r="G363" i="6"/>
  <c r="F363" i="6"/>
  <c r="I363" i="6"/>
  <c r="E363" i="6"/>
  <c r="R1347" i="6" l="1"/>
  <c r="M1347" i="6" s="1"/>
  <c r="S1347" i="6" s="1"/>
  <c r="Q1348" i="6"/>
  <c r="O1349" i="6"/>
  <c r="P1349" i="6" s="1"/>
  <c r="N1348" i="6"/>
  <c r="AE363" i="6"/>
  <c r="AF363" i="6"/>
  <c r="G364" i="6"/>
  <c r="I364" i="6"/>
  <c r="E364" i="6"/>
  <c r="F364" i="6"/>
  <c r="R1348" i="6" l="1"/>
  <c r="M1348" i="6" s="1"/>
  <c r="S1348" i="6" s="1"/>
  <c r="Q1349" i="6"/>
  <c r="N1349" i="6"/>
  <c r="O1350" i="6"/>
  <c r="P1350" i="6" s="1"/>
  <c r="AE364" i="6"/>
  <c r="AF364" i="6"/>
  <c r="H364" i="6"/>
  <c r="R1349" i="6" l="1"/>
  <c r="M1349" i="6" s="1"/>
  <c r="S1349" i="6" s="1"/>
  <c r="Q1350" i="6"/>
  <c r="N1350" i="6"/>
  <c r="O1351" i="6"/>
  <c r="P1351" i="6" s="1"/>
  <c r="I365" i="6"/>
  <c r="E365" i="6"/>
  <c r="F365" i="6"/>
  <c r="D365" i="6"/>
  <c r="H365" i="6" s="1"/>
  <c r="G365" i="6"/>
  <c r="R1350" i="6" l="1"/>
  <c r="M1350" i="6" s="1"/>
  <c r="S1350" i="6" s="1"/>
  <c r="Q1351" i="6"/>
  <c r="N1351" i="6"/>
  <c r="O1352" i="6"/>
  <c r="P1352" i="6" s="1"/>
  <c r="AE365" i="6"/>
  <c r="AF365" i="6"/>
  <c r="F366" i="6"/>
  <c r="D366" i="6"/>
  <c r="G366" i="6"/>
  <c r="E366" i="6"/>
  <c r="I366" i="6"/>
  <c r="R1351" i="6" l="1"/>
  <c r="M1351" i="6" s="1"/>
  <c r="S1351" i="6" s="1"/>
  <c r="Q1352" i="6"/>
  <c r="N1352" i="6"/>
  <c r="O1353" i="6"/>
  <c r="P1353" i="6" s="1"/>
  <c r="AE366" i="6"/>
  <c r="AF366" i="6"/>
  <c r="H366" i="6"/>
  <c r="R1352" i="6" l="1"/>
  <c r="M1352" i="6" s="1"/>
  <c r="S1352" i="6" s="1"/>
  <c r="Q1353" i="6"/>
  <c r="N1353" i="6"/>
  <c r="O1354" i="6"/>
  <c r="P1354" i="6" s="1"/>
  <c r="I367" i="6"/>
  <c r="F367" i="6"/>
  <c r="D367" i="6"/>
  <c r="H367" i="6" s="1"/>
  <c r="I368" i="6" s="1"/>
  <c r="E367" i="6"/>
  <c r="G367" i="6"/>
  <c r="R1353" i="6" l="1"/>
  <c r="M1353" i="6" s="1"/>
  <c r="S1353" i="6" s="1"/>
  <c r="Q1354" i="6"/>
  <c r="O1355" i="6"/>
  <c r="P1355" i="6" s="1"/>
  <c r="N1354" i="6"/>
  <c r="AE367" i="6"/>
  <c r="AF367" i="6"/>
  <c r="G368" i="6"/>
  <c r="E368" i="6"/>
  <c r="F368" i="6"/>
  <c r="D368" i="6"/>
  <c r="H368" i="6" s="1"/>
  <c r="D369" i="6" s="1"/>
  <c r="R1354" i="6" l="1"/>
  <c r="M1354" i="6" s="1"/>
  <c r="S1354" i="6" s="1"/>
  <c r="Q1355" i="6"/>
  <c r="N1355" i="6"/>
  <c r="O1356" i="6"/>
  <c r="P1356" i="6" s="1"/>
  <c r="AE368" i="6"/>
  <c r="AF368" i="6"/>
  <c r="I369" i="6"/>
  <c r="G369" i="6"/>
  <c r="F369" i="6"/>
  <c r="E369" i="6"/>
  <c r="R1355" i="6" l="1"/>
  <c r="M1355" i="6" s="1"/>
  <c r="S1355" i="6" s="1"/>
  <c r="Q1356" i="6"/>
  <c r="O1357" i="6"/>
  <c r="P1357" i="6" s="1"/>
  <c r="N1356" i="6"/>
  <c r="AE369" i="6"/>
  <c r="AF369" i="6"/>
  <c r="H369" i="6"/>
  <c r="G370" i="6"/>
  <c r="I370" i="6"/>
  <c r="D370" i="6"/>
  <c r="H370" i="6" s="1"/>
  <c r="E370" i="6"/>
  <c r="F370" i="6"/>
  <c r="R1356" i="6" l="1"/>
  <c r="M1356" i="6" s="1"/>
  <c r="S1356" i="6" s="1"/>
  <c r="Q1357" i="6"/>
  <c r="N1357" i="6"/>
  <c r="O1358" i="6"/>
  <c r="P1358" i="6" s="1"/>
  <c r="AE370" i="6"/>
  <c r="AF370" i="6"/>
  <c r="I371" i="6"/>
  <c r="G371" i="6"/>
  <c r="E371" i="6"/>
  <c r="F371" i="6"/>
  <c r="D371" i="6"/>
  <c r="R1357" i="6" l="1"/>
  <c r="M1357" i="6" s="1"/>
  <c r="S1357" i="6" s="1"/>
  <c r="Q1358" i="6"/>
  <c r="O1359" i="6"/>
  <c r="P1359" i="6" s="1"/>
  <c r="N1358" i="6"/>
  <c r="AE371" i="6"/>
  <c r="AF371" i="6"/>
  <c r="H371" i="6"/>
  <c r="E372" i="6" s="1"/>
  <c r="D372" i="6"/>
  <c r="H372" i="6" s="1"/>
  <c r="F372" i="6"/>
  <c r="I372" i="6"/>
  <c r="G372" i="6"/>
  <c r="R1358" i="6" l="1"/>
  <c r="M1358" i="6" s="1"/>
  <c r="S1358" i="6" s="1"/>
  <c r="Q1359" i="6"/>
  <c r="O1360" i="6"/>
  <c r="P1360" i="6" s="1"/>
  <c r="N1359" i="6"/>
  <c r="AE372" i="6"/>
  <c r="AF372" i="6"/>
  <c r="I373" i="6"/>
  <c r="F373" i="6"/>
  <c r="G373" i="6"/>
  <c r="D373" i="6"/>
  <c r="E373" i="6"/>
  <c r="R1359" i="6" l="1"/>
  <c r="M1359" i="6" s="1"/>
  <c r="S1359" i="6" s="1"/>
  <c r="Q1360" i="6"/>
  <c r="O1361" i="6"/>
  <c r="P1361" i="6" s="1"/>
  <c r="N1360" i="6"/>
  <c r="AE373" i="6"/>
  <c r="AF373" i="6"/>
  <c r="H373" i="6"/>
  <c r="R1360" i="6" l="1"/>
  <c r="M1360" i="6" s="1"/>
  <c r="S1360" i="6" s="1"/>
  <c r="Q1361" i="6"/>
  <c r="N1361" i="6"/>
  <c r="O1362" i="6"/>
  <c r="P1362" i="6" s="1"/>
  <c r="F374" i="6"/>
  <c r="E374" i="6"/>
  <c r="D374" i="6"/>
  <c r="G374" i="6"/>
  <c r="I374" i="6"/>
  <c r="R1361" i="6" l="1"/>
  <c r="M1361" i="6" s="1"/>
  <c r="S1361" i="6" s="1"/>
  <c r="Q1362" i="6"/>
  <c r="N1362" i="6"/>
  <c r="O1363" i="6"/>
  <c r="P1363" i="6" s="1"/>
  <c r="AE374" i="6"/>
  <c r="AF374" i="6"/>
  <c r="H374" i="6"/>
  <c r="D375" i="6" s="1"/>
  <c r="I375" i="6"/>
  <c r="E375" i="6"/>
  <c r="R1362" i="6" l="1"/>
  <c r="M1362" i="6" s="1"/>
  <c r="S1362" i="6" s="1"/>
  <c r="Q1363" i="6"/>
  <c r="N1363" i="6"/>
  <c r="O1364" i="6"/>
  <c r="P1364" i="6" s="1"/>
  <c r="G375" i="6"/>
  <c r="F375" i="6"/>
  <c r="R1363" i="6" l="1"/>
  <c r="M1363" i="6" s="1"/>
  <c r="S1363" i="6" s="1"/>
  <c r="Q1364" i="6"/>
  <c r="O1365" i="6"/>
  <c r="P1365" i="6" s="1"/>
  <c r="N1364" i="6"/>
  <c r="AE375" i="6"/>
  <c r="AF375" i="6"/>
  <c r="H375" i="6"/>
  <c r="I376" i="6"/>
  <c r="E376" i="6"/>
  <c r="F376" i="6"/>
  <c r="G376" i="6"/>
  <c r="D376" i="6"/>
  <c r="R1364" i="6" l="1"/>
  <c r="M1364" i="6" s="1"/>
  <c r="S1364" i="6" s="1"/>
  <c r="Q1365" i="6"/>
  <c r="N1365" i="6"/>
  <c r="O1366" i="6"/>
  <c r="P1366" i="6" s="1"/>
  <c r="AE376" i="6"/>
  <c r="AF376" i="6"/>
  <c r="H376" i="6"/>
  <c r="R1365" i="6" l="1"/>
  <c r="M1365" i="6" s="1"/>
  <c r="S1365" i="6" s="1"/>
  <c r="Q1366" i="6"/>
  <c r="N1366" i="6"/>
  <c r="O1367" i="6"/>
  <c r="P1367" i="6" s="1"/>
  <c r="D377" i="6"/>
  <c r="F377" i="6"/>
  <c r="G377" i="6"/>
  <c r="I377" i="6"/>
  <c r="E377" i="6"/>
  <c r="R1366" i="6" l="1"/>
  <c r="M1366" i="6" s="1"/>
  <c r="S1366" i="6" s="1"/>
  <c r="Q1367" i="6"/>
  <c r="N1367" i="6"/>
  <c r="O1368" i="6"/>
  <c r="P1368" i="6" s="1"/>
  <c r="AE377" i="6"/>
  <c r="AF377" i="6"/>
  <c r="H377" i="6"/>
  <c r="R1367" i="6" l="1"/>
  <c r="M1367" i="6" s="1"/>
  <c r="S1367" i="6" s="1"/>
  <c r="Q1368" i="6"/>
  <c r="O1369" i="6"/>
  <c r="P1369" i="6" s="1"/>
  <c r="N1368" i="6"/>
  <c r="I378" i="6"/>
  <c r="F378" i="6"/>
  <c r="D378" i="6"/>
  <c r="E378" i="6"/>
  <c r="G378" i="6"/>
  <c r="R1368" i="6" l="1"/>
  <c r="M1368" i="6" s="1"/>
  <c r="S1368" i="6" s="1"/>
  <c r="Q1369" i="6"/>
  <c r="N1369" i="6"/>
  <c r="O1370" i="6"/>
  <c r="P1370" i="6" s="1"/>
  <c r="AE378" i="6"/>
  <c r="AF378" i="6"/>
  <c r="H378" i="6"/>
  <c r="I379" i="6" s="1"/>
  <c r="E379" i="6"/>
  <c r="D379" i="6"/>
  <c r="F379" i="6"/>
  <c r="R1369" i="6" l="1"/>
  <c r="M1369" i="6" s="1"/>
  <c r="S1369" i="6" s="1"/>
  <c r="Q1370" i="6"/>
  <c r="O1371" i="6"/>
  <c r="P1371" i="6" s="1"/>
  <c r="N1370" i="6"/>
  <c r="G379" i="6"/>
  <c r="R1370" i="6" l="1"/>
  <c r="M1370" i="6" s="1"/>
  <c r="S1370" i="6" s="1"/>
  <c r="Q1371" i="6"/>
  <c r="N1371" i="6"/>
  <c r="O1372" i="6"/>
  <c r="P1372" i="6" s="1"/>
  <c r="AE379" i="6"/>
  <c r="AF379" i="6"/>
  <c r="H379" i="6"/>
  <c r="I380" i="6" s="1"/>
  <c r="D380" i="6"/>
  <c r="G380" i="6"/>
  <c r="E380" i="6"/>
  <c r="R1371" i="6" l="1"/>
  <c r="M1371" i="6" s="1"/>
  <c r="S1371" i="6" s="1"/>
  <c r="Q1372" i="6"/>
  <c r="N1372" i="6"/>
  <c r="O1373" i="6"/>
  <c r="P1373" i="6" s="1"/>
  <c r="AE380" i="6"/>
  <c r="AF380" i="6"/>
  <c r="F380" i="6"/>
  <c r="H380" i="6"/>
  <c r="R1372" i="6" l="1"/>
  <c r="M1372" i="6" s="1"/>
  <c r="S1372" i="6" s="1"/>
  <c r="Q1373" i="6"/>
  <c r="N1373" i="6"/>
  <c r="O1374" i="6"/>
  <c r="P1374" i="6" s="1"/>
  <c r="I381" i="6"/>
  <c r="G381" i="6"/>
  <c r="F381" i="6"/>
  <c r="D381" i="6"/>
  <c r="E381" i="6"/>
  <c r="R1373" i="6" l="1"/>
  <c r="M1373" i="6" s="1"/>
  <c r="S1373" i="6" s="1"/>
  <c r="Q1374" i="6"/>
  <c r="N1374" i="6"/>
  <c r="O1375" i="6"/>
  <c r="P1375" i="6" s="1"/>
  <c r="AE381" i="6"/>
  <c r="AF381" i="6"/>
  <c r="H381" i="6"/>
  <c r="E382" i="6"/>
  <c r="D382" i="6"/>
  <c r="H382" i="6" s="1"/>
  <c r="F382" i="6"/>
  <c r="I382" i="6"/>
  <c r="G382" i="6"/>
  <c r="R1374" i="6" l="1"/>
  <c r="M1374" i="6" s="1"/>
  <c r="S1374" i="6" s="1"/>
  <c r="Q1375" i="6"/>
  <c r="O1376" i="6"/>
  <c r="P1376" i="6" s="1"/>
  <c r="N1375" i="6"/>
  <c r="AE382" i="6"/>
  <c r="AF382" i="6"/>
  <c r="D383" i="6"/>
  <c r="E383" i="6"/>
  <c r="I383" i="6"/>
  <c r="F383" i="6"/>
  <c r="G383" i="6"/>
  <c r="R1375" i="6" l="1"/>
  <c r="M1375" i="6" s="1"/>
  <c r="S1375" i="6" s="1"/>
  <c r="Q1376" i="6"/>
  <c r="N1376" i="6"/>
  <c r="O1377" i="6"/>
  <c r="P1377" i="6" s="1"/>
  <c r="AE383" i="6"/>
  <c r="AF383" i="6"/>
  <c r="H383" i="6"/>
  <c r="I384" i="6"/>
  <c r="E384" i="6"/>
  <c r="D384" i="6"/>
  <c r="G384" i="6"/>
  <c r="F384" i="6"/>
  <c r="R1376" i="6" l="1"/>
  <c r="M1376" i="6" s="1"/>
  <c r="S1376" i="6" s="1"/>
  <c r="Q1377" i="6"/>
  <c r="N1377" i="6"/>
  <c r="O1378" i="6"/>
  <c r="P1378" i="6" s="1"/>
  <c r="AE384" i="6"/>
  <c r="AF384" i="6"/>
  <c r="H384" i="6"/>
  <c r="R1377" i="6" l="1"/>
  <c r="M1377" i="6" s="1"/>
  <c r="S1377" i="6" s="1"/>
  <c r="Q1378" i="6"/>
  <c r="O1379" i="6"/>
  <c r="P1379" i="6" s="1"/>
  <c r="N1378" i="6"/>
  <c r="F385" i="6"/>
  <c r="E385" i="6"/>
  <c r="D385" i="6"/>
  <c r="I385" i="6"/>
  <c r="G385" i="6"/>
  <c r="R1378" i="6" l="1"/>
  <c r="M1378" i="6" s="1"/>
  <c r="S1378" i="6" s="1"/>
  <c r="Q1379" i="6"/>
  <c r="N1379" i="6"/>
  <c r="O1380" i="6"/>
  <c r="P1380" i="6" s="1"/>
  <c r="AE385" i="6"/>
  <c r="AF385" i="6"/>
  <c r="H385" i="6"/>
  <c r="I386" i="6" s="1"/>
  <c r="E386" i="6"/>
  <c r="D386" i="6"/>
  <c r="F386" i="6"/>
  <c r="R1379" i="6" l="1"/>
  <c r="M1379" i="6" s="1"/>
  <c r="S1379" i="6" s="1"/>
  <c r="Q1380" i="6"/>
  <c r="O1381" i="6"/>
  <c r="P1381" i="6" s="1"/>
  <c r="N1380" i="6"/>
  <c r="G386" i="6"/>
  <c r="R1380" i="6" l="1"/>
  <c r="M1380" i="6" s="1"/>
  <c r="S1380" i="6" s="1"/>
  <c r="Q1381" i="6"/>
  <c r="N1381" i="6"/>
  <c r="O1382" i="6"/>
  <c r="P1382" i="6" s="1"/>
  <c r="AE386" i="6"/>
  <c r="AF386" i="6"/>
  <c r="H386" i="6"/>
  <c r="R1381" i="6" l="1"/>
  <c r="M1381" i="6" s="1"/>
  <c r="S1381" i="6" s="1"/>
  <c r="Q1382" i="6"/>
  <c r="O1383" i="6"/>
  <c r="P1383" i="6" s="1"/>
  <c r="N1382" i="6"/>
  <c r="I387" i="6"/>
  <c r="F387" i="6"/>
  <c r="G387" i="6"/>
  <c r="D387" i="6"/>
  <c r="E387" i="6"/>
  <c r="R1382" i="6" l="1"/>
  <c r="M1382" i="6" s="1"/>
  <c r="S1382" i="6" s="1"/>
  <c r="Q1383" i="6"/>
  <c r="N1383" i="6"/>
  <c r="O1384" i="6"/>
  <c r="P1384" i="6" s="1"/>
  <c r="AE387" i="6"/>
  <c r="AF387" i="6"/>
  <c r="H387" i="6"/>
  <c r="R1383" i="6" l="1"/>
  <c r="M1383" i="6" s="1"/>
  <c r="S1383" i="6" s="1"/>
  <c r="Q1384" i="6"/>
  <c r="O1385" i="6"/>
  <c r="P1385" i="6" s="1"/>
  <c r="N1384" i="6"/>
  <c r="G388" i="6"/>
  <c r="D388" i="6"/>
  <c r="H388" i="6" s="1"/>
  <c r="F388" i="6"/>
  <c r="I388" i="6"/>
  <c r="E388" i="6"/>
  <c r="R1384" i="6" l="1"/>
  <c r="M1384" i="6" s="1"/>
  <c r="S1384" i="6" s="1"/>
  <c r="Q1385" i="6"/>
  <c r="N1385" i="6"/>
  <c r="O1386" i="6"/>
  <c r="P1386" i="6" s="1"/>
  <c r="AE388" i="6"/>
  <c r="AF388" i="6"/>
  <c r="I389" i="6"/>
  <c r="E389" i="6"/>
  <c r="F389" i="6"/>
  <c r="D389" i="6"/>
  <c r="H389" i="6" s="1"/>
  <c r="G389" i="6"/>
  <c r="R1385" i="6" l="1"/>
  <c r="M1385" i="6" s="1"/>
  <c r="S1385" i="6" s="1"/>
  <c r="Q1386" i="6"/>
  <c r="O1387" i="6"/>
  <c r="P1387" i="6" s="1"/>
  <c r="N1386" i="6"/>
  <c r="AE389" i="6"/>
  <c r="AF389" i="6"/>
  <c r="D390" i="6"/>
  <c r="H390" i="6" s="1"/>
  <c r="I390" i="6"/>
  <c r="E390" i="6"/>
  <c r="F390" i="6"/>
  <c r="G390" i="6"/>
  <c r="R1386" i="6" l="1"/>
  <c r="M1386" i="6" s="1"/>
  <c r="S1386" i="6" s="1"/>
  <c r="Q1387" i="6"/>
  <c r="N1387" i="6"/>
  <c r="O1388" i="6"/>
  <c r="P1388" i="6" s="1"/>
  <c r="AE390" i="6"/>
  <c r="AF390" i="6"/>
  <c r="F391" i="6"/>
  <c r="D391" i="6"/>
  <c r="H391" i="6" s="1"/>
  <c r="G391" i="6"/>
  <c r="I391" i="6"/>
  <c r="E391" i="6"/>
  <c r="R1387" i="6" l="1"/>
  <c r="M1387" i="6" s="1"/>
  <c r="S1387" i="6" s="1"/>
  <c r="Q1388" i="6"/>
  <c r="O1389" i="6"/>
  <c r="P1389" i="6" s="1"/>
  <c r="N1388" i="6"/>
  <c r="AE391" i="6"/>
  <c r="AF391" i="6"/>
  <c r="F392" i="6"/>
  <c r="D392" i="6"/>
  <c r="E392" i="6"/>
  <c r="I392" i="6"/>
  <c r="G392" i="6"/>
  <c r="R1388" i="6" l="1"/>
  <c r="M1388" i="6" s="1"/>
  <c r="S1388" i="6" s="1"/>
  <c r="Q1389" i="6"/>
  <c r="N1389" i="6"/>
  <c r="O1390" i="6"/>
  <c r="P1390" i="6" s="1"/>
  <c r="AE392" i="6"/>
  <c r="AF392" i="6"/>
  <c r="H392" i="6"/>
  <c r="I393" i="6" s="1"/>
  <c r="E393" i="6"/>
  <c r="D393" i="6"/>
  <c r="F393" i="6"/>
  <c r="R1389" i="6" l="1"/>
  <c r="M1389" i="6" s="1"/>
  <c r="S1389" i="6" s="1"/>
  <c r="Q1390" i="6"/>
  <c r="O1391" i="6"/>
  <c r="P1391" i="6" s="1"/>
  <c r="N1390" i="6"/>
  <c r="G393" i="6"/>
  <c r="R1390" i="6" l="1"/>
  <c r="M1390" i="6" s="1"/>
  <c r="S1390" i="6" s="1"/>
  <c r="Q1391" i="6"/>
  <c r="O1392" i="6"/>
  <c r="P1392" i="6" s="1"/>
  <c r="N1391" i="6"/>
  <c r="AE393" i="6"/>
  <c r="AF393" i="6"/>
  <c r="H393" i="6"/>
  <c r="E394" i="6" s="1"/>
  <c r="F394" i="6"/>
  <c r="G394" i="6"/>
  <c r="I394" i="6"/>
  <c r="D394" i="6"/>
  <c r="R1391" i="6" l="1"/>
  <c r="M1391" i="6" s="1"/>
  <c r="S1391" i="6" s="1"/>
  <c r="Q1392" i="6"/>
  <c r="N1392" i="6"/>
  <c r="O1393" i="6"/>
  <c r="P1393" i="6" s="1"/>
  <c r="AE394" i="6"/>
  <c r="AF394" i="6"/>
  <c r="H394" i="6"/>
  <c r="R1392" i="6" l="1"/>
  <c r="M1392" i="6" s="1"/>
  <c r="S1392" i="6" s="1"/>
  <c r="Q1393" i="6"/>
  <c r="N1393" i="6"/>
  <c r="O1394" i="6"/>
  <c r="P1394" i="6" s="1"/>
  <c r="F395" i="6"/>
  <c r="G395" i="6"/>
  <c r="E395" i="6"/>
  <c r="D395" i="6"/>
  <c r="I395" i="6"/>
  <c r="R1393" i="6" l="1"/>
  <c r="M1393" i="6" s="1"/>
  <c r="S1393" i="6" s="1"/>
  <c r="Q1394" i="6"/>
  <c r="N1394" i="6"/>
  <c r="O1395" i="6"/>
  <c r="P1395" i="6" s="1"/>
  <c r="AE395" i="6"/>
  <c r="AF395" i="6"/>
  <c r="H395" i="6"/>
  <c r="R1394" i="6" l="1"/>
  <c r="M1394" i="6" s="1"/>
  <c r="S1394" i="6" s="1"/>
  <c r="Q1395" i="6"/>
  <c r="N1395" i="6"/>
  <c r="O1396" i="6"/>
  <c r="P1396" i="6" s="1"/>
  <c r="G396" i="6"/>
  <c r="D396" i="6"/>
  <c r="H396" i="6" s="1"/>
  <c r="F396" i="6"/>
  <c r="E396" i="6"/>
  <c r="I396" i="6"/>
  <c r="R1395" i="6" l="1"/>
  <c r="M1395" i="6" s="1"/>
  <c r="S1395" i="6" s="1"/>
  <c r="Q1396" i="6"/>
  <c r="N1396" i="6"/>
  <c r="O1397" i="6"/>
  <c r="P1397" i="6" s="1"/>
  <c r="AE396" i="6"/>
  <c r="AF396" i="6"/>
  <c r="I397" i="6"/>
  <c r="G397" i="6"/>
  <c r="F397" i="6"/>
  <c r="E397" i="6"/>
  <c r="D397" i="6"/>
  <c r="R1396" i="6" l="1"/>
  <c r="M1396" i="6" s="1"/>
  <c r="S1396" i="6" s="1"/>
  <c r="Q1397" i="6"/>
  <c r="N1397" i="6"/>
  <c r="O1398" i="6"/>
  <c r="P1398" i="6" s="1"/>
  <c r="AE397" i="6"/>
  <c r="AF397" i="6"/>
  <c r="H397" i="6"/>
  <c r="R1397" i="6" l="1"/>
  <c r="M1397" i="6" s="1"/>
  <c r="S1397" i="6" s="1"/>
  <c r="Q1398" i="6"/>
  <c r="N1398" i="6"/>
  <c r="O1399" i="6"/>
  <c r="P1399" i="6" s="1"/>
  <c r="I398" i="6"/>
  <c r="E398" i="6"/>
  <c r="F398" i="6"/>
  <c r="D398" i="6"/>
  <c r="H398" i="6" s="1"/>
  <c r="G398" i="6"/>
  <c r="R1398" i="6" l="1"/>
  <c r="M1398" i="6" s="1"/>
  <c r="S1398" i="6" s="1"/>
  <c r="Q1399" i="6"/>
  <c r="N1399" i="6"/>
  <c r="O1400" i="6"/>
  <c r="P1400" i="6" s="1"/>
  <c r="AE398" i="6"/>
  <c r="AF398" i="6"/>
  <c r="D399" i="6"/>
  <c r="H399" i="6" s="1"/>
  <c r="E399" i="6"/>
  <c r="F399" i="6"/>
  <c r="G399" i="6"/>
  <c r="I399" i="6"/>
  <c r="R1399" i="6" l="1"/>
  <c r="M1399" i="6" s="1"/>
  <c r="S1399" i="6" s="1"/>
  <c r="Q1400" i="6"/>
  <c r="O1401" i="6"/>
  <c r="P1401" i="6" s="1"/>
  <c r="N1400" i="6"/>
  <c r="AE399" i="6"/>
  <c r="AF399" i="6"/>
  <c r="I400" i="6"/>
  <c r="E400" i="6"/>
  <c r="F400" i="6"/>
  <c r="D400" i="6"/>
  <c r="H400" i="6" s="1"/>
  <c r="G400" i="6"/>
  <c r="R1400" i="6" l="1"/>
  <c r="M1400" i="6" s="1"/>
  <c r="S1400" i="6" s="1"/>
  <c r="Q1401" i="6"/>
  <c r="N1401" i="6"/>
  <c r="O1402" i="6"/>
  <c r="P1402" i="6" s="1"/>
  <c r="AE400" i="6"/>
  <c r="AF400" i="6"/>
  <c r="D401" i="6"/>
  <c r="I401" i="6"/>
  <c r="F401" i="6"/>
  <c r="E401" i="6"/>
  <c r="G401" i="6"/>
  <c r="R1401" i="6" l="1"/>
  <c r="M1401" i="6" s="1"/>
  <c r="S1401" i="6" s="1"/>
  <c r="Q1402" i="6"/>
  <c r="N1402" i="6"/>
  <c r="O1403" i="6"/>
  <c r="P1403" i="6" s="1"/>
  <c r="AE401" i="6"/>
  <c r="AF401" i="6"/>
  <c r="H401" i="6"/>
  <c r="I402" i="6" s="1"/>
  <c r="F402" i="6"/>
  <c r="G402" i="6"/>
  <c r="D402" i="6"/>
  <c r="H402" i="6" s="1"/>
  <c r="E402" i="6"/>
  <c r="R1402" i="6" l="1"/>
  <c r="M1402" i="6" s="1"/>
  <c r="S1402" i="6" s="1"/>
  <c r="Q1403" i="6"/>
  <c r="N1403" i="6"/>
  <c r="O1404" i="6"/>
  <c r="P1404" i="6" s="1"/>
  <c r="AE402" i="6"/>
  <c r="AF402" i="6"/>
  <c r="E403" i="6"/>
  <c r="D403" i="6"/>
  <c r="F403" i="6"/>
  <c r="I403" i="6"/>
  <c r="G403" i="6"/>
  <c r="R1403" i="6" l="1"/>
  <c r="M1403" i="6" s="1"/>
  <c r="S1403" i="6" s="1"/>
  <c r="Q1404" i="6"/>
  <c r="N1404" i="6"/>
  <c r="O1405" i="6"/>
  <c r="P1405" i="6" s="1"/>
  <c r="AE403" i="6"/>
  <c r="AF403" i="6"/>
  <c r="H403" i="6"/>
  <c r="R1404" i="6" l="1"/>
  <c r="M1404" i="6" s="1"/>
  <c r="S1404" i="6" s="1"/>
  <c r="Q1405" i="6"/>
  <c r="N1405" i="6"/>
  <c r="O1406" i="6"/>
  <c r="P1406" i="6" s="1"/>
  <c r="F404" i="6"/>
  <c r="I404" i="6"/>
  <c r="E404" i="6"/>
  <c r="G404" i="6"/>
  <c r="D404" i="6"/>
  <c r="R1405" i="6" l="1"/>
  <c r="M1405" i="6" s="1"/>
  <c r="S1405" i="6" s="1"/>
  <c r="Q1406" i="6"/>
  <c r="O1407" i="6"/>
  <c r="P1407" i="6" s="1"/>
  <c r="N1406" i="6"/>
  <c r="AE404" i="6"/>
  <c r="AF404" i="6"/>
  <c r="H404" i="6"/>
  <c r="R1406" i="6" l="1"/>
  <c r="M1406" i="6" s="1"/>
  <c r="S1406" i="6" s="1"/>
  <c r="Q1407" i="6"/>
  <c r="O1408" i="6"/>
  <c r="P1408" i="6" s="1"/>
  <c r="N1407" i="6"/>
  <c r="I405" i="6"/>
  <c r="G405" i="6"/>
  <c r="F405" i="6"/>
  <c r="E405" i="6"/>
  <c r="D405" i="6"/>
  <c r="H405" i="6" s="1"/>
  <c r="R1407" i="6" l="1"/>
  <c r="M1407" i="6" s="1"/>
  <c r="S1407" i="6" s="1"/>
  <c r="Q1408" i="6"/>
  <c r="O1409" i="6"/>
  <c r="P1409" i="6" s="1"/>
  <c r="N1408" i="6"/>
  <c r="AE405" i="6"/>
  <c r="AF405" i="6"/>
  <c r="D406" i="6"/>
  <c r="G406" i="6"/>
  <c r="I406" i="6"/>
  <c r="E406" i="6"/>
  <c r="F406" i="6"/>
  <c r="R1408" i="6" l="1"/>
  <c r="M1408" i="6" s="1"/>
  <c r="S1408" i="6" s="1"/>
  <c r="Q1409" i="6"/>
  <c r="N1409" i="6"/>
  <c r="O1410" i="6"/>
  <c r="P1410" i="6" s="1"/>
  <c r="AE406" i="6"/>
  <c r="AF406" i="6"/>
  <c r="H406" i="6"/>
  <c r="R1409" i="6" l="1"/>
  <c r="M1409" i="6" s="1"/>
  <c r="S1409" i="6" s="1"/>
  <c r="Q1410" i="6"/>
  <c r="N1410" i="6"/>
  <c r="O1411" i="6"/>
  <c r="P1411" i="6" s="1"/>
  <c r="F407" i="6"/>
  <c r="E407" i="6"/>
  <c r="G407" i="6"/>
  <c r="D407" i="6"/>
  <c r="H407" i="6" s="1"/>
  <c r="I407" i="6"/>
  <c r="R1410" i="6" l="1"/>
  <c r="M1410" i="6" s="1"/>
  <c r="S1410" i="6" s="1"/>
  <c r="Q1411" i="6"/>
  <c r="N1411" i="6"/>
  <c r="O1412" i="6"/>
  <c r="P1412" i="6" s="1"/>
  <c r="AE407" i="6"/>
  <c r="AF407" i="6"/>
  <c r="D408" i="6"/>
  <c r="H408" i="6" s="1"/>
  <c r="I408" i="6"/>
  <c r="F408" i="6"/>
  <c r="E408" i="6"/>
  <c r="G408" i="6"/>
  <c r="R1411" i="6" l="1"/>
  <c r="M1411" i="6" s="1"/>
  <c r="S1411" i="6" s="1"/>
  <c r="Q1412" i="6"/>
  <c r="O1413" i="6"/>
  <c r="P1413" i="6" s="1"/>
  <c r="N1412" i="6"/>
  <c r="AE408" i="6"/>
  <c r="AF408" i="6"/>
  <c r="D409" i="6"/>
  <c r="H409" i="6" s="1"/>
  <c r="I410" i="6" s="1"/>
  <c r="G409" i="6"/>
  <c r="I409" i="6"/>
  <c r="E409" i="6"/>
  <c r="F409" i="6"/>
  <c r="R1412" i="6" l="1"/>
  <c r="M1412" i="6" s="1"/>
  <c r="S1412" i="6" s="1"/>
  <c r="Q1413" i="6"/>
  <c r="O1414" i="6"/>
  <c r="P1414" i="6" s="1"/>
  <c r="N1413" i="6"/>
  <c r="AE409" i="6"/>
  <c r="AF409" i="6"/>
  <c r="F410" i="6"/>
  <c r="D410" i="6"/>
  <c r="H410" i="6" s="1"/>
  <c r="G410" i="6"/>
  <c r="E410" i="6"/>
  <c r="R1413" i="6" l="1"/>
  <c r="M1413" i="6" s="1"/>
  <c r="S1413" i="6" s="1"/>
  <c r="Q1414" i="6"/>
  <c r="N1414" i="6"/>
  <c r="O1415" i="6"/>
  <c r="P1415" i="6" s="1"/>
  <c r="AE410" i="6"/>
  <c r="AF410" i="6"/>
  <c r="E411" i="6"/>
  <c r="I411" i="6"/>
  <c r="D411" i="6"/>
  <c r="G411" i="6"/>
  <c r="F411" i="6"/>
  <c r="R1414" i="6" l="1"/>
  <c r="M1414" i="6" s="1"/>
  <c r="S1414" i="6" s="1"/>
  <c r="Q1415" i="6"/>
  <c r="O1416" i="6"/>
  <c r="P1416" i="6" s="1"/>
  <c r="N1415" i="6"/>
  <c r="AE411" i="6"/>
  <c r="AF411" i="6"/>
  <c r="H411" i="6"/>
  <c r="R1415" i="6" l="1"/>
  <c r="M1415" i="6" s="1"/>
  <c r="S1415" i="6" s="1"/>
  <c r="Q1416" i="6"/>
  <c r="O1417" i="6"/>
  <c r="P1417" i="6" s="1"/>
  <c r="N1416" i="6"/>
  <c r="I412" i="6"/>
  <c r="D412" i="6"/>
  <c r="E412" i="6"/>
  <c r="G412" i="6"/>
  <c r="F412" i="6"/>
  <c r="R1416" i="6" l="1"/>
  <c r="M1416" i="6" s="1"/>
  <c r="S1416" i="6" s="1"/>
  <c r="Q1417" i="6"/>
  <c r="N1417" i="6"/>
  <c r="O1418" i="6"/>
  <c r="P1418" i="6" s="1"/>
  <c r="AE412" i="6"/>
  <c r="AF412" i="6"/>
  <c r="H412" i="6"/>
  <c r="R1417" i="6" l="1"/>
  <c r="M1417" i="6" s="1"/>
  <c r="S1417" i="6" s="1"/>
  <c r="Q1418" i="6"/>
  <c r="N1418" i="6"/>
  <c r="O1419" i="6"/>
  <c r="P1419" i="6" s="1"/>
  <c r="I413" i="6"/>
  <c r="G413" i="6"/>
  <c r="F413" i="6"/>
  <c r="E413" i="6"/>
  <c r="D413" i="6"/>
  <c r="H413" i="6" s="1"/>
  <c r="R1418" i="6" l="1"/>
  <c r="M1418" i="6" s="1"/>
  <c r="S1418" i="6" s="1"/>
  <c r="Q1419" i="6"/>
  <c r="N1419" i="6"/>
  <c r="O1420" i="6"/>
  <c r="P1420" i="6" s="1"/>
  <c r="AE413" i="6"/>
  <c r="AF413" i="6"/>
  <c r="F414" i="6"/>
  <c r="I414" i="6"/>
  <c r="D414" i="6"/>
  <c r="H414" i="6" s="1"/>
  <c r="E414" i="6"/>
  <c r="G414" i="6"/>
  <c r="R1419" i="6" l="1"/>
  <c r="M1419" i="6" s="1"/>
  <c r="S1419" i="6" s="1"/>
  <c r="Q1420" i="6"/>
  <c r="N1420" i="6"/>
  <c r="O1421" i="6"/>
  <c r="P1421" i="6" s="1"/>
  <c r="AE414" i="6"/>
  <c r="AF414" i="6"/>
  <c r="I415" i="6"/>
  <c r="G415" i="6"/>
  <c r="E415" i="6"/>
  <c r="F415" i="6"/>
  <c r="D415" i="6"/>
  <c r="H415" i="6" s="1"/>
  <c r="R1420" i="6" l="1"/>
  <c r="M1420" i="6" s="1"/>
  <c r="S1420" i="6" s="1"/>
  <c r="Q1421" i="6"/>
  <c r="N1421" i="6"/>
  <c r="O1422" i="6"/>
  <c r="P1422" i="6" s="1"/>
  <c r="AE415" i="6"/>
  <c r="AF415" i="6"/>
  <c r="F416" i="6"/>
  <c r="E416" i="6"/>
  <c r="I416" i="6"/>
  <c r="G416" i="6"/>
  <c r="D416" i="6"/>
  <c r="R1421" i="6" l="1"/>
  <c r="M1421" i="6" s="1"/>
  <c r="S1421" i="6" s="1"/>
  <c r="Q1422" i="6"/>
  <c r="O1423" i="6"/>
  <c r="P1423" i="6" s="1"/>
  <c r="N1422" i="6"/>
  <c r="AE416" i="6"/>
  <c r="AF416" i="6"/>
  <c r="H416" i="6"/>
  <c r="R1422" i="6" l="1"/>
  <c r="M1422" i="6" s="1"/>
  <c r="S1422" i="6" s="1"/>
  <c r="Q1423" i="6"/>
  <c r="O1424" i="6"/>
  <c r="P1424" i="6" s="1"/>
  <c r="N1423" i="6"/>
  <c r="I417" i="6"/>
  <c r="E417" i="6"/>
  <c r="F417" i="6"/>
  <c r="D417" i="6"/>
  <c r="H417" i="6" s="1"/>
  <c r="G417" i="6"/>
  <c r="R1423" i="6" l="1"/>
  <c r="M1423" i="6" s="1"/>
  <c r="S1423" i="6" s="1"/>
  <c r="Q1424" i="6"/>
  <c r="O1425" i="6"/>
  <c r="P1425" i="6" s="1"/>
  <c r="N1424" i="6"/>
  <c r="AE417" i="6"/>
  <c r="AF417" i="6"/>
  <c r="E418" i="6"/>
  <c r="D418" i="6"/>
  <c r="H418" i="6" s="1"/>
  <c r="G418" i="6"/>
  <c r="I418" i="6"/>
  <c r="F418" i="6"/>
  <c r="R1424" i="6" l="1"/>
  <c r="M1424" i="6" s="1"/>
  <c r="S1424" i="6" s="1"/>
  <c r="Q1425" i="6"/>
  <c r="N1425" i="6"/>
  <c r="O1426" i="6"/>
  <c r="P1426" i="6" s="1"/>
  <c r="AE418" i="6"/>
  <c r="AF418" i="6"/>
  <c r="I419" i="6"/>
  <c r="G419" i="6"/>
  <c r="D419" i="6"/>
  <c r="H419" i="6" s="1"/>
  <c r="E419" i="6"/>
  <c r="F419" i="6"/>
  <c r="R1425" i="6" l="1"/>
  <c r="M1425" i="6" s="1"/>
  <c r="S1425" i="6" s="1"/>
  <c r="Q1426" i="6"/>
  <c r="N1426" i="6"/>
  <c r="O1427" i="6"/>
  <c r="P1427" i="6" s="1"/>
  <c r="AE419" i="6"/>
  <c r="AF419" i="6"/>
  <c r="F420" i="6"/>
  <c r="D420" i="6"/>
  <c r="H420" i="6" s="1"/>
  <c r="G420" i="6"/>
  <c r="I420" i="6"/>
  <c r="E420" i="6"/>
  <c r="R1426" i="6" l="1"/>
  <c r="M1426" i="6" s="1"/>
  <c r="S1426" i="6" s="1"/>
  <c r="Q1427" i="6"/>
  <c r="N1427" i="6"/>
  <c r="O1428" i="6"/>
  <c r="P1428" i="6" s="1"/>
  <c r="AE420" i="6"/>
  <c r="AF420" i="6"/>
  <c r="D421" i="6"/>
  <c r="H421" i="6" s="1"/>
  <c r="G421" i="6"/>
  <c r="I421" i="6"/>
  <c r="E421" i="6"/>
  <c r="F421" i="6"/>
  <c r="R1427" i="6" l="1"/>
  <c r="M1427" i="6" s="1"/>
  <c r="S1427" i="6" s="1"/>
  <c r="Q1428" i="6"/>
  <c r="O1429" i="6"/>
  <c r="P1429" i="6" s="1"/>
  <c r="N1428" i="6"/>
  <c r="AE421" i="6"/>
  <c r="AF421" i="6"/>
  <c r="G422" i="6"/>
  <c r="I422" i="6"/>
  <c r="E422" i="6"/>
  <c r="D422" i="6"/>
  <c r="H422" i="6" s="1"/>
  <c r="F422" i="6"/>
  <c r="R1428" i="6" l="1"/>
  <c r="M1428" i="6" s="1"/>
  <c r="S1428" i="6" s="1"/>
  <c r="Q1429" i="6"/>
  <c r="N1429" i="6"/>
  <c r="O1430" i="6"/>
  <c r="P1430" i="6" s="1"/>
  <c r="AE422" i="6"/>
  <c r="AF422" i="6"/>
  <c r="I423" i="6"/>
  <c r="E423" i="6"/>
  <c r="G423" i="6"/>
  <c r="AF423" i="6" s="1"/>
  <c r="D423" i="6"/>
  <c r="H423" i="6" s="1"/>
  <c r="F423" i="6"/>
  <c r="R1429" i="6" l="1"/>
  <c r="M1429" i="6" s="1"/>
  <c r="S1429" i="6" s="1"/>
  <c r="Q1430" i="6"/>
  <c r="O1431" i="6"/>
  <c r="P1431" i="6" s="1"/>
  <c r="N1430" i="6"/>
  <c r="AE423" i="6"/>
  <c r="I424" i="6"/>
  <c r="E424" i="6"/>
  <c r="F424" i="6"/>
  <c r="G424" i="6"/>
  <c r="AF424" i="6" s="1"/>
  <c r="D424" i="6"/>
  <c r="R1430" i="6" l="1"/>
  <c r="M1430" i="6" s="1"/>
  <c r="S1430" i="6" s="1"/>
  <c r="Q1431" i="6"/>
  <c r="N1431" i="6"/>
  <c r="O1432" i="6"/>
  <c r="P1432" i="6" s="1"/>
  <c r="H424" i="6"/>
  <c r="AE424" i="6"/>
  <c r="R1431" i="6" l="1"/>
  <c r="M1431" i="6" s="1"/>
  <c r="S1431" i="6" s="1"/>
  <c r="Q1432" i="6"/>
  <c r="N1432" i="6"/>
  <c r="O1433" i="6"/>
  <c r="P1433" i="6" s="1"/>
  <c r="E425" i="6"/>
  <c r="I425" i="6"/>
  <c r="D425" i="6"/>
  <c r="H425" i="6" s="1"/>
  <c r="F425" i="6"/>
  <c r="G425" i="6"/>
  <c r="R1432" i="6" l="1"/>
  <c r="M1432" i="6" s="1"/>
  <c r="S1432" i="6" s="1"/>
  <c r="Q1433" i="6"/>
  <c r="N1433" i="6"/>
  <c r="O1434" i="6"/>
  <c r="P1434" i="6" s="1"/>
  <c r="AE425" i="6"/>
  <c r="AF425" i="6"/>
  <c r="E426" i="6"/>
  <c r="F426" i="6"/>
  <c r="G426" i="6"/>
  <c r="I426" i="6"/>
  <c r="D426" i="6"/>
  <c r="H426" i="6" s="1"/>
  <c r="R1433" i="6" l="1"/>
  <c r="M1433" i="6" s="1"/>
  <c r="S1433" i="6" s="1"/>
  <c r="Q1434" i="6"/>
  <c r="O1435" i="6"/>
  <c r="P1435" i="6" s="1"/>
  <c r="N1434" i="6"/>
  <c r="AE426" i="6"/>
  <c r="AF426" i="6"/>
  <c r="D427" i="6"/>
  <c r="F427" i="6"/>
  <c r="E427" i="6"/>
  <c r="G427" i="6"/>
  <c r="I427" i="6"/>
  <c r="R1434" i="6" l="1"/>
  <c r="M1434" i="6" s="1"/>
  <c r="S1434" i="6" s="1"/>
  <c r="Q1435" i="6"/>
  <c r="N1435" i="6"/>
  <c r="O1436" i="6"/>
  <c r="P1436" i="6" s="1"/>
  <c r="AE427" i="6"/>
  <c r="AF427" i="6"/>
  <c r="H427" i="6"/>
  <c r="R1435" i="6" l="1"/>
  <c r="M1435" i="6" s="1"/>
  <c r="S1435" i="6" s="1"/>
  <c r="Q1436" i="6"/>
  <c r="N1436" i="6"/>
  <c r="O1437" i="6"/>
  <c r="P1437" i="6" s="1"/>
  <c r="E428" i="6"/>
  <c r="F428" i="6"/>
  <c r="D428" i="6"/>
  <c r="H428" i="6" s="1"/>
  <c r="I428" i="6"/>
  <c r="G428" i="6"/>
  <c r="R1436" i="6" l="1"/>
  <c r="M1436" i="6" s="1"/>
  <c r="S1436" i="6" s="1"/>
  <c r="Q1437" i="6"/>
  <c r="N1437" i="6"/>
  <c r="O1438" i="6"/>
  <c r="P1438" i="6" s="1"/>
  <c r="AE428" i="6"/>
  <c r="AF428" i="6"/>
  <c r="D429" i="6"/>
  <c r="H429" i="6" s="1"/>
  <c r="I429" i="6"/>
  <c r="F429" i="6"/>
  <c r="E429" i="6"/>
  <c r="G429" i="6"/>
  <c r="R1437" i="6" l="1"/>
  <c r="M1437" i="6" s="1"/>
  <c r="S1437" i="6" s="1"/>
  <c r="Q1438" i="6"/>
  <c r="O1439" i="6"/>
  <c r="P1439" i="6" s="1"/>
  <c r="N1438" i="6"/>
  <c r="AE429" i="6"/>
  <c r="AF429" i="6"/>
  <c r="F430" i="6"/>
  <c r="I430" i="6"/>
  <c r="E430" i="6"/>
  <c r="G430" i="6"/>
  <c r="D430" i="6"/>
  <c r="R1438" i="6" l="1"/>
  <c r="M1438" i="6" s="1"/>
  <c r="S1438" i="6" s="1"/>
  <c r="Q1439" i="6"/>
  <c r="O1440" i="6"/>
  <c r="P1440" i="6" s="1"/>
  <c r="N1439" i="6"/>
  <c r="AE430" i="6"/>
  <c r="AF430" i="6"/>
  <c r="H430" i="6"/>
  <c r="R1439" i="6" l="1"/>
  <c r="M1439" i="6" s="1"/>
  <c r="S1439" i="6" s="1"/>
  <c r="Q1440" i="6"/>
  <c r="N1440" i="6"/>
  <c r="O1441" i="6"/>
  <c r="P1441" i="6" s="1"/>
  <c r="G431" i="6"/>
  <c r="F431" i="6"/>
  <c r="I431" i="6"/>
  <c r="D431" i="6"/>
  <c r="H431" i="6" s="1"/>
  <c r="E431" i="6"/>
  <c r="R1440" i="6" l="1"/>
  <c r="M1440" i="6" s="1"/>
  <c r="S1440" i="6" s="1"/>
  <c r="Q1441" i="6"/>
  <c r="O1442" i="6"/>
  <c r="P1442" i="6" s="1"/>
  <c r="N1441" i="6"/>
  <c r="AE431" i="6"/>
  <c r="AF431" i="6"/>
  <c r="D432" i="6"/>
  <c r="F432" i="6"/>
  <c r="I432" i="6"/>
  <c r="E432" i="6"/>
  <c r="G432" i="6"/>
  <c r="R1441" i="6" l="1"/>
  <c r="M1441" i="6" s="1"/>
  <c r="S1441" i="6" s="1"/>
  <c r="Q1442" i="6"/>
  <c r="N1442" i="6"/>
  <c r="O1443" i="6"/>
  <c r="P1443" i="6" s="1"/>
  <c r="AE432" i="6"/>
  <c r="AF432" i="6"/>
  <c r="H432" i="6"/>
  <c r="R1442" i="6" l="1"/>
  <c r="M1442" i="6" s="1"/>
  <c r="S1442" i="6" s="1"/>
  <c r="Q1443" i="6"/>
  <c r="N1443" i="6"/>
  <c r="O1444" i="6"/>
  <c r="P1444" i="6" s="1"/>
  <c r="G433" i="6"/>
  <c r="E433" i="6"/>
  <c r="D433" i="6"/>
  <c r="H433" i="6" s="1"/>
  <c r="F433" i="6"/>
  <c r="I433" i="6"/>
  <c r="R1443" i="6" l="1"/>
  <c r="M1443" i="6" s="1"/>
  <c r="S1443" i="6" s="1"/>
  <c r="Q1444" i="6"/>
  <c r="O1445" i="6"/>
  <c r="P1445" i="6" s="1"/>
  <c r="N1444" i="6"/>
  <c r="AE433" i="6"/>
  <c r="AF433" i="6"/>
  <c r="G434" i="6"/>
  <c r="F434" i="6"/>
  <c r="D434" i="6"/>
  <c r="H434" i="6" s="1"/>
  <c r="I434" i="6"/>
  <c r="E434" i="6"/>
  <c r="R1444" i="6" l="1"/>
  <c r="M1444" i="6" s="1"/>
  <c r="S1444" i="6" s="1"/>
  <c r="Q1445" i="6"/>
  <c r="N1445" i="6"/>
  <c r="O1446" i="6"/>
  <c r="P1446" i="6" s="1"/>
  <c r="AE434" i="6"/>
  <c r="AF434" i="6"/>
  <c r="F435" i="6"/>
  <c r="D435" i="6"/>
  <c r="H435" i="6" s="1"/>
  <c r="G435" i="6"/>
  <c r="I435" i="6"/>
  <c r="E435" i="6"/>
  <c r="R1445" i="6" l="1"/>
  <c r="M1445" i="6" s="1"/>
  <c r="S1445" i="6" s="1"/>
  <c r="Q1446" i="6"/>
  <c r="N1446" i="6"/>
  <c r="O1447" i="6"/>
  <c r="P1447" i="6" s="1"/>
  <c r="AE435" i="6"/>
  <c r="AF435" i="6"/>
  <c r="E436" i="6"/>
  <c r="G436" i="6"/>
  <c r="F436" i="6"/>
  <c r="I436" i="6"/>
  <c r="D436" i="6"/>
  <c r="H436" i="6" s="1"/>
  <c r="R1446" i="6" l="1"/>
  <c r="M1446" i="6" s="1"/>
  <c r="S1446" i="6" s="1"/>
  <c r="Q1447" i="6"/>
  <c r="N1447" i="6"/>
  <c r="O1448" i="6"/>
  <c r="P1448" i="6" s="1"/>
  <c r="AE436" i="6"/>
  <c r="AF436" i="6"/>
  <c r="E437" i="6"/>
  <c r="I437" i="6"/>
  <c r="G437" i="6"/>
  <c r="D437" i="6"/>
  <c r="F437" i="6"/>
  <c r="R1447" i="6" l="1"/>
  <c r="M1447" i="6" s="1"/>
  <c r="S1447" i="6" s="1"/>
  <c r="Q1448" i="6"/>
  <c r="N1448" i="6"/>
  <c r="O1449" i="6"/>
  <c r="P1449" i="6" s="1"/>
  <c r="AE437" i="6"/>
  <c r="AF437" i="6"/>
  <c r="H437" i="6"/>
  <c r="R1448" i="6" l="1"/>
  <c r="M1448" i="6" s="1"/>
  <c r="S1448" i="6" s="1"/>
  <c r="Q1449" i="6"/>
  <c r="O1450" i="6"/>
  <c r="P1450" i="6" s="1"/>
  <c r="N1449" i="6"/>
  <c r="E438" i="6"/>
  <c r="I438" i="6"/>
  <c r="D438" i="6"/>
  <c r="H438" i="6" s="1"/>
  <c r="F438" i="6"/>
  <c r="G438" i="6"/>
  <c r="R1449" i="6" l="1"/>
  <c r="M1449" i="6" s="1"/>
  <c r="S1449" i="6" s="1"/>
  <c r="Q1450" i="6"/>
  <c r="O1451" i="6"/>
  <c r="P1451" i="6" s="1"/>
  <c r="N1450" i="6"/>
  <c r="AE438" i="6"/>
  <c r="AF438" i="6"/>
  <c r="F439" i="6"/>
  <c r="G439" i="6"/>
  <c r="D439" i="6"/>
  <c r="H439" i="6" s="1"/>
  <c r="E439" i="6"/>
  <c r="I439" i="6"/>
  <c r="R1450" i="6" l="1"/>
  <c r="M1450" i="6" s="1"/>
  <c r="S1450" i="6" s="1"/>
  <c r="Q1451" i="6"/>
  <c r="N1451" i="6"/>
  <c r="O1452" i="6"/>
  <c r="P1452" i="6" s="1"/>
  <c r="AE439" i="6"/>
  <c r="AF439" i="6"/>
  <c r="I440" i="6"/>
  <c r="F440" i="6"/>
  <c r="D440" i="6"/>
  <c r="H440" i="6" s="1"/>
  <c r="G440" i="6"/>
  <c r="E440" i="6"/>
  <c r="R1451" i="6" l="1"/>
  <c r="M1451" i="6" s="1"/>
  <c r="S1451" i="6" s="1"/>
  <c r="Q1452" i="6"/>
  <c r="O1453" i="6"/>
  <c r="P1453" i="6" s="1"/>
  <c r="N1452" i="6"/>
  <c r="AE440" i="6"/>
  <c r="AF440" i="6"/>
  <c r="I441" i="6"/>
  <c r="G441" i="6"/>
  <c r="D441" i="6"/>
  <c r="H441" i="6" s="1"/>
  <c r="E441" i="6"/>
  <c r="F441" i="6"/>
  <c r="R1452" i="6" l="1"/>
  <c r="M1452" i="6" s="1"/>
  <c r="S1452" i="6" s="1"/>
  <c r="Q1453" i="6"/>
  <c r="N1453" i="6"/>
  <c r="O1454" i="6"/>
  <c r="P1454" i="6" s="1"/>
  <c r="AE441" i="6"/>
  <c r="AF441" i="6"/>
  <c r="F442" i="6"/>
  <c r="E442" i="6"/>
  <c r="D442" i="6"/>
  <c r="H442" i="6" s="1"/>
  <c r="I442" i="6"/>
  <c r="G442" i="6"/>
  <c r="R1453" i="6" l="1"/>
  <c r="M1453" i="6" s="1"/>
  <c r="S1453" i="6" s="1"/>
  <c r="Q1454" i="6"/>
  <c r="O1455" i="6"/>
  <c r="P1455" i="6" s="1"/>
  <c r="N1454" i="6"/>
  <c r="AE442" i="6"/>
  <c r="AF442" i="6"/>
  <c r="I443" i="6"/>
  <c r="F443" i="6"/>
  <c r="E443" i="6"/>
  <c r="G443" i="6"/>
  <c r="D443" i="6"/>
  <c r="R1454" i="6" l="1"/>
  <c r="M1454" i="6" s="1"/>
  <c r="S1454" i="6" s="1"/>
  <c r="Q1455" i="6"/>
  <c r="N1455" i="6"/>
  <c r="O1456" i="6"/>
  <c r="P1456" i="6" s="1"/>
  <c r="AE443" i="6"/>
  <c r="AF443" i="6"/>
  <c r="H443" i="6"/>
  <c r="R1455" i="6" l="1"/>
  <c r="M1455" i="6" s="1"/>
  <c r="S1455" i="6" s="1"/>
  <c r="Q1456" i="6"/>
  <c r="N1456" i="6"/>
  <c r="O1457" i="6"/>
  <c r="P1457" i="6" s="1"/>
  <c r="E444" i="6"/>
  <c r="I444" i="6"/>
  <c r="F444" i="6"/>
  <c r="G444" i="6"/>
  <c r="D444" i="6"/>
  <c r="R1456" i="6" l="1"/>
  <c r="M1456" i="6" s="1"/>
  <c r="S1456" i="6" s="1"/>
  <c r="Q1457" i="6"/>
  <c r="N1457" i="6"/>
  <c r="O1458" i="6"/>
  <c r="P1458" i="6" s="1"/>
  <c r="AE444" i="6"/>
  <c r="AF444" i="6"/>
  <c r="H444" i="6"/>
  <c r="R1457" i="6" l="1"/>
  <c r="M1457" i="6" s="1"/>
  <c r="S1457" i="6" s="1"/>
  <c r="Q1458" i="6"/>
  <c r="N1458" i="6"/>
  <c r="O1459" i="6"/>
  <c r="P1459" i="6" s="1"/>
  <c r="I445" i="6"/>
  <c r="F445" i="6"/>
  <c r="E445" i="6"/>
  <c r="D445" i="6"/>
  <c r="G445" i="6"/>
  <c r="R1458" i="6" l="1"/>
  <c r="M1458" i="6" s="1"/>
  <c r="S1458" i="6" s="1"/>
  <c r="Q1459" i="6"/>
  <c r="N1459" i="6"/>
  <c r="O1460" i="6"/>
  <c r="P1460" i="6" s="1"/>
  <c r="AE445" i="6"/>
  <c r="AF445" i="6"/>
  <c r="H445" i="6"/>
  <c r="R1459" i="6" l="1"/>
  <c r="M1459" i="6" s="1"/>
  <c r="S1459" i="6" s="1"/>
  <c r="Q1460" i="6"/>
  <c r="N1460" i="6"/>
  <c r="O1461" i="6"/>
  <c r="P1461" i="6" s="1"/>
  <c r="F446" i="6"/>
  <c r="E446" i="6"/>
  <c r="G446" i="6"/>
  <c r="D446" i="6"/>
  <c r="H446" i="6" s="1"/>
  <c r="I446" i="6"/>
  <c r="R1460" i="6" l="1"/>
  <c r="M1460" i="6" s="1"/>
  <c r="S1460" i="6" s="1"/>
  <c r="Q1461" i="6"/>
  <c r="O1462" i="6"/>
  <c r="P1462" i="6" s="1"/>
  <c r="N1461" i="6"/>
  <c r="AE446" i="6"/>
  <c r="AF446" i="6"/>
  <c r="G447" i="6"/>
  <c r="I447" i="6"/>
  <c r="F447" i="6"/>
  <c r="D447" i="6"/>
  <c r="H447" i="6" s="1"/>
  <c r="E447" i="6"/>
  <c r="R1461" i="6" l="1"/>
  <c r="M1461" i="6" s="1"/>
  <c r="S1461" i="6" s="1"/>
  <c r="Q1462" i="6"/>
  <c r="N1462" i="6"/>
  <c r="O1463" i="6"/>
  <c r="P1463" i="6" s="1"/>
  <c r="AE447" i="6"/>
  <c r="AF447" i="6"/>
  <c r="G448" i="6"/>
  <c r="E448" i="6"/>
  <c r="I448" i="6"/>
  <c r="F448" i="6"/>
  <c r="D448" i="6"/>
  <c r="H448" i="6" s="1"/>
  <c r="R1462" i="6" l="1"/>
  <c r="M1462" i="6" s="1"/>
  <c r="S1462" i="6" s="1"/>
  <c r="Q1463" i="6"/>
  <c r="N1463" i="6"/>
  <c r="O1464" i="6"/>
  <c r="P1464" i="6" s="1"/>
  <c r="AE448" i="6"/>
  <c r="AF448" i="6"/>
  <c r="D449" i="6"/>
  <c r="F449" i="6"/>
  <c r="I449" i="6"/>
  <c r="E449" i="6"/>
  <c r="G449" i="6"/>
  <c r="R1463" i="6" l="1"/>
  <c r="M1463" i="6" s="1"/>
  <c r="S1463" i="6" s="1"/>
  <c r="Q1464" i="6"/>
  <c r="N1464" i="6"/>
  <c r="O1465" i="6"/>
  <c r="P1465" i="6" s="1"/>
  <c r="AE449" i="6"/>
  <c r="AF449" i="6"/>
  <c r="H449" i="6"/>
  <c r="R1464" i="6" l="1"/>
  <c r="M1464" i="6" s="1"/>
  <c r="S1464" i="6" s="1"/>
  <c r="Q1465" i="6"/>
  <c r="N1465" i="6"/>
  <c r="O1466" i="6"/>
  <c r="P1466" i="6" s="1"/>
  <c r="G450" i="6"/>
  <c r="F450" i="6"/>
  <c r="E450" i="6"/>
  <c r="I450" i="6"/>
  <c r="D450" i="6"/>
  <c r="H450" i="6" s="1"/>
  <c r="R1465" i="6" l="1"/>
  <c r="M1465" i="6" s="1"/>
  <c r="S1465" i="6" s="1"/>
  <c r="Q1466" i="6"/>
  <c r="O1467" i="6"/>
  <c r="P1467" i="6" s="1"/>
  <c r="N1466" i="6"/>
  <c r="AE450" i="6"/>
  <c r="AF450" i="6"/>
  <c r="F451" i="6"/>
  <c r="G451" i="6"/>
  <c r="E451" i="6"/>
  <c r="I451" i="6"/>
  <c r="D451" i="6"/>
  <c r="R1466" i="6" l="1"/>
  <c r="M1466" i="6" s="1"/>
  <c r="S1466" i="6" s="1"/>
  <c r="Q1467" i="6"/>
  <c r="O1468" i="6"/>
  <c r="P1468" i="6" s="1"/>
  <c r="N1467" i="6"/>
  <c r="AE451" i="6"/>
  <c r="AF451" i="6"/>
  <c r="H451" i="6"/>
  <c r="R1467" i="6" l="1"/>
  <c r="M1467" i="6" s="1"/>
  <c r="S1467" i="6" s="1"/>
  <c r="Q1468" i="6"/>
  <c r="N1468" i="6"/>
  <c r="O1469" i="6"/>
  <c r="P1469" i="6" s="1"/>
  <c r="E452" i="6"/>
  <c r="G452" i="6"/>
  <c r="F452" i="6"/>
  <c r="D452" i="6"/>
  <c r="I452" i="6"/>
  <c r="R1468" i="6" l="1"/>
  <c r="M1468" i="6" s="1"/>
  <c r="S1468" i="6" s="1"/>
  <c r="Q1469" i="6"/>
  <c r="O1470" i="6"/>
  <c r="P1470" i="6" s="1"/>
  <c r="N1469" i="6"/>
  <c r="AE452" i="6"/>
  <c r="AF452" i="6"/>
  <c r="H452" i="6"/>
  <c r="R1469" i="6" l="1"/>
  <c r="M1469" i="6" s="1"/>
  <c r="S1469" i="6" s="1"/>
  <c r="Q1470" i="6"/>
  <c r="O1471" i="6"/>
  <c r="P1471" i="6" s="1"/>
  <c r="N1470" i="6"/>
  <c r="F453" i="6"/>
  <c r="I453" i="6"/>
  <c r="D453" i="6"/>
  <c r="H453" i="6" s="1"/>
  <c r="E453" i="6"/>
  <c r="G453" i="6"/>
  <c r="R1470" i="6" l="1"/>
  <c r="M1470" i="6" s="1"/>
  <c r="S1470" i="6" s="1"/>
  <c r="Q1471" i="6"/>
  <c r="N1471" i="6"/>
  <c r="O1472" i="6"/>
  <c r="P1472" i="6" s="1"/>
  <c r="AE453" i="6"/>
  <c r="AF453" i="6"/>
  <c r="D454" i="6"/>
  <c r="H454" i="6" s="1"/>
  <c r="I454" i="6"/>
  <c r="E454" i="6"/>
  <c r="G454" i="6"/>
  <c r="F454" i="6"/>
  <c r="R1471" i="6" l="1"/>
  <c r="M1471" i="6" s="1"/>
  <c r="S1471" i="6" s="1"/>
  <c r="Q1472" i="6"/>
  <c r="N1472" i="6"/>
  <c r="O1473" i="6"/>
  <c r="P1473" i="6" s="1"/>
  <c r="AE454" i="6"/>
  <c r="AF454" i="6"/>
  <c r="E455" i="6"/>
  <c r="G455" i="6"/>
  <c r="D455" i="6"/>
  <c r="I455" i="6"/>
  <c r="F455" i="6"/>
  <c r="R1472" i="6" l="1"/>
  <c r="M1472" i="6" s="1"/>
  <c r="S1472" i="6" s="1"/>
  <c r="Q1473" i="6"/>
  <c r="O1474" i="6"/>
  <c r="P1474" i="6" s="1"/>
  <c r="N1473" i="6"/>
  <c r="AE455" i="6"/>
  <c r="AF455" i="6"/>
  <c r="H455" i="6"/>
  <c r="R1473" i="6" l="1"/>
  <c r="M1473" i="6" s="1"/>
  <c r="S1473" i="6" s="1"/>
  <c r="Q1474" i="6"/>
  <c r="O1475" i="6"/>
  <c r="P1475" i="6" s="1"/>
  <c r="N1474" i="6"/>
  <c r="I456" i="6"/>
  <c r="E456" i="6"/>
  <c r="G456" i="6"/>
  <c r="D456" i="6"/>
  <c r="H456" i="6" s="1"/>
  <c r="F456" i="6"/>
  <c r="R1474" i="6" l="1"/>
  <c r="M1474" i="6" s="1"/>
  <c r="S1474" i="6" s="1"/>
  <c r="Q1475" i="6"/>
  <c r="N1475" i="6"/>
  <c r="O1476" i="6"/>
  <c r="P1476" i="6" s="1"/>
  <c r="AE456" i="6"/>
  <c r="AF456" i="6"/>
  <c r="G457" i="6"/>
  <c r="I457" i="6"/>
  <c r="F457" i="6"/>
  <c r="D457" i="6"/>
  <c r="H457" i="6" s="1"/>
  <c r="E457" i="6"/>
  <c r="R1475" i="6" l="1"/>
  <c r="M1475" i="6" s="1"/>
  <c r="S1475" i="6" s="1"/>
  <c r="Q1476" i="6"/>
  <c r="N1476" i="6"/>
  <c r="O1477" i="6"/>
  <c r="P1477" i="6" s="1"/>
  <c r="AE457" i="6"/>
  <c r="AF457" i="6"/>
  <c r="E458" i="6"/>
  <c r="F458" i="6"/>
  <c r="G458" i="6"/>
  <c r="I458" i="6"/>
  <c r="D458" i="6"/>
  <c r="R1476" i="6" l="1"/>
  <c r="M1476" i="6" s="1"/>
  <c r="S1476" i="6" s="1"/>
  <c r="Q1477" i="6"/>
  <c r="N1477" i="6"/>
  <c r="O1478" i="6"/>
  <c r="P1478" i="6" s="1"/>
  <c r="H458" i="6"/>
  <c r="R1477" i="6" l="1"/>
  <c r="M1477" i="6" s="1"/>
  <c r="S1477" i="6" s="1"/>
  <c r="Q1478" i="6"/>
  <c r="N1478" i="6"/>
  <c r="O1479" i="6"/>
  <c r="P1479" i="6" s="1"/>
  <c r="F459" i="6"/>
  <c r="G459" i="6"/>
  <c r="I459" i="6"/>
  <c r="D459" i="6"/>
  <c r="E459" i="6"/>
  <c r="R1478" i="6" l="1"/>
  <c r="M1478" i="6" s="1"/>
  <c r="S1478" i="6" s="1"/>
  <c r="Q1479" i="6"/>
  <c r="N1479" i="6"/>
  <c r="O1480" i="6"/>
  <c r="P1480" i="6" s="1"/>
  <c r="H459" i="6"/>
  <c r="R1479" i="6" l="1"/>
  <c r="M1479" i="6" s="1"/>
  <c r="S1479" i="6" s="1"/>
  <c r="Q1480" i="6"/>
  <c r="N1480" i="6"/>
  <c r="O1481" i="6"/>
  <c r="P1481" i="6" s="1"/>
  <c r="D460" i="6"/>
  <c r="G460" i="6"/>
  <c r="E460" i="6"/>
  <c r="F460" i="6"/>
  <c r="I460" i="6"/>
  <c r="R1480" i="6" l="1"/>
  <c r="M1480" i="6" s="1"/>
  <c r="S1480" i="6" s="1"/>
  <c r="Q1481" i="6"/>
  <c r="O1482" i="6"/>
  <c r="P1482" i="6" s="1"/>
  <c r="N1481" i="6"/>
  <c r="H460" i="6"/>
  <c r="R1481" i="6" l="1"/>
  <c r="M1481" i="6" s="1"/>
  <c r="S1481" i="6" s="1"/>
  <c r="Q1482" i="6"/>
  <c r="O1483" i="6"/>
  <c r="P1483" i="6" s="1"/>
  <c r="N1482" i="6"/>
  <c r="E461" i="6"/>
  <c r="I461" i="6"/>
  <c r="D461" i="6"/>
  <c r="H461" i="6" s="1"/>
  <c r="G461" i="6"/>
  <c r="F461" i="6"/>
  <c r="R1482" i="6" l="1"/>
  <c r="M1482" i="6" s="1"/>
  <c r="S1482" i="6" s="1"/>
  <c r="Q1483" i="6"/>
  <c r="N1483" i="6"/>
  <c r="O1484" i="6"/>
  <c r="P1484" i="6" s="1"/>
  <c r="D462" i="6"/>
  <c r="F462" i="6"/>
  <c r="G462" i="6"/>
  <c r="I462" i="6"/>
  <c r="E462" i="6"/>
  <c r="R1483" i="6" l="1"/>
  <c r="M1483" i="6" s="1"/>
  <c r="S1483" i="6" s="1"/>
  <c r="Q1484" i="6"/>
  <c r="N1484" i="6"/>
  <c r="O1485" i="6"/>
  <c r="P1485" i="6" s="1"/>
  <c r="H462" i="6"/>
  <c r="R1484" i="6" l="1"/>
  <c r="M1484" i="6" s="1"/>
  <c r="S1484" i="6" s="1"/>
  <c r="Q1485" i="6"/>
  <c r="O1486" i="6"/>
  <c r="P1486" i="6" s="1"/>
  <c r="N1485" i="6"/>
  <c r="F463" i="6"/>
  <c r="D463" i="6"/>
  <c r="H463" i="6" s="1"/>
  <c r="E463" i="6"/>
  <c r="G463" i="6"/>
  <c r="I463" i="6"/>
  <c r="R1485" i="6" l="1"/>
  <c r="M1485" i="6" s="1"/>
  <c r="S1485" i="6" s="1"/>
  <c r="Q1486" i="6"/>
  <c r="N1486" i="6"/>
  <c r="O1487" i="6"/>
  <c r="P1487" i="6" s="1"/>
  <c r="I464" i="6"/>
  <c r="G464" i="6"/>
  <c r="F464" i="6"/>
  <c r="E464" i="6"/>
  <c r="D464" i="6"/>
  <c r="H464" i="6" s="1"/>
  <c r="R1486" i="6" l="1"/>
  <c r="M1486" i="6" s="1"/>
  <c r="S1486" i="6" s="1"/>
  <c r="Q1487" i="6"/>
  <c r="N1487" i="6"/>
  <c r="O1488" i="6"/>
  <c r="P1488" i="6" s="1"/>
  <c r="I465" i="6"/>
  <c r="D465" i="6"/>
  <c r="H465" i="6" s="1"/>
  <c r="F465" i="6"/>
  <c r="E465" i="6"/>
  <c r="G465" i="6"/>
  <c r="R1487" i="6" l="1"/>
  <c r="M1487" i="6" s="1"/>
  <c r="S1487" i="6" s="1"/>
  <c r="Q1488" i="6"/>
  <c r="N1488" i="6"/>
  <c r="O1489" i="6"/>
  <c r="P1489" i="6" s="1"/>
  <c r="G466" i="6"/>
  <c r="I466" i="6"/>
  <c r="F466" i="6"/>
  <c r="D466" i="6"/>
  <c r="H466" i="6" s="1"/>
  <c r="E466" i="6"/>
  <c r="R1488" i="6" l="1"/>
  <c r="M1488" i="6" s="1"/>
  <c r="S1488" i="6" s="1"/>
  <c r="Q1489" i="6"/>
  <c r="N1489" i="6"/>
  <c r="O1490" i="6"/>
  <c r="P1490" i="6" s="1"/>
  <c r="E467" i="6"/>
  <c r="D467" i="6"/>
  <c r="H467" i="6" s="1"/>
  <c r="I467" i="6"/>
  <c r="F467" i="6"/>
  <c r="G467" i="6"/>
  <c r="R1489" i="6" l="1"/>
  <c r="M1489" i="6" s="1"/>
  <c r="S1489" i="6" s="1"/>
  <c r="Q1490" i="6"/>
  <c r="O1491" i="6"/>
  <c r="P1491" i="6" s="1"/>
  <c r="N1490" i="6"/>
  <c r="I468" i="6"/>
  <c r="D468" i="6"/>
  <c r="E468" i="6"/>
  <c r="F468" i="6"/>
  <c r="G468" i="6"/>
  <c r="R1490" i="6" l="1"/>
  <c r="M1490" i="6" s="1"/>
  <c r="S1490" i="6" s="1"/>
  <c r="Q1491" i="6"/>
  <c r="N1491" i="6"/>
  <c r="O1492" i="6"/>
  <c r="P1492" i="6" s="1"/>
  <c r="H468" i="6"/>
  <c r="R1491" i="6" l="1"/>
  <c r="M1491" i="6" s="1"/>
  <c r="S1491" i="6" s="1"/>
  <c r="Q1492" i="6"/>
  <c r="N1492" i="6"/>
  <c r="O1493" i="6"/>
  <c r="P1493" i="6" s="1"/>
  <c r="E469" i="6"/>
  <c r="F469" i="6"/>
  <c r="I469" i="6"/>
  <c r="D469" i="6"/>
  <c r="G469" i="6"/>
  <c r="R1492" i="6" l="1"/>
  <c r="M1492" i="6" s="1"/>
  <c r="S1492" i="6" s="1"/>
  <c r="Q1493" i="6"/>
  <c r="O1494" i="6"/>
  <c r="P1494" i="6" s="1"/>
  <c r="N1493" i="6"/>
  <c r="H469" i="6"/>
  <c r="R1493" i="6" l="1"/>
  <c r="M1493" i="6" s="1"/>
  <c r="S1493" i="6" s="1"/>
  <c r="Q1494" i="6"/>
  <c r="N1494" i="6"/>
  <c r="O1495" i="6"/>
  <c r="P1495" i="6" s="1"/>
  <c r="I470" i="6"/>
  <c r="D470" i="6"/>
  <c r="G470" i="6"/>
  <c r="E470" i="6"/>
  <c r="F470" i="6"/>
  <c r="R1494" i="6" l="1"/>
  <c r="M1494" i="6" s="1"/>
  <c r="S1494" i="6" s="1"/>
  <c r="Q1495" i="6"/>
  <c r="N1495" i="6"/>
  <c r="O1496" i="6"/>
  <c r="P1496" i="6" s="1"/>
  <c r="H470" i="6"/>
  <c r="R1495" i="6" l="1"/>
  <c r="M1495" i="6" s="1"/>
  <c r="S1495" i="6" s="1"/>
  <c r="Q1496" i="6"/>
  <c r="N1496" i="6"/>
  <c r="O1497" i="6"/>
  <c r="P1497" i="6" s="1"/>
  <c r="I471" i="6"/>
  <c r="D471" i="6"/>
  <c r="E471" i="6"/>
  <c r="G471" i="6"/>
  <c r="F471" i="6"/>
  <c r="R1496" i="6" l="1"/>
  <c r="M1496" i="6" s="1"/>
  <c r="S1496" i="6" s="1"/>
  <c r="Q1497" i="6"/>
  <c r="N1497" i="6"/>
  <c r="O1498" i="6"/>
  <c r="P1498" i="6" s="1"/>
  <c r="H471" i="6"/>
  <c r="R1497" i="6" l="1"/>
  <c r="M1497" i="6" s="1"/>
  <c r="S1497" i="6" s="1"/>
  <c r="Q1498" i="6"/>
  <c r="N1498" i="6"/>
  <c r="O1499" i="6"/>
  <c r="P1499" i="6" s="1"/>
  <c r="I472" i="6"/>
  <c r="E472" i="6"/>
  <c r="D472" i="6"/>
  <c r="G472" i="6"/>
  <c r="F472" i="6"/>
  <c r="R1498" i="6" l="1"/>
  <c r="M1498" i="6" s="1"/>
  <c r="S1498" i="6" s="1"/>
  <c r="Q1499" i="6"/>
  <c r="N1499" i="6"/>
  <c r="O1500" i="6"/>
  <c r="P1500" i="6" s="1"/>
  <c r="H472" i="6"/>
  <c r="R1499" i="6" l="1"/>
  <c r="M1499" i="6" s="1"/>
  <c r="S1499" i="6" s="1"/>
  <c r="Q1500" i="6"/>
  <c r="N1500" i="6"/>
  <c r="O1501" i="6"/>
  <c r="P1501" i="6" s="1"/>
  <c r="D473" i="6"/>
  <c r="I473" i="6"/>
  <c r="E473" i="6"/>
  <c r="F473" i="6"/>
  <c r="G473" i="6"/>
  <c r="R1500" i="6" l="1"/>
  <c r="M1500" i="6" s="1"/>
  <c r="S1500" i="6" s="1"/>
  <c r="Q1501" i="6"/>
  <c r="N1501" i="6"/>
  <c r="O1502" i="6"/>
  <c r="P1502" i="6" s="1"/>
  <c r="H473" i="6"/>
  <c r="R1501" i="6" l="1"/>
  <c r="M1501" i="6" s="1"/>
  <c r="S1501" i="6" s="1"/>
  <c r="Q1502" i="6"/>
  <c r="N1502" i="6"/>
  <c r="O1503" i="6"/>
  <c r="P1503" i="6" s="1"/>
  <c r="G474" i="6"/>
  <c r="E474" i="6"/>
  <c r="F474" i="6"/>
  <c r="I474" i="6"/>
  <c r="D474" i="6"/>
  <c r="H474" i="6" s="1"/>
  <c r="R1502" i="6" l="1"/>
  <c r="M1502" i="6" s="1"/>
  <c r="S1502" i="6" s="1"/>
  <c r="Q1503" i="6"/>
  <c r="O1504" i="6"/>
  <c r="P1504" i="6" s="1"/>
  <c r="N1503" i="6"/>
  <c r="F475" i="6"/>
  <c r="G475" i="6"/>
  <c r="I475" i="6"/>
  <c r="D475" i="6"/>
  <c r="H475" i="6" s="1"/>
  <c r="E475" i="6"/>
  <c r="R1503" i="6" l="1"/>
  <c r="M1503" i="6" s="1"/>
  <c r="S1503" i="6" s="1"/>
  <c r="Q1504" i="6"/>
  <c r="N1504" i="6"/>
  <c r="O1505" i="6"/>
  <c r="P1505" i="6" s="1"/>
  <c r="D476" i="6"/>
  <c r="E476" i="6"/>
  <c r="F476" i="6"/>
  <c r="G476" i="6"/>
  <c r="I476" i="6"/>
  <c r="R1504" i="6" l="1"/>
  <c r="M1504" i="6" s="1"/>
  <c r="S1504" i="6" s="1"/>
  <c r="Q1505" i="6"/>
  <c r="N1505" i="6"/>
  <c r="O1506" i="6"/>
  <c r="P1506" i="6" s="1"/>
  <c r="H476" i="6"/>
  <c r="R1505" i="6" l="1"/>
  <c r="M1505" i="6" s="1"/>
  <c r="S1505" i="6" s="1"/>
  <c r="Q1506" i="6"/>
  <c r="O1507" i="6"/>
  <c r="P1507" i="6" s="1"/>
  <c r="N1506" i="6"/>
  <c r="D477" i="6"/>
  <c r="E477" i="6"/>
  <c r="I477" i="6"/>
  <c r="F477" i="6"/>
  <c r="G477" i="6"/>
  <c r="R1506" i="6" l="1"/>
  <c r="M1506" i="6" s="1"/>
  <c r="S1506" i="6" s="1"/>
  <c r="Q1507" i="6"/>
  <c r="O1508" i="6"/>
  <c r="P1508" i="6" s="1"/>
  <c r="N1507" i="6"/>
  <c r="H477" i="6"/>
  <c r="R1507" i="6" l="1"/>
  <c r="M1507" i="6" s="1"/>
  <c r="S1507" i="6" s="1"/>
  <c r="Q1508" i="6"/>
  <c r="N1508" i="6"/>
  <c r="O1509" i="6"/>
  <c r="P1509" i="6" s="1"/>
  <c r="I478" i="6"/>
  <c r="F478" i="6"/>
  <c r="D478" i="6"/>
  <c r="E478" i="6"/>
  <c r="G478" i="6"/>
  <c r="R1508" i="6" l="1"/>
  <c r="M1508" i="6" s="1"/>
  <c r="S1508" i="6" s="1"/>
  <c r="Q1509" i="6"/>
  <c r="O1510" i="6"/>
  <c r="P1510" i="6" s="1"/>
  <c r="N1509" i="6"/>
  <c r="H478" i="6"/>
  <c r="R1509" i="6" l="1"/>
  <c r="M1509" i="6" s="1"/>
  <c r="S1509" i="6" s="1"/>
  <c r="Q1510" i="6"/>
  <c r="O1511" i="6"/>
  <c r="P1511" i="6" s="1"/>
  <c r="N1510" i="6"/>
  <c r="G479" i="6"/>
  <c r="I479" i="6"/>
  <c r="D479" i="6"/>
  <c r="H479" i="6" s="1"/>
  <c r="E479" i="6"/>
  <c r="F479" i="6"/>
  <c r="R1510" i="6" l="1"/>
  <c r="M1510" i="6" s="1"/>
  <c r="S1510" i="6" s="1"/>
  <c r="Q1511" i="6"/>
  <c r="N1511" i="6"/>
  <c r="O1512" i="6"/>
  <c r="P1512" i="6" s="1"/>
  <c r="F480" i="6"/>
  <c r="I480" i="6"/>
  <c r="G480" i="6"/>
  <c r="D480" i="6"/>
  <c r="H480" i="6" s="1"/>
  <c r="E480" i="6"/>
  <c r="R1511" i="6" l="1"/>
  <c r="M1511" i="6" s="1"/>
  <c r="S1511" i="6" s="1"/>
  <c r="Q1512" i="6"/>
  <c r="N1512" i="6"/>
  <c r="O1513" i="6"/>
  <c r="P1513" i="6" s="1"/>
  <c r="G481" i="6"/>
  <c r="D481" i="6"/>
  <c r="H481" i="6" s="1"/>
  <c r="F481" i="6"/>
  <c r="E481" i="6"/>
  <c r="I481" i="6"/>
  <c r="R1512" i="6" l="1"/>
  <c r="M1512" i="6" s="1"/>
  <c r="S1512" i="6" s="1"/>
  <c r="Q1513" i="6"/>
  <c r="O1514" i="6"/>
  <c r="P1514" i="6" s="1"/>
  <c r="N1513" i="6"/>
  <c r="E482" i="6"/>
  <c r="F482" i="6"/>
  <c r="D482" i="6"/>
  <c r="G482" i="6"/>
  <c r="I482" i="6"/>
  <c r="R1513" i="6" l="1"/>
  <c r="M1513" i="6" s="1"/>
  <c r="S1513" i="6" s="1"/>
  <c r="Q1514" i="6"/>
  <c r="N1514" i="6"/>
  <c r="O1515" i="6"/>
  <c r="P1515" i="6" s="1"/>
  <c r="H482" i="6"/>
  <c r="R1514" i="6" l="1"/>
  <c r="M1514" i="6" s="1"/>
  <c r="S1514" i="6" s="1"/>
  <c r="Q1515" i="6"/>
  <c r="N1515" i="6"/>
  <c r="O1516" i="6"/>
  <c r="P1516" i="6" s="1"/>
  <c r="F483" i="6"/>
  <c r="G483" i="6"/>
  <c r="I483" i="6"/>
  <c r="D483" i="6"/>
  <c r="H483" i="6" s="1"/>
  <c r="E483" i="6"/>
  <c r="R1515" i="6" l="1"/>
  <c r="M1515" i="6" s="1"/>
  <c r="S1515" i="6" s="1"/>
  <c r="Q1516" i="6"/>
  <c r="N1516" i="6"/>
  <c r="O1517" i="6"/>
  <c r="P1517" i="6" s="1"/>
  <c r="G484" i="6"/>
  <c r="D484" i="6"/>
  <c r="H484" i="6" s="1"/>
  <c r="F484" i="6"/>
  <c r="E484" i="6"/>
  <c r="I484" i="6"/>
  <c r="R1516" i="6" l="1"/>
  <c r="M1516" i="6" s="1"/>
  <c r="S1516" i="6" s="1"/>
  <c r="Q1517" i="6"/>
  <c r="N1517" i="6"/>
  <c r="O1518" i="6"/>
  <c r="P1518" i="6" s="1"/>
  <c r="D485" i="6"/>
  <c r="I485" i="6"/>
  <c r="G485" i="6"/>
  <c r="F485" i="6"/>
  <c r="E485" i="6"/>
  <c r="R1517" i="6" l="1"/>
  <c r="M1517" i="6" s="1"/>
  <c r="S1517" i="6" s="1"/>
  <c r="Q1518" i="6"/>
  <c r="N1518" i="6"/>
  <c r="O1519" i="6"/>
  <c r="P1519" i="6" s="1"/>
  <c r="H485" i="6"/>
  <c r="F246" i="6"/>
  <c r="R86" i="6"/>
  <c r="M86" i="6" s="1"/>
  <c r="S86" i="6" s="1"/>
  <c r="R154" i="6"/>
  <c r="M154" i="6" s="1"/>
  <c r="S154" i="6" s="1"/>
  <c r="R170" i="6"/>
  <c r="M170" i="6" s="1"/>
  <c r="S170" i="6" s="1"/>
  <c r="R186" i="6"/>
  <c r="M186" i="6" s="1"/>
  <c r="S186" i="6" s="1"/>
  <c r="R89" i="6"/>
  <c r="M89" i="6" s="1"/>
  <c r="S89" i="6" s="1"/>
  <c r="R145" i="6"/>
  <c r="M145" i="6" s="1"/>
  <c r="S145" i="6" s="1"/>
  <c r="R162" i="6"/>
  <c r="M162" i="6" s="1"/>
  <c r="S162" i="6" s="1"/>
  <c r="R178" i="6"/>
  <c r="M178" i="6" s="1"/>
  <c r="S178" i="6" s="1"/>
  <c r="R194" i="6"/>
  <c r="M194" i="6" s="1"/>
  <c r="S194" i="6" s="1"/>
  <c r="R84" i="6"/>
  <c r="M84" i="6" s="1"/>
  <c r="S84" i="6" s="1"/>
  <c r="R94" i="6"/>
  <c r="M94" i="6" s="1"/>
  <c r="S94" i="6" s="1"/>
  <c r="R98" i="6"/>
  <c r="M98" i="6" s="1"/>
  <c r="S98" i="6" s="1"/>
  <c r="R102" i="6"/>
  <c r="M102" i="6" s="1"/>
  <c r="S102" i="6" s="1"/>
  <c r="R106" i="6"/>
  <c r="M106" i="6" s="1"/>
  <c r="S106" i="6" s="1"/>
  <c r="R110" i="6"/>
  <c r="M110" i="6" s="1"/>
  <c r="S110" i="6" s="1"/>
  <c r="R114" i="6"/>
  <c r="M114" i="6" s="1"/>
  <c r="S114" i="6" s="1"/>
  <c r="R118" i="6"/>
  <c r="M118" i="6" s="1"/>
  <c r="S118" i="6" s="1"/>
  <c r="R122" i="6"/>
  <c r="M122" i="6" s="1"/>
  <c r="S122" i="6" s="1"/>
  <c r="R126" i="6"/>
  <c r="M126" i="6" s="1"/>
  <c r="S126" i="6" s="1"/>
  <c r="R130" i="6"/>
  <c r="M130" i="6" s="1"/>
  <c r="S130" i="6" s="1"/>
  <c r="R134" i="6"/>
  <c r="M134" i="6" s="1"/>
  <c r="S134" i="6" s="1"/>
  <c r="R138" i="6"/>
  <c r="M138" i="6" s="1"/>
  <c r="S138" i="6" s="1"/>
  <c r="R142" i="6"/>
  <c r="M142" i="6" s="1"/>
  <c r="S142" i="6" s="1"/>
  <c r="R156" i="6"/>
  <c r="M156" i="6" s="1"/>
  <c r="S156" i="6" s="1"/>
  <c r="R159" i="6"/>
  <c r="M159" i="6" s="1"/>
  <c r="S159" i="6" s="1"/>
  <c r="R172" i="6"/>
  <c r="M172" i="6" s="1"/>
  <c r="S172" i="6" s="1"/>
  <c r="R175" i="6"/>
  <c r="M175" i="6" s="1"/>
  <c r="S175" i="6" s="1"/>
  <c r="R188" i="6"/>
  <c r="M188" i="6" s="1"/>
  <c r="S188" i="6" s="1"/>
  <c r="R191" i="6"/>
  <c r="M191" i="6" s="1"/>
  <c r="S191" i="6" s="1"/>
  <c r="R197" i="6"/>
  <c r="M197" i="6" s="1"/>
  <c r="S197" i="6" s="1"/>
  <c r="R91" i="6"/>
  <c r="M91" i="6" s="1"/>
  <c r="S91" i="6" s="1"/>
  <c r="R95" i="6"/>
  <c r="M95" i="6" s="1"/>
  <c r="S95" i="6" s="1"/>
  <c r="R99" i="6"/>
  <c r="M99" i="6" s="1"/>
  <c r="S99" i="6" s="1"/>
  <c r="R103" i="6"/>
  <c r="M103" i="6" s="1"/>
  <c r="S103" i="6" s="1"/>
  <c r="R107" i="6"/>
  <c r="M107" i="6" s="1"/>
  <c r="S107" i="6" s="1"/>
  <c r="R111" i="6"/>
  <c r="M111" i="6" s="1"/>
  <c r="S111" i="6" s="1"/>
  <c r="R115" i="6"/>
  <c r="M115" i="6" s="1"/>
  <c r="S115" i="6" s="1"/>
  <c r="R119" i="6"/>
  <c r="M119" i="6" s="1"/>
  <c r="S119" i="6" s="1"/>
  <c r="R123" i="6"/>
  <c r="M123" i="6" s="1"/>
  <c r="S123" i="6" s="1"/>
  <c r="R127" i="6"/>
  <c r="M127" i="6" s="1"/>
  <c r="S127" i="6" s="1"/>
  <c r="R131" i="6"/>
  <c r="M131" i="6" s="1"/>
  <c r="S131" i="6" s="1"/>
  <c r="R135" i="6"/>
  <c r="M135" i="6" s="1"/>
  <c r="S135" i="6" s="1"/>
  <c r="R139" i="6"/>
  <c r="M139" i="6" s="1"/>
  <c r="S139" i="6" s="1"/>
  <c r="R143" i="6"/>
  <c r="M143" i="6" s="1"/>
  <c r="S143" i="6" s="1"/>
  <c r="R157" i="6"/>
  <c r="M157" i="6" s="1"/>
  <c r="S157" i="6" s="1"/>
  <c r="R160" i="6"/>
  <c r="M160" i="6" s="1"/>
  <c r="S160" i="6" s="1"/>
  <c r="R173" i="6"/>
  <c r="M173" i="6" s="1"/>
  <c r="S173" i="6" s="1"/>
  <c r="R176" i="6"/>
  <c r="M176" i="6" s="1"/>
  <c r="S176" i="6" s="1"/>
  <c r="R189" i="6"/>
  <c r="M189" i="6" s="1"/>
  <c r="S189" i="6" s="1"/>
  <c r="R192" i="6"/>
  <c r="M192" i="6" s="1"/>
  <c r="S192" i="6" s="1"/>
  <c r="R198" i="6"/>
  <c r="M198" i="6" s="1"/>
  <c r="S198" i="6" s="1"/>
  <c r="R206" i="6"/>
  <c r="M206" i="6" s="1"/>
  <c r="S206" i="6" s="1"/>
  <c r="R105" i="6"/>
  <c r="M105" i="6" s="1"/>
  <c r="S105" i="6" s="1"/>
  <c r="R116" i="6"/>
  <c r="M116" i="6" s="1"/>
  <c r="S116" i="6" s="1"/>
  <c r="R137" i="6"/>
  <c r="M137" i="6" s="1"/>
  <c r="S137" i="6" s="1"/>
  <c r="R146" i="6"/>
  <c r="M146" i="6" s="1"/>
  <c r="S146" i="6" s="1"/>
  <c r="R153" i="6"/>
  <c r="M153" i="6" s="1"/>
  <c r="S153" i="6" s="1"/>
  <c r="R166" i="6"/>
  <c r="M166" i="6" s="1"/>
  <c r="S166" i="6" s="1"/>
  <c r="R179" i="6"/>
  <c r="M179" i="6" s="1"/>
  <c r="S179" i="6" s="1"/>
  <c r="R185" i="6"/>
  <c r="M185" i="6" s="1"/>
  <c r="S185" i="6" s="1"/>
  <c r="R211" i="6"/>
  <c r="M211" i="6" s="1"/>
  <c r="S211" i="6" s="1"/>
  <c r="R96" i="6"/>
  <c r="M96" i="6" s="1"/>
  <c r="S96" i="6" s="1"/>
  <c r="R117" i="6"/>
  <c r="M117" i="6" s="1"/>
  <c r="S117" i="6" s="1"/>
  <c r="R128" i="6"/>
  <c r="M128" i="6" s="1"/>
  <c r="S128" i="6" s="1"/>
  <c r="R147" i="6"/>
  <c r="M147" i="6" s="1"/>
  <c r="S147" i="6" s="1"/>
  <c r="R167" i="6"/>
  <c r="M167" i="6" s="1"/>
  <c r="S167" i="6" s="1"/>
  <c r="R180" i="6"/>
  <c r="M180" i="6" s="1"/>
  <c r="S180" i="6" s="1"/>
  <c r="R203" i="6"/>
  <c r="M203" i="6" s="1"/>
  <c r="S203" i="6" s="1"/>
  <c r="R207" i="6"/>
  <c r="M207" i="6" s="1"/>
  <c r="S207" i="6" s="1"/>
  <c r="R85" i="6"/>
  <c r="M85" i="6" s="1"/>
  <c r="S85" i="6" s="1"/>
  <c r="R97" i="6"/>
  <c r="M97" i="6" s="1"/>
  <c r="S97" i="6" s="1"/>
  <c r="R108" i="6"/>
  <c r="M108" i="6" s="1"/>
  <c r="S108" i="6" s="1"/>
  <c r="R129" i="6"/>
  <c r="M129" i="6" s="1"/>
  <c r="S129" i="6" s="1"/>
  <c r="R140" i="6"/>
  <c r="M140" i="6" s="1"/>
  <c r="S140" i="6" s="1"/>
  <c r="R161" i="6"/>
  <c r="M161" i="6" s="1"/>
  <c r="S161" i="6" s="1"/>
  <c r="R174" i="6"/>
  <c r="M174" i="6" s="1"/>
  <c r="S174" i="6" s="1"/>
  <c r="R193" i="6"/>
  <c r="M193" i="6" s="1"/>
  <c r="S193" i="6" s="1"/>
  <c r="R221" i="6"/>
  <c r="M221" i="6" s="1"/>
  <c r="S221" i="6" s="1"/>
  <c r="R224" i="6"/>
  <c r="M224" i="6" s="1"/>
  <c r="S224" i="6" s="1"/>
  <c r="R227" i="6"/>
  <c r="M227" i="6" s="1"/>
  <c r="S227" i="6" s="1"/>
  <c r="R230" i="6"/>
  <c r="M230" i="6" s="1"/>
  <c r="S230" i="6" s="1"/>
  <c r="R88" i="6"/>
  <c r="M88" i="6" s="1"/>
  <c r="S88" i="6" s="1"/>
  <c r="R100" i="6"/>
  <c r="M100" i="6" s="1"/>
  <c r="S100" i="6" s="1"/>
  <c r="R121" i="6"/>
  <c r="M121" i="6" s="1"/>
  <c r="S121" i="6" s="1"/>
  <c r="R132" i="6"/>
  <c r="M132" i="6" s="1"/>
  <c r="S132" i="6" s="1"/>
  <c r="R149" i="6"/>
  <c r="M149" i="6" s="1"/>
  <c r="S149" i="6" s="1"/>
  <c r="R163" i="6"/>
  <c r="M163" i="6" s="1"/>
  <c r="S163" i="6" s="1"/>
  <c r="R169" i="6"/>
  <c r="M169" i="6" s="1"/>
  <c r="S169" i="6" s="1"/>
  <c r="R182" i="6"/>
  <c r="M182" i="6" s="1"/>
  <c r="S182" i="6" s="1"/>
  <c r="R195" i="6"/>
  <c r="M195" i="6" s="1"/>
  <c r="S195" i="6" s="1"/>
  <c r="R200" i="6"/>
  <c r="M200" i="6" s="1"/>
  <c r="S200" i="6" s="1"/>
  <c r="R209" i="6"/>
  <c r="M209" i="6" s="1"/>
  <c r="S209" i="6" s="1"/>
  <c r="R93" i="6"/>
  <c r="M93" i="6" s="1"/>
  <c r="S93" i="6" s="1"/>
  <c r="R104" i="6"/>
  <c r="M104" i="6" s="1"/>
  <c r="S104" i="6" s="1"/>
  <c r="R125" i="6"/>
  <c r="M125" i="6" s="1"/>
  <c r="S125" i="6" s="1"/>
  <c r="R136" i="6"/>
  <c r="M136" i="6" s="1"/>
  <c r="S136" i="6" s="1"/>
  <c r="R152" i="6"/>
  <c r="M152" i="6" s="1"/>
  <c r="S152" i="6" s="1"/>
  <c r="R165" i="6"/>
  <c r="M165" i="6" s="1"/>
  <c r="S165" i="6" s="1"/>
  <c r="R184" i="6"/>
  <c r="M184" i="6" s="1"/>
  <c r="S184" i="6" s="1"/>
  <c r="R202" i="6"/>
  <c r="M202" i="6" s="1"/>
  <c r="S202" i="6" s="1"/>
  <c r="R214" i="6"/>
  <c r="M214" i="6" s="1"/>
  <c r="S214" i="6" s="1"/>
  <c r="R217" i="6"/>
  <c r="M217" i="6" s="1"/>
  <c r="S217" i="6" s="1"/>
  <c r="R220" i="6"/>
  <c r="M220" i="6" s="1"/>
  <c r="S220" i="6" s="1"/>
  <c r="R223" i="6"/>
  <c r="M223" i="6" s="1"/>
  <c r="S223" i="6" s="1"/>
  <c r="R226" i="6"/>
  <c r="M226" i="6" s="1"/>
  <c r="S226" i="6" s="1"/>
  <c r="R229" i="6"/>
  <c r="M229" i="6" s="1"/>
  <c r="S229" i="6" s="1"/>
  <c r="R232" i="6"/>
  <c r="M232" i="6" s="1"/>
  <c r="S232" i="6" s="1"/>
  <c r="R87" i="6"/>
  <c r="M87" i="6" s="1"/>
  <c r="S87" i="6" s="1"/>
  <c r="R113" i="6"/>
  <c r="M113" i="6" s="1"/>
  <c r="S113" i="6" s="1"/>
  <c r="R208" i="6"/>
  <c r="M208" i="6" s="1"/>
  <c r="S208" i="6" s="1"/>
  <c r="R225" i="6"/>
  <c r="M225" i="6" s="1"/>
  <c r="S225" i="6" s="1"/>
  <c r="R90" i="6"/>
  <c r="M90" i="6" s="1"/>
  <c r="S90" i="6" s="1"/>
  <c r="R120" i="6"/>
  <c r="M120" i="6" s="1"/>
  <c r="S120" i="6" s="1"/>
  <c r="R144" i="6"/>
  <c r="M144" i="6" s="1"/>
  <c r="S144" i="6" s="1"/>
  <c r="R164" i="6"/>
  <c r="M164" i="6" s="1"/>
  <c r="S164" i="6" s="1"/>
  <c r="R181" i="6"/>
  <c r="M181" i="6" s="1"/>
  <c r="S181" i="6" s="1"/>
  <c r="R196" i="6"/>
  <c r="M196" i="6" s="1"/>
  <c r="S196" i="6" s="1"/>
  <c r="R218" i="6"/>
  <c r="M218" i="6" s="1"/>
  <c r="S218" i="6" s="1"/>
  <c r="R92" i="6"/>
  <c r="M92" i="6" s="1"/>
  <c r="S92" i="6" s="1"/>
  <c r="R148" i="6"/>
  <c r="M148" i="6" s="1"/>
  <c r="S148" i="6" s="1"/>
  <c r="R183" i="6"/>
  <c r="M183" i="6" s="1"/>
  <c r="S183" i="6" s="1"/>
  <c r="R199" i="6"/>
  <c r="M199" i="6" s="1"/>
  <c r="S199" i="6" s="1"/>
  <c r="R210" i="6"/>
  <c r="M210" i="6" s="1"/>
  <c r="S210" i="6" s="1"/>
  <c r="R219" i="6"/>
  <c r="M219" i="6" s="1"/>
  <c r="S219" i="6" s="1"/>
  <c r="R101" i="6"/>
  <c r="M101" i="6" s="1"/>
  <c r="S101" i="6" s="1"/>
  <c r="R187" i="6"/>
  <c r="M187" i="6" s="1"/>
  <c r="S187" i="6" s="1"/>
  <c r="R213" i="6"/>
  <c r="M213" i="6" s="1"/>
  <c r="S213" i="6" s="1"/>
  <c r="R112" i="6"/>
  <c r="M112" i="6" s="1"/>
  <c r="S112" i="6" s="1"/>
  <c r="R141" i="6"/>
  <c r="M141" i="6" s="1"/>
  <c r="S141" i="6" s="1"/>
  <c r="R158" i="6"/>
  <c r="M158" i="6" s="1"/>
  <c r="S158" i="6" s="1"/>
  <c r="R177" i="6"/>
  <c r="M177" i="6" s="1"/>
  <c r="S177" i="6" s="1"/>
  <c r="R216" i="6"/>
  <c r="M216" i="6" s="1"/>
  <c r="S216" i="6" s="1"/>
  <c r="R204" i="6"/>
  <c r="M204" i="6" s="1"/>
  <c r="S204" i="6" s="1"/>
  <c r="R228" i="6"/>
  <c r="M228" i="6" s="1"/>
  <c r="S228" i="6" s="1"/>
  <c r="R168" i="6"/>
  <c r="M168" i="6" s="1"/>
  <c r="S168" i="6" s="1"/>
  <c r="R205" i="6"/>
  <c r="M205" i="6" s="1"/>
  <c r="S205" i="6" s="1"/>
  <c r="R109" i="6"/>
  <c r="M109" i="6" s="1"/>
  <c r="S109" i="6" s="1"/>
  <c r="R171" i="6"/>
  <c r="M171" i="6" s="1"/>
  <c r="S171" i="6" s="1"/>
  <c r="R212" i="6"/>
  <c r="M212" i="6" s="1"/>
  <c r="S212" i="6" s="1"/>
  <c r="R231" i="6"/>
  <c r="M231" i="6" s="1"/>
  <c r="S231" i="6" s="1"/>
  <c r="R133" i="6"/>
  <c r="M133" i="6" s="1"/>
  <c r="S133" i="6" s="1"/>
  <c r="R215" i="6"/>
  <c r="M215" i="6" s="1"/>
  <c r="S215" i="6" s="1"/>
  <c r="R155" i="6"/>
  <c r="M155" i="6" s="1"/>
  <c r="S155" i="6" s="1"/>
  <c r="R201" i="6"/>
  <c r="M201" i="6" s="1"/>
  <c r="S201" i="6" s="1"/>
  <c r="R124" i="6"/>
  <c r="M124" i="6" s="1"/>
  <c r="S124" i="6" s="1"/>
  <c r="R222" i="6"/>
  <c r="M222" i="6" s="1"/>
  <c r="S222" i="6" s="1"/>
  <c r="R151" i="6"/>
  <c r="M151" i="6" s="1"/>
  <c r="S151" i="6" s="1"/>
  <c r="R190" i="6"/>
  <c r="M190" i="6" s="1"/>
  <c r="S190" i="6" s="1"/>
  <c r="R150" i="6"/>
  <c r="M150" i="6" s="1"/>
  <c r="R1518" i="6" l="1"/>
  <c r="M1518" i="6" s="1"/>
  <c r="S1518" i="6" s="1"/>
  <c r="Q1519" i="6"/>
  <c r="O1520" i="6"/>
  <c r="P1520" i="6" s="1"/>
  <c r="N1519" i="6"/>
  <c r="S150" i="6"/>
  <c r="R1519" i="6" l="1"/>
  <c r="M1519" i="6" s="1"/>
  <c r="S1519" i="6" s="1"/>
  <c r="Q1520" i="6"/>
  <c r="N1520" i="6"/>
  <c r="O1521" i="6"/>
  <c r="P1521" i="6" s="1"/>
  <c r="R1520" i="6" l="1"/>
  <c r="M1520" i="6" s="1"/>
  <c r="S1520" i="6" s="1"/>
  <c r="Q1521" i="6"/>
  <c r="O1522" i="6"/>
  <c r="P1522" i="6" s="1"/>
  <c r="N1521" i="6"/>
  <c r="R1521" i="6" l="1"/>
  <c r="M1521" i="6" s="1"/>
  <c r="S1521" i="6" s="1"/>
  <c r="Q1522" i="6"/>
  <c r="O1523" i="6"/>
  <c r="P1523" i="6" s="1"/>
  <c r="N1522" i="6"/>
  <c r="R1522" i="6" l="1"/>
  <c r="M1522" i="6" s="1"/>
  <c r="S1522" i="6" s="1"/>
  <c r="Q1523" i="6"/>
  <c r="N1523" i="6"/>
  <c r="O1524" i="6"/>
  <c r="P1524" i="6" s="1"/>
  <c r="R1523" i="6" l="1"/>
  <c r="M1523" i="6" s="1"/>
  <c r="S1523" i="6" s="1"/>
  <c r="Q1524" i="6"/>
  <c r="N1524" i="6"/>
  <c r="O1525" i="6"/>
  <c r="P1525" i="6" s="1"/>
  <c r="R1524" i="6" l="1"/>
  <c r="M1524" i="6" s="1"/>
  <c r="S1524" i="6" s="1"/>
  <c r="Q1525" i="6"/>
  <c r="N1525" i="6"/>
  <c r="O1526" i="6"/>
  <c r="P1526" i="6" s="1"/>
  <c r="R81" i="6"/>
  <c r="M81" i="6" s="1"/>
  <c r="R83" i="6"/>
  <c r="M83" i="6" s="1"/>
  <c r="S83" i="6" s="1"/>
  <c r="R82" i="6"/>
  <c r="M82" i="6" s="1"/>
  <c r="S82" i="6" s="1"/>
  <c r="R1525" i="6" l="1"/>
  <c r="M1525" i="6" s="1"/>
  <c r="S1525" i="6" s="1"/>
  <c r="Q1526" i="6"/>
  <c r="O1527" i="6"/>
  <c r="P1527" i="6" s="1"/>
  <c r="N1526" i="6"/>
  <c r="S81" i="6"/>
  <c r="R1526" i="6" l="1"/>
  <c r="M1526" i="6" s="1"/>
  <c r="S1526" i="6" s="1"/>
  <c r="Q1527" i="6"/>
  <c r="N1527" i="6"/>
  <c r="O1528" i="6"/>
  <c r="P1528" i="6" s="1"/>
  <c r="R1527" i="6" l="1"/>
  <c r="M1527" i="6" s="1"/>
  <c r="S1527" i="6" s="1"/>
  <c r="Q1528" i="6"/>
  <c r="O1529" i="6"/>
  <c r="P1529" i="6" s="1"/>
  <c r="N1528" i="6"/>
  <c r="R1528" i="6" l="1"/>
  <c r="M1528" i="6" s="1"/>
  <c r="S1528" i="6" s="1"/>
  <c r="Q1529" i="6"/>
  <c r="N1529" i="6"/>
  <c r="O1530" i="6"/>
  <c r="P1530" i="6" s="1"/>
  <c r="R1529" i="6" l="1"/>
  <c r="M1529" i="6" s="1"/>
  <c r="S1529" i="6" s="1"/>
  <c r="Q1530" i="6"/>
  <c r="O1531" i="6"/>
  <c r="P1531" i="6" s="1"/>
  <c r="N1530" i="6"/>
  <c r="R1530" i="6" l="1"/>
  <c r="M1530" i="6" s="1"/>
  <c r="S1530" i="6" s="1"/>
  <c r="Q1531" i="6"/>
  <c r="N1531" i="6"/>
  <c r="O1532" i="6"/>
  <c r="P1532" i="6" s="1"/>
  <c r="R1531" i="6" l="1"/>
  <c r="M1531" i="6" s="1"/>
  <c r="S1531" i="6" s="1"/>
  <c r="Q1532" i="6"/>
  <c r="N1532" i="6"/>
  <c r="O1533" i="6"/>
  <c r="P1533" i="6" s="1"/>
  <c r="R1532" i="6" l="1"/>
  <c r="M1532" i="6" s="1"/>
  <c r="S1532" i="6" s="1"/>
  <c r="Q1533" i="6"/>
  <c r="N1533" i="6"/>
  <c r="O1534" i="6"/>
  <c r="P1534" i="6" s="1"/>
  <c r="R1533" i="6" l="1"/>
  <c r="M1533" i="6" s="1"/>
  <c r="S1533" i="6" s="1"/>
  <c r="Q1534" i="6"/>
  <c r="O1535" i="6"/>
  <c r="P1535" i="6" s="1"/>
  <c r="N1534" i="6"/>
  <c r="R1534" i="6" l="1"/>
  <c r="M1534" i="6" s="1"/>
  <c r="S1534" i="6" s="1"/>
  <c r="Q1535" i="6"/>
  <c r="N1535" i="6"/>
  <c r="O1536" i="6"/>
  <c r="P1536" i="6" s="1"/>
  <c r="R1535" i="6" l="1"/>
  <c r="M1535" i="6" s="1"/>
  <c r="S1535" i="6" s="1"/>
  <c r="Q1536" i="6"/>
  <c r="O1537" i="6"/>
  <c r="P1537" i="6" s="1"/>
  <c r="N1536" i="6"/>
  <c r="R1536" i="6" l="1"/>
  <c r="M1536" i="6" s="1"/>
  <c r="S1536" i="6" s="1"/>
  <c r="Q1537" i="6"/>
  <c r="O1538" i="6"/>
  <c r="P1538" i="6" s="1"/>
  <c r="N1537" i="6"/>
  <c r="R1537" i="6" l="1"/>
  <c r="M1537" i="6" s="1"/>
  <c r="S1537" i="6" s="1"/>
  <c r="Q1538" i="6"/>
  <c r="O1539" i="6"/>
  <c r="P1539" i="6" s="1"/>
  <c r="N1538" i="6"/>
  <c r="R1538" i="6" l="1"/>
  <c r="M1538" i="6" s="1"/>
  <c r="S1538" i="6" s="1"/>
  <c r="Q1539" i="6"/>
  <c r="N1539" i="6"/>
  <c r="O1540" i="6"/>
  <c r="P1540" i="6" s="1"/>
  <c r="R1539" i="6" l="1"/>
  <c r="M1539" i="6" s="1"/>
  <c r="S1539" i="6" s="1"/>
  <c r="Q1540" i="6"/>
  <c r="N1540" i="6"/>
  <c r="O1541" i="6"/>
  <c r="P1541" i="6" s="1"/>
  <c r="R1540" i="6" l="1"/>
  <c r="M1540" i="6" s="1"/>
  <c r="S1540" i="6" s="1"/>
  <c r="Q1541" i="6"/>
  <c r="N1541" i="6"/>
  <c r="O1542" i="6"/>
  <c r="P1542" i="6" s="1"/>
  <c r="R1541" i="6" l="1"/>
  <c r="M1541" i="6" s="1"/>
  <c r="S1541" i="6" s="1"/>
  <c r="Q1542" i="6"/>
  <c r="N1542" i="6"/>
  <c r="O1543" i="6"/>
  <c r="P1543" i="6" s="1"/>
  <c r="R1542" i="6" l="1"/>
  <c r="M1542" i="6" s="1"/>
  <c r="S1542" i="6" s="1"/>
  <c r="Q1543" i="6"/>
  <c r="N1543" i="6"/>
  <c r="O1544" i="6"/>
  <c r="P1544" i="6" s="1"/>
  <c r="R1543" i="6" l="1"/>
  <c r="M1543" i="6" s="1"/>
  <c r="S1543" i="6" s="1"/>
  <c r="Q1544" i="6"/>
  <c r="O1545" i="6"/>
  <c r="P1545" i="6" s="1"/>
  <c r="N1544" i="6"/>
  <c r="R1544" i="6" l="1"/>
  <c r="M1544" i="6" s="1"/>
  <c r="S1544" i="6" s="1"/>
  <c r="Q1545" i="6"/>
  <c r="N1545" i="6"/>
  <c r="O1546" i="6"/>
  <c r="P1546" i="6" s="1"/>
  <c r="R1545" i="6" l="1"/>
  <c r="M1545" i="6" s="1"/>
  <c r="S1545" i="6" s="1"/>
  <c r="Q1546" i="6"/>
  <c r="N1546" i="6"/>
  <c r="O1547" i="6"/>
  <c r="P1547" i="6" s="1"/>
  <c r="R1546" i="6" l="1"/>
  <c r="M1546" i="6" s="1"/>
  <c r="S1546" i="6" s="1"/>
  <c r="Q1547" i="6"/>
  <c r="O1548" i="6"/>
  <c r="P1548" i="6" s="1"/>
  <c r="N1547" i="6"/>
  <c r="R1547" i="6" l="1"/>
  <c r="M1547" i="6" s="1"/>
  <c r="S1547" i="6" s="1"/>
  <c r="Q1548" i="6"/>
  <c r="O1549" i="6"/>
  <c r="P1549" i="6" s="1"/>
  <c r="N1548" i="6"/>
  <c r="R1548" i="6" l="1"/>
  <c r="M1548" i="6" s="1"/>
  <c r="S1548" i="6" s="1"/>
  <c r="Q1549" i="6"/>
  <c r="O1550" i="6"/>
  <c r="P1550" i="6" s="1"/>
  <c r="N1549" i="6"/>
  <c r="R1549" i="6" l="1"/>
  <c r="M1549" i="6" s="1"/>
  <c r="S1549" i="6" s="1"/>
  <c r="Q1550" i="6"/>
  <c r="O1551" i="6"/>
  <c r="P1551" i="6" s="1"/>
  <c r="N1550" i="6"/>
  <c r="R1550" i="6" l="1"/>
  <c r="M1550" i="6" s="1"/>
  <c r="S1550" i="6" s="1"/>
  <c r="Q1551" i="6"/>
  <c r="O1552" i="6"/>
  <c r="P1552" i="6" s="1"/>
  <c r="N1551" i="6"/>
  <c r="R1551" i="6" l="1"/>
  <c r="M1551" i="6" s="1"/>
  <c r="S1551" i="6" s="1"/>
  <c r="Q1552" i="6"/>
  <c r="N1552" i="6"/>
  <c r="O1553" i="6"/>
  <c r="P1553" i="6" s="1"/>
  <c r="R1552" i="6" l="1"/>
  <c r="M1552" i="6" s="1"/>
  <c r="S1552" i="6" s="1"/>
  <c r="Q1553" i="6"/>
  <c r="N1553" i="6"/>
  <c r="O1554" i="6"/>
  <c r="P1554" i="6" s="1"/>
  <c r="R1553" i="6" l="1"/>
  <c r="M1553" i="6" s="1"/>
  <c r="S1553" i="6" s="1"/>
  <c r="Q1554" i="6"/>
  <c r="O1555" i="6"/>
  <c r="P1555" i="6" s="1"/>
  <c r="N1554" i="6"/>
  <c r="R1554" i="6" l="1"/>
  <c r="M1554" i="6" s="1"/>
  <c r="S1554" i="6" s="1"/>
  <c r="Q1555" i="6"/>
  <c r="N1555" i="6"/>
  <c r="O1556" i="6"/>
  <c r="P1556" i="6" s="1"/>
  <c r="R1555" i="6" l="1"/>
  <c r="M1555" i="6" s="1"/>
  <c r="S1555" i="6" s="1"/>
  <c r="Q1556" i="6"/>
  <c r="O1557" i="6"/>
  <c r="P1557" i="6" s="1"/>
  <c r="N1556" i="6"/>
  <c r="R1556" i="6" l="1"/>
  <c r="M1556" i="6" s="1"/>
  <c r="S1556" i="6" s="1"/>
  <c r="Q1557" i="6"/>
  <c r="N1557" i="6"/>
  <c r="O1558" i="6"/>
  <c r="P1558" i="6" s="1"/>
  <c r="R1557" i="6" l="1"/>
  <c r="M1557" i="6" s="1"/>
  <c r="S1557" i="6" s="1"/>
  <c r="Q1558" i="6"/>
  <c r="O1559" i="6"/>
  <c r="P1559" i="6" s="1"/>
  <c r="N1558" i="6"/>
  <c r="R1558" i="6" l="1"/>
  <c r="M1558" i="6" s="1"/>
  <c r="S1558" i="6" s="1"/>
  <c r="Q1559" i="6"/>
  <c r="N1559" i="6"/>
  <c r="O1560" i="6"/>
  <c r="P1560" i="6" s="1"/>
  <c r="R1559" i="6" l="1"/>
  <c r="M1559" i="6" s="1"/>
  <c r="S1559" i="6" s="1"/>
  <c r="Q1560" i="6"/>
  <c r="N1560" i="6"/>
  <c r="O1561" i="6"/>
  <c r="P1561" i="6" s="1"/>
  <c r="R1560" i="6" l="1"/>
  <c r="M1560" i="6" s="1"/>
  <c r="S1560" i="6" s="1"/>
  <c r="Q1561" i="6"/>
  <c r="N1561" i="6"/>
  <c r="O1562" i="6"/>
  <c r="P1562" i="6" s="1"/>
  <c r="R1561" i="6" l="1"/>
  <c r="M1561" i="6" s="1"/>
  <c r="S1561" i="6" s="1"/>
  <c r="Q1562" i="6"/>
  <c r="N1562" i="6"/>
  <c r="O1563" i="6"/>
  <c r="P1563" i="6" s="1"/>
  <c r="R1562" i="6" l="1"/>
  <c r="M1562" i="6" s="1"/>
  <c r="S1562" i="6" s="1"/>
  <c r="Q1563" i="6"/>
  <c r="N1563" i="6"/>
  <c r="O1564" i="6"/>
  <c r="P1564" i="6" s="1"/>
  <c r="R1563" i="6" l="1"/>
  <c r="M1563" i="6" s="1"/>
  <c r="S1563" i="6" s="1"/>
  <c r="Q1564" i="6"/>
  <c r="N1564" i="6"/>
  <c r="O1565" i="6"/>
  <c r="P1565" i="6" s="1"/>
  <c r="R1564" i="6" l="1"/>
  <c r="M1564" i="6" s="1"/>
  <c r="S1564" i="6" s="1"/>
  <c r="Q1565" i="6"/>
  <c r="N1565" i="6"/>
  <c r="O1566" i="6"/>
  <c r="P1566" i="6" s="1"/>
  <c r="R1565" i="6" l="1"/>
  <c r="M1565" i="6" s="1"/>
  <c r="S1565" i="6" s="1"/>
  <c r="Q1566" i="6"/>
  <c r="N1566" i="6"/>
  <c r="O1567" i="6"/>
  <c r="P1567" i="6" s="1"/>
  <c r="R1566" i="6" l="1"/>
  <c r="M1566" i="6" s="1"/>
  <c r="S1566" i="6" s="1"/>
  <c r="Q1567" i="6"/>
  <c r="O1568" i="6"/>
  <c r="P1568" i="6" s="1"/>
  <c r="N1567" i="6"/>
  <c r="R1567" i="6" l="1"/>
  <c r="M1567" i="6" s="1"/>
  <c r="S1567" i="6" s="1"/>
  <c r="Q1568" i="6"/>
  <c r="N1568" i="6"/>
  <c r="O1569" i="6"/>
  <c r="P1569" i="6" s="1"/>
  <c r="R1568" i="6" l="1"/>
  <c r="M1568" i="6" s="1"/>
  <c r="S1568" i="6" s="1"/>
  <c r="Q1569" i="6"/>
  <c r="N1569" i="6"/>
  <c r="O1570" i="6"/>
  <c r="P1570" i="6" s="1"/>
  <c r="R1569" i="6" l="1"/>
  <c r="M1569" i="6" s="1"/>
  <c r="S1569" i="6" s="1"/>
  <c r="Q1570" i="6"/>
  <c r="O1571" i="6"/>
  <c r="P1571" i="6" s="1"/>
  <c r="N1570" i="6"/>
  <c r="R1570" i="6" l="1"/>
  <c r="M1570" i="6" s="1"/>
  <c r="S1570" i="6" s="1"/>
  <c r="Q1571" i="6"/>
  <c r="N1571" i="6"/>
  <c r="O1572" i="6"/>
  <c r="P1572" i="6" s="1"/>
  <c r="R1571" i="6" l="1"/>
  <c r="M1571" i="6" s="1"/>
  <c r="S1571" i="6" s="1"/>
  <c r="Q1572" i="6"/>
  <c r="O1573" i="6"/>
  <c r="P1573" i="6" s="1"/>
  <c r="N1572" i="6"/>
  <c r="R1572" i="6" l="1"/>
  <c r="M1572" i="6" s="1"/>
  <c r="S1572" i="6" s="1"/>
  <c r="Q1573" i="6"/>
  <c r="N1573" i="6"/>
  <c r="O1574" i="6"/>
  <c r="P1574" i="6" s="1"/>
  <c r="R1573" i="6" l="1"/>
  <c r="M1573" i="6" s="1"/>
  <c r="S1573" i="6" s="1"/>
  <c r="Q1574" i="6"/>
  <c r="O1575" i="6"/>
  <c r="P1575" i="6" s="1"/>
  <c r="N1574" i="6"/>
  <c r="R1574" i="6" l="1"/>
  <c r="M1574" i="6" s="1"/>
  <c r="S1574" i="6" s="1"/>
  <c r="Q1575" i="6"/>
  <c r="N1575" i="6"/>
  <c r="O1576" i="6"/>
  <c r="P1576" i="6" s="1"/>
  <c r="R1575" i="6" l="1"/>
  <c r="M1575" i="6" s="1"/>
  <c r="S1575" i="6" s="1"/>
  <c r="Q1576" i="6"/>
  <c r="N1576" i="6"/>
  <c r="O1577" i="6"/>
  <c r="P1577" i="6" s="1"/>
  <c r="R1576" i="6" l="1"/>
  <c r="M1576" i="6" s="1"/>
  <c r="S1576" i="6" s="1"/>
  <c r="Q1577" i="6"/>
  <c r="N1577" i="6"/>
  <c r="O1578" i="6"/>
  <c r="P1578" i="6" s="1"/>
  <c r="R1577" i="6" l="1"/>
  <c r="M1577" i="6" s="1"/>
  <c r="S1577" i="6" s="1"/>
  <c r="Q1578" i="6"/>
  <c r="N1578" i="6"/>
  <c r="O1579" i="6"/>
  <c r="P1579" i="6" s="1"/>
  <c r="R1578" i="6" l="1"/>
  <c r="M1578" i="6" s="1"/>
  <c r="S1578" i="6" s="1"/>
  <c r="Q1579" i="6"/>
  <c r="N1579" i="6"/>
  <c r="O1580" i="6"/>
  <c r="P1580" i="6" s="1"/>
  <c r="R1579" i="6" l="1"/>
  <c r="M1579" i="6" s="1"/>
  <c r="S1579" i="6" s="1"/>
  <c r="Q1580" i="6"/>
  <c r="N1580" i="6"/>
  <c r="O1581" i="6"/>
  <c r="P1581" i="6" s="1"/>
  <c r="R1580" i="6" l="1"/>
  <c r="M1580" i="6" s="1"/>
  <c r="S1580" i="6" s="1"/>
  <c r="Q1581" i="6"/>
  <c r="N1581" i="6"/>
  <c r="O1582" i="6"/>
  <c r="P1582" i="6" s="1"/>
  <c r="R1581" i="6" l="1"/>
  <c r="M1581" i="6" s="1"/>
  <c r="S1581" i="6" s="1"/>
  <c r="Q1582" i="6"/>
  <c r="N1582" i="6"/>
  <c r="O1583" i="6"/>
  <c r="P1583" i="6" s="1"/>
  <c r="R1582" i="6" l="1"/>
  <c r="M1582" i="6" s="1"/>
  <c r="S1582" i="6" s="1"/>
  <c r="Q1583" i="6"/>
  <c r="O1584" i="6"/>
  <c r="P1584" i="6" s="1"/>
  <c r="N1583" i="6"/>
  <c r="R1583" i="6" l="1"/>
  <c r="M1583" i="6" s="1"/>
  <c r="S1583" i="6" s="1"/>
  <c r="Q1584" i="6"/>
  <c r="N1584" i="6"/>
  <c r="O1585" i="6"/>
  <c r="P1585" i="6" s="1"/>
  <c r="R1584" i="6" l="1"/>
  <c r="M1584" i="6" s="1"/>
  <c r="S1584" i="6" s="1"/>
  <c r="Q1585" i="6"/>
  <c r="N1585" i="6"/>
  <c r="O1586" i="6"/>
  <c r="P1586" i="6" s="1"/>
  <c r="R1585" i="6" l="1"/>
  <c r="M1585" i="6" s="1"/>
  <c r="S1585" i="6" s="1"/>
  <c r="Q1586" i="6"/>
  <c r="O1587" i="6"/>
  <c r="P1587" i="6" s="1"/>
  <c r="N1586" i="6"/>
  <c r="R1586" i="6" l="1"/>
  <c r="M1586" i="6" s="1"/>
  <c r="S1586" i="6" s="1"/>
  <c r="Q1587" i="6"/>
  <c r="N1587" i="6"/>
  <c r="O1588" i="6"/>
  <c r="P1588" i="6" s="1"/>
  <c r="R1587" i="6" l="1"/>
  <c r="M1587" i="6" s="1"/>
  <c r="S1587" i="6" s="1"/>
  <c r="Q1588" i="6"/>
  <c r="O1589" i="6"/>
  <c r="P1589" i="6" s="1"/>
  <c r="N1588" i="6"/>
  <c r="R1588" i="6" l="1"/>
  <c r="M1588" i="6" s="1"/>
  <c r="S1588" i="6" s="1"/>
  <c r="Q1589" i="6"/>
  <c r="N1589" i="6"/>
  <c r="O1590" i="6"/>
  <c r="P1590" i="6" s="1"/>
  <c r="R1589" i="6" l="1"/>
  <c r="M1589" i="6" s="1"/>
  <c r="S1589" i="6" s="1"/>
  <c r="Q1590" i="6"/>
  <c r="N1590" i="6"/>
  <c r="O1591" i="6"/>
  <c r="P1591" i="6" s="1"/>
  <c r="R1590" i="6" l="1"/>
  <c r="M1590" i="6" s="1"/>
  <c r="S1590" i="6" s="1"/>
  <c r="Q1591" i="6"/>
  <c r="N1591" i="6"/>
  <c r="O1592" i="6"/>
  <c r="P1592" i="6" s="1"/>
  <c r="R1591" i="6" l="1"/>
  <c r="M1591" i="6" s="1"/>
  <c r="S1591" i="6" s="1"/>
  <c r="Q1592" i="6"/>
  <c r="N1592" i="6"/>
  <c r="O1593" i="6"/>
  <c r="P1593" i="6" s="1"/>
  <c r="R1592" i="6" l="1"/>
  <c r="M1592" i="6" s="1"/>
  <c r="S1592" i="6" s="1"/>
  <c r="Q1593" i="6"/>
  <c r="N1593" i="6"/>
  <c r="O1594" i="6"/>
  <c r="P1594" i="6" s="1"/>
  <c r="R1593" i="6" l="1"/>
  <c r="M1593" i="6" s="1"/>
  <c r="S1593" i="6" s="1"/>
  <c r="Q1594" i="6"/>
  <c r="N1594" i="6"/>
  <c r="O1595" i="6"/>
  <c r="P1595" i="6" s="1"/>
  <c r="R1594" i="6" l="1"/>
  <c r="M1594" i="6" s="1"/>
  <c r="S1594" i="6" s="1"/>
  <c r="Q1595" i="6"/>
  <c r="N1595" i="6"/>
  <c r="O1596" i="6"/>
  <c r="P1596" i="6" s="1"/>
  <c r="R1595" i="6" l="1"/>
  <c r="M1595" i="6" s="1"/>
  <c r="S1595" i="6" s="1"/>
  <c r="Q1596" i="6"/>
  <c r="N1596" i="6"/>
  <c r="O1597" i="6"/>
  <c r="P1597" i="6" s="1"/>
  <c r="R1596" i="6" l="1"/>
  <c r="M1596" i="6" s="1"/>
  <c r="S1596" i="6" s="1"/>
  <c r="Q1597" i="6"/>
  <c r="N1597" i="6"/>
  <c r="O1598" i="6"/>
  <c r="P1598" i="6" s="1"/>
  <c r="R1597" i="6" l="1"/>
  <c r="M1597" i="6" s="1"/>
  <c r="S1597" i="6" s="1"/>
  <c r="Q1598" i="6"/>
  <c r="O1599" i="6"/>
  <c r="P1599" i="6" s="1"/>
  <c r="N1598" i="6"/>
  <c r="R1598" i="6" l="1"/>
  <c r="M1598" i="6" s="1"/>
  <c r="S1598" i="6" s="1"/>
  <c r="Q1599" i="6"/>
  <c r="N1599" i="6"/>
  <c r="O1600" i="6"/>
  <c r="P1600" i="6" s="1"/>
  <c r="R1599" i="6" l="1"/>
  <c r="M1599" i="6" s="1"/>
  <c r="S1599" i="6" s="1"/>
  <c r="Q1600" i="6"/>
  <c r="O1601" i="6"/>
  <c r="P1601" i="6" s="1"/>
  <c r="N1600" i="6"/>
  <c r="R1600" i="6" l="1"/>
  <c r="M1600" i="6" s="1"/>
  <c r="S1600" i="6" s="1"/>
  <c r="Q1601" i="6"/>
  <c r="O1602" i="6"/>
  <c r="P1602" i="6" s="1"/>
  <c r="N1601" i="6"/>
  <c r="R1601" i="6" l="1"/>
  <c r="M1601" i="6" s="1"/>
  <c r="S1601" i="6" s="1"/>
  <c r="Q1602" i="6"/>
  <c r="N1602" i="6"/>
  <c r="O1603" i="6"/>
  <c r="P1603" i="6" s="1"/>
  <c r="R1602" i="6" l="1"/>
  <c r="M1602" i="6" s="1"/>
  <c r="S1602" i="6" s="1"/>
  <c r="Q1603" i="6"/>
  <c r="O1604" i="6"/>
  <c r="P1604" i="6" s="1"/>
  <c r="N1603" i="6"/>
  <c r="R1603" i="6" l="1"/>
  <c r="M1603" i="6" s="1"/>
  <c r="S1603" i="6" s="1"/>
  <c r="Q1604" i="6"/>
  <c r="N1604" i="6"/>
  <c r="O1605" i="6"/>
  <c r="P1605" i="6" s="1"/>
  <c r="R1604" i="6" l="1"/>
  <c r="M1604" i="6" s="1"/>
  <c r="S1604" i="6" s="1"/>
  <c r="Q1605" i="6"/>
  <c r="N1605" i="6"/>
  <c r="O1606" i="6"/>
  <c r="P1606" i="6" s="1"/>
  <c r="R1605" i="6" l="1"/>
  <c r="M1605" i="6" s="1"/>
  <c r="S1605" i="6" s="1"/>
  <c r="Q1606" i="6"/>
  <c r="O1607" i="6"/>
  <c r="P1607" i="6" s="1"/>
  <c r="N1606" i="6"/>
  <c r="R1606" i="6" l="1"/>
  <c r="M1606" i="6" s="1"/>
  <c r="S1606" i="6" s="1"/>
  <c r="Q1607" i="6"/>
  <c r="N1607" i="6"/>
  <c r="O1608" i="6"/>
  <c r="P1608" i="6" s="1"/>
  <c r="R1607" i="6" l="1"/>
  <c r="M1607" i="6" s="1"/>
  <c r="S1607" i="6" s="1"/>
  <c r="Q1608" i="6"/>
  <c r="N1608" i="6"/>
  <c r="O1609" i="6"/>
  <c r="P1609" i="6" s="1"/>
  <c r="R1608" i="6" l="1"/>
  <c r="M1608" i="6" s="1"/>
  <c r="S1608" i="6" s="1"/>
  <c r="Q1609" i="6"/>
  <c r="N1609" i="6"/>
  <c r="O1610" i="6"/>
  <c r="P1610" i="6" s="1"/>
  <c r="R1609" i="6" l="1"/>
  <c r="M1609" i="6" s="1"/>
  <c r="S1609" i="6" s="1"/>
  <c r="Q1610" i="6"/>
  <c r="N1610" i="6"/>
  <c r="O1611" i="6"/>
  <c r="P1611" i="6" s="1"/>
  <c r="R1610" i="6" l="1"/>
  <c r="M1610" i="6" s="1"/>
  <c r="S1610" i="6" s="1"/>
  <c r="Q1611" i="6"/>
  <c r="N1611" i="6"/>
  <c r="O1612" i="6"/>
  <c r="P1612" i="6" s="1"/>
  <c r="R1611" i="6" l="1"/>
  <c r="M1611" i="6" s="1"/>
  <c r="S1611" i="6" s="1"/>
  <c r="Q1612" i="6"/>
  <c r="N1612" i="6"/>
  <c r="O1613" i="6"/>
  <c r="P1613" i="6" s="1"/>
  <c r="R1612" i="6" l="1"/>
  <c r="M1612" i="6" s="1"/>
  <c r="S1612" i="6" s="1"/>
  <c r="Q1613" i="6"/>
  <c r="N1613" i="6"/>
  <c r="O1614" i="6"/>
  <c r="P1614" i="6" s="1"/>
  <c r="R1613" i="6" l="1"/>
  <c r="M1613" i="6" s="1"/>
  <c r="S1613" i="6" s="1"/>
  <c r="Q1614" i="6"/>
  <c r="N1614" i="6"/>
  <c r="O1615" i="6"/>
  <c r="P1615" i="6" s="1"/>
  <c r="R1614" i="6" l="1"/>
  <c r="M1614" i="6" s="1"/>
  <c r="S1614" i="6" s="1"/>
  <c r="Q1615" i="6"/>
  <c r="O1616" i="6"/>
  <c r="P1616" i="6" s="1"/>
  <c r="N1615" i="6"/>
  <c r="R1615" i="6" l="1"/>
  <c r="M1615" i="6" s="1"/>
  <c r="S1615" i="6" s="1"/>
  <c r="Q1616" i="6"/>
  <c r="N1616" i="6"/>
  <c r="O1617" i="6"/>
  <c r="P1617" i="6" s="1"/>
  <c r="R1616" i="6" l="1"/>
  <c r="M1616" i="6" s="1"/>
  <c r="S1616" i="6" s="1"/>
  <c r="Q1617" i="6"/>
  <c r="N1617" i="6"/>
  <c r="O1618" i="6"/>
  <c r="P1618" i="6" s="1"/>
  <c r="R1617" i="6" l="1"/>
  <c r="M1617" i="6" s="1"/>
  <c r="S1617" i="6" s="1"/>
  <c r="Q1618" i="6"/>
  <c r="O1619" i="6"/>
  <c r="P1619" i="6" s="1"/>
  <c r="N1618" i="6"/>
  <c r="R1618" i="6" l="1"/>
  <c r="M1618" i="6" s="1"/>
  <c r="S1618" i="6" s="1"/>
  <c r="Q1619" i="6"/>
  <c r="N1619" i="6"/>
  <c r="O1620" i="6"/>
  <c r="P1620" i="6" s="1"/>
  <c r="R1619" i="6" l="1"/>
  <c r="M1619" i="6" s="1"/>
  <c r="S1619" i="6" s="1"/>
  <c r="Q1620" i="6"/>
  <c r="O1621" i="6"/>
  <c r="P1621" i="6" s="1"/>
  <c r="N1620" i="6"/>
  <c r="R1620" i="6" l="1"/>
  <c r="M1620" i="6" s="1"/>
  <c r="S1620" i="6" s="1"/>
  <c r="Q1621" i="6"/>
  <c r="N1621" i="6"/>
  <c r="O1622" i="6"/>
  <c r="P1622" i="6" s="1"/>
  <c r="R1621" i="6" l="1"/>
  <c r="M1621" i="6" s="1"/>
  <c r="S1621" i="6" s="1"/>
  <c r="Q1622" i="6"/>
  <c r="O1623" i="6"/>
  <c r="P1623" i="6" s="1"/>
  <c r="N1622" i="6"/>
  <c r="R1622" i="6" l="1"/>
  <c r="M1622" i="6" s="1"/>
  <c r="S1622" i="6" s="1"/>
  <c r="Q1623" i="6"/>
  <c r="N1623" i="6"/>
  <c r="O1624" i="6"/>
  <c r="P1624" i="6" s="1"/>
  <c r="R1623" i="6" l="1"/>
  <c r="M1623" i="6" s="1"/>
  <c r="S1623" i="6" s="1"/>
  <c r="Q1624" i="6"/>
  <c r="N1624" i="6"/>
  <c r="O1625" i="6"/>
  <c r="P1625" i="6" s="1"/>
  <c r="R1624" i="6" l="1"/>
  <c r="M1624" i="6" s="1"/>
  <c r="S1624" i="6" s="1"/>
  <c r="Q1625" i="6"/>
  <c r="N1625" i="6"/>
  <c r="O1626" i="6"/>
  <c r="P1626" i="6" s="1"/>
  <c r="R1625" i="6" l="1"/>
  <c r="M1625" i="6" s="1"/>
  <c r="S1625" i="6" s="1"/>
  <c r="Q1626" i="6"/>
  <c r="N1626" i="6"/>
  <c r="O1627" i="6"/>
  <c r="P1627" i="6" s="1"/>
  <c r="R1626" i="6" l="1"/>
  <c r="M1626" i="6" s="1"/>
  <c r="S1626" i="6" s="1"/>
  <c r="Q1627" i="6"/>
  <c r="N1627" i="6"/>
  <c r="O1628" i="6"/>
  <c r="P1628" i="6" s="1"/>
  <c r="R1627" i="6" l="1"/>
  <c r="M1627" i="6" s="1"/>
  <c r="S1627" i="6" s="1"/>
  <c r="Q1628" i="6"/>
  <c r="N1628" i="6"/>
  <c r="O1629" i="6"/>
  <c r="P1629" i="6" s="1"/>
  <c r="R1628" i="6" l="1"/>
  <c r="M1628" i="6" s="1"/>
  <c r="S1628" i="6" s="1"/>
  <c r="Q1629" i="6"/>
  <c r="N1629" i="6"/>
  <c r="O1630" i="6"/>
  <c r="P1630" i="6" s="1"/>
  <c r="R1629" i="6" l="1"/>
  <c r="M1629" i="6" s="1"/>
  <c r="S1629" i="6" s="1"/>
  <c r="Q1630" i="6"/>
  <c r="N1630" i="6"/>
  <c r="O1631" i="6"/>
  <c r="P1631" i="6" s="1"/>
  <c r="R1630" i="6" l="1"/>
  <c r="M1630" i="6" s="1"/>
  <c r="S1630" i="6" s="1"/>
  <c r="Q1631" i="6"/>
  <c r="O1632" i="6"/>
  <c r="P1632" i="6" s="1"/>
  <c r="N1631" i="6"/>
  <c r="R1631" i="6" l="1"/>
  <c r="M1631" i="6" s="1"/>
  <c r="S1631" i="6" s="1"/>
  <c r="Q1632" i="6"/>
  <c r="N1632" i="6"/>
  <c r="O1633" i="6"/>
  <c r="P1633" i="6" s="1"/>
  <c r="R1632" i="6" l="1"/>
  <c r="M1632" i="6" s="1"/>
  <c r="S1632" i="6" s="1"/>
  <c r="Q1633" i="6"/>
  <c r="N1633" i="6"/>
  <c r="O1634" i="6"/>
  <c r="P1634" i="6" s="1"/>
  <c r="R1633" i="6" l="1"/>
  <c r="M1633" i="6" s="1"/>
  <c r="S1633" i="6" s="1"/>
  <c r="Q1634" i="6"/>
  <c r="O1635" i="6"/>
  <c r="P1635" i="6" s="1"/>
  <c r="N1634" i="6"/>
  <c r="R1634" i="6" l="1"/>
  <c r="M1634" i="6" s="1"/>
  <c r="S1634" i="6" s="1"/>
  <c r="Q1635" i="6"/>
  <c r="N1635" i="6"/>
  <c r="O1636" i="6"/>
  <c r="P1636" i="6" s="1"/>
  <c r="R1635" i="6" l="1"/>
  <c r="M1635" i="6" s="1"/>
  <c r="S1635" i="6" s="1"/>
  <c r="Q1636" i="6"/>
  <c r="O1637" i="6"/>
  <c r="P1637" i="6" s="1"/>
  <c r="N1636" i="6"/>
  <c r="R1636" i="6" l="1"/>
  <c r="M1636" i="6" s="1"/>
  <c r="S1636" i="6" s="1"/>
  <c r="Q1637" i="6"/>
  <c r="N1637" i="6"/>
  <c r="O1638" i="6"/>
  <c r="P1638" i="6" s="1"/>
  <c r="R1637" i="6" l="1"/>
  <c r="M1637" i="6" s="1"/>
  <c r="S1637" i="6" s="1"/>
  <c r="Q1638" i="6"/>
  <c r="O1639" i="6"/>
  <c r="P1639" i="6" s="1"/>
  <c r="N1638" i="6"/>
  <c r="R1638" i="6" l="1"/>
  <c r="M1638" i="6" s="1"/>
  <c r="S1638" i="6" s="1"/>
  <c r="Q1639" i="6"/>
  <c r="N1639" i="6"/>
  <c r="O1640" i="6"/>
  <c r="P1640" i="6" s="1"/>
  <c r="R1639" i="6" l="1"/>
  <c r="M1639" i="6" s="1"/>
  <c r="S1639" i="6" s="1"/>
  <c r="Q1640" i="6"/>
  <c r="N1640" i="6"/>
  <c r="O1641" i="6"/>
  <c r="P1641" i="6" s="1"/>
  <c r="R1640" i="6" l="1"/>
  <c r="M1640" i="6" s="1"/>
  <c r="S1640" i="6" s="1"/>
  <c r="Q1641" i="6"/>
  <c r="N1641" i="6"/>
  <c r="O1642" i="6"/>
  <c r="P1642" i="6" s="1"/>
  <c r="R1641" i="6" l="1"/>
  <c r="M1641" i="6" s="1"/>
  <c r="S1641" i="6" s="1"/>
  <c r="Q1642" i="6"/>
  <c r="O1643" i="6"/>
  <c r="P1643" i="6" s="1"/>
  <c r="N1642" i="6"/>
  <c r="R1642" i="6" l="1"/>
  <c r="M1642" i="6" s="1"/>
  <c r="S1642" i="6" s="1"/>
  <c r="Q1643" i="6"/>
  <c r="N1643" i="6"/>
  <c r="O1644" i="6"/>
  <c r="P1644" i="6" s="1"/>
  <c r="R1643" i="6" l="1"/>
  <c r="M1643" i="6" s="1"/>
  <c r="S1643" i="6" s="1"/>
  <c r="Q1644" i="6"/>
  <c r="O1645" i="6"/>
  <c r="P1645" i="6" s="1"/>
  <c r="N1644" i="6"/>
  <c r="R1644" i="6" l="1"/>
  <c r="M1644" i="6" s="1"/>
  <c r="S1644" i="6" s="1"/>
  <c r="Q1645" i="6"/>
  <c r="N1645" i="6"/>
  <c r="O1646" i="6"/>
  <c r="P1646" i="6" s="1"/>
  <c r="R1645" i="6" l="1"/>
  <c r="M1645" i="6" s="1"/>
  <c r="S1645" i="6" s="1"/>
  <c r="Q1646" i="6"/>
  <c r="N1646" i="6"/>
  <c r="O1647" i="6"/>
  <c r="P1647" i="6" s="1"/>
  <c r="R1646" i="6" l="1"/>
  <c r="M1646" i="6" s="1"/>
  <c r="S1646" i="6" s="1"/>
  <c r="Q1647" i="6"/>
  <c r="O1648" i="6"/>
  <c r="P1648" i="6" s="1"/>
  <c r="N1647" i="6"/>
  <c r="R1647" i="6" l="1"/>
  <c r="M1647" i="6" s="1"/>
  <c r="S1647" i="6" s="1"/>
  <c r="Q1648" i="6"/>
  <c r="O1649" i="6"/>
  <c r="P1649" i="6" s="1"/>
  <c r="N1648" i="6"/>
  <c r="R1648" i="6" l="1"/>
  <c r="M1648" i="6" s="1"/>
  <c r="S1648" i="6" s="1"/>
  <c r="Q1649" i="6"/>
  <c r="N1649" i="6"/>
  <c r="O1650" i="6"/>
  <c r="P1650" i="6" s="1"/>
  <c r="R1649" i="6" l="1"/>
  <c r="M1649" i="6" s="1"/>
  <c r="S1649" i="6" s="1"/>
  <c r="Q1650" i="6"/>
  <c r="N1650" i="6"/>
  <c r="O1651" i="6"/>
  <c r="P1651" i="6" s="1"/>
  <c r="R1650" i="6" l="1"/>
  <c r="M1650" i="6" s="1"/>
  <c r="S1650" i="6" s="1"/>
  <c r="Q1651" i="6"/>
  <c r="N1651" i="6"/>
  <c r="O1652" i="6"/>
  <c r="P1652" i="6" s="1"/>
  <c r="R1651" i="6" l="1"/>
  <c r="M1651" i="6" s="1"/>
  <c r="S1651" i="6" s="1"/>
  <c r="Q1652" i="6"/>
  <c r="N1652" i="6"/>
  <c r="O1653" i="6"/>
  <c r="P1653" i="6" s="1"/>
  <c r="R1652" i="6" l="1"/>
  <c r="M1652" i="6" s="1"/>
  <c r="S1652" i="6" s="1"/>
  <c r="Q1653" i="6"/>
  <c r="N1653" i="6"/>
  <c r="O1654" i="6"/>
  <c r="P1654" i="6" s="1"/>
  <c r="R1653" i="6" l="1"/>
  <c r="M1653" i="6" s="1"/>
  <c r="S1653" i="6" s="1"/>
  <c r="Q1654" i="6"/>
  <c r="O1655" i="6"/>
  <c r="P1655" i="6" s="1"/>
  <c r="N1654" i="6"/>
  <c r="R1654" i="6" l="1"/>
  <c r="M1654" i="6" s="1"/>
  <c r="S1654" i="6" s="1"/>
  <c r="Q1655" i="6"/>
  <c r="N1655" i="6"/>
  <c r="O1656" i="6"/>
  <c r="P1656" i="6" s="1"/>
  <c r="R1655" i="6" l="1"/>
  <c r="M1655" i="6" s="1"/>
  <c r="S1655" i="6" s="1"/>
  <c r="Q1656" i="6"/>
  <c r="N1656" i="6"/>
  <c r="O1657" i="6"/>
  <c r="P1657" i="6" s="1"/>
  <c r="R1656" i="6" l="1"/>
  <c r="M1656" i="6" s="1"/>
  <c r="S1656" i="6" s="1"/>
  <c r="Q1657" i="6"/>
  <c r="N1657" i="6"/>
  <c r="O1658" i="6"/>
  <c r="P1658" i="6" s="1"/>
  <c r="R1657" i="6" l="1"/>
  <c r="M1657" i="6" s="1"/>
  <c r="S1657" i="6" s="1"/>
  <c r="Q1658" i="6"/>
  <c r="O1659" i="6"/>
  <c r="P1659" i="6" s="1"/>
  <c r="N1658" i="6"/>
  <c r="R1658" i="6" l="1"/>
  <c r="M1658" i="6" s="1"/>
  <c r="S1658" i="6" s="1"/>
  <c r="Q1659" i="6"/>
  <c r="N1659" i="6"/>
  <c r="O1660" i="6"/>
  <c r="P1660" i="6" s="1"/>
  <c r="R1659" i="6" l="1"/>
  <c r="M1659" i="6" s="1"/>
  <c r="S1659" i="6" s="1"/>
  <c r="Q1660" i="6"/>
  <c r="N1660" i="6"/>
  <c r="O1661" i="6"/>
  <c r="P1661" i="6" s="1"/>
  <c r="R1660" i="6" l="1"/>
  <c r="M1660" i="6" s="1"/>
  <c r="S1660" i="6" s="1"/>
  <c r="Q1661" i="6"/>
  <c r="N1661" i="6"/>
  <c r="O1662" i="6"/>
  <c r="P1662" i="6" s="1"/>
  <c r="R1661" i="6" l="1"/>
  <c r="M1661" i="6" s="1"/>
  <c r="S1661" i="6" s="1"/>
  <c r="Q1662" i="6"/>
  <c r="N1662" i="6"/>
  <c r="O1663" i="6"/>
  <c r="P1663" i="6" s="1"/>
  <c r="R1662" i="6" l="1"/>
  <c r="M1662" i="6" s="1"/>
  <c r="S1662" i="6" s="1"/>
  <c r="Q1663" i="6"/>
  <c r="N1663" i="6"/>
  <c r="O1664" i="6"/>
  <c r="P1664" i="6" s="1"/>
  <c r="R1663" i="6" l="1"/>
  <c r="M1663" i="6" s="1"/>
  <c r="S1663" i="6" s="1"/>
  <c r="Q1664" i="6"/>
  <c r="O1665" i="6"/>
  <c r="P1665" i="6" s="1"/>
  <c r="N1664" i="6"/>
  <c r="R1664" i="6" l="1"/>
  <c r="M1664" i="6" s="1"/>
  <c r="S1664" i="6" s="1"/>
  <c r="Q1665" i="6"/>
  <c r="O1666" i="6"/>
  <c r="P1666" i="6" s="1"/>
  <c r="N1665" i="6"/>
  <c r="R1665" i="6" l="1"/>
  <c r="M1665" i="6" s="1"/>
  <c r="S1665" i="6" s="1"/>
  <c r="Q1666" i="6"/>
  <c r="N1666" i="6"/>
  <c r="O1667" i="6"/>
  <c r="P1667" i="6" s="1"/>
  <c r="R1666" i="6" l="1"/>
  <c r="M1666" i="6" s="1"/>
  <c r="S1666" i="6" s="1"/>
  <c r="Q1667" i="6"/>
  <c r="N1667" i="6"/>
  <c r="O1668" i="6"/>
  <c r="P1668" i="6" s="1"/>
  <c r="R1667" i="6" l="1"/>
  <c r="M1667" i="6" s="1"/>
  <c r="S1667" i="6" s="1"/>
  <c r="Q1668" i="6"/>
  <c r="O1669" i="6"/>
  <c r="P1669" i="6" s="1"/>
  <c r="N1668" i="6"/>
  <c r="R1668" i="6" l="1"/>
  <c r="M1668" i="6" s="1"/>
  <c r="S1668" i="6" s="1"/>
  <c r="Q1669" i="6"/>
  <c r="N1669" i="6"/>
  <c r="O1670" i="6"/>
  <c r="P1670" i="6" s="1"/>
  <c r="R1669" i="6" l="1"/>
  <c r="M1669" i="6" s="1"/>
  <c r="S1669" i="6" s="1"/>
  <c r="Q1670" i="6"/>
  <c r="O1671" i="6"/>
  <c r="P1671" i="6" s="1"/>
  <c r="N1670" i="6"/>
  <c r="R1670" i="6" l="1"/>
  <c r="M1670" i="6" s="1"/>
  <c r="S1670" i="6" s="1"/>
  <c r="Q1671" i="6"/>
  <c r="O1672" i="6"/>
  <c r="P1672" i="6" s="1"/>
  <c r="N1671" i="6"/>
  <c r="R1671" i="6" l="1"/>
  <c r="M1671" i="6" s="1"/>
  <c r="S1671" i="6" s="1"/>
  <c r="Q1672" i="6"/>
  <c r="N1672" i="6"/>
  <c r="O1673" i="6"/>
  <c r="P1673" i="6" s="1"/>
  <c r="R1672" i="6" l="1"/>
  <c r="M1672" i="6" s="1"/>
  <c r="S1672" i="6" s="1"/>
  <c r="Q1673" i="6"/>
  <c r="O1674" i="6"/>
  <c r="P1674" i="6" s="1"/>
  <c r="N1673" i="6"/>
  <c r="R1673" i="6" l="1"/>
  <c r="M1673" i="6" s="1"/>
  <c r="S1673" i="6" s="1"/>
  <c r="Q1674" i="6"/>
  <c r="O1675" i="6"/>
  <c r="P1675" i="6" s="1"/>
  <c r="N1674" i="6"/>
  <c r="R1674" i="6" l="1"/>
  <c r="M1674" i="6" s="1"/>
  <c r="S1674" i="6" s="1"/>
  <c r="Q1675" i="6"/>
  <c r="N1675" i="6"/>
  <c r="O1676" i="6"/>
  <c r="P1676" i="6" s="1"/>
  <c r="R1675" i="6" l="1"/>
  <c r="M1675" i="6" s="1"/>
  <c r="S1675" i="6" s="1"/>
  <c r="Q1676" i="6"/>
  <c r="O1677" i="6"/>
  <c r="P1677" i="6" s="1"/>
  <c r="N1676" i="6"/>
  <c r="R1676" i="6" l="1"/>
  <c r="M1676" i="6" s="1"/>
  <c r="S1676" i="6" s="1"/>
  <c r="Q1677" i="6"/>
  <c r="N1677" i="6"/>
  <c r="O1678" i="6"/>
  <c r="P1678" i="6" s="1"/>
  <c r="R1677" i="6" l="1"/>
  <c r="M1677" i="6" s="1"/>
  <c r="S1677" i="6" s="1"/>
  <c r="Q1678" i="6"/>
  <c r="O1679" i="6"/>
  <c r="P1679" i="6" s="1"/>
  <c r="N1678" i="6"/>
  <c r="R1678" i="6" l="1"/>
  <c r="M1678" i="6" s="1"/>
  <c r="S1678" i="6" s="1"/>
  <c r="Q1679" i="6"/>
  <c r="N1679" i="6"/>
  <c r="O1680" i="6"/>
  <c r="P1680" i="6" s="1"/>
  <c r="R1679" i="6" l="1"/>
  <c r="M1679" i="6" s="1"/>
  <c r="S1679" i="6" s="1"/>
  <c r="Q1680" i="6"/>
  <c r="O1681" i="6"/>
  <c r="P1681" i="6" s="1"/>
  <c r="N1680" i="6"/>
  <c r="R1680" i="6" l="1"/>
  <c r="M1680" i="6" s="1"/>
  <c r="S1680" i="6" s="1"/>
  <c r="Q1681" i="6"/>
  <c r="N1681" i="6"/>
  <c r="O1682" i="6"/>
  <c r="P1682" i="6" s="1"/>
  <c r="R1681" i="6" l="1"/>
  <c r="M1681" i="6" s="1"/>
  <c r="S1681" i="6" s="1"/>
  <c r="Q1682" i="6"/>
  <c r="O1683" i="6"/>
  <c r="P1683" i="6" s="1"/>
  <c r="N1682" i="6"/>
  <c r="R1682" i="6" l="1"/>
  <c r="M1682" i="6" s="1"/>
  <c r="S1682" i="6" s="1"/>
  <c r="Q1683" i="6"/>
  <c r="N1683" i="6"/>
  <c r="O1684" i="6"/>
  <c r="P1684" i="6" s="1"/>
  <c r="R1683" i="6" l="1"/>
  <c r="M1683" i="6" s="1"/>
  <c r="S1683" i="6" s="1"/>
  <c r="Q1684" i="6"/>
  <c r="O1685" i="6"/>
  <c r="P1685" i="6" s="1"/>
  <c r="N1684" i="6"/>
  <c r="R1684" i="6" l="1"/>
  <c r="M1684" i="6" s="1"/>
  <c r="S1684" i="6" s="1"/>
  <c r="Q1685" i="6"/>
  <c r="N1685" i="6"/>
  <c r="O1686" i="6"/>
  <c r="P1686" i="6" s="1"/>
  <c r="R1685" i="6" l="1"/>
  <c r="M1685" i="6" s="1"/>
  <c r="S1685" i="6" s="1"/>
  <c r="Q1686" i="6"/>
  <c r="N1686" i="6"/>
  <c r="O1687" i="6"/>
  <c r="P1687" i="6" s="1"/>
  <c r="R1686" i="6" l="1"/>
  <c r="M1686" i="6" s="1"/>
  <c r="S1686" i="6" s="1"/>
  <c r="Q1687" i="6"/>
  <c r="N1687" i="6"/>
  <c r="O1688" i="6"/>
  <c r="P1688" i="6" s="1"/>
  <c r="R1687" i="6" l="1"/>
  <c r="M1687" i="6" s="1"/>
  <c r="S1687" i="6" s="1"/>
  <c r="Q1688" i="6"/>
  <c r="N1688" i="6"/>
  <c r="O1689" i="6"/>
  <c r="P1689" i="6" s="1"/>
  <c r="R1688" i="6" l="1"/>
  <c r="M1688" i="6" s="1"/>
  <c r="S1688" i="6" s="1"/>
  <c r="Q1689" i="6"/>
  <c r="N1689" i="6"/>
  <c r="O1690" i="6"/>
  <c r="P1690" i="6" s="1"/>
  <c r="R1689" i="6" l="1"/>
  <c r="M1689" i="6" s="1"/>
  <c r="S1689" i="6" s="1"/>
  <c r="Q1690" i="6"/>
  <c r="O1691" i="6"/>
  <c r="P1691" i="6" s="1"/>
  <c r="N1690" i="6"/>
  <c r="R1690" i="6" l="1"/>
  <c r="M1690" i="6" s="1"/>
  <c r="S1690" i="6" s="1"/>
  <c r="Q1691" i="6"/>
  <c r="N1691" i="6"/>
  <c r="O1692" i="6"/>
  <c r="P1692" i="6" s="1"/>
  <c r="R1691" i="6" l="1"/>
  <c r="M1691" i="6" s="1"/>
  <c r="S1691" i="6" s="1"/>
  <c r="Q1692" i="6"/>
  <c r="O1693" i="6"/>
  <c r="P1693" i="6" s="1"/>
  <c r="N1692" i="6"/>
  <c r="R1692" i="6" l="1"/>
  <c r="M1692" i="6" s="1"/>
  <c r="S1692" i="6" s="1"/>
  <c r="Q1693" i="6"/>
  <c r="N1693" i="6"/>
  <c r="O1694" i="6"/>
  <c r="P1694" i="6" s="1"/>
  <c r="R1693" i="6" l="1"/>
  <c r="M1693" i="6" s="1"/>
  <c r="S1693" i="6" s="1"/>
  <c r="Q1694" i="6"/>
  <c r="O1695" i="6"/>
  <c r="P1695" i="6" s="1"/>
  <c r="N1694" i="6"/>
  <c r="R1694" i="6" l="1"/>
  <c r="M1694" i="6" s="1"/>
  <c r="S1694" i="6" s="1"/>
  <c r="Q1695" i="6"/>
  <c r="N1695" i="6"/>
  <c r="O1696" i="6"/>
  <c r="P1696" i="6" s="1"/>
  <c r="R1695" i="6" l="1"/>
  <c r="M1695" i="6" s="1"/>
  <c r="S1695" i="6" s="1"/>
  <c r="Q1696" i="6"/>
  <c r="O1697" i="6"/>
  <c r="P1697" i="6" s="1"/>
  <c r="N1696" i="6"/>
  <c r="R1696" i="6" l="1"/>
  <c r="M1696" i="6" s="1"/>
  <c r="S1696" i="6" s="1"/>
  <c r="Q1697" i="6"/>
  <c r="N1697" i="6"/>
  <c r="O1698" i="6"/>
  <c r="P1698" i="6" s="1"/>
  <c r="R1697" i="6" l="1"/>
  <c r="M1697" i="6" s="1"/>
  <c r="S1697" i="6" s="1"/>
  <c r="Q1698" i="6"/>
  <c r="N1698" i="6"/>
  <c r="O1699" i="6"/>
  <c r="P1699" i="6" s="1"/>
  <c r="R1698" i="6" l="1"/>
  <c r="M1698" i="6" s="1"/>
  <c r="S1698" i="6" s="1"/>
  <c r="Q1699" i="6"/>
  <c r="N1699" i="6"/>
  <c r="O1700" i="6"/>
  <c r="P1700" i="6" s="1"/>
  <c r="R1699" i="6" l="1"/>
  <c r="M1699" i="6" s="1"/>
  <c r="S1699" i="6" s="1"/>
  <c r="Q1700" i="6"/>
  <c r="N1700" i="6"/>
  <c r="O1701" i="6"/>
  <c r="P1701" i="6" s="1"/>
  <c r="R1700" i="6" l="1"/>
  <c r="M1700" i="6" s="1"/>
  <c r="S1700" i="6" s="1"/>
  <c r="Q1701" i="6"/>
  <c r="N1701" i="6"/>
  <c r="O1702" i="6"/>
  <c r="P1702" i="6" s="1"/>
  <c r="R1701" i="6" l="1"/>
  <c r="M1701" i="6" s="1"/>
  <c r="S1701" i="6" s="1"/>
  <c r="Q1702" i="6"/>
  <c r="N1702" i="6"/>
  <c r="O1703" i="6"/>
  <c r="P1703" i="6" s="1"/>
  <c r="R1702" i="6" l="1"/>
  <c r="M1702" i="6" s="1"/>
  <c r="S1702" i="6" s="1"/>
  <c r="Q1703" i="6"/>
  <c r="N1703" i="6"/>
  <c r="O1704" i="6"/>
  <c r="P1704" i="6" s="1"/>
  <c r="R1703" i="6" l="1"/>
  <c r="M1703" i="6" s="1"/>
  <c r="S1703" i="6" s="1"/>
  <c r="Q1704" i="6"/>
  <c r="N1704" i="6"/>
  <c r="O1705" i="6"/>
  <c r="P1705" i="6" s="1"/>
  <c r="R1704" i="6" l="1"/>
  <c r="M1704" i="6" s="1"/>
  <c r="S1704" i="6" s="1"/>
  <c r="Q1705" i="6"/>
  <c r="N1705" i="6"/>
  <c r="O1706" i="6"/>
  <c r="P1706" i="6" s="1"/>
  <c r="R1705" i="6" l="1"/>
  <c r="M1705" i="6" s="1"/>
  <c r="S1705" i="6" s="1"/>
  <c r="Q1706" i="6"/>
  <c r="N1706" i="6"/>
  <c r="O1707" i="6"/>
  <c r="P1707" i="6" s="1"/>
  <c r="R1706" i="6" l="1"/>
  <c r="M1706" i="6" s="1"/>
  <c r="S1706" i="6" s="1"/>
  <c r="Q1707" i="6"/>
  <c r="N1707" i="6"/>
  <c r="O1708" i="6"/>
  <c r="P1708" i="6" s="1"/>
  <c r="R1707" i="6" l="1"/>
  <c r="M1707" i="6" s="1"/>
  <c r="S1707" i="6" s="1"/>
  <c r="Q1708" i="6"/>
  <c r="N1708" i="6"/>
  <c r="O1709" i="6"/>
  <c r="P1709" i="6" s="1"/>
  <c r="R1708" i="6" l="1"/>
  <c r="M1708" i="6" s="1"/>
  <c r="S1708" i="6" s="1"/>
  <c r="Q1709" i="6"/>
  <c r="N1709" i="6"/>
  <c r="O1710" i="6"/>
  <c r="P1710" i="6" s="1"/>
  <c r="R1709" i="6" l="1"/>
  <c r="M1709" i="6" s="1"/>
  <c r="S1709" i="6" s="1"/>
  <c r="Q1710" i="6"/>
  <c r="O1711" i="6"/>
  <c r="P1711" i="6" s="1"/>
  <c r="N1710" i="6"/>
  <c r="R1710" i="6" l="1"/>
  <c r="M1710" i="6" s="1"/>
  <c r="S1710" i="6" s="1"/>
  <c r="Q1711" i="6"/>
  <c r="O1712" i="6"/>
  <c r="P1712" i="6" s="1"/>
  <c r="N1711" i="6"/>
  <c r="R1711" i="6" l="1"/>
  <c r="M1711" i="6" s="1"/>
  <c r="S1711" i="6" s="1"/>
  <c r="Q1712" i="6"/>
  <c r="N1712" i="6"/>
  <c r="O1713" i="6"/>
  <c r="P1713" i="6" s="1"/>
  <c r="R1712" i="6" l="1"/>
  <c r="M1712" i="6" s="1"/>
  <c r="S1712" i="6" s="1"/>
  <c r="Q1713" i="6"/>
  <c r="O1714" i="6"/>
  <c r="P1714" i="6" s="1"/>
  <c r="N1713" i="6"/>
  <c r="R1713" i="6" l="1"/>
  <c r="M1713" i="6" s="1"/>
  <c r="S1713" i="6" s="1"/>
  <c r="Q1714" i="6"/>
  <c r="O1715" i="6"/>
  <c r="P1715" i="6" s="1"/>
  <c r="N1714" i="6"/>
  <c r="R1714" i="6" l="1"/>
  <c r="M1714" i="6" s="1"/>
  <c r="S1714" i="6" s="1"/>
  <c r="Q1715" i="6"/>
  <c r="N1715" i="6"/>
  <c r="O1716" i="6"/>
  <c r="P1716" i="6" s="1"/>
  <c r="R1715" i="6" l="1"/>
  <c r="M1715" i="6" s="1"/>
  <c r="S1715" i="6" s="1"/>
  <c r="Q1716" i="6"/>
  <c r="N1716" i="6"/>
  <c r="O1717" i="6"/>
  <c r="P1717" i="6" s="1"/>
  <c r="R1716" i="6" l="1"/>
  <c r="M1716" i="6" s="1"/>
  <c r="S1716" i="6" s="1"/>
  <c r="Q1717" i="6"/>
  <c r="N1717" i="6"/>
  <c r="O1718" i="6"/>
  <c r="P1718" i="6" s="1"/>
  <c r="R1717" i="6" l="1"/>
  <c r="M1717" i="6" s="1"/>
  <c r="S1717" i="6" s="1"/>
  <c r="Q1718" i="6"/>
  <c r="N1718" i="6"/>
  <c r="O1719" i="6"/>
  <c r="P1719" i="6" s="1"/>
  <c r="R1718" i="6" l="1"/>
  <c r="M1718" i="6" s="1"/>
  <c r="S1718" i="6" s="1"/>
  <c r="Q1719" i="6"/>
  <c r="N1719" i="6"/>
  <c r="O1720" i="6"/>
  <c r="P1720" i="6" s="1"/>
  <c r="R1719" i="6" l="1"/>
  <c r="M1719" i="6" s="1"/>
  <c r="S1719" i="6" s="1"/>
  <c r="Q1720" i="6"/>
  <c r="N1720" i="6"/>
  <c r="O1721" i="6"/>
  <c r="P1721" i="6" s="1"/>
  <c r="R1720" i="6" l="1"/>
  <c r="M1720" i="6" s="1"/>
  <c r="S1720" i="6" s="1"/>
  <c r="Q1721" i="6"/>
  <c r="N1721" i="6"/>
  <c r="O1722" i="6"/>
  <c r="P1722" i="6" s="1"/>
  <c r="R1721" i="6" l="1"/>
  <c r="M1721" i="6" s="1"/>
  <c r="S1721" i="6" s="1"/>
  <c r="Q1722" i="6"/>
  <c r="N1722" i="6"/>
  <c r="O1723" i="6"/>
  <c r="P1723" i="6" s="1"/>
  <c r="R1722" i="6" l="1"/>
  <c r="M1722" i="6" s="1"/>
  <c r="S1722" i="6" s="1"/>
  <c r="Q1723" i="6"/>
  <c r="N1723" i="6"/>
  <c r="O1724" i="6"/>
  <c r="P1724" i="6" s="1"/>
  <c r="R1723" i="6" l="1"/>
  <c r="M1723" i="6" s="1"/>
  <c r="S1723" i="6" s="1"/>
  <c r="Q1724" i="6"/>
  <c r="N1724" i="6"/>
  <c r="O1725" i="6"/>
  <c r="P1725" i="6" s="1"/>
  <c r="R1724" i="6" l="1"/>
  <c r="M1724" i="6" s="1"/>
  <c r="S1724" i="6" s="1"/>
  <c r="Q1725" i="6"/>
  <c r="N1725" i="6"/>
  <c r="O1726" i="6"/>
  <c r="P1726" i="6" s="1"/>
  <c r="R1725" i="6" l="1"/>
  <c r="M1725" i="6" s="1"/>
  <c r="S1725" i="6" s="1"/>
  <c r="Q1726" i="6"/>
  <c r="O1727" i="6"/>
  <c r="P1727" i="6" s="1"/>
  <c r="N1726" i="6"/>
  <c r="R1726" i="6" l="1"/>
  <c r="M1726" i="6" s="1"/>
  <c r="S1726" i="6" s="1"/>
  <c r="Q1727" i="6"/>
  <c r="O1728" i="6"/>
  <c r="P1728" i="6" s="1"/>
  <c r="N1727" i="6"/>
  <c r="R1727" i="6" l="1"/>
  <c r="M1727" i="6" s="1"/>
  <c r="S1727" i="6" s="1"/>
  <c r="Q1728" i="6"/>
  <c r="N1728" i="6"/>
  <c r="O1729" i="6"/>
  <c r="P1729" i="6" s="1"/>
  <c r="R1728" i="6" l="1"/>
  <c r="M1728" i="6" s="1"/>
  <c r="S1728" i="6" s="1"/>
  <c r="Q1729" i="6"/>
  <c r="O1730" i="6"/>
  <c r="P1730" i="6" s="1"/>
  <c r="N1729" i="6"/>
  <c r="R1729" i="6" l="1"/>
  <c r="M1729" i="6" s="1"/>
  <c r="S1729" i="6" s="1"/>
  <c r="Q1730" i="6"/>
  <c r="N1730" i="6"/>
  <c r="O1731" i="6"/>
  <c r="P1731" i="6" s="1"/>
  <c r="R1730" i="6" l="1"/>
  <c r="M1730" i="6" s="1"/>
  <c r="S1730" i="6" s="1"/>
  <c r="Q1731" i="6"/>
  <c r="N1731" i="6"/>
  <c r="O1732" i="6"/>
  <c r="P1732" i="6" s="1"/>
  <c r="R1731" i="6" l="1"/>
  <c r="M1731" i="6" s="1"/>
  <c r="S1731" i="6" s="1"/>
  <c r="Q1732" i="6"/>
  <c r="N1732" i="6"/>
  <c r="O1733" i="6"/>
  <c r="P1733" i="6" s="1"/>
  <c r="R1732" i="6" l="1"/>
  <c r="M1732" i="6" s="1"/>
  <c r="S1732" i="6" s="1"/>
  <c r="Q1733" i="6"/>
  <c r="N1733" i="6"/>
  <c r="O1734" i="6"/>
  <c r="P1734" i="6" s="1"/>
  <c r="R1733" i="6" l="1"/>
  <c r="M1733" i="6" s="1"/>
  <c r="S1733" i="6" s="1"/>
  <c r="Q1734" i="6"/>
  <c r="N1734" i="6"/>
  <c r="O1735" i="6"/>
  <c r="P1735" i="6" s="1"/>
  <c r="R1734" i="6" l="1"/>
  <c r="M1734" i="6" s="1"/>
  <c r="S1734" i="6" s="1"/>
  <c r="Q1735" i="6"/>
  <c r="N1735" i="6"/>
  <c r="O1736" i="6"/>
  <c r="P1736" i="6" s="1"/>
  <c r="R1735" i="6" l="1"/>
  <c r="M1735" i="6" s="1"/>
  <c r="S1735" i="6" s="1"/>
  <c r="Q1736" i="6"/>
  <c r="N1736" i="6"/>
  <c r="O1737" i="6"/>
  <c r="P1737" i="6" s="1"/>
  <c r="R1736" i="6" l="1"/>
  <c r="M1736" i="6" s="1"/>
  <c r="S1736" i="6" s="1"/>
  <c r="Q1737" i="6"/>
  <c r="N1737" i="6"/>
  <c r="O1738" i="6"/>
  <c r="P1738" i="6" s="1"/>
  <c r="R1737" i="6" l="1"/>
  <c r="M1737" i="6" s="1"/>
  <c r="S1737" i="6" s="1"/>
  <c r="Q1738" i="6"/>
  <c r="N1738" i="6"/>
  <c r="O1739" i="6"/>
  <c r="P1739" i="6" s="1"/>
  <c r="R1738" i="6" l="1"/>
  <c r="M1738" i="6" s="1"/>
  <c r="S1738" i="6" s="1"/>
  <c r="Q1739" i="6"/>
  <c r="N1739" i="6"/>
  <c r="O1740" i="6"/>
  <c r="P1740" i="6" s="1"/>
  <c r="R1739" i="6" l="1"/>
  <c r="M1739" i="6" s="1"/>
  <c r="S1739" i="6" s="1"/>
  <c r="Q1740" i="6"/>
  <c r="N1740" i="6"/>
  <c r="O1741" i="6"/>
  <c r="P1741" i="6" s="1"/>
  <c r="R1740" i="6" l="1"/>
  <c r="M1740" i="6" s="1"/>
  <c r="S1740" i="6" s="1"/>
  <c r="Q1741" i="6"/>
  <c r="N1741" i="6"/>
  <c r="O1742" i="6"/>
  <c r="P1742" i="6" s="1"/>
  <c r="R1741" i="6" l="1"/>
  <c r="M1741" i="6" s="1"/>
  <c r="S1741" i="6" s="1"/>
  <c r="Q1742" i="6"/>
  <c r="O1743" i="6"/>
  <c r="P1743" i="6" s="1"/>
  <c r="N1742" i="6"/>
  <c r="R1742" i="6" l="1"/>
  <c r="M1742" i="6" s="1"/>
  <c r="S1742" i="6" s="1"/>
  <c r="Q1743" i="6"/>
  <c r="O1744" i="6"/>
  <c r="P1744" i="6" s="1"/>
  <c r="N1743" i="6"/>
  <c r="R1743" i="6" l="1"/>
  <c r="M1743" i="6" s="1"/>
  <c r="S1743" i="6" s="1"/>
  <c r="Q1744" i="6"/>
  <c r="N1744" i="6"/>
  <c r="O1745" i="6"/>
  <c r="P1745" i="6" s="1"/>
  <c r="R1744" i="6" l="1"/>
  <c r="M1744" i="6" s="1"/>
  <c r="S1744" i="6" s="1"/>
  <c r="Q1745" i="6"/>
  <c r="O1746" i="6"/>
  <c r="P1746" i="6" s="1"/>
  <c r="N1745" i="6"/>
  <c r="R1745" i="6" l="1"/>
  <c r="M1745" i="6" s="1"/>
  <c r="S1745" i="6" s="1"/>
  <c r="Q1746" i="6"/>
  <c r="O1747" i="6"/>
  <c r="P1747" i="6" s="1"/>
  <c r="N1746" i="6"/>
  <c r="R1746" i="6" l="1"/>
  <c r="M1746" i="6" s="1"/>
  <c r="S1746" i="6" s="1"/>
  <c r="Q1747" i="6"/>
  <c r="N1747" i="6"/>
  <c r="O1748" i="6"/>
  <c r="P1748" i="6" s="1"/>
  <c r="R1747" i="6" l="1"/>
  <c r="M1747" i="6" s="1"/>
  <c r="S1747" i="6" s="1"/>
  <c r="Q1748" i="6"/>
  <c r="N1748" i="6"/>
  <c r="O1749" i="6"/>
  <c r="P1749" i="6" s="1"/>
  <c r="R1748" i="6" l="1"/>
  <c r="M1748" i="6" s="1"/>
  <c r="S1748" i="6" s="1"/>
  <c r="Q1749" i="6"/>
  <c r="N1749" i="6"/>
  <c r="O1750" i="6"/>
  <c r="P1750" i="6" s="1"/>
  <c r="R1749" i="6" l="1"/>
  <c r="M1749" i="6" s="1"/>
  <c r="S1749" i="6" s="1"/>
  <c r="Q1750" i="6"/>
  <c r="N1750" i="6"/>
  <c r="O1751" i="6"/>
  <c r="P1751" i="6" s="1"/>
  <c r="R1750" i="6" l="1"/>
  <c r="M1750" i="6" s="1"/>
  <c r="S1750" i="6" s="1"/>
  <c r="Q1751" i="6"/>
  <c r="N1751" i="6"/>
  <c r="O1752" i="6"/>
  <c r="P1752" i="6" s="1"/>
  <c r="R1751" i="6" l="1"/>
  <c r="M1751" i="6" s="1"/>
  <c r="S1751" i="6" s="1"/>
  <c r="Q1752" i="6"/>
  <c r="N1752" i="6"/>
  <c r="O1753" i="6"/>
  <c r="P1753" i="6" s="1"/>
  <c r="R1752" i="6" l="1"/>
  <c r="M1752" i="6" s="1"/>
  <c r="S1752" i="6" s="1"/>
  <c r="Q1753" i="6"/>
  <c r="N1753" i="6"/>
  <c r="O1754" i="6"/>
  <c r="P1754" i="6" s="1"/>
  <c r="R1753" i="6" l="1"/>
  <c r="M1753" i="6" s="1"/>
  <c r="S1753" i="6" s="1"/>
  <c r="Q1754" i="6"/>
  <c r="N1754" i="6"/>
  <c r="O1755" i="6"/>
  <c r="P1755" i="6" s="1"/>
  <c r="R1754" i="6" l="1"/>
  <c r="M1754" i="6" s="1"/>
  <c r="S1754" i="6" s="1"/>
  <c r="Q1755" i="6"/>
  <c r="N1755" i="6"/>
  <c r="O1756" i="6"/>
  <c r="P1756" i="6" s="1"/>
  <c r="R1755" i="6" l="1"/>
  <c r="M1755" i="6" s="1"/>
  <c r="S1755" i="6" s="1"/>
  <c r="Q1756" i="6"/>
  <c r="N1756" i="6"/>
  <c r="O1757" i="6"/>
  <c r="P1757" i="6" s="1"/>
  <c r="R1756" i="6" l="1"/>
  <c r="M1756" i="6" s="1"/>
  <c r="S1756" i="6" s="1"/>
  <c r="Q1757" i="6"/>
  <c r="N1757" i="6"/>
  <c r="O1758" i="6"/>
  <c r="P1758" i="6" s="1"/>
  <c r="R1757" i="6" l="1"/>
  <c r="M1757" i="6" s="1"/>
  <c r="S1757" i="6" s="1"/>
  <c r="Q1758" i="6"/>
  <c r="O1759" i="6"/>
  <c r="P1759" i="6" s="1"/>
  <c r="N1758" i="6"/>
  <c r="R1758" i="6" l="1"/>
  <c r="M1758" i="6" s="1"/>
  <c r="S1758" i="6" s="1"/>
  <c r="Q1759" i="6"/>
  <c r="O1760" i="6"/>
  <c r="P1760" i="6" s="1"/>
  <c r="N1759" i="6"/>
  <c r="R1759" i="6" l="1"/>
  <c r="M1759" i="6" s="1"/>
  <c r="S1759" i="6" s="1"/>
  <c r="Q1760" i="6"/>
  <c r="N1760" i="6"/>
  <c r="O1761" i="6"/>
  <c r="P1761" i="6" s="1"/>
  <c r="R1760" i="6" l="1"/>
  <c r="M1760" i="6" s="1"/>
  <c r="S1760" i="6" s="1"/>
  <c r="Q1761" i="6"/>
  <c r="O1762" i="6"/>
  <c r="P1762" i="6" s="1"/>
  <c r="N1761" i="6"/>
  <c r="R1761" i="6" l="1"/>
  <c r="M1761" i="6" s="1"/>
  <c r="S1761" i="6" s="1"/>
  <c r="Q1762" i="6"/>
  <c r="O1763" i="6"/>
  <c r="P1763" i="6" s="1"/>
  <c r="N1762" i="6"/>
  <c r="R1762" i="6" l="1"/>
  <c r="M1762" i="6" s="1"/>
  <c r="S1762" i="6" s="1"/>
  <c r="Q1763" i="6"/>
  <c r="N1763" i="6"/>
  <c r="O1764" i="6"/>
  <c r="P1764" i="6" s="1"/>
  <c r="R1763" i="6" l="1"/>
  <c r="M1763" i="6" s="1"/>
  <c r="S1763" i="6" s="1"/>
  <c r="Q1764" i="6"/>
  <c r="N1764" i="6"/>
  <c r="O1765" i="6"/>
  <c r="P1765" i="6" s="1"/>
  <c r="R1764" i="6" l="1"/>
  <c r="M1764" i="6" s="1"/>
  <c r="S1764" i="6" s="1"/>
  <c r="Q1765" i="6"/>
  <c r="N1765" i="6"/>
  <c r="O1766" i="6"/>
  <c r="P1766" i="6" s="1"/>
  <c r="R1765" i="6" l="1"/>
  <c r="M1765" i="6" s="1"/>
  <c r="S1765" i="6" s="1"/>
  <c r="Q1766" i="6"/>
  <c r="N1766" i="6"/>
  <c r="O1767" i="6"/>
  <c r="P1767" i="6" s="1"/>
  <c r="R1766" i="6" l="1"/>
  <c r="M1766" i="6" s="1"/>
  <c r="S1766" i="6" s="1"/>
  <c r="Q1767" i="6"/>
  <c r="N1767" i="6"/>
  <c r="O1768" i="6"/>
  <c r="P1768" i="6" s="1"/>
  <c r="R1767" i="6" l="1"/>
  <c r="M1767" i="6" s="1"/>
  <c r="S1767" i="6" s="1"/>
  <c r="Q1768" i="6"/>
  <c r="N1768" i="6"/>
  <c r="O1769" i="6"/>
  <c r="P1769" i="6" s="1"/>
  <c r="R1768" i="6" l="1"/>
  <c r="M1768" i="6" s="1"/>
  <c r="S1768" i="6" s="1"/>
  <c r="Q1769" i="6"/>
  <c r="N1769" i="6"/>
  <c r="O1770" i="6"/>
  <c r="P1770" i="6" s="1"/>
  <c r="R1769" i="6" l="1"/>
  <c r="M1769" i="6" s="1"/>
  <c r="S1769" i="6" s="1"/>
  <c r="Q1770" i="6"/>
  <c r="N1770" i="6"/>
  <c r="O1771" i="6"/>
  <c r="P1771" i="6" s="1"/>
  <c r="R1770" i="6" l="1"/>
  <c r="M1770" i="6" s="1"/>
  <c r="S1770" i="6" s="1"/>
  <c r="Q1771" i="6"/>
  <c r="N1771" i="6"/>
  <c r="O1772" i="6"/>
  <c r="P1772" i="6" s="1"/>
  <c r="R1771" i="6" l="1"/>
  <c r="M1771" i="6" s="1"/>
  <c r="S1771" i="6" s="1"/>
  <c r="Q1772" i="6"/>
  <c r="N1772" i="6"/>
  <c r="O1773" i="6"/>
  <c r="P1773" i="6" s="1"/>
  <c r="R1772" i="6" l="1"/>
  <c r="M1772" i="6" s="1"/>
  <c r="S1772" i="6" s="1"/>
  <c r="Q1773" i="6"/>
  <c r="N1773" i="6"/>
  <c r="O1774" i="6"/>
  <c r="P1774" i="6" s="1"/>
  <c r="R1773" i="6" l="1"/>
  <c r="M1773" i="6" s="1"/>
  <c r="S1773" i="6" s="1"/>
  <c r="Q1774" i="6"/>
  <c r="O1775" i="6"/>
  <c r="P1775" i="6" s="1"/>
  <c r="N1774" i="6"/>
  <c r="R1774" i="6" l="1"/>
  <c r="M1774" i="6" s="1"/>
  <c r="S1774" i="6" s="1"/>
  <c r="Q1775" i="6"/>
  <c r="O1776" i="6"/>
  <c r="P1776" i="6" s="1"/>
  <c r="N1775" i="6"/>
  <c r="R1775" i="6" l="1"/>
  <c r="M1775" i="6" s="1"/>
  <c r="S1775" i="6" s="1"/>
  <c r="Q1776" i="6"/>
  <c r="N1776" i="6"/>
  <c r="O1777" i="6"/>
  <c r="P1777" i="6" s="1"/>
  <c r="R1776" i="6" l="1"/>
  <c r="M1776" i="6" s="1"/>
  <c r="S1776" i="6" s="1"/>
  <c r="Q1777" i="6"/>
  <c r="O1778" i="6"/>
  <c r="P1778" i="6" s="1"/>
  <c r="N1777" i="6"/>
  <c r="R1777" i="6" l="1"/>
  <c r="M1777" i="6" s="1"/>
  <c r="S1777" i="6" s="1"/>
  <c r="Q1778" i="6"/>
  <c r="O1779" i="6"/>
  <c r="P1779" i="6" s="1"/>
  <c r="N1778" i="6"/>
  <c r="R1778" i="6" l="1"/>
  <c r="M1778" i="6" s="1"/>
  <c r="S1778" i="6" s="1"/>
  <c r="Q1779" i="6"/>
  <c r="O1780" i="6"/>
  <c r="P1780" i="6" s="1"/>
  <c r="N1779" i="6"/>
  <c r="R1779" i="6" l="1"/>
  <c r="M1779" i="6" s="1"/>
  <c r="S1779" i="6" s="1"/>
  <c r="Q1780" i="6"/>
  <c r="O1781" i="6"/>
  <c r="P1781" i="6" s="1"/>
  <c r="N1780" i="6"/>
  <c r="R1780" i="6" l="1"/>
  <c r="M1780" i="6" s="1"/>
  <c r="S1780" i="6" s="1"/>
  <c r="Q1781" i="6"/>
  <c r="O1782" i="6"/>
  <c r="P1782" i="6" s="1"/>
  <c r="N1781" i="6"/>
  <c r="R1781" i="6" l="1"/>
  <c r="M1781" i="6" s="1"/>
  <c r="S1781" i="6" s="1"/>
  <c r="Q1782" i="6"/>
  <c r="N1782" i="6"/>
  <c r="O1783" i="6"/>
  <c r="P1783" i="6" s="1"/>
  <c r="R1782" i="6" l="1"/>
  <c r="M1782" i="6" s="1"/>
  <c r="S1782" i="6" s="1"/>
  <c r="Q1783" i="6"/>
  <c r="N1783" i="6"/>
  <c r="O1784" i="6"/>
  <c r="P1784" i="6" s="1"/>
  <c r="R1783" i="6" l="1"/>
  <c r="M1783" i="6" s="1"/>
  <c r="S1783" i="6" s="1"/>
  <c r="Q1784" i="6"/>
  <c r="N1784" i="6"/>
  <c r="O1785" i="6"/>
  <c r="P1785" i="6" s="1"/>
  <c r="R1784" i="6" l="1"/>
  <c r="M1784" i="6" s="1"/>
  <c r="S1784" i="6" s="1"/>
  <c r="Q1785" i="6"/>
  <c r="N1785" i="6"/>
  <c r="O1786" i="6"/>
  <c r="P1786" i="6" s="1"/>
  <c r="R1785" i="6" l="1"/>
  <c r="M1785" i="6" s="1"/>
  <c r="S1785" i="6" s="1"/>
  <c r="Q1786" i="6"/>
  <c r="N1786" i="6"/>
  <c r="O1787" i="6"/>
  <c r="P1787" i="6" s="1"/>
  <c r="R1786" i="6" l="1"/>
  <c r="M1786" i="6" s="1"/>
  <c r="S1786" i="6" s="1"/>
  <c r="Q1787" i="6"/>
  <c r="N1787" i="6"/>
  <c r="O1788" i="6"/>
  <c r="P1788" i="6" s="1"/>
  <c r="R1787" i="6" l="1"/>
  <c r="M1787" i="6" s="1"/>
  <c r="S1787" i="6" s="1"/>
  <c r="Q1788" i="6"/>
  <c r="N1788" i="6"/>
  <c r="O1789" i="6"/>
  <c r="P1789" i="6" s="1"/>
  <c r="R1788" i="6" l="1"/>
  <c r="M1788" i="6" s="1"/>
  <c r="S1788" i="6" s="1"/>
  <c r="Q1789" i="6"/>
  <c r="N1789" i="6"/>
  <c r="O1790" i="6"/>
  <c r="P1790" i="6" s="1"/>
  <c r="R1789" i="6" l="1"/>
  <c r="M1789" i="6" s="1"/>
  <c r="S1789" i="6" s="1"/>
  <c r="Q1790" i="6"/>
  <c r="O1791" i="6"/>
  <c r="P1791" i="6" s="1"/>
  <c r="N1790" i="6"/>
  <c r="R1790" i="6" l="1"/>
  <c r="M1790" i="6" s="1"/>
  <c r="S1790" i="6" s="1"/>
  <c r="Q1791" i="6"/>
  <c r="O1792" i="6"/>
  <c r="P1792" i="6" s="1"/>
  <c r="N1791" i="6"/>
  <c r="R1791" i="6" l="1"/>
  <c r="M1791" i="6" s="1"/>
  <c r="S1791" i="6" s="1"/>
  <c r="Q1792" i="6"/>
  <c r="N1792" i="6"/>
  <c r="O1793" i="6"/>
  <c r="P1793" i="6" s="1"/>
  <c r="R1792" i="6" l="1"/>
  <c r="M1792" i="6" s="1"/>
  <c r="S1792" i="6" s="1"/>
  <c r="Q1793" i="6"/>
  <c r="O1794" i="6"/>
  <c r="P1794" i="6" s="1"/>
  <c r="N1793" i="6"/>
  <c r="R1793" i="6" l="1"/>
  <c r="M1793" i="6" s="1"/>
  <c r="S1793" i="6" s="1"/>
  <c r="Q1794" i="6"/>
  <c r="O1795" i="6"/>
  <c r="P1795" i="6" s="1"/>
  <c r="N1794" i="6"/>
  <c r="R1794" i="6" l="1"/>
  <c r="M1794" i="6" s="1"/>
  <c r="S1794" i="6" s="1"/>
  <c r="Q1795" i="6"/>
  <c r="N1795" i="6"/>
  <c r="O1796" i="6"/>
  <c r="P1796" i="6" s="1"/>
  <c r="R1795" i="6" l="1"/>
  <c r="M1795" i="6" s="1"/>
  <c r="S1795" i="6" s="1"/>
  <c r="Q1796" i="6"/>
  <c r="N1796" i="6"/>
  <c r="O1797" i="6"/>
  <c r="P1797" i="6" s="1"/>
  <c r="R1796" i="6" l="1"/>
  <c r="M1796" i="6" s="1"/>
  <c r="S1796" i="6" s="1"/>
  <c r="Q1797" i="6"/>
  <c r="N1797" i="6"/>
  <c r="O1798" i="6"/>
  <c r="P1798" i="6" s="1"/>
  <c r="R1797" i="6" l="1"/>
  <c r="M1797" i="6" s="1"/>
  <c r="S1797" i="6" s="1"/>
  <c r="Q1798" i="6"/>
  <c r="N1798" i="6"/>
  <c r="O1799" i="6"/>
  <c r="P1799" i="6" s="1"/>
  <c r="R1798" i="6" l="1"/>
  <c r="M1798" i="6" s="1"/>
  <c r="S1798" i="6" s="1"/>
  <c r="Q1799" i="6"/>
  <c r="N1799" i="6"/>
  <c r="O1800" i="6"/>
  <c r="P1800" i="6" s="1"/>
  <c r="R1799" i="6" l="1"/>
  <c r="M1799" i="6" s="1"/>
  <c r="S1799" i="6" s="1"/>
  <c r="Q1800" i="6"/>
  <c r="N1800" i="6"/>
  <c r="O1801" i="6"/>
  <c r="P1801" i="6" s="1"/>
  <c r="R1800" i="6" l="1"/>
  <c r="M1800" i="6" s="1"/>
  <c r="S1800" i="6" s="1"/>
  <c r="Q1801" i="6"/>
  <c r="O1802" i="6"/>
  <c r="P1802" i="6" s="1"/>
  <c r="N1801" i="6"/>
  <c r="R1801" i="6" l="1"/>
  <c r="M1801" i="6" s="1"/>
  <c r="S1801" i="6" s="1"/>
  <c r="Q1802" i="6"/>
  <c r="N1802" i="6"/>
  <c r="O1803" i="6"/>
  <c r="P1803" i="6" s="1"/>
  <c r="R1802" i="6" l="1"/>
  <c r="M1802" i="6" s="1"/>
  <c r="S1802" i="6" s="1"/>
  <c r="Q1803" i="6"/>
  <c r="N1803" i="6"/>
  <c r="O1804" i="6"/>
  <c r="P1804" i="6" s="1"/>
  <c r="R1803" i="6" l="1"/>
  <c r="M1803" i="6" s="1"/>
  <c r="S1803" i="6" s="1"/>
  <c r="Q1804" i="6"/>
  <c r="N1804" i="6"/>
  <c r="O1805" i="6"/>
  <c r="P1805" i="6" s="1"/>
  <c r="R1804" i="6" l="1"/>
  <c r="M1804" i="6" s="1"/>
  <c r="S1804" i="6" s="1"/>
  <c r="Q1805" i="6"/>
  <c r="N1805" i="6"/>
  <c r="O1806" i="6"/>
  <c r="P1806" i="6" s="1"/>
  <c r="R1805" i="6" l="1"/>
  <c r="M1805" i="6" s="1"/>
  <c r="S1805" i="6" s="1"/>
  <c r="Q1806" i="6"/>
  <c r="O1807" i="6"/>
  <c r="P1807" i="6" s="1"/>
  <c r="N1806" i="6"/>
  <c r="R1806" i="6" l="1"/>
  <c r="M1806" i="6" s="1"/>
  <c r="S1806" i="6" s="1"/>
  <c r="Q1807" i="6"/>
  <c r="O1808" i="6"/>
  <c r="P1808" i="6" s="1"/>
  <c r="N1807" i="6"/>
  <c r="R1807" i="6" l="1"/>
  <c r="M1807" i="6" s="1"/>
  <c r="S1807" i="6" s="1"/>
  <c r="Q1808" i="6"/>
  <c r="N1808" i="6"/>
  <c r="O1809" i="6"/>
  <c r="P1809" i="6" s="1"/>
  <c r="R1808" i="6" l="1"/>
  <c r="M1808" i="6" s="1"/>
  <c r="S1808" i="6" s="1"/>
  <c r="Q1809" i="6"/>
  <c r="O1810" i="6"/>
  <c r="P1810" i="6" s="1"/>
  <c r="N1809" i="6"/>
  <c r="R1809" i="6" l="1"/>
  <c r="M1809" i="6" s="1"/>
  <c r="S1809" i="6" s="1"/>
  <c r="Q1810" i="6"/>
  <c r="O1811" i="6"/>
  <c r="P1811" i="6" s="1"/>
  <c r="N1810" i="6"/>
  <c r="R1810" i="6" l="1"/>
  <c r="M1810" i="6" s="1"/>
  <c r="S1810" i="6" s="1"/>
  <c r="Q1811" i="6"/>
  <c r="N1811" i="6"/>
  <c r="O1812" i="6"/>
  <c r="P1812" i="6" s="1"/>
  <c r="R1811" i="6" l="1"/>
  <c r="M1811" i="6" s="1"/>
  <c r="S1811" i="6" s="1"/>
  <c r="Q1812" i="6"/>
  <c r="N1812" i="6"/>
  <c r="O1813" i="6"/>
  <c r="P1813" i="6" s="1"/>
  <c r="R1812" i="6" l="1"/>
  <c r="M1812" i="6" s="1"/>
  <c r="S1812" i="6" s="1"/>
  <c r="Q1813" i="6"/>
  <c r="N1813" i="6"/>
  <c r="O1814" i="6"/>
  <c r="P1814" i="6" s="1"/>
  <c r="R1813" i="6" l="1"/>
  <c r="M1813" i="6" s="1"/>
  <c r="S1813" i="6" s="1"/>
  <c r="Q1814" i="6"/>
  <c r="N1814" i="6"/>
  <c r="O1815" i="6"/>
  <c r="P1815" i="6" s="1"/>
  <c r="R1814" i="6" l="1"/>
  <c r="M1814" i="6" s="1"/>
  <c r="S1814" i="6" s="1"/>
  <c r="Q1815" i="6"/>
  <c r="N1815" i="6"/>
  <c r="O1816" i="6"/>
  <c r="P1816" i="6" s="1"/>
  <c r="R1815" i="6" l="1"/>
  <c r="M1815" i="6" s="1"/>
  <c r="S1815" i="6" s="1"/>
  <c r="Q1816" i="6"/>
  <c r="N1816" i="6"/>
  <c r="O1817" i="6"/>
  <c r="P1817" i="6" s="1"/>
  <c r="R1816" i="6" l="1"/>
  <c r="M1816" i="6" s="1"/>
  <c r="S1816" i="6" s="1"/>
  <c r="Q1817" i="6"/>
  <c r="N1817" i="6"/>
  <c r="O1818" i="6"/>
  <c r="P1818" i="6" s="1"/>
  <c r="R1817" i="6" l="1"/>
  <c r="M1817" i="6" s="1"/>
  <c r="S1817" i="6" s="1"/>
  <c r="Q1818" i="6"/>
  <c r="O1819" i="6"/>
  <c r="P1819" i="6" s="1"/>
  <c r="N1818" i="6"/>
  <c r="R1818" i="6" l="1"/>
  <c r="M1818" i="6" s="1"/>
  <c r="S1818" i="6" s="1"/>
  <c r="Q1819" i="6"/>
  <c r="N1819" i="6"/>
  <c r="O1820" i="6"/>
  <c r="P1820" i="6" s="1"/>
  <c r="R1819" i="6" l="1"/>
  <c r="M1819" i="6" s="1"/>
  <c r="S1819" i="6" s="1"/>
  <c r="Q1820" i="6"/>
  <c r="N1820" i="6"/>
  <c r="O1821" i="6"/>
  <c r="P1821" i="6" s="1"/>
  <c r="R1820" i="6" l="1"/>
  <c r="M1820" i="6" s="1"/>
  <c r="S1820" i="6" s="1"/>
  <c r="Q1821" i="6"/>
  <c r="O1822" i="6"/>
  <c r="P1822" i="6" s="1"/>
  <c r="N1821" i="6"/>
  <c r="R1821" i="6" l="1"/>
  <c r="M1821" i="6" s="1"/>
  <c r="S1821" i="6" s="1"/>
  <c r="Q1822" i="6"/>
  <c r="O1823" i="6"/>
  <c r="P1823" i="6" s="1"/>
  <c r="N1822" i="6"/>
  <c r="R1822" i="6" l="1"/>
  <c r="M1822" i="6" s="1"/>
  <c r="S1822" i="6" s="1"/>
  <c r="Q1823" i="6"/>
  <c r="O1824" i="6"/>
  <c r="P1824" i="6" s="1"/>
  <c r="N1823" i="6"/>
  <c r="R1823" i="6" l="1"/>
  <c r="M1823" i="6" s="1"/>
  <c r="S1823" i="6" s="1"/>
  <c r="Q1824" i="6"/>
  <c r="N1824" i="6"/>
  <c r="O1825" i="6"/>
  <c r="P1825" i="6" s="1"/>
  <c r="R1824" i="6" l="1"/>
  <c r="M1824" i="6" s="1"/>
  <c r="S1824" i="6" s="1"/>
  <c r="Q1825" i="6"/>
  <c r="N1825" i="6"/>
  <c r="O1826" i="6"/>
  <c r="P1826" i="6" s="1"/>
  <c r="R1825" i="6" l="1"/>
  <c r="M1825" i="6" s="1"/>
  <c r="S1825" i="6" s="1"/>
  <c r="Q1826" i="6"/>
  <c r="N1826" i="6"/>
  <c r="O1827" i="6"/>
  <c r="P1827" i="6" s="1"/>
  <c r="R1826" i="6" l="1"/>
  <c r="M1826" i="6" s="1"/>
  <c r="S1826" i="6" s="1"/>
  <c r="Q1827" i="6"/>
  <c r="O1828" i="6"/>
  <c r="P1828" i="6" s="1"/>
  <c r="N1827" i="6"/>
  <c r="R1827" i="6" l="1"/>
  <c r="M1827" i="6" s="1"/>
  <c r="S1827" i="6" s="1"/>
  <c r="Q1828" i="6"/>
  <c r="N1828" i="6"/>
  <c r="O1829" i="6"/>
  <c r="P1829" i="6" s="1"/>
  <c r="R1828" i="6" l="1"/>
  <c r="M1828" i="6" s="1"/>
  <c r="S1828" i="6" s="1"/>
  <c r="Q1829" i="6"/>
  <c r="N1829" i="6"/>
  <c r="O1830" i="6"/>
  <c r="P1830" i="6" s="1"/>
  <c r="R1829" i="6" l="1"/>
  <c r="M1829" i="6" s="1"/>
  <c r="S1829" i="6" s="1"/>
  <c r="Q1830" i="6"/>
  <c r="O1831" i="6"/>
  <c r="P1831" i="6" s="1"/>
  <c r="N1830" i="6"/>
  <c r="R1830" i="6" l="1"/>
  <c r="M1830" i="6" s="1"/>
  <c r="S1830" i="6" s="1"/>
  <c r="Q1831" i="6"/>
  <c r="O1832" i="6"/>
  <c r="P1832" i="6" s="1"/>
  <c r="N1831" i="6"/>
  <c r="R1831" i="6" l="1"/>
  <c r="M1831" i="6" s="1"/>
  <c r="S1831" i="6" s="1"/>
  <c r="Q1832" i="6"/>
  <c r="N1832" i="6"/>
  <c r="O1833" i="6"/>
  <c r="P1833" i="6" s="1"/>
  <c r="R1832" i="6" l="1"/>
  <c r="M1832" i="6" s="1"/>
  <c r="S1832" i="6" s="1"/>
  <c r="Q1833" i="6"/>
  <c r="O1834" i="6"/>
  <c r="P1834" i="6" s="1"/>
  <c r="N1833" i="6"/>
  <c r="R1833" i="6" l="1"/>
  <c r="M1833" i="6" s="1"/>
  <c r="S1833" i="6" s="1"/>
  <c r="Q1834" i="6"/>
  <c r="N1834" i="6"/>
  <c r="O1835" i="6"/>
  <c r="P1835" i="6" s="1"/>
  <c r="R1834" i="6" l="1"/>
  <c r="M1834" i="6" s="1"/>
  <c r="S1834" i="6" s="1"/>
  <c r="Q1835" i="6"/>
  <c r="N1835" i="6"/>
  <c r="O1836" i="6"/>
  <c r="P1836" i="6" s="1"/>
  <c r="R1835" i="6" l="1"/>
  <c r="M1835" i="6" s="1"/>
  <c r="S1835" i="6" s="1"/>
  <c r="Q1836" i="6"/>
  <c r="N1836" i="6"/>
  <c r="O1837" i="6"/>
  <c r="P1837" i="6" s="1"/>
  <c r="R1836" i="6" l="1"/>
  <c r="M1836" i="6" s="1"/>
  <c r="S1836" i="6" s="1"/>
  <c r="Q1837" i="6"/>
  <c r="N1837" i="6"/>
  <c r="O1838" i="6"/>
  <c r="P1838" i="6" s="1"/>
  <c r="R1837" i="6" l="1"/>
  <c r="M1837" i="6" s="1"/>
  <c r="S1837" i="6" s="1"/>
  <c r="Q1838" i="6"/>
  <c r="N1838" i="6"/>
  <c r="O1839" i="6"/>
  <c r="P1839" i="6" s="1"/>
  <c r="R1838" i="6" l="1"/>
  <c r="M1838" i="6" s="1"/>
  <c r="S1838" i="6" s="1"/>
  <c r="Q1839" i="6"/>
  <c r="N1839" i="6"/>
  <c r="O1840" i="6"/>
  <c r="P1840" i="6" s="1"/>
  <c r="R1839" i="6" l="1"/>
  <c r="M1839" i="6" s="1"/>
  <c r="S1839" i="6" s="1"/>
  <c r="Q1840" i="6"/>
  <c r="N1840" i="6"/>
  <c r="O1841" i="6"/>
  <c r="P1841" i="6" s="1"/>
  <c r="R1840" i="6" l="1"/>
  <c r="M1840" i="6" s="1"/>
  <c r="S1840" i="6" s="1"/>
  <c r="Q1841" i="6"/>
  <c r="O1842" i="6"/>
  <c r="P1842" i="6" s="1"/>
  <c r="N1841" i="6"/>
  <c r="R1841" i="6" l="1"/>
  <c r="M1841" i="6" s="1"/>
  <c r="S1841" i="6" s="1"/>
  <c r="Q1842" i="6"/>
  <c r="N1842" i="6"/>
  <c r="O1843" i="6"/>
  <c r="P1843" i="6" s="1"/>
  <c r="R1842" i="6" l="1"/>
  <c r="M1842" i="6" s="1"/>
  <c r="S1842" i="6" s="1"/>
  <c r="Q1843" i="6"/>
  <c r="N1843" i="6"/>
  <c r="O1844" i="6"/>
  <c r="P1844" i="6" s="1"/>
  <c r="R1843" i="6" l="1"/>
  <c r="M1843" i="6" s="1"/>
  <c r="S1843" i="6" s="1"/>
  <c r="Q1844" i="6"/>
  <c r="N1844" i="6"/>
  <c r="O1845" i="6"/>
  <c r="P1845" i="6" s="1"/>
  <c r="R1844" i="6" l="1"/>
  <c r="M1844" i="6" s="1"/>
  <c r="S1844" i="6" s="1"/>
  <c r="Q1845" i="6"/>
  <c r="N1845" i="6"/>
  <c r="O1846" i="6"/>
  <c r="P1846" i="6" s="1"/>
  <c r="R1845" i="6" l="1"/>
  <c r="M1845" i="6" s="1"/>
  <c r="S1845" i="6" s="1"/>
  <c r="Q1846" i="6"/>
  <c r="O1847" i="6"/>
  <c r="P1847" i="6" s="1"/>
  <c r="N1846" i="6"/>
  <c r="R1846" i="6" l="1"/>
  <c r="M1846" i="6" s="1"/>
  <c r="S1846" i="6" s="1"/>
  <c r="Q1847" i="6"/>
  <c r="O1848" i="6"/>
  <c r="P1848" i="6" s="1"/>
  <c r="N1847" i="6"/>
  <c r="R1847" i="6" l="1"/>
  <c r="M1847" i="6" s="1"/>
  <c r="S1847" i="6" s="1"/>
  <c r="Q1848" i="6"/>
  <c r="N1848" i="6"/>
  <c r="O1849" i="6"/>
  <c r="P1849" i="6" s="1"/>
  <c r="R1848" i="6" l="1"/>
  <c r="M1848" i="6" s="1"/>
  <c r="S1848" i="6" s="1"/>
  <c r="Q1849" i="6"/>
  <c r="N1849" i="6"/>
  <c r="O1850" i="6"/>
  <c r="P1850" i="6" s="1"/>
  <c r="R1849" i="6" l="1"/>
  <c r="M1849" i="6" s="1"/>
  <c r="S1849" i="6" s="1"/>
  <c r="Q1850" i="6"/>
  <c r="O1851" i="6"/>
  <c r="P1851" i="6" s="1"/>
  <c r="N1850" i="6"/>
  <c r="R1850" i="6" l="1"/>
  <c r="M1850" i="6" s="1"/>
  <c r="S1850" i="6" s="1"/>
  <c r="Q1851" i="6"/>
  <c r="N1851" i="6"/>
  <c r="O1852" i="6"/>
  <c r="P1852" i="6" s="1"/>
  <c r="R1851" i="6" l="1"/>
  <c r="M1851" i="6" s="1"/>
  <c r="S1851" i="6" s="1"/>
  <c r="Q1852" i="6"/>
  <c r="N1852" i="6"/>
  <c r="O1853" i="6"/>
  <c r="P1853" i="6" s="1"/>
  <c r="R1852" i="6" l="1"/>
  <c r="M1852" i="6" s="1"/>
  <c r="S1852" i="6" s="1"/>
  <c r="Q1853" i="6"/>
  <c r="N1853" i="6"/>
  <c r="O1854" i="6"/>
  <c r="P1854" i="6" s="1"/>
  <c r="R1853" i="6" l="1"/>
  <c r="M1853" i="6" s="1"/>
  <c r="S1853" i="6" s="1"/>
  <c r="Q1854" i="6"/>
  <c r="N1854" i="6"/>
  <c r="O1855" i="6"/>
  <c r="P1855" i="6" s="1"/>
  <c r="R1854" i="6" l="1"/>
  <c r="M1854" i="6" s="1"/>
  <c r="S1854" i="6" s="1"/>
  <c r="Q1855" i="6"/>
  <c r="O1856" i="6"/>
  <c r="P1856" i="6" s="1"/>
  <c r="N1855" i="6"/>
  <c r="R1855" i="6" l="1"/>
  <c r="M1855" i="6" s="1"/>
  <c r="S1855" i="6" s="1"/>
  <c r="Q1856" i="6"/>
  <c r="N1856" i="6"/>
  <c r="O1857" i="6"/>
  <c r="P1857" i="6" s="1"/>
  <c r="R1856" i="6" l="1"/>
  <c r="M1856" i="6" s="1"/>
  <c r="S1856" i="6" s="1"/>
  <c r="Q1857" i="6"/>
  <c r="O1858" i="6"/>
  <c r="P1858" i="6" s="1"/>
  <c r="N1857" i="6"/>
  <c r="R1857" i="6" l="1"/>
  <c r="M1857" i="6" s="1"/>
  <c r="S1857" i="6" s="1"/>
  <c r="Q1858" i="6"/>
  <c r="N1858" i="6"/>
  <c r="O1859" i="6"/>
  <c r="P1859" i="6" s="1"/>
  <c r="R1858" i="6" l="1"/>
  <c r="M1858" i="6" s="1"/>
  <c r="S1858" i="6" s="1"/>
  <c r="Q1859" i="6"/>
  <c r="N1859" i="6"/>
  <c r="O1860" i="6"/>
  <c r="P1860" i="6" s="1"/>
  <c r="R1859" i="6" l="1"/>
  <c r="M1859" i="6" s="1"/>
  <c r="S1859" i="6" s="1"/>
  <c r="Q1860" i="6"/>
  <c r="N1860" i="6"/>
  <c r="O1861" i="6"/>
  <c r="P1861" i="6" s="1"/>
  <c r="R1860" i="6" l="1"/>
  <c r="M1860" i="6" s="1"/>
  <c r="S1860" i="6" s="1"/>
  <c r="Q1861" i="6"/>
  <c r="N1861" i="6"/>
  <c r="O1862" i="6"/>
  <c r="P1862" i="6" s="1"/>
  <c r="R1861" i="6" l="1"/>
  <c r="M1861" i="6" s="1"/>
  <c r="S1861" i="6" s="1"/>
  <c r="Q1862" i="6"/>
  <c r="O1863" i="6"/>
  <c r="P1863" i="6" s="1"/>
  <c r="N1862" i="6"/>
  <c r="R1862" i="6" l="1"/>
  <c r="M1862" i="6" s="1"/>
  <c r="S1862" i="6" s="1"/>
  <c r="Q1863" i="6"/>
  <c r="O1864" i="6"/>
  <c r="P1864" i="6" s="1"/>
  <c r="N1863" i="6"/>
  <c r="R1863" i="6" l="1"/>
  <c r="M1863" i="6" s="1"/>
  <c r="S1863" i="6" s="1"/>
  <c r="Q1864" i="6"/>
  <c r="O1865" i="6"/>
  <c r="P1865" i="6" s="1"/>
  <c r="N1864" i="6"/>
  <c r="R1864" i="6" l="1"/>
  <c r="M1864" i="6" s="1"/>
  <c r="S1864" i="6" s="1"/>
  <c r="Q1865" i="6"/>
  <c r="N1865" i="6"/>
  <c r="O1866" i="6"/>
  <c r="P1866" i="6" s="1"/>
  <c r="R1865" i="6" l="1"/>
  <c r="M1865" i="6" s="1"/>
  <c r="S1865" i="6" s="1"/>
  <c r="Q1866" i="6"/>
  <c r="N1866" i="6"/>
  <c r="O1867" i="6"/>
  <c r="P1867" i="6" s="1"/>
  <c r="R1866" i="6" l="1"/>
  <c r="M1866" i="6" s="1"/>
  <c r="S1866" i="6" s="1"/>
  <c r="Q1867" i="6"/>
  <c r="O1868" i="6"/>
  <c r="P1868" i="6" s="1"/>
  <c r="N1867" i="6"/>
  <c r="R1867" i="6" l="1"/>
  <c r="M1867" i="6" s="1"/>
  <c r="S1867" i="6" s="1"/>
  <c r="Q1868" i="6"/>
  <c r="O1869" i="6"/>
  <c r="P1869" i="6" s="1"/>
  <c r="N1868" i="6"/>
  <c r="R1868" i="6" l="1"/>
  <c r="M1868" i="6" s="1"/>
  <c r="S1868" i="6" s="1"/>
  <c r="Q1869" i="6"/>
  <c r="N1869" i="6"/>
  <c r="O1870" i="6"/>
  <c r="P1870" i="6" s="1"/>
  <c r="R1869" i="6" l="1"/>
  <c r="M1869" i="6" s="1"/>
  <c r="S1869" i="6" s="1"/>
  <c r="Q1870" i="6"/>
  <c r="N1870" i="6"/>
  <c r="O1871" i="6"/>
  <c r="P1871" i="6" s="1"/>
  <c r="R1870" i="6" l="1"/>
  <c r="M1870" i="6" s="1"/>
  <c r="S1870" i="6" s="1"/>
  <c r="Q1871" i="6"/>
  <c r="O1872" i="6"/>
  <c r="P1872" i="6" s="1"/>
  <c r="N1871" i="6"/>
  <c r="R1871" i="6" l="1"/>
  <c r="M1871" i="6" s="1"/>
  <c r="S1871" i="6" s="1"/>
  <c r="Q1872" i="6"/>
  <c r="N1872" i="6"/>
  <c r="O1873" i="6"/>
  <c r="P1873" i="6" s="1"/>
  <c r="R1872" i="6" l="1"/>
  <c r="M1872" i="6" s="1"/>
  <c r="S1872" i="6" s="1"/>
  <c r="Q1873" i="6"/>
  <c r="N1873" i="6"/>
  <c r="O1874" i="6"/>
  <c r="P1874" i="6" s="1"/>
  <c r="R1873" i="6" l="1"/>
  <c r="M1873" i="6" s="1"/>
  <c r="S1873" i="6" s="1"/>
  <c r="Q1874" i="6"/>
  <c r="N1874" i="6"/>
  <c r="O1875" i="6"/>
  <c r="P1875" i="6" s="1"/>
  <c r="R1874" i="6" l="1"/>
  <c r="M1874" i="6" s="1"/>
  <c r="S1874" i="6" s="1"/>
  <c r="Q1875" i="6"/>
  <c r="O1876" i="6"/>
  <c r="P1876" i="6" s="1"/>
  <c r="N1875" i="6"/>
  <c r="R1875" i="6" l="1"/>
  <c r="M1875" i="6" s="1"/>
  <c r="S1875" i="6" s="1"/>
  <c r="Q1876" i="6"/>
  <c r="O1877" i="6"/>
  <c r="P1877" i="6" s="1"/>
  <c r="N1876" i="6"/>
  <c r="R1876" i="6" l="1"/>
  <c r="M1876" i="6" s="1"/>
  <c r="S1876" i="6" s="1"/>
  <c r="Q1877" i="6"/>
  <c r="N1877" i="6"/>
  <c r="O1878" i="6"/>
  <c r="P1878" i="6" s="1"/>
  <c r="R1877" i="6" l="1"/>
  <c r="M1877" i="6" s="1"/>
  <c r="S1877" i="6" s="1"/>
  <c r="Q1878" i="6"/>
  <c r="N1878" i="6"/>
  <c r="O1879" i="6"/>
  <c r="P1879" i="6" s="1"/>
  <c r="R1878" i="6" l="1"/>
  <c r="M1878" i="6" s="1"/>
  <c r="S1878" i="6" s="1"/>
  <c r="Q1879" i="6"/>
  <c r="O1880" i="6"/>
  <c r="P1880" i="6" s="1"/>
  <c r="N1879" i="6"/>
  <c r="R1879" i="6" l="1"/>
  <c r="M1879" i="6" s="1"/>
  <c r="S1879" i="6" s="1"/>
  <c r="Q1880" i="6"/>
  <c r="O1881" i="6"/>
  <c r="P1881" i="6" s="1"/>
  <c r="N1880" i="6"/>
  <c r="R1880" i="6" l="1"/>
  <c r="M1880" i="6" s="1"/>
  <c r="S1880" i="6" s="1"/>
  <c r="Q1881" i="6"/>
  <c r="N1881" i="6"/>
  <c r="O1882" i="6"/>
  <c r="P1882" i="6" s="1"/>
  <c r="R1881" i="6" l="1"/>
  <c r="M1881" i="6" s="1"/>
  <c r="S1881" i="6" s="1"/>
  <c r="Q1882" i="6"/>
  <c r="O1883" i="6"/>
  <c r="P1883" i="6" s="1"/>
  <c r="N1882" i="6"/>
  <c r="R1882" i="6" l="1"/>
  <c r="M1882" i="6" s="1"/>
  <c r="S1882" i="6" s="1"/>
  <c r="Q1883" i="6"/>
  <c r="O1884" i="6"/>
  <c r="P1884" i="6" s="1"/>
  <c r="N1883" i="6"/>
  <c r="R1883" i="6" l="1"/>
  <c r="M1883" i="6" s="1"/>
  <c r="S1883" i="6" s="1"/>
  <c r="Q1884" i="6"/>
  <c r="O1885" i="6"/>
  <c r="P1885" i="6" s="1"/>
  <c r="N1884" i="6"/>
  <c r="R1884" i="6" l="1"/>
  <c r="M1884" i="6" s="1"/>
  <c r="S1884" i="6" s="1"/>
  <c r="Q1885" i="6"/>
  <c r="O1886" i="6"/>
  <c r="P1886" i="6" s="1"/>
  <c r="N1885" i="6"/>
  <c r="R1885" i="6" l="1"/>
  <c r="M1885" i="6" s="1"/>
  <c r="S1885" i="6" s="1"/>
  <c r="Q1886" i="6"/>
  <c r="O1887" i="6"/>
  <c r="P1887" i="6" s="1"/>
  <c r="N1886" i="6"/>
  <c r="R1886" i="6" l="1"/>
  <c r="M1886" i="6" s="1"/>
  <c r="S1886" i="6" s="1"/>
  <c r="Q1887" i="6"/>
  <c r="O1888" i="6"/>
  <c r="P1888" i="6" s="1"/>
  <c r="N1887" i="6"/>
  <c r="R1887" i="6" l="1"/>
  <c r="M1887" i="6" s="1"/>
  <c r="S1887" i="6" s="1"/>
  <c r="Q1888" i="6"/>
  <c r="N1888" i="6"/>
  <c r="O1889" i="6"/>
  <c r="P1889" i="6" s="1"/>
  <c r="R1888" i="6" l="1"/>
  <c r="M1888" i="6" s="1"/>
  <c r="S1888" i="6" s="1"/>
  <c r="Q1889" i="6"/>
  <c r="O1890" i="6"/>
  <c r="P1890" i="6" s="1"/>
  <c r="N1889" i="6"/>
  <c r="G206" i="6"/>
  <c r="E206" i="6"/>
  <c r="F206" i="6"/>
  <c r="D206" i="6"/>
  <c r="R1889" i="6" l="1"/>
  <c r="M1889" i="6" s="1"/>
  <c r="S1889" i="6" s="1"/>
  <c r="Q1890" i="6"/>
  <c r="O1891" i="6"/>
  <c r="P1891" i="6" s="1"/>
  <c r="N1890" i="6"/>
  <c r="AE206" i="6"/>
  <c r="AF206" i="6"/>
  <c r="H206" i="6"/>
  <c r="I207" i="6" s="1"/>
  <c r="R1890" i="6" l="1"/>
  <c r="M1890" i="6" s="1"/>
  <c r="S1890" i="6" s="1"/>
  <c r="Q1891" i="6"/>
  <c r="N1891" i="6"/>
  <c r="O1892" i="6"/>
  <c r="P1892" i="6" s="1"/>
  <c r="G207" i="6"/>
  <c r="F207" i="6"/>
  <c r="D207" i="6"/>
  <c r="E207" i="6"/>
  <c r="R1891" i="6" l="1"/>
  <c r="M1891" i="6" s="1"/>
  <c r="S1891" i="6" s="1"/>
  <c r="Q1892" i="6"/>
  <c r="N1892" i="6"/>
  <c r="O1893" i="6"/>
  <c r="P1893" i="6" s="1"/>
  <c r="AE207" i="6"/>
  <c r="AF207" i="6"/>
  <c r="H207" i="6"/>
  <c r="F208" i="6" s="1"/>
  <c r="R1892" i="6" l="1"/>
  <c r="M1892" i="6" s="1"/>
  <c r="S1892" i="6" s="1"/>
  <c r="Q1893" i="6"/>
  <c r="O1894" i="6"/>
  <c r="P1894" i="6" s="1"/>
  <c r="N1893" i="6"/>
  <c r="E208" i="6"/>
  <c r="I208" i="6"/>
  <c r="D208" i="6"/>
  <c r="G208" i="6"/>
  <c r="R1893" i="6" l="1"/>
  <c r="M1893" i="6" s="1"/>
  <c r="S1893" i="6" s="1"/>
  <c r="Q1894" i="6"/>
  <c r="O1895" i="6"/>
  <c r="P1895" i="6" s="1"/>
  <c r="N1894" i="6"/>
  <c r="AE208" i="6"/>
  <c r="AF208" i="6"/>
  <c r="H208" i="6"/>
  <c r="D209" i="6" s="1"/>
  <c r="R1894" i="6" l="1"/>
  <c r="M1894" i="6" s="1"/>
  <c r="S1894" i="6" s="1"/>
  <c r="Q1895" i="6"/>
  <c r="O1896" i="6"/>
  <c r="P1896" i="6" s="1"/>
  <c r="N1895" i="6"/>
  <c r="G209" i="6"/>
  <c r="E209" i="6"/>
  <c r="I209" i="6"/>
  <c r="F209" i="6"/>
  <c r="R1895" i="6" l="1"/>
  <c r="M1895" i="6" s="1"/>
  <c r="S1895" i="6" s="1"/>
  <c r="Q1896" i="6"/>
  <c r="N1896" i="6"/>
  <c r="O1897" i="6"/>
  <c r="P1897" i="6" s="1"/>
  <c r="AE209" i="6"/>
  <c r="AF209" i="6"/>
  <c r="H209" i="6"/>
  <c r="F210" i="6" s="1"/>
  <c r="R1896" i="6" l="1"/>
  <c r="M1896" i="6" s="1"/>
  <c r="S1896" i="6" s="1"/>
  <c r="Q1897" i="6"/>
  <c r="N1897" i="6"/>
  <c r="O1898" i="6"/>
  <c r="P1898" i="6" s="1"/>
  <c r="D210" i="6"/>
  <c r="E210" i="6"/>
  <c r="I210" i="6"/>
  <c r="G210" i="6"/>
  <c r="R1897" i="6" l="1"/>
  <c r="M1897" i="6" s="1"/>
  <c r="S1897" i="6" s="1"/>
  <c r="Q1898" i="6"/>
  <c r="N1898" i="6"/>
  <c r="O1899" i="6"/>
  <c r="P1899" i="6" s="1"/>
  <c r="AE210" i="6"/>
  <c r="AF210" i="6"/>
  <c r="H210" i="6"/>
  <c r="F211" i="6" s="1"/>
  <c r="R1898" i="6" l="1"/>
  <c r="M1898" i="6" s="1"/>
  <c r="S1898" i="6" s="1"/>
  <c r="Q1899" i="6"/>
  <c r="N1899" i="6"/>
  <c r="O1900" i="6"/>
  <c r="P1900" i="6" s="1"/>
  <c r="I211" i="6"/>
  <c r="D211" i="6"/>
  <c r="E211" i="6"/>
  <c r="G211" i="6"/>
  <c r="R1899" i="6" l="1"/>
  <c r="M1899" i="6" s="1"/>
  <c r="S1899" i="6" s="1"/>
  <c r="Q1900" i="6"/>
  <c r="N1900" i="6"/>
  <c r="O1901" i="6"/>
  <c r="P1901" i="6" s="1"/>
  <c r="AE211" i="6"/>
  <c r="AF211" i="6"/>
  <c r="H211" i="6"/>
  <c r="G212" i="6" s="1"/>
  <c r="R1900" i="6" l="1"/>
  <c r="M1900" i="6" s="1"/>
  <c r="S1900" i="6" s="1"/>
  <c r="Q1901" i="6"/>
  <c r="N1901" i="6"/>
  <c r="O1902" i="6"/>
  <c r="P1902" i="6" s="1"/>
  <c r="AE212" i="6"/>
  <c r="AF212" i="6"/>
  <c r="F212" i="6"/>
  <c r="I212" i="6"/>
  <c r="E212" i="6"/>
  <c r="D212" i="6"/>
  <c r="H212" i="6" s="1"/>
  <c r="D213" i="6" s="1"/>
  <c r="R1901" i="6" l="1"/>
  <c r="M1901" i="6" s="1"/>
  <c r="S1901" i="6" s="1"/>
  <c r="Q1902" i="6"/>
  <c r="N1902" i="6"/>
  <c r="O1903" i="6"/>
  <c r="P1903" i="6" s="1"/>
  <c r="G213" i="6"/>
  <c r="F213" i="6"/>
  <c r="I213" i="6"/>
  <c r="E213" i="6"/>
  <c r="R1902" i="6" l="1"/>
  <c r="M1902" i="6" s="1"/>
  <c r="S1902" i="6" s="1"/>
  <c r="Q1903" i="6"/>
  <c r="N1903" i="6"/>
  <c r="O1904" i="6"/>
  <c r="P1904" i="6" s="1"/>
  <c r="AE213" i="6"/>
  <c r="AF213" i="6"/>
  <c r="H213" i="6"/>
  <c r="G214" i="6" s="1"/>
  <c r="R1903" i="6" l="1"/>
  <c r="M1903" i="6" s="1"/>
  <c r="S1903" i="6" s="1"/>
  <c r="Q1904" i="6"/>
  <c r="N1904" i="6"/>
  <c r="O1905" i="6"/>
  <c r="P1905" i="6" s="1"/>
  <c r="AE214" i="6"/>
  <c r="AF214" i="6"/>
  <c r="E214" i="6"/>
  <c r="D214" i="6"/>
  <c r="H214" i="6" s="1"/>
  <c r="F214" i="6"/>
  <c r="I214" i="6"/>
  <c r="R1904" i="6" l="1"/>
  <c r="M1904" i="6" s="1"/>
  <c r="S1904" i="6" s="1"/>
  <c r="Q1905" i="6"/>
  <c r="N1905" i="6"/>
  <c r="O1906" i="6"/>
  <c r="P1906" i="6" s="1"/>
  <c r="I215" i="6"/>
  <c r="E215" i="6"/>
  <c r="D215" i="6"/>
  <c r="G215" i="6"/>
  <c r="F215" i="6"/>
  <c r="R1905" i="6" l="1"/>
  <c r="M1905" i="6" s="1"/>
  <c r="S1905" i="6" s="1"/>
  <c r="Q1906" i="6"/>
  <c r="N1906" i="6"/>
  <c r="O1907" i="6"/>
  <c r="P1907" i="6" s="1"/>
  <c r="AE215" i="6"/>
  <c r="AF215" i="6"/>
  <c r="H215" i="6"/>
  <c r="D216" i="6" s="1"/>
  <c r="R1906" i="6" l="1"/>
  <c r="M1906" i="6" s="1"/>
  <c r="S1906" i="6" s="1"/>
  <c r="Q1907" i="6"/>
  <c r="N1907" i="6"/>
  <c r="O1908" i="6"/>
  <c r="P1908" i="6" s="1"/>
  <c r="G216" i="6"/>
  <c r="I216" i="6"/>
  <c r="E216" i="6"/>
  <c r="F216" i="6"/>
  <c r="R1907" i="6" l="1"/>
  <c r="M1907" i="6" s="1"/>
  <c r="S1907" i="6" s="1"/>
  <c r="Q1908" i="6"/>
  <c r="O1909" i="6"/>
  <c r="P1909" i="6" s="1"/>
  <c r="N1908" i="6"/>
  <c r="AE216" i="6"/>
  <c r="AF216" i="6"/>
  <c r="H216" i="6"/>
  <c r="D217" i="6" s="1"/>
  <c r="R1908" i="6" l="1"/>
  <c r="M1908" i="6" s="1"/>
  <c r="S1908" i="6" s="1"/>
  <c r="Q1909" i="6"/>
  <c r="O1910" i="6"/>
  <c r="P1910" i="6" s="1"/>
  <c r="N1909" i="6"/>
  <c r="G217" i="6"/>
  <c r="I217" i="6"/>
  <c r="E217" i="6"/>
  <c r="F217" i="6"/>
  <c r="R1909" i="6" l="1"/>
  <c r="M1909" i="6" s="1"/>
  <c r="S1909" i="6" s="1"/>
  <c r="Q1910" i="6"/>
  <c r="O1911" i="6"/>
  <c r="P1911" i="6" s="1"/>
  <c r="N1910" i="6"/>
  <c r="AE217" i="6"/>
  <c r="AF217" i="6"/>
  <c r="H217" i="6"/>
  <c r="E218" i="6" s="1"/>
  <c r="R1910" i="6" l="1"/>
  <c r="M1910" i="6" s="1"/>
  <c r="S1910" i="6" s="1"/>
  <c r="Q1911" i="6"/>
  <c r="N1911" i="6"/>
  <c r="O1912" i="6"/>
  <c r="P1912" i="6" s="1"/>
  <c r="G218" i="6"/>
  <c r="F218" i="6"/>
  <c r="I218" i="6"/>
  <c r="D218" i="6"/>
  <c r="R1911" i="6" l="1"/>
  <c r="M1911" i="6" s="1"/>
  <c r="S1911" i="6" s="1"/>
  <c r="Q1912" i="6"/>
  <c r="N1912" i="6"/>
  <c r="O1913" i="6"/>
  <c r="P1913" i="6" s="1"/>
  <c r="AE218" i="6"/>
  <c r="AF218" i="6"/>
  <c r="H218" i="6"/>
  <c r="I219" i="6" s="1"/>
  <c r="R1912" i="6" l="1"/>
  <c r="M1912" i="6" s="1"/>
  <c r="S1912" i="6" s="1"/>
  <c r="Q1913" i="6"/>
  <c r="N1913" i="6"/>
  <c r="O1914" i="6"/>
  <c r="P1914" i="6" s="1"/>
  <c r="D219" i="6"/>
  <c r="G219" i="6"/>
  <c r="F219" i="6"/>
  <c r="E219" i="6"/>
  <c r="R1913" i="6" l="1"/>
  <c r="M1913" i="6" s="1"/>
  <c r="S1913" i="6" s="1"/>
  <c r="Q1914" i="6"/>
  <c r="O1915" i="6"/>
  <c r="P1915" i="6" s="1"/>
  <c r="N1914" i="6"/>
  <c r="AE219" i="6"/>
  <c r="AF219" i="6"/>
  <c r="H219" i="6"/>
  <c r="E220" i="6" s="1"/>
  <c r="R1914" i="6" l="1"/>
  <c r="M1914" i="6" s="1"/>
  <c r="S1914" i="6" s="1"/>
  <c r="Q1915" i="6"/>
  <c r="O1916" i="6"/>
  <c r="P1916" i="6" s="1"/>
  <c r="N1915" i="6"/>
  <c r="D220" i="6"/>
  <c r="G220" i="6"/>
  <c r="F220" i="6"/>
  <c r="I220" i="6"/>
  <c r="R1915" i="6" l="1"/>
  <c r="M1915" i="6" s="1"/>
  <c r="S1915" i="6" s="1"/>
  <c r="Q1916" i="6"/>
  <c r="O1917" i="6"/>
  <c r="P1917" i="6" s="1"/>
  <c r="N1916" i="6"/>
  <c r="AE220" i="6"/>
  <c r="AF220" i="6"/>
  <c r="H220" i="6"/>
  <c r="F221" i="6" s="1"/>
  <c r="R1916" i="6" l="1"/>
  <c r="M1916" i="6" s="1"/>
  <c r="S1916" i="6" s="1"/>
  <c r="Q1917" i="6"/>
  <c r="N1917" i="6"/>
  <c r="O1918" i="6"/>
  <c r="P1918" i="6" s="1"/>
  <c r="G221" i="6"/>
  <c r="E221" i="6"/>
  <c r="I221" i="6"/>
  <c r="D221" i="6"/>
  <c r="R1917" i="6" l="1"/>
  <c r="M1917" i="6" s="1"/>
  <c r="S1917" i="6" s="1"/>
  <c r="Q1918" i="6"/>
  <c r="N1918" i="6"/>
  <c r="O1919" i="6"/>
  <c r="P1919" i="6" s="1"/>
  <c r="AE221" i="6"/>
  <c r="AF221" i="6"/>
  <c r="H221" i="6"/>
  <c r="G222" i="6" s="1"/>
  <c r="R1918" i="6" l="1"/>
  <c r="M1918" i="6" s="1"/>
  <c r="S1918" i="6" s="1"/>
  <c r="Q1919" i="6"/>
  <c r="O1920" i="6"/>
  <c r="P1920" i="6" s="1"/>
  <c r="N1919" i="6"/>
  <c r="AE222" i="6"/>
  <c r="AF222" i="6"/>
  <c r="I222" i="6"/>
  <c r="F222" i="6"/>
  <c r="E222" i="6"/>
  <c r="D222" i="6"/>
  <c r="H222" i="6" s="1"/>
  <c r="E223" i="6" s="1"/>
  <c r="R1919" i="6" l="1"/>
  <c r="M1919" i="6" s="1"/>
  <c r="S1919" i="6" s="1"/>
  <c r="Q1920" i="6"/>
  <c r="O1921" i="6"/>
  <c r="P1921" i="6" s="1"/>
  <c r="N1920" i="6"/>
  <c r="F223" i="6"/>
  <c r="G223" i="6"/>
  <c r="D223" i="6"/>
  <c r="I223" i="6"/>
  <c r="R1920" i="6" l="1"/>
  <c r="M1920" i="6" s="1"/>
  <c r="S1920" i="6" s="1"/>
  <c r="Q1921" i="6"/>
  <c r="N1921" i="6"/>
  <c r="O1922" i="6"/>
  <c r="P1922" i="6" s="1"/>
  <c r="AE223" i="6"/>
  <c r="AF223" i="6"/>
  <c r="H223" i="6"/>
  <c r="E224" i="6" s="1"/>
  <c r="R1921" i="6" l="1"/>
  <c r="M1921" i="6" s="1"/>
  <c r="S1921" i="6" s="1"/>
  <c r="Q1922" i="6"/>
  <c r="N1922" i="6"/>
  <c r="O1923" i="6"/>
  <c r="P1923" i="6" s="1"/>
  <c r="I224" i="6"/>
  <c r="F224" i="6"/>
  <c r="D224" i="6"/>
  <c r="G224" i="6"/>
  <c r="R1922" i="6" l="1"/>
  <c r="M1922" i="6" s="1"/>
  <c r="S1922" i="6" s="1"/>
  <c r="Q1923" i="6"/>
  <c r="O1924" i="6"/>
  <c r="P1924" i="6" s="1"/>
  <c r="N1923" i="6"/>
  <c r="AE224" i="6"/>
  <c r="AF224" i="6"/>
  <c r="H224" i="6"/>
  <c r="I225" i="6" s="1"/>
  <c r="R1923" i="6" l="1"/>
  <c r="M1923" i="6" s="1"/>
  <c r="S1923" i="6" s="1"/>
  <c r="Q1924" i="6"/>
  <c r="N1924" i="6"/>
  <c r="O1925" i="6"/>
  <c r="P1925" i="6" s="1"/>
  <c r="F225" i="6"/>
  <c r="D225" i="6"/>
  <c r="G225" i="6"/>
  <c r="E225" i="6"/>
  <c r="R1924" i="6" l="1"/>
  <c r="M1924" i="6" s="1"/>
  <c r="S1924" i="6" s="1"/>
  <c r="Q1925" i="6"/>
  <c r="O1926" i="6"/>
  <c r="P1926" i="6" s="1"/>
  <c r="N1925" i="6"/>
  <c r="AE225" i="6"/>
  <c r="AF225" i="6"/>
  <c r="H225" i="6"/>
  <c r="E226" i="6" s="1"/>
  <c r="R1925" i="6" l="1"/>
  <c r="M1925" i="6" s="1"/>
  <c r="S1925" i="6" s="1"/>
  <c r="Q1926" i="6"/>
  <c r="O1927" i="6"/>
  <c r="P1927" i="6" s="1"/>
  <c r="N1926" i="6"/>
  <c r="D226" i="6"/>
  <c r="F226" i="6"/>
  <c r="I226" i="6"/>
  <c r="G226" i="6"/>
  <c r="R1926" i="6" l="1"/>
  <c r="M1926" i="6" s="1"/>
  <c r="S1926" i="6" s="1"/>
  <c r="Q1927" i="6"/>
  <c r="N1927" i="6"/>
  <c r="O1928" i="6"/>
  <c r="P1928" i="6" s="1"/>
  <c r="AE226" i="6"/>
  <c r="AF226" i="6"/>
  <c r="H226" i="6"/>
  <c r="D227" i="6" s="1"/>
  <c r="R1927" i="6" l="1"/>
  <c r="M1927" i="6" s="1"/>
  <c r="S1927" i="6" s="1"/>
  <c r="Q1928" i="6"/>
  <c r="N1928" i="6"/>
  <c r="O1929" i="6"/>
  <c r="P1929" i="6" s="1"/>
  <c r="F227" i="6"/>
  <c r="E227" i="6"/>
  <c r="G227" i="6"/>
  <c r="I227" i="6"/>
  <c r="R1928" i="6" l="1"/>
  <c r="M1928" i="6" s="1"/>
  <c r="S1928" i="6" s="1"/>
  <c r="Q1929" i="6"/>
  <c r="O1930" i="6"/>
  <c r="P1930" i="6" s="1"/>
  <c r="N1929" i="6"/>
  <c r="AE227" i="6"/>
  <c r="AF227" i="6"/>
  <c r="H227" i="6"/>
  <c r="F228" i="6" s="1"/>
  <c r="R1929" i="6" l="1"/>
  <c r="M1929" i="6" s="1"/>
  <c r="S1929" i="6" s="1"/>
  <c r="Q1930" i="6"/>
  <c r="O1931" i="6"/>
  <c r="P1931" i="6" s="1"/>
  <c r="N1930" i="6"/>
  <c r="E228" i="6"/>
  <c r="D228" i="6"/>
  <c r="I228" i="6"/>
  <c r="G228" i="6"/>
  <c r="R1930" i="6" l="1"/>
  <c r="M1930" i="6" s="1"/>
  <c r="S1930" i="6" s="1"/>
  <c r="Q1931" i="6"/>
  <c r="N1931" i="6"/>
  <c r="O1932" i="6"/>
  <c r="P1932" i="6" s="1"/>
  <c r="AE228" i="6"/>
  <c r="AF228" i="6"/>
  <c r="H228" i="6"/>
  <c r="I229" i="6" s="1"/>
  <c r="R1931" i="6" l="1"/>
  <c r="M1931" i="6" s="1"/>
  <c r="S1931" i="6" s="1"/>
  <c r="Q1932" i="6"/>
  <c r="N1932" i="6"/>
  <c r="O1933" i="6"/>
  <c r="P1933" i="6" s="1"/>
  <c r="G229" i="6"/>
  <c r="F229" i="6"/>
  <c r="E229" i="6"/>
  <c r="D229" i="6"/>
  <c r="R1932" i="6" l="1"/>
  <c r="M1932" i="6" s="1"/>
  <c r="S1932" i="6" s="1"/>
  <c r="Q1933" i="6"/>
  <c r="N1933" i="6"/>
  <c r="O1934" i="6"/>
  <c r="P1934" i="6" s="1"/>
  <c r="AE229" i="6"/>
  <c r="AF229" i="6"/>
  <c r="H229" i="6"/>
  <c r="I230" i="6" s="1"/>
  <c r="R1933" i="6" l="1"/>
  <c r="M1933" i="6" s="1"/>
  <c r="S1933" i="6" s="1"/>
  <c r="Q1934" i="6"/>
  <c r="N1934" i="6"/>
  <c r="O1935" i="6"/>
  <c r="P1935" i="6" s="1"/>
  <c r="D230" i="6"/>
  <c r="F230" i="6"/>
  <c r="G230" i="6"/>
  <c r="E230" i="6"/>
  <c r="R1934" i="6" l="1"/>
  <c r="M1934" i="6" s="1"/>
  <c r="S1934" i="6" s="1"/>
  <c r="Q1935" i="6"/>
  <c r="N1935" i="6"/>
  <c r="O1936" i="6"/>
  <c r="P1936" i="6" s="1"/>
  <c r="AE230" i="6"/>
  <c r="AF230" i="6"/>
  <c r="H230" i="6"/>
  <c r="I231" i="6" s="1"/>
  <c r="R1935" i="6" l="1"/>
  <c r="M1935" i="6" s="1"/>
  <c r="S1935" i="6" s="1"/>
  <c r="Q1936" i="6"/>
  <c r="N1936" i="6"/>
  <c r="O1937" i="6"/>
  <c r="P1937" i="6" s="1"/>
  <c r="F231" i="6"/>
  <c r="E231" i="6"/>
  <c r="D231" i="6"/>
  <c r="G231" i="6"/>
  <c r="R1936" i="6" l="1"/>
  <c r="M1936" i="6" s="1"/>
  <c r="S1936" i="6" s="1"/>
  <c r="Q1937" i="6"/>
  <c r="N1937" i="6"/>
  <c r="O1938" i="6"/>
  <c r="P1938" i="6" s="1"/>
  <c r="AE231" i="6"/>
  <c r="AF231" i="6"/>
  <c r="H231" i="6"/>
  <c r="D232" i="6" s="1"/>
  <c r="R1937" i="6" l="1"/>
  <c r="M1937" i="6" s="1"/>
  <c r="S1937" i="6" s="1"/>
  <c r="Q1938" i="6"/>
  <c r="N1938" i="6"/>
  <c r="O1939" i="6"/>
  <c r="P1939" i="6" s="1"/>
  <c r="G232" i="6"/>
  <c r="I232" i="6"/>
  <c r="E232" i="6"/>
  <c r="F232" i="6"/>
  <c r="R1938" i="6" l="1"/>
  <c r="M1938" i="6" s="1"/>
  <c r="S1938" i="6" s="1"/>
  <c r="Q1939" i="6"/>
  <c r="N1939" i="6"/>
  <c r="O1940" i="6"/>
  <c r="P1940" i="6" s="1"/>
  <c r="AE232" i="6"/>
  <c r="AF232" i="6"/>
  <c r="H232" i="6"/>
  <c r="D233" i="6" s="1"/>
  <c r="R1939" i="6" l="1"/>
  <c r="M1939" i="6" s="1"/>
  <c r="S1939" i="6" s="1"/>
  <c r="Q1940" i="6"/>
  <c r="N1940" i="6"/>
  <c r="O1941" i="6"/>
  <c r="P1941" i="6" s="1"/>
  <c r="F233" i="6"/>
  <c r="I233" i="6"/>
  <c r="G233" i="6"/>
  <c r="E233" i="6"/>
  <c r="R1940" i="6" l="1"/>
  <c r="M1940" i="6" s="1"/>
  <c r="S1940" i="6" s="1"/>
  <c r="Q1941" i="6"/>
  <c r="O1942" i="6"/>
  <c r="P1942" i="6" s="1"/>
  <c r="N1941" i="6"/>
  <c r="AE233" i="6"/>
  <c r="AF233" i="6"/>
  <c r="H233" i="6"/>
  <c r="G234" i="6" s="1"/>
  <c r="R1941" i="6" l="1"/>
  <c r="M1941" i="6" s="1"/>
  <c r="S1941" i="6" s="1"/>
  <c r="Q1942" i="6"/>
  <c r="N1942" i="6"/>
  <c r="O1943" i="6"/>
  <c r="P1943" i="6" s="1"/>
  <c r="AE234" i="6"/>
  <c r="AF234" i="6"/>
  <c r="F234" i="6"/>
  <c r="I234" i="6"/>
  <c r="E234" i="6"/>
  <c r="D234" i="6"/>
  <c r="H234" i="6" s="1"/>
  <c r="F235" i="6" s="1"/>
  <c r="R1942" i="6" l="1"/>
  <c r="M1942" i="6" s="1"/>
  <c r="S1942" i="6" s="1"/>
  <c r="Q1943" i="6"/>
  <c r="O1944" i="6"/>
  <c r="P1944" i="6" s="1"/>
  <c r="N1943" i="6"/>
  <c r="I235" i="6"/>
  <c r="G235" i="6"/>
  <c r="E235" i="6"/>
  <c r="D235" i="6"/>
  <c r="R1943" i="6" l="1"/>
  <c r="M1943" i="6" s="1"/>
  <c r="S1943" i="6" s="1"/>
  <c r="Q1944" i="6"/>
  <c r="N1944" i="6"/>
  <c r="O1945" i="6"/>
  <c r="P1945" i="6" s="1"/>
  <c r="AE235" i="6"/>
  <c r="AF235" i="6"/>
  <c r="H235" i="6"/>
  <c r="I236" i="6" s="1"/>
  <c r="R1944" i="6" l="1"/>
  <c r="M1944" i="6" s="1"/>
  <c r="S1944" i="6" s="1"/>
  <c r="Q1945" i="6"/>
  <c r="O1946" i="6"/>
  <c r="P1946" i="6" s="1"/>
  <c r="N1945" i="6"/>
  <c r="D236" i="6"/>
  <c r="G236" i="6"/>
  <c r="F236" i="6"/>
  <c r="E236" i="6"/>
  <c r="R1945" i="6" l="1"/>
  <c r="M1945" i="6" s="1"/>
  <c r="S1945" i="6" s="1"/>
  <c r="Q1946" i="6"/>
  <c r="N1946" i="6"/>
  <c r="O1947" i="6"/>
  <c r="P1947" i="6" s="1"/>
  <c r="AE236" i="6"/>
  <c r="AF236" i="6"/>
  <c r="H236" i="6"/>
  <c r="G237" i="6" s="1"/>
  <c r="R1946" i="6" l="1"/>
  <c r="M1946" i="6" s="1"/>
  <c r="S1946" i="6" s="1"/>
  <c r="Q1947" i="6"/>
  <c r="O1948" i="6"/>
  <c r="P1948" i="6" s="1"/>
  <c r="N1947" i="6"/>
  <c r="AE237" i="6"/>
  <c r="AF237" i="6"/>
  <c r="D237" i="6"/>
  <c r="H237" i="6" s="1"/>
  <c r="I237" i="6"/>
  <c r="E237" i="6"/>
  <c r="F237" i="6"/>
  <c r="R1947" i="6" l="1"/>
  <c r="M1947" i="6" s="1"/>
  <c r="S1947" i="6" s="1"/>
  <c r="Q1948" i="6"/>
  <c r="N1948" i="6"/>
  <c r="O1949" i="6"/>
  <c r="P1949" i="6" s="1"/>
  <c r="D238" i="6"/>
  <c r="G238" i="6"/>
  <c r="F238" i="6"/>
  <c r="I238" i="6"/>
  <c r="E238" i="6"/>
  <c r="R1948" i="6" l="1"/>
  <c r="M1948" i="6" s="1"/>
  <c r="S1948" i="6" s="1"/>
  <c r="Q1949" i="6"/>
  <c r="O1950" i="6"/>
  <c r="P1950" i="6" s="1"/>
  <c r="N1949" i="6"/>
  <c r="AE238" i="6"/>
  <c r="AF238" i="6"/>
  <c r="H238" i="6"/>
  <c r="E239" i="6" s="1"/>
  <c r="R1949" i="6" l="1"/>
  <c r="M1949" i="6" s="1"/>
  <c r="S1949" i="6" s="1"/>
  <c r="Q1950" i="6"/>
  <c r="N1950" i="6"/>
  <c r="O1951" i="6"/>
  <c r="P1951" i="6" s="1"/>
  <c r="I239" i="6"/>
  <c r="G239" i="6"/>
  <c r="F239" i="6"/>
  <c r="D239" i="6"/>
  <c r="R1950" i="6" l="1"/>
  <c r="M1950" i="6" s="1"/>
  <c r="S1950" i="6" s="1"/>
  <c r="Q1951" i="6"/>
  <c r="N1951" i="6"/>
  <c r="O1952" i="6"/>
  <c r="P1952" i="6" s="1"/>
  <c r="AE239" i="6"/>
  <c r="AF239" i="6"/>
  <c r="H239" i="6"/>
  <c r="E240" i="6" s="1"/>
  <c r="R1951" i="6" l="1"/>
  <c r="M1951" i="6" s="1"/>
  <c r="S1951" i="6" s="1"/>
  <c r="Q1952" i="6"/>
  <c r="N1952" i="6"/>
  <c r="O1953" i="6"/>
  <c r="P1953" i="6" s="1"/>
  <c r="G240" i="6"/>
  <c r="I240" i="6"/>
  <c r="D240" i="6"/>
  <c r="F240" i="6"/>
  <c r="R1952" i="6" l="1"/>
  <c r="M1952" i="6" s="1"/>
  <c r="S1952" i="6" s="1"/>
  <c r="Q1953" i="6"/>
  <c r="O1954" i="6"/>
  <c r="P1954" i="6" s="1"/>
  <c r="N1953" i="6"/>
  <c r="AE240" i="6"/>
  <c r="AF240" i="6"/>
  <c r="H240" i="6"/>
  <c r="I241" i="6" s="1"/>
  <c r="R1953" i="6" l="1"/>
  <c r="M1953" i="6" s="1"/>
  <c r="S1953" i="6" s="1"/>
  <c r="Q1954" i="6"/>
  <c r="N1954" i="6"/>
  <c r="O1955" i="6"/>
  <c r="P1955" i="6" s="1"/>
  <c r="E241" i="6"/>
  <c r="D241" i="6"/>
  <c r="G241" i="6"/>
  <c r="F241" i="6"/>
  <c r="R1954" i="6" l="1"/>
  <c r="M1954" i="6" s="1"/>
  <c r="S1954" i="6" s="1"/>
  <c r="Q1955" i="6"/>
  <c r="N1955" i="6"/>
  <c r="O1956" i="6"/>
  <c r="P1956" i="6" s="1"/>
  <c r="AE241" i="6"/>
  <c r="AF241" i="6"/>
  <c r="H241" i="6"/>
  <c r="E242" i="6" s="1"/>
  <c r="R1955" i="6" l="1"/>
  <c r="M1955" i="6" s="1"/>
  <c r="S1955" i="6" s="1"/>
  <c r="Q1956" i="6"/>
  <c r="N1956" i="6"/>
  <c r="O1957" i="6"/>
  <c r="P1957" i="6" s="1"/>
  <c r="D242" i="6"/>
  <c r="G242" i="6"/>
  <c r="F242" i="6"/>
  <c r="I242" i="6"/>
  <c r="R1956" i="6" l="1"/>
  <c r="M1956" i="6" s="1"/>
  <c r="S1956" i="6" s="1"/>
  <c r="Q1957" i="6"/>
  <c r="O1958" i="6"/>
  <c r="P1958" i="6" s="1"/>
  <c r="N1957" i="6"/>
  <c r="AE242" i="6"/>
  <c r="AF242" i="6"/>
  <c r="H242" i="6"/>
  <c r="G243" i="6" s="1"/>
  <c r="R1957" i="6" l="1"/>
  <c r="M1957" i="6" s="1"/>
  <c r="S1957" i="6" s="1"/>
  <c r="Q1958" i="6"/>
  <c r="N1958" i="6"/>
  <c r="O1959" i="6"/>
  <c r="P1959" i="6" s="1"/>
  <c r="AE243" i="6"/>
  <c r="AF243" i="6"/>
  <c r="I243" i="6"/>
  <c r="D243" i="6"/>
  <c r="H243" i="6" s="1"/>
  <c r="I244" i="6" s="1"/>
  <c r="E243" i="6"/>
  <c r="F243" i="6"/>
  <c r="R1958" i="6" l="1"/>
  <c r="M1958" i="6" s="1"/>
  <c r="S1958" i="6" s="1"/>
  <c r="Q1959" i="6"/>
  <c r="O1960" i="6"/>
  <c r="P1960" i="6" s="1"/>
  <c r="N1959" i="6"/>
  <c r="G244" i="6"/>
  <c r="D244" i="6"/>
  <c r="F244" i="6"/>
  <c r="E244" i="6"/>
  <c r="R1959" i="6" l="1"/>
  <c r="M1959" i="6" s="1"/>
  <c r="S1959" i="6" s="1"/>
  <c r="Q1960" i="6"/>
  <c r="N1960" i="6"/>
  <c r="O1961" i="6"/>
  <c r="P1961" i="6" s="1"/>
  <c r="AE244" i="6"/>
  <c r="AF244" i="6"/>
  <c r="H244" i="6"/>
  <c r="E245" i="6" s="1"/>
  <c r="R1960" i="6" l="1"/>
  <c r="M1960" i="6" s="1"/>
  <c r="S1960" i="6" s="1"/>
  <c r="Q1961" i="6"/>
  <c r="N1961" i="6"/>
  <c r="O1962" i="6"/>
  <c r="P1962" i="6" s="1"/>
  <c r="I245" i="6"/>
  <c r="F245" i="6"/>
  <c r="D245" i="6"/>
  <c r="G245" i="6"/>
  <c r="R1961" i="6" l="1"/>
  <c r="M1961" i="6" s="1"/>
  <c r="S1961" i="6" s="1"/>
  <c r="Q1962" i="6"/>
  <c r="O1963" i="6"/>
  <c r="P1963" i="6" s="1"/>
  <c r="N1962" i="6"/>
  <c r="AF245" i="6"/>
  <c r="AE245" i="6"/>
  <c r="H245" i="6"/>
  <c r="R1962" i="6" l="1"/>
  <c r="M1962" i="6" s="1"/>
  <c r="S1962" i="6" s="1"/>
  <c r="Q1963" i="6"/>
  <c r="N1963" i="6"/>
  <c r="O1964" i="6"/>
  <c r="P1964" i="6" s="1"/>
  <c r="R1963" i="6" l="1"/>
  <c r="M1963" i="6" s="1"/>
  <c r="S1963" i="6" s="1"/>
  <c r="Q1964" i="6"/>
  <c r="N1964" i="6"/>
  <c r="O1965" i="6"/>
  <c r="P1965" i="6" s="1"/>
  <c r="R1964" i="6" l="1"/>
  <c r="M1964" i="6" s="1"/>
  <c r="S1964" i="6" s="1"/>
  <c r="Q1965" i="6"/>
  <c r="N1965" i="6"/>
  <c r="O1966" i="6"/>
  <c r="P1966" i="6" s="1"/>
  <c r="R1965" i="6" l="1"/>
  <c r="M1965" i="6" s="1"/>
  <c r="S1965" i="6" s="1"/>
  <c r="Q1966" i="6"/>
  <c r="N1966" i="6"/>
  <c r="O1967" i="6"/>
  <c r="P1967" i="6" s="1"/>
  <c r="R1966" i="6" l="1"/>
  <c r="M1966" i="6" s="1"/>
  <c r="S1966" i="6" s="1"/>
  <c r="Q1967" i="6"/>
  <c r="N1967" i="6"/>
  <c r="O1968" i="6"/>
  <c r="P1968" i="6" s="1"/>
  <c r="R1967" i="6" l="1"/>
  <c r="M1967" i="6" s="1"/>
  <c r="S1967" i="6" s="1"/>
  <c r="Q1968" i="6"/>
  <c r="N1968" i="6"/>
  <c r="O1969" i="6"/>
  <c r="P1969" i="6" s="1"/>
  <c r="R1968" i="6" l="1"/>
  <c r="M1968" i="6" s="1"/>
  <c r="S1968" i="6" s="1"/>
  <c r="Q1969" i="6"/>
  <c r="O1970" i="6"/>
  <c r="P1970" i="6" s="1"/>
  <c r="N1969" i="6"/>
  <c r="R1969" i="6" l="1"/>
  <c r="M1969" i="6" s="1"/>
  <c r="S1969" i="6" s="1"/>
  <c r="Q1970" i="6"/>
  <c r="N1970" i="6"/>
  <c r="O1971" i="6"/>
  <c r="P1971" i="6" s="1"/>
  <c r="R1970" i="6" l="1"/>
  <c r="M1970" i="6" s="1"/>
  <c r="S1970" i="6" s="1"/>
  <c r="Q1971" i="6"/>
  <c r="N1971" i="6"/>
  <c r="O1972" i="6"/>
  <c r="P1972" i="6" s="1"/>
  <c r="R1971" i="6" l="1"/>
  <c r="M1971" i="6" s="1"/>
  <c r="S1971" i="6" s="1"/>
  <c r="Q1972" i="6"/>
  <c r="N1972" i="6"/>
  <c r="O1973" i="6"/>
  <c r="P1973" i="6" s="1"/>
  <c r="R1972" i="6" l="1"/>
  <c r="M1972" i="6" s="1"/>
  <c r="S1972" i="6" s="1"/>
  <c r="Q1973" i="6"/>
  <c r="N1973" i="6"/>
  <c r="O1974" i="6"/>
  <c r="P1974" i="6" s="1"/>
  <c r="R1973" i="6" l="1"/>
  <c r="M1973" i="6" s="1"/>
  <c r="S1973" i="6" s="1"/>
  <c r="Q1974" i="6"/>
  <c r="N1974" i="6"/>
  <c r="O1975" i="6"/>
  <c r="P1975" i="6" s="1"/>
  <c r="R1974" i="6" l="1"/>
  <c r="M1974" i="6" s="1"/>
  <c r="S1974" i="6" s="1"/>
  <c r="Q1975" i="6"/>
  <c r="O1976" i="6"/>
  <c r="P1976" i="6" s="1"/>
  <c r="N1975" i="6"/>
  <c r="R1975" i="6" l="1"/>
  <c r="M1975" i="6" s="1"/>
  <c r="S1975" i="6" s="1"/>
  <c r="Q1976" i="6"/>
  <c r="N1976" i="6"/>
  <c r="O1977" i="6"/>
  <c r="P1977" i="6" s="1"/>
  <c r="R1976" i="6" l="1"/>
  <c r="M1976" i="6" s="1"/>
  <c r="S1976" i="6" s="1"/>
  <c r="Q1977" i="6"/>
  <c r="N1977" i="6"/>
  <c r="O1978" i="6"/>
  <c r="P1978" i="6" s="1"/>
  <c r="R1977" i="6" l="1"/>
  <c r="M1977" i="6" s="1"/>
  <c r="S1977" i="6" s="1"/>
  <c r="Q1978" i="6"/>
  <c r="O1979" i="6"/>
  <c r="P1979" i="6" s="1"/>
  <c r="N1978" i="6"/>
  <c r="R1978" i="6" l="1"/>
  <c r="M1978" i="6" s="1"/>
  <c r="S1978" i="6" s="1"/>
  <c r="Q1979" i="6"/>
  <c r="N1979" i="6"/>
  <c r="O1980" i="6"/>
  <c r="P1980" i="6" s="1"/>
  <c r="R1979" i="6" l="1"/>
  <c r="M1979" i="6" s="1"/>
  <c r="S1979" i="6" s="1"/>
  <c r="Q1980" i="6"/>
  <c r="N1980" i="6"/>
  <c r="O1981" i="6"/>
  <c r="P1981" i="6" s="1"/>
  <c r="R1980" i="6" l="1"/>
  <c r="M1980" i="6" s="1"/>
  <c r="S1980" i="6" s="1"/>
  <c r="Q1981" i="6"/>
  <c r="O1982" i="6"/>
  <c r="P1982" i="6" s="1"/>
  <c r="N1981" i="6"/>
  <c r="R1981" i="6" l="1"/>
  <c r="M1981" i="6" s="1"/>
  <c r="S1981" i="6" s="1"/>
  <c r="Q1982" i="6"/>
  <c r="N1982" i="6"/>
  <c r="O1983" i="6"/>
  <c r="P1983" i="6" s="1"/>
  <c r="R1982" i="6" l="1"/>
  <c r="M1982" i="6" s="1"/>
  <c r="S1982" i="6" s="1"/>
  <c r="Q1983" i="6"/>
  <c r="O1984" i="6"/>
  <c r="P1984" i="6" s="1"/>
  <c r="N1983" i="6"/>
  <c r="R1983" i="6" l="1"/>
  <c r="M1983" i="6" s="1"/>
  <c r="S1983" i="6" s="1"/>
  <c r="Q1984" i="6"/>
  <c r="N1984" i="6"/>
  <c r="O1985" i="6"/>
  <c r="P1985" i="6" s="1"/>
  <c r="R1984" i="6" l="1"/>
  <c r="M1984" i="6" s="1"/>
  <c r="S1984" i="6" s="1"/>
  <c r="Q1985" i="6"/>
  <c r="O1986" i="6"/>
  <c r="P1986" i="6" s="1"/>
  <c r="N1985" i="6"/>
  <c r="R1985" i="6" l="1"/>
  <c r="M1985" i="6" s="1"/>
  <c r="S1985" i="6" s="1"/>
  <c r="Q1986" i="6"/>
  <c r="N1986" i="6"/>
  <c r="O1987" i="6"/>
  <c r="P1987" i="6" s="1"/>
  <c r="R1986" i="6" l="1"/>
  <c r="M1986" i="6" s="1"/>
  <c r="S1986" i="6" s="1"/>
  <c r="Q1987" i="6"/>
  <c r="N1987" i="6"/>
  <c r="O1988" i="6"/>
  <c r="P1988" i="6" s="1"/>
  <c r="R1987" i="6" l="1"/>
  <c r="M1987" i="6" s="1"/>
  <c r="S1987" i="6" s="1"/>
  <c r="Q1988" i="6"/>
  <c r="N1988" i="6"/>
  <c r="O1989" i="6"/>
  <c r="P1989" i="6" s="1"/>
  <c r="R1988" i="6" l="1"/>
  <c r="M1988" i="6" s="1"/>
  <c r="S1988" i="6" s="1"/>
  <c r="Q1989" i="6"/>
  <c r="N1989" i="6"/>
  <c r="O1990" i="6"/>
  <c r="P1990" i="6" s="1"/>
  <c r="R1989" i="6" l="1"/>
  <c r="M1989" i="6" s="1"/>
  <c r="S1989" i="6" s="1"/>
  <c r="Q1990" i="6"/>
  <c r="N1990" i="6"/>
  <c r="O1991" i="6"/>
  <c r="P1991" i="6" s="1"/>
  <c r="R1990" i="6" l="1"/>
  <c r="M1990" i="6" s="1"/>
  <c r="S1990" i="6" s="1"/>
  <c r="Q1991" i="6"/>
  <c r="N1991" i="6"/>
  <c r="O1992" i="6"/>
  <c r="P1992" i="6" s="1"/>
  <c r="R1991" i="6" l="1"/>
  <c r="M1991" i="6" s="1"/>
  <c r="S1991" i="6" s="1"/>
  <c r="Q1992" i="6"/>
  <c r="N1992" i="6"/>
  <c r="O1993" i="6"/>
  <c r="P1993" i="6" s="1"/>
  <c r="R1992" i="6" l="1"/>
  <c r="M1992" i="6" s="1"/>
  <c r="S1992" i="6" s="1"/>
  <c r="Q1993" i="6"/>
  <c r="N1993" i="6"/>
  <c r="O1994" i="6"/>
  <c r="P1994" i="6" s="1"/>
  <c r="R1993" i="6" l="1"/>
  <c r="M1993" i="6" s="1"/>
  <c r="S1993" i="6" s="1"/>
  <c r="Q1994" i="6"/>
  <c r="O1995" i="6"/>
  <c r="P1995" i="6" s="1"/>
  <c r="N1994" i="6"/>
  <c r="R1994" i="6" l="1"/>
  <c r="M1994" i="6" s="1"/>
  <c r="S1994" i="6" s="1"/>
  <c r="Q1995" i="6"/>
  <c r="N1995" i="6"/>
  <c r="O1996" i="6"/>
  <c r="P1996" i="6" s="1"/>
  <c r="R1995" i="6" l="1"/>
  <c r="M1995" i="6" s="1"/>
  <c r="S1995" i="6" s="1"/>
  <c r="Q1996" i="6"/>
  <c r="N1996" i="6"/>
  <c r="O1997" i="6"/>
  <c r="P1997" i="6" s="1"/>
  <c r="R1996" i="6" l="1"/>
  <c r="M1996" i="6" s="1"/>
  <c r="S1996" i="6" s="1"/>
  <c r="Q1997" i="6"/>
  <c r="O1998" i="6"/>
  <c r="P1998" i="6" s="1"/>
  <c r="N1997" i="6"/>
  <c r="R1997" i="6" l="1"/>
  <c r="M1997" i="6" s="1"/>
  <c r="S1997" i="6" s="1"/>
  <c r="Q1998" i="6"/>
  <c r="N1998" i="6"/>
  <c r="O1999" i="6"/>
  <c r="P1999" i="6" s="1"/>
  <c r="R1998" i="6" l="1"/>
  <c r="M1998" i="6" s="1"/>
  <c r="S1998" i="6" s="1"/>
  <c r="Q1999" i="6"/>
  <c r="O2000" i="6"/>
  <c r="P2000" i="6" s="1"/>
  <c r="N1999" i="6"/>
  <c r="R1999" i="6" l="1"/>
  <c r="M1999" i="6" s="1"/>
  <c r="S1999" i="6" s="1"/>
  <c r="Q2000" i="6"/>
  <c r="N2000" i="6"/>
  <c r="O2001" i="6"/>
  <c r="P2001" i="6" s="1"/>
  <c r="R2000" i="6" l="1"/>
  <c r="M2000" i="6" s="1"/>
  <c r="S2000" i="6" s="1"/>
  <c r="Q2001" i="6"/>
  <c r="O2002" i="6"/>
  <c r="P2002" i="6" s="1"/>
  <c r="N2001" i="6"/>
  <c r="R2001" i="6" l="1"/>
  <c r="M2001" i="6" s="1"/>
  <c r="S2001" i="6" s="1"/>
  <c r="Q2002" i="6"/>
  <c r="N2002" i="6"/>
  <c r="O2003" i="6"/>
  <c r="P2003" i="6" s="1"/>
  <c r="R2002" i="6" l="1"/>
  <c r="M2002" i="6" s="1"/>
  <c r="S2002" i="6" s="1"/>
  <c r="Q2003" i="6"/>
  <c r="N2003" i="6"/>
  <c r="O2004" i="6"/>
  <c r="P2004" i="6" s="1"/>
  <c r="R2003" i="6" l="1"/>
  <c r="M2003" i="6" s="1"/>
  <c r="S2003" i="6" s="1"/>
  <c r="Q2004" i="6"/>
  <c r="N2004" i="6"/>
  <c r="O2005" i="6"/>
  <c r="P2005" i="6" s="1"/>
  <c r="R2004" i="6" l="1"/>
  <c r="M2004" i="6" s="1"/>
  <c r="S2004" i="6" s="1"/>
  <c r="Q2005" i="6"/>
  <c r="N2005" i="6"/>
  <c r="O2006" i="6"/>
  <c r="P2006" i="6" s="1"/>
  <c r="R2005" i="6" l="1"/>
  <c r="M2005" i="6" s="1"/>
  <c r="S2005" i="6" s="1"/>
  <c r="Q2006" i="6"/>
  <c r="N2006" i="6"/>
  <c r="O2007" i="6"/>
  <c r="P2007" i="6" s="1"/>
  <c r="R2006" i="6" l="1"/>
  <c r="M2006" i="6" s="1"/>
  <c r="S2006" i="6" s="1"/>
  <c r="Q2007" i="6"/>
  <c r="N2007" i="6"/>
  <c r="O2008" i="6"/>
  <c r="P2008" i="6" s="1"/>
  <c r="R2007" i="6" l="1"/>
  <c r="M2007" i="6" s="1"/>
  <c r="S2007" i="6" s="1"/>
  <c r="Q2008" i="6"/>
  <c r="N2008" i="6"/>
  <c r="O2009" i="6"/>
  <c r="P2009" i="6" s="1"/>
  <c r="R2008" i="6" l="1"/>
  <c r="M2008" i="6" s="1"/>
  <c r="S2008" i="6" s="1"/>
  <c r="Q2009" i="6"/>
  <c r="O2010" i="6"/>
  <c r="P2010" i="6" s="1"/>
  <c r="N2009" i="6"/>
  <c r="R2009" i="6" l="1"/>
  <c r="M2009" i="6" s="1"/>
  <c r="S2009" i="6" s="1"/>
  <c r="Q2010" i="6"/>
  <c r="O2011" i="6"/>
  <c r="P2011" i="6" s="1"/>
  <c r="N2010" i="6"/>
  <c r="R2010" i="6" l="1"/>
  <c r="M2010" i="6" s="1"/>
  <c r="S2010" i="6" s="1"/>
  <c r="Q2011" i="6"/>
  <c r="N2011" i="6"/>
  <c r="O2012" i="6"/>
  <c r="P2012" i="6" s="1"/>
  <c r="R2011" i="6" l="1"/>
  <c r="M2011" i="6" s="1"/>
  <c r="S2011" i="6" s="1"/>
  <c r="Q2012" i="6"/>
  <c r="N2012" i="6"/>
  <c r="O2013" i="6"/>
  <c r="P2013" i="6" s="1"/>
  <c r="R2012" i="6" l="1"/>
  <c r="M2012" i="6" s="1"/>
  <c r="S2012" i="6" s="1"/>
  <c r="Q2013" i="6"/>
  <c r="N2013" i="6"/>
  <c r="O2014" i="6"/>
  <c r="P2014" i="6" s="1"/>
  <c r="R2013" i="6" l="1"/>
  <c r="M2013" i="6" s="1"/>
  <c r="S2013" i="6" s="1"/>
  <c r="Q2014" i="6"/>
  <c r="N2014" i="6"/>
  <c r="O2015" i="6"/>
  <c r="P2015" i="6" s="1"/>
  <c r="R2014" i="6" l="1"/>
  <c r="M2014" i="6" s="1"/>
  <c r="S2014" i="6" s="1"/>
  <c r="Q2015" i="6"/>
  <c r="N2015" i="6"/>
  <c r="O2016" i="6"/>
  <c r="P2016" i="6" s="1"/>
  <c r="R2015" i="6" l="1"/>
  <c r="M2015" i="6" s="1"/>
  <c r="S2015" i="6" s="1"/>
  <c r="Q2016" i="6"/>
  <c r="O2017" i="6"/>
  <c r="P2017" i="6" s="1"/>
  <c r="N2016" i="6"/>
  <c r="R2016" i="6" l="1"/>
  <c r="M2016" i="6" s="1"/>
  <c r="S2016" i="6" s="1"/>
  <c r="Q2017" i="6"/>
  <c r="N2017" i="6"/>
  <c r="O2018" i="6"/>
  <c r="P2018" i="6" s="1"/>
  <c r="R2017" i="6" l="1"/>
  <c r="M2017" i="6" s="1"/>
  <c r="S2017" i="6" s="1"/>
  <c r="Q2018" i="6"/>
  <c r="O2019" i="6"/>
  <c r="P2019" i="6" s="1"/>
  <c r="N2018" i="6"/>
  <c r="R2018" i="6" l="1"/>
  <c r="M2018" i="6" s="1"/>
  <c r="S2018" i="6" s="1"/>
  <c r="Q2019" i="6"/>
  <c r="N2019" i="6"/>
  <c r="O2020" i="6"/>
  <c r="P2020" i="6" s="1"/>
  <c r="R2019" i="6" l="1"/>
  <c r="M2019" i="6" s="1"/>
  <c r="S2019" i="6" s="1"/>
  <c r="Q2020" i="6"/>
  <c r="O2021" i="6"/>
  <c r="P2021" i="6" s="1"/>
  <c r="N2020" i="6"/>
  <c r="R2020" i="6" l="1"/>
  <c r="M2020" i="6" s="1"/>
  <c r="S2020" i="6" s="1"/>
  <c r="Q2021" i="6"/>
  <c r="N2021" i="6"/>
  <c r="O2022" i="6"/>
  <c r="P2022" i="6" s="1"/>
  <c r="R2021" i="6" l="1"/>
  <c r="M2021" i="6" s="1"/>
  <c r="S2021" i="6" s="1"/>
  <c r="Q2022" i="6"/>
  <c r="N2022" i="6"/>
  <c r="O2023" i="6"/>
  <c r="P2023" i="6" s="1"/>
  <c r="R2022" i="6" l="1"/>
  <c r="M2022" i="6" s="1"/>
  <c r="S2022" i="6" s="1"/>
  <c r="Q2023" i="6"/>
  <c r="O2024" i="6"/>
  <c r="P2024" i="6" s="1"/>
  <c r="N2023" i="6"/>
  <c r="R2023" i="6" l="1"/>
  <c r="M2023" i="6" s="1"/>
  <c r="S2023" i="6" s="1"/>
  <c r="Q2024" i="6"/>
  <c r="N2024" i="6"/>
  <c r="O2025" i="6"/>
  <c r="P2025" i="6" s="1"/>
  <c r="R2024" i="6" l="1"/>
  <c r="M2024" i="6" s="1"/>
  <c r="S2024" i="6" s="1"/>
  <c r="Q2025" i="6"/>
  <c r="N2025" i="6"/>
  <c r="O2026" i="6"/>
  <c r="P2026" i="6" s="1"/>
  <c r="R2025" i="6" l="1"/>
  <c r="M2025" i="6" s="1"/>
  <c r="S2025" i="6" s="1"/>
  <c r="Q2026" i="6"/>
  <c r="O2027" i="6"/>
  <c r="P2027" i="6" s="1"/>
  <c r="N2026" i="6"/>
  <c r="R2026" i="6" l="1"/>
  <c r="M2026" i="6" s="1"/>
  <c r="S2026" i="6" s="1"/>
  <c r="Q2027" i="6"/>
  <c r="N2027" i="6"/>
  <c r="O2028" i="6"/>
  <c r="P2028" i="6" s="1"/>
  <c r="R2027" i="6" l="1"/>
  <c r="M2027" i="6" s="1"/>
  <c r="S2027" i="6" s="1"/>
  <c r="Q2028" i="6"/>
  <c r="N2028" i="6"/>
  <c r="O2029" i="6"/>
  <c r="P2029" i="6" s="1"/>
  <c r="R2028" i="6" l="1"/>
  <c r="M2028" i="6" s="1"/>
  <c r="S2028" i="6" s="1"/>
  <c r="Q2029" i="6"/>
  <c r="O2030" i="6"/>
  <c r="P2030" i="6" s="1"/>
  <c r="N2029" i="6"/>
  <c r="R2029" i="6" l="1"/>
  <c r="M2029" i="6" s="1"/>
  <c r="S2029" i="6" s="1"/>
  <c r="Q2030" i="6"/>
  <c r="N2030" i="6"/>
  <c r="O2031" i="6"/>
  <c r="P2031" i="6" s="1"/>
  <c r="R2030" i="6" l="1"/>
  <c r="M2030" i="6" s="1"/>
  <c r="S2030" i="6" s="1"/>
  <c r="Q2031" i="6"/>
  <c r="N2031" i="6"/>
  <c r="O2032" i="6"/>
  <c r="P2032" i="6" s="1"/>
  <c r="R2031" i="6" l="1"/>
  <c r="M2031" i="6" s="1"/>
  <c r="S2031" i="6" s="1"/>
  <c r="Q2032" i="6"/>
  <c r="N2032" i="6"/>
  <c r="O2033" i="6"/>
  <c r="P2033" i="6" s="1"/>
  <c r="R2032" i="6" l="1"/>
  <c r="M2032" i="6" s="1"/>
  <c r="S2032" i="6" s="1"/>
  <c r="Q2033" i="6"/>
  <c r="N2033" i="6"/>
  <c r="O2034" i="6"/>
  <c r="P2034" i="6" s="1"/>
  <c r="R2033" i="6" l="1"/>
  <c r="M2033" i="6" s="1"/>
  <c r="S2033" i="6" s="1"/>
  <c r="Q2034" i="6"/>
  <c r="N2034" i="6"/>
  <c r="O2035" i="6"/>
  <c r="P2035" i="6" s="1"/>
  <c r="R2034" i="6" l="1"/>
  <c r="M2034" i="6" s="1"/>
  <c r="S2034" i="6" s="1"/>
  <c r="Q2035" i="6"/>
  <c r="O2036" i="6"/>
  <c r="P2036" i="6" s="1"/>
  <c r="N2035" i="6"/>
  <c r="R2035" i="6" l="1"/>
  <c r="M2035" i="6" s="1"/>
  <c r="S2035" i="6" s="1"/>
  <c r="Q2036" i="6"/>
  <c r="O2037" i="6"/>
  <c r="P2037" i="6" s="1"/>
  <c r="N2036" i="6"/>
  <c r="R2036" i="6" l="1"/>
  <c r="M2036" i="6" s="1"/>
  <c r="S2036" i="6" s="1"/>
  <c r="Q2037" i="6"/>
  <c r="O2038" i="6"/>
  <c r="P2038" i="6" s="1"/>
  <c r="N2037" i="6"/>
  <c r="R2037" i="6" l="1"/>
  <c r="M2037" i="6" s="1"/>
  <c r="S2037" i="6" s="1"/>
  <c r="Q2038" i="6"/>
  <c r="N2038" i="6"/>
  <c r="O2039" i="6"/>
  <c r="P2039" i="6" s="1"/>
  <c r="R2038" i="6" l="1"/>
  <c r="M2038" i="6" s="1"/>
  <c r="S2038" i="6" s="1"/>
  <c r="Q2039" i="6"/>
  <c r="O2040" i="6"/>
  <c r="P2040" i="6" s="1"/>
  <c r="N2039" i="6"/>
  <c r="R2039" i="6" l="1"/>
  <c r="M2039" i="6" s="1"/>
  <c r="S2039" i="6" s="1"/>
  <c r="Q2040" i="6"/>
  <c r="N2040" i="6"/>
  <c r="O2041" i="6"/>
  <c r="P2041" i="6" s="1"/>
  <c r="R2040" i="6" l="1"/>
  <c r="M2040" i="6" s="1"/>
  <c r="S2040" i="6" s="1"/>
  <c r="Q2041" i="6"/>
  <c r="O2042" i="6"/>
  <c r="P2042" i="6" s="1"/>
  <c r="N2041" i="6"/>
  <c r="R2041" i="6" l="1"/>
  <c r="M2041" i="6" s="1"/>
  <c r="S2041" i="6" s="1"/>
  <c r="Q2042" i="6"/>
  <c r="O2043" i="6"/>
  <c r="P2043" i="6" s="1"/>
  <c r="N2042" i="6"/>
  <c r="R2042" i="6" l="1"/>
  <c r="M2042" i="6" s="1"/>
  <c r="S2042" i="6" s="1"/>
  <c r="Q2043" i="6"/>
  <c r="O2044" i="6"/>
  <c r="P2044" i="6" s="1"/>
  <c r="N2043" i="6"/>
  <c r="R2043" i="6" l="1"/>
  <c r="M2043" i="6" s="1"/>
  <c r="S2043" i="6" s="1"/>
  <c r="Q2044" i="6"/>
  <c r="N2044" i="6"/>
  <c r="O2045" i="6"/>
  <c r="P2045" i="6" s="1"/>
  <c r="R2044" i="6" l="1"/>
  <c r="M2044" i="6" s="1"/>
  <c r="S2044" i="6" s="1"/>
  <c r="Q2045" i="6"/>
  <c r="O2046" i="6"/>
  <c r="P2046" i="6" s="1"/>
  <c r="N2045" i="6"/>
  <c r="R2045" i="6" l="1"/>
  <c r="M2045" i="6" s="1"/>
  <c r="S2045" i="6" s="1"/>
  <c r="Q2046" i="6"/>
  <c r="N2046" i="6"/>
  <c r="O2047" i="6"/>
  <c r="P2047" i="6" s="1"/>
  <c r="R2046" i="6" l="1"/>
  <c r="M2046" i="6" s="1"/>
  <c r="S2046" i="6" s="1"/>
  <c r="Q2047" i="6"/>
  <c r="N2047" i="6"/>
  <c r="O2048" i="6"/>
  <c r="P2048" i="6" s="1"/>
  <c r="R2047" i="6" l="1"/>
  <c r="M2047" i="6" s="1"/>
  <c r="S2047" i="6" s="1"/>
  <c r="Q2048" i="6"/>
  <c r="N2048" i="6"/>
  <c r="O2049" i="6"/>
  <c r="P2049" i="6" s="1"/>
  <c r="R2048" i="6" l="1"/>
  <c r="M2048" i="6" s="1"/>
  <c r="S2048" i="6" s="1"/>
  <c r="Q2049" i="6"/>
  <c r="N2049" i="6"/>
  <c r="O2050" i="6"/>
  <c r="P2050" i="6" s="1"/>
  <c r="R2049" i="6" l="1"/>
  <c r="M2049" i="6" s="1"/>
  <c r="S2049" i="6" s="1"/>
  <c r="Q2050" i="6"/>
  <c r="N2050" i="6"/>
  <c r="O2051" i="6"/>
  <c r="P2051" i="6" s="1"/>
  <c r="R2050" i="6" l="1"/>
  <c r="M2050" i="6" s="1"/>
  <c r="S2050" i="6" s="1"/>
  <c r="Q2051" i="6"/>
  <c r="N2051" i="6"/>
  <c r="O2052" i="6"/>
  <c r="P2052" i="6" s="1"/>
  <c r="R2051" i="6" l="1"/>
  <c r="M2051" i="6" s="1"/>
  <c r="S2051" i="6" s="1"/>
  <c r="Q2052" i="6"/>
  <c r="O2053" i="6"/>
  <c r="P2053" i="6" s="1"/>
  <c r="N2052" i="6"/>
  <c r="R2052" i="6" l="1"/>
  <c r="M2052" i="6" s="1"/>
  <c r="S2052" i="6" s="1"/>
  <c r="Q2053" i="6"/>
  <c r="N2053" i="6"/>
  <c r="O2054" i="6"/>
  <c r="P2054" i="6" s="1"/>
  <c r="R2053" i="6" l="1"/>
  <c r="M2053" i="6" s="1"/>
  <c r="S2053" i="6" s="1"/>
  <c r="Q2054" i="6"/>
  <c r="N2054" i="6"/>
  <c r="O2055" i="6"/>
  <c r="P2055" i="6" s="1"/>
  <c r="R2054" i="6" l="1"/>
  <c r="M2054" i="6" s="1"/>
  <c r="S2054" i="6" s="1"/>
  <c r="Q2055" i="6"/>
  <c r="O2056" i="6"/>
  <c r="P2056" i="6" s="1"/>
  <c r="N2055" i="6"/>
  <c r="R2055" i="6" l="1"/>
  <c r="M2055" i="6" s="1"/>
  <c r="S2055" i="6" s="1"/>
  <c r="Q2056" i="6"/>
  <c r="N2056" i="6"/>
  <c r="O2057" i="6"/>
  <c r="P2057" i="6" s="1"/>
  <c r="R2056" i="6" l="1"/>
  <c r="M2056" i="6" s="1"/>
  <c r="S2056" i="6" s="1"/>
  <c r="Q2057" i="6"/>
  <c r="O2058" i="6"/>
  <c r="P2058" i="6" s="1"/>
  <c r="N2057" i="6"/>
  <c r="R2057" i="6" l="1"/>
  <c r="M2057" i="6" s="1"/>
  <c r="S2057" i="6" s="1"/>
  <c r="Q2058" i="6"/>
  <c r="O2059" i="6"/>
  <c r="P2059" i="6" s="1"/>
  <c r="N2058" i="6"/>
  <c r="R2058" i="6" l="1"/>
  <c r="M2058" i="6" s="1"/>
  <c r="S2058" i="6" s="1"/>
  <c r="Q2059" i="6"/>
  <c r="N2059" i="6"/>
  <c r="O2060" i="6"/>
  <c r="P2060" i="6" s="1"/>
  <c r="R2059" i="6" l="1"/>
  <c r="M2059" i="6" s="1"/>
  <c r="S2059" i="6" s="1"/>
  <c r="Q2060" i="6"/>
  <c r="N2060" i="6"/>
  <c r="O2061" i="6"/>
  <c r="P2061" i="6" s="1"/>
  <c r="R2060" i="6" l="1"/>
  <c r="M2060" i="6" s="1"/>
  <c r="S2060" i="6" s="1"/>
  <c r="Q2061" i="6"/>
  <c r="O2062" i="6"/>
  <c r="P2062" i="6" s="1"/>
  <c r="N2061" i="6"/>
  <c r="R2061" i="6" l="1"/>
  <c r="M2061" i="6" s="1"/>
  <c r="S2061" i="6" s="1"/>
  <c r="Q2062" i="6"/>
  <c r="N2062" i="6"/>
  <c r="O2063" i="6"/>
  <c r="P2063" i="6" s="1"/>
  <c r="R2062" i="6" l="1"/>
  <c r="M2062" i="6" s="1"/>
  <c r="S2062" i="6" s="1"/>
  <c r="Q2063" i="6"/>
  <c r="N2063" i="6"/>
  <c r="O2064" i="6"/>
  <c r="P2064" i="6" s="1"/>
  <c r="R2063" i="6" l="1"/>
  <c r="M2063" i="6" s="1"/>
  <c r="S2063" i="6" s="1"/>
  <c r="Q2064" i="6"/>
  <c r="N2064" i="6"/>
  <c r="O2065" i="6"/>
  <c r="P2065" i="6" s="1"/>
  <c r="R2064" i="6" l="1"/>
  <c r="M2064" i="6" s="1"/>
  <c r="S2064" i="6" s="1"/>
  <c r="Q2065" i="6"/>
  <c r="N2065" i="6"/>
  <c r="O2066" i="6"/>
  <c r="P2066" i="6" s="1"/>
  <c r="R2065" i="6" l="1"/>
  <c r="M2065" i="6" s="1"/>
  <c r="S2065" i="6" s="1"/>
  <c r="Q2066" i="6"/>
  <c r="N2066" i="6"/>
  <c r="O2067" i="6"/>
  <c r="P2067" i="6" s="1"/>
  <c r="R2066" i="6" l="1"/>
  <c r="M2066" i="6" s="1"/>
  <c r="S2066" i="6" s="1"/>
  <c r="Q2067" i="6"/>
  <c r="O2068" i="6"/>
  <c r="P2068" i="6" s="1"/>
  <c r="N2067" i="6"/>
  <c r="R2067" i="6" l="1"/>
  <c r="M2067" i="6" s="1"/>
  <c r="S2067" i="6" s="1"/>
  <c r="Q2068" i="6"/>
  <c r="O2069" i="6"/>
  <c r="P2069" i="6" s="1"/>
  <c r="N2068" i="6"/>
  <c r="R2068" i="6" l="1"/>
  <c r="M2068" i="6" s="1"/>
  <c r="S2068" i="6" s="1"/>
  <c r="Q2069" i="6"/>
  <c r="N2069" i="6"/>
  <c r="O2070" i="6"/>
  <c r="P2070" i="6" s="1"/>
  <c r="R2069" i="6" l="1"/>
  <c r="M2069" i="6" s="1"/>
  <c r="S2069" i="6" s="1"/>
  <c r="Q2070" i="6"/>
  <c r="N2070" i="6"/>
  <c r="O2071" i="6"/>
  <c r="P2071" i="6" s="1"/>
  <c r="R2070" i="6" l="1"/>
  <c r="M2070" i="6" s="1"/>
  <c r="S2070" i="6" s="1"/>
  <c r="Q2071" i="6"/>
  <c r="O2072" i="6"/>
  <c r="P2072" i="6" s="1"/>
  <c r="N2071" i="6"/>
  <c r="R2071" i="6" l="1"/>
  <c r="M2071" i="6" s="1"/>
  <c r="S2071" i="6" s="1"/>
  <c r="Q2072" i="6"/>
  <c r="N2072" i="6"/>
  <c r="O2073" i="6"/>
  <c r="P2073" i="6" s="1"/>
  <c r="R2072" i="6" l="1"/>
  <c r="M2072" i="6" s="1"/>
  <c r="S2072" i="6" s="1"/>
  <c r="Q2073" i="6"/>
  <c r="O2074" i="6"/>
  <c r="P2074" i="6" s="1"/>
  <c r="N2073" i="6"/>
  <c r="R2073" i="6" l="1"/>
  <c r="M2073" i="6" s="1"/>
  <c r="S2073" i="6" s="1"/>
  <c r="Q2074" i="6"/>
  <c r="O2075" i="6"/>
  <c r="P2075" i="6" s="1"/>
  <c r="N2074" i="6"/>
  <c r="R2074" i="6" l="1"/>
  <c r="M2074" i="6" s="1"/>
  <c r="S2074" i="6" s="1"/>
  <c r="Q2075" i="6"/>
  <c r="O2076" i="6"/>
  <c r="P2076" i="6" s="1"/>
  <c r="N2075" i="6"/>
  <c r="R2075" i="6" l="1"/>
  <c r="M2075" i="6" s="1"/>
  <c r="S2075" i="6" s="1"/>
  <c r="Q2076" i="6"/>
  <c r="N2076" i="6"/>
  <c r="O2077" i="6"/>
  <c r="P2077" i="6" s="1"/>
  <c r="R2076" i="6" l="1"/>
  <c r="M2076" i="6" s="1"/>
  <c r="S2076" i="6" s="1"/>
  <c r="Q2077" i="6"/>
  <c r="O2078" i="6"/>
  <c r="P2078" i="6" s="1"/>
  <c r="N2077" i="6"/>
  <c r="R2077" i="6" l="1"/>
  <c r="M2077" i="6" s="1"/>
  <c r="S2077" i="6" s="1"/>
  <c r="Q2078" i="6"/>
  <c r="N2078" i="6"/>
  <c r="O2079" i="6"/>
  <c r="P2079" i="6" s="1"/>
  <c r="R2078" i="6" l="1"/>
  <c r="M2078" i="6" s="1"/>
  <c r="S2078" i="6" s="1"/>
  <c r="Q2079" i="6"/>
  <c r="N2079" i="6"/>
  <c r="O2080" i="6"/>
  <c r="P2080" i="6" s="1"/>
  <c r="R2079" i="6" l="1"/>
  <c r="M2079" i="6" s="1"/>
  <c r="S2079" i="6" s="1"/>
  <c r="Q2080" i="6"/>
  <c r="N2080" i="6"/>
  <c r="O2081" i="6"/>
  <c r="P2081" i="6" s="1"/>
  <c r="R2080" i="6" l="1"/>
  <c r="M2080" i="6" s="1"/>
  <c r="S2080" i="6" s="1"/>
  <c r="Q2081" i="6"/>
  <c r="O2082" i="6"/>
  <c r="P2082" i="6" s="1"/>
  <c r="N2081" i="6"/>
  <c r="R2081" i="6" l="1"/>
  <c r="M2081" i="6" s="1"/>
  <c r="S2081" i="6" s="1"/>
  <c r="Q2082" i="6"/>
  <c r="N2082" i="6"/>
  <c r="O2083" i="6"/>
  <c r="P2083" i="6" s="1"/>
  <c r="R2082" i="6" l="1"/>
  <c r="M2082" i="6" s="1"/>
  <c r="S2082" i="6" s="1"/>
  <c r="Q2083" i="6"/>
  <c r="N2083" i="6"/>
  <c r="O2084" i="6"/>
  <c r="P2084" i="6" s="1"/>
  <c r="R2083" i="6" l="1"/>
  <c r="M2083" i="6" s="1"/>
  <c r="S2083" i="6" s="1"/>
  <c r="Q2084" i="6"/>
  <c r="O2085" i="6"/>
  <c r="P2085" i="6" s="1"/>
  <c r="N2084" i="6"/>
  <c r="R2084" i="6" l="1"/>
  <c r="M2084" i="6" s="1"/>
  <c r="S2084" i="6" s="1"/>
  <c r="Q2085" i="6"/>
  <c r="N2085" i="6"/>
  <c r="O2086" i="6"/>
  <c r="P2086" i="6" s="1"/>
  <c r="R2085" i="6" l="1"/>
  <c r="M2085" i="6" s="1"/>
  <c r="S2085" i="6" s="1"/>
  <c r="Q2086" i="6"/>
  <c r="N2086" i="6"/>
  <c r="O2087" i="6"/>
  <c r="P2087" i="6" s="1"/>
  <c r="R2086" i="6" l="1"/>
  <c r="M2086" i="6" s="1"/>
  <c r="S2086" i="6" s="1"/>
  <c r="Q2087" i="6"/>
  <c r="O2088" i="6"/>
  <c r="P2088" i="6" s="1"/>
  <c r="N2087" i="6"/>
  <c r="R2087" i="6" l="1"/>
  <c r="M2087" i="6" s="1"/>
  <c r="S2087" i="6" s="1"/>
  <c r="Q2088" i="6"/>
  <c r="N2088" i="6"/>
  <c r="O2089" i="6"/>
  <c r="P2089" i="6" s="1"/>
  <c r="R2088" i="6" l="1"/>
  <c r="M2088" i="6" s="1"/>
  <c r="S2088" i="6" s="1"/>
  <c r="Q2089" i="6"/>
  <c r="N2089" i="6"/>
  <c r="O2090" i="6"/>
  <c r="P2090" i="6" s="1"/>
  <c r="R2089" i="6" l="1"/>
  <c r="M2089" i="6" s="1"/>
  <c r="S2089" i="6" s="1"/>
  <c r="Q2090" i="6"/>
  <c r="O2091" i="6"/>
  <c r="P2091" i="6" s="1"/>
  <c r="N2090" i="6"/>
  <c r="R2090" i="6" l="1"/>
  <c r="M2090" i="6" s="1"/>
  <c r="S2090" i="6" s="1"/>
  <c r="Q2091" i="6"/>
  <c r="N2091" i="6"/>
  <c r="O2092" i="6"/>
  <c r="P2092" i="6" s="1"/>
  <c r="R2091" i="6" l="1"/>
  <c r="M2091" i="6" s="1"/>
  <c r="S2091" i="6" s="1"/>
  <c r="Q2092" i="6"/>
  <c r="N2092" i="6"/>
  <c r="O2093" i="6"/>
  <c r="P2093" i="6" s="1"/>
  <c r="R2092" i="6" l="1"/>
  <c r="M2092" i="6" s="1"/>
  <c r="S2092" i="6" s="1"/>
  <c r="Q2093" i="6"/>
  <c r="O2094" i="6"/>
  <c r="P2094" i="6" s="1"/>
  <c r="N2093" i="6"/>
  <c r="R2093" i="6" l="1"/>
  <c r="M2093" i="6" s="1"/>
  <c r="S2093" i="6" s="1"/>
  <c r="Q2094" i="6"/>
  <c r="N2094" i="6"/>
  <c r="O2095" i="6"/>
  <c r="P2095" i="6" s="1"/>
  <c r="R2094" i="6" l="1"/>
  <c r="M2094" i="6" s="1"/>
  <c r="S2094" i="6" s="1"/>
  <c r="Q2095" i="6"/>
  <c r="N2095" i="6"/>
  <c r="O2096" i="6"/>
  <c r="P2096" i="6" s="1"/>
  <c r="R2095" i="6" l="1"/>
  <c r="M2095" i="6" s="1"/>
  <c r="S2095" i="6" s="1"/>
  <c r="Q2096" i="6"/>
  <c r="N2096" i="6"/>
  <c r="O2097" i="6"/>
  <c r="P2097" i="6" s="1"/>
  <c r="R2096" i="6" l="1"/>
  <c r="M2096" i="6" s="1"/>
  <c r="S2096" i="6" s="1"/>
  <c r="Q2097" i="6"/>
  <c r="N2097" i="6"/>
  <c r="O2098" i="6"/>
  <c r="P2098" i="6" s="1"/>
  <c r="R2097" i="6" l="1"/>
  <c r="M2097" i="6" s="1"/>
  <c r="S2097" i="6" s="1"/>
  <c r="Q2098" i="6"/>
  <c r="N2098" i="6"/>
  <c r="O2099" i="6"/>
  <c r="P2099" i="6" s="1"/>
  <c r="R2098" i="6" l="1"/>
  <c r="M2098" i="6" s="1"/>
  <c r="S2098" i="6" s="1"/>
  <c r="Q2099" i="6"/>
  <c r="O2100" i="6"/>
  <c r="P2100" i="6" s="1"/>
  <c r="N2099" i="6"/>
  <c r="R2099" i="6" l="1"/>
  <c r="M2099" i="6" s="1"/>
  <c r="S2099" i="6" s="1"/>
  <c r="Q2100" i="6"/>
  <c r="O2101" i="6"/>
  <c r="P2101" i="6" s="1"/>
  <c r="N2100" i="6"/>
  <c r="R2100" i="6" l="1"/>
  <c r="M2100" i="6" s="1"/>
  <c r="S2100" i="6" s="1"/>
  <c r="Q2101" i="6"/>
  <c r="N2101" i="6"/>
  <c r="O2102" i="6"/>
  <c r="P2102" i="6" s="1"/>
  <c r="R2101" i="6" l="1"/>
  <c r="M2101" i="6" s="1"/>
  <c r="S2101" i="6" s="1"/>
  <c r="Q2102" i="6"/>
  <c r="N2102" i="6"/>
  <c r="O2103" i="6"/>
  <c r="P2103" i="6" s="1"/>
  <c r="R2102" i="6" l="1"/>
  <c r="M2102" i="6" s="1"/>
  <c r="S2102" i="6" s="1"/>
  <c r="Q2103" i="6"/>
  <c r="O2104" i="6"/>
  <c r="P2104" i="6" s="1"/>
  <c r="N2103" i="6"/>
  <c r="R2103" i="6" l="1"/>
  <c r="M2103" i="6" s="1"/>
  <c r="S2103" i="6" s="1"/>
  <c r="Q2104" i="6"/>
  <c r="N2104" i="6"/>
  <c r="O2105" i="6"/>
  <c r="P2105" i="6" s="1"/>
  <c r="R2104" i="6" l="1"/>
  <c r="M2104" i="6" s="1"/>
  <c r="S2104" i="6" s="1"/>
  <c r="Q2105" i="6"/>
  <c r="O2106" i="6"/>
  <c r="P2106" i="6" s="1"/>
  <c r="N2105" i="6"/>
  <c r="R2105" i="6" l="1"/>
  <c r="M2105" i="6" s="1"/>
  <c r="S2105" i="6" s="1"/>
  <c r="Q2106" i="6"/>
  <c r="O2107" i="6"/>
  <c r="P2107" i="6" s="1"/>
  <c r="N2106" i="6"/>
  <c r="R2106" i="6" l="1"/>
  <c r="M2106" i="6" s="1"/>
  <c r="S2106" i="6" s="1"/>
  <c r="Q2107" i="6"/>
  <c r="O2108" i="6"/>
  <c r="P2108" i="6" s="1"/>
  <c r="N2107" i="6"/>
  <c r="R2107" i="6" l="1"/>
  <c r="M2107" i="6" s="1"/>
  <c r="S2107" i="6" s="1"/>
  <c r="Q2108" i="6"/>
  <c r="N2108" i="6"/>
  <c r="O2109" i="6"/>
  <c r="P2109" i="6" s="1"/>
  <c r="R2108" i="6" l="1"/>
  <c r="M2108" i="6" s="1"/>
  <c r="S2108" i="6" s="1"/>
  <c r="Q2109" i="6"/>
  <c r="O2110" i="6"/>
  <c r="P2110" i="6" s="1"/>
  <c r="N2109" i="6"/>
  <c r="R2109" i="6" l="1"/>
  <c r="M2109" i="6" s="1"/>
  <c r="S2109" i="6" s="1"/>
  <c r="Q2110" i="6"/>
  <c r="N2110" i="6"/>
  <c r="O2111" i="6"/>
  <c r="P2111" i="6" s="1"/>
  <c r="R2110" i="6" l="1"/>
  <c r="M2110" i="6" s="1"/>
  <c r="S2110" i="6" s="1"/>
  <c r="Q2111" i="6"/>
  <c r="N2111" i="6"/>
  <c r="O2112" i="6"/>
  <c r="P2112" i="6" s="1"/>
  <c r="R2111" i="6" l="1"/>
  <c r="M2111" i="6" s="1"/>
  <c r="S2111" i="6" s="1"/>
  <c r="Q2112" i="6"/>
  <c r="N2112" i="6"/>
  <c r="O2113" i="6"/>
  <c r="P2113" i="6" s="1"/>
  <c r="R2112" i="6" l="1"/>
  <c r="M2112" i="6" s="1"/>
  <c r="S2112" i="6" s="1"/>
  <c r="Q2113" i="6"/>
  <c r="O2114" i="6"/>
  <c r="P2114" i="6" s="1"/>
  <c r="N2113" i="6"/>
  <c r="R2113" i="6" l="1"/>
  <c r="M2113" i="6" s="1"/>
  <c r="S2113" i="6" s="1"/>
  <c r="Q2114" i="6"/>
  <c r="N2114" i="6"/>
  <c r="O2115" i="6"/>
  <c r="P2115" i="6" s="1"/>
  <c r="R2114" i="6" l="1"/>
  <c r="M2114" i="6" s="1"/>
  <c r="S2114" i="6" s="1"/>
  <c r="Q2115" i="6"/>
  <c r="N2115" i="6"/>
  <c r="O2116" i="6"/>
  <c r="P2116" i="6" s="1"/>
  <c r="R2115" i="6" l="1"/>
  <c r="M2115" i="6" s="1"/>
  <c r="S2115" i="6" s="1"/>
  <c r="Q2116" i="6"/>
  <c r="N2116" i="6"/>
  <c r="O2117" i="6"/>
  <c r="P2117" i="6" s="1"/>
  <c r="R2116" i="6" l="1"/>
  <c r="M2116" i="6" s="1"/>
  <c r="S2116" i="6" s="1"/>
  <c r="Q2117" i="6"/>
  <c r="N2117" i="6"/>
  <c r="O2118" i="6"/>
  <c r="P2118" i="6" s="1"/>
  <c r="R2117" i="6" l="1"/>
  <c r="M2117" i="6" s="1"/>
  <c r="S2117" i="6" s="1"/>
  <c r="Q2118" i="6"/>
  <c r="N2118" i="6"/>
  <c r="O2119" i="6"/>
  <c r="P2119" i="6" s="1"/>
  <c r="R2118" i="6" l="1"/>
  <c r="M2118" i="6" s="1"/>
  <c r="S2118" i="6" s="1"/>
  <c r="Q2119" i="6"/>
  <c r="O2120" i="6"/>
  <c r="P2120" i="6" s="1"/>
  <c r="N2119" i="6"/>
  <c r="R2119" i="6" l="1"/>
  <c r="M2119" i="6" s="1"/>
  <c r="S2119" i="6" s="1"/>
  <c r="Q2120" i="6"/>
  <c r="N2120" i="6"/>
  <c r="O2121" i="6"/>
  <c r="P2121" i="6" s="1"/>
  <c r="R2120" i="6" l="1"/>
  <c r="M2120" i="6" s="1"/>
  <c r="S2120" i="6" s="1"/>
  <c r="Q2121" i="6"/>
  <c r="O2122" i="6"/>
  <c r="P2122" i="6" s="1"/>
  <c r="N2121" i="6"/>
  <c r="R2121" i="6" l="1"/>
  <c r="M2121" i="6" s="1"/>
  <c r="S2121" i="6" s="1"/>
  <c r="Q2122" i="6"/>
  <c r="N2122" i="6"/>
  <c r="O2123" i="6"/>
  <c r="P2123" i="6" s="1"/>
  <c r="R2122" i="6" l="1"/>
  <c r="M2122" i="6" s="1"/>
  <c r="S2122" i="6" s="1"/>
  <c r="Q2123" i="6"/>
  <c r="N2123" i="6"/>
  <c r="O2124" i="6"/>
  <c r="P2124" i="6" s="1"/>
  <c r="R2123" i="6" l="1"/>
  <c r="M2123" i="6" s="1"/>
  <c r="S2123" i="6" s="1"/>
  <c r="Q2124" i="6"/>
  <c r="O2125" i="6"/>
  <c r="P2125" i="6" s="1"/>
  <c r="N2124" i="6"/>
  <c r="R2124" i="6" l="1"/>
  <c r="M2124" i="6" s="1"/>
  <c r="S2124" i="6" s="1"/>
  <c r="Q2125" i="6"/>
  <c r="N2125" i="6"/>
  <c r="O2126" i="6"/>
  <c r="P2126" i="6" s="1"/>
  <c r="R2125" i="6" l="1"/>
  <c r="M2125" i="6" s="1"/>
  <c r="S2125" i="6" s="1"/>
  <c r="Q2126" i="6"/>
  <c r="N2126" i="6"/>
  <c r="O2127" i="6"/>
  <c r="P2127" i="6" s="1"/>
  <c r="R2126" i="6" l="1"/>
  <c r="M2126" i="6" s="1"/>
  <c r="S2126" i="6" s="1"/>
  <c r="Q2127" i="6"/>
  <c r="O2128" i="6"/>
  <c r="P2128" i="6" s="1"/>
  <c r="N2127" i="6"/>
  <c r="R2127" i="6" l="1"/>
  <c r="M2127" i="6" s="1"/>
  <c r="S2127" i="6" s="1"/>
  <c r="Q2128" i="6"/>
  <c r="O2129" i="6"/>
  <c r="P2129" i="6" s="1"/>
  <c r="N2128" i="6"/>
  <c r="R2128" i="6" l="1"/>
  <c r="M2128" i="6" s="1"/>
  <c r="S2128" i="6" s="1"/>
  <c r="Q2129" i="6"/>
  <c r="O2130" i="6"/>
  <c r="P2130" i="6" s="1"/>
  <c r="N2129" i="6"/>
  <c r="R2129" i="6" l="1"/>
  <c r="M2129" i="6" s="1"/>
  <c r="S2129" i="6" s="1"/>
  <c r="Q2130" i="6"/>
  <c r="N2130" i="6"/>
  <c r="O2131" i="6"/>
  <c r="P2131" i="6" s="1"/>
  <c r="R2130" i="6" l="1"/>
  <c r="M2130" i="6" s="1"/>
  <c r="S2130" i="6" s="1"/>
  <c r="Q2131" i="6"/>
  <c r="O2132" i="6"/>
  <c r="P2132" i="6" s="1"/>
  <c r="N2131" i="6"/>
  <c r="R2131" i="6" l="1"/>
  <c r="M2131" i="6" s="1"/>
  <c r="S2131" i="6" s="1"/>
  <c r="Q2132" i="6"/>
  <c r="N2132" i="6"/>
  <c r="O2133" i="6"/>
  <c r="P2133" i="6" s="1"/>
  <c r="R2132" i="6" l="1"/>
  <c r="M2132" i="6" s="1"/>
  <c r="S2132" i="6" s="1"/>
  <c r="Q2133" i="6"/>
  <c r="N2133" i="6"/>
  <c r="O2134" i="6"/>
  <c r="P2134" i="6" s="1"/>
  <c r="R2133" i="6" l="1"/>
  <c r="M2133" i="6" s="1"/>
  <c r="S2133" i="6" s="1"/>
  <c r="Q2134" i="6"/>
  <c r="N2134" i="6"/>
  <c r="O2135" i="6"/>
  <c r="P2135" i="6" s="1"/>
  <c r="R2134" i="6" l="1"/>
  <c r="M2134" i="6" s="1"/>
  <c r="S2134" i="6" s="1"/>
  <c r="Q2135" i="6"/>
  <c r="O2136" i="6"/>
  <c r="P2136" i="6" s="1"/>
  <c r="N2135" i="6"/>
  <c r="R2135" i="6" l="1"/>
  <c r="M2135" i="6" s="1"/>
  <c r="S2135" i="6" s="1"/>
  <c r="Q2136" i="6"/>
  <c r="O2137" i="6"/>
  <c r="P2137" i="6" s="1"/>
  <c r="N2136" i="6"/>
  <c r="R2136" i="6" l="1"/>
  <c r="M2136" i="6" s="1"/>
  <c r="S2136" i="6" s="1"/>
  <c r="Q2137" i="6"/>
  <c r="N2137" i="6"/>
  <c r="O2138" i="6"/>
  <c r="P2138" i="6" s="1"/>
  <c r="R2137" i="6" l="1"/>
  <c r="M2137" i="6" s="1"/>
  <c r="S2137" i="6" s="1"/>
  <c r="Q2138" i="6"/>
  <c r="N2138" i="6"/>
  <c r="O2139" i="6"/>
  <c r="P2139" i="6" s="1"/>
  <c r="R2138" i="6" l="1"/>
  <c r="M2138" i="6" s="1"/>
  <c r="S2138" i="6" s="1"/>
  <c r="Q2139" i="6"/>
  <c r="N2139" i="6"/>
  <c r="O2140" i="6"/>
  <c r="P2140" i="6" s="1"/>
  <c r="R2139" i="6" l="1"/>
  <c r="M2139" i="6" s="1"/>
  <c r="S2139" i="6" s="1"/>
  <c r="Q2140" i="6"/>
  <c r="N2140" i="6"/>
  <c r="O2141" i="6"/>
  <c r="P2141" i="6" s="1"/>
  <c r="R2140" i="6" l="1"/>
  <c r="M2140" i="6" s="1"/>
  <c r="S2140" i="6" s="1"/>
  <c r="Q2141" i="6"/>
  <c r="N2141" i="6"/>
  <c r="O2142" i="6"/>
  <c r="P2142" i="6" s="1"/>
  <c r="R2141" i="6" l="1"/>
  <c r="M2141" i="6" s="1"/>
  <c r="S2141" i="6" s="1"/>
  <c r="Q2142" i="6"/>
  <c r="N2142" i="6"/>
  <c r="O2143" i="6"/>
  <c r="P2143" i="6" s="1"/>
  <c r="R2142" i="6" l="1"/>
  <c r="M2142" i="6" s="1"/>
  <c r="S2142" i="6" s="1"/>
  <c r="Q2143" i="6"/>
  <c r="N2143" i="6"/>
  <c r="O2144" i="6"/>
  <c r="P2144" i="6" s="1"/>
  <c r="R2143" i="6" l="1"/>
  <c r="M2143" i="6" s="1"/>
  <c r="S2143" i="6" s="1"/>
  <c r="Q2144" i="6"/>
  <c r="O2145" i="6"/>
  <c r="P2145" i="6" s="1"/>
  <c r="N2144" i="6"/>
  <c r="R2144" i="6" l="1"/>
  <c r="M2144" i="6" s="1"/>
  <c r="S2144" i="6" s="1"/>
  <c r="Q2145" i="6"/>
  <c r="O2146" i="6"/>
  <c r="P2146" i="6" s="1"/>
  <c r="N2145" i="6"/>
  <c r="R2145" i="6" l="1"/>
  <c r="M2145" i="6" s="1"/>
  <c r="S2145" i="6" s="1"/>
  <c r="Q2146" i="6"/>
  <c r="N2146" i="6"/>
  <c r="O2147" i="6"/>
  <c r="P2147" i="6" s="1"/>
  <c r="R2146" i="6" l="1"/>
  <c r="M2146" i="6" s="1"/>
  <c r="S2146" i="6" s="1"/>
  <c r="Q2147" i="6"/>
  <c r="N2147" i="6"/>
  <c r="O2148" i="6"/>
  <c r="P2148" i="6" s="1"/>
  <c r="R2147" i="6" l="1"/>
  <c r="M2147" i="6" s="1"/>
  <c r="S2147" i="6" s="1"/>
  <c r="Q2148" i="6"/>
  <c r="O2149" i="6"/>
  <c r="P2149" i="6" s="1"/>
  <c r="N2148" i="6"/>
  <c r="R2148" i="6" l="1"/>
  <c r="M2148" i="6" s="1"/>
  <c r="S2148" i="6" s="1"/>
  <c r="Q2149" i="6"/>
  <c r="N2149" i="6"/>
  <c r="O2150" i="6"/>
  <c r="P2150" i="6" s="1"/>
  <c r="R2149" i="6" l="1"/>
  <c r="M2149" i="6" s="1"/>
  <c r="S2149" i="6" s="1"/>
  <c r="Q2150" i="6"/>
  <c r="N2150" i="6"/>
  <c r="O2151" i="6"/>
  <c r="P2151" i="6" s="1"/>
  <c r="R2150" i="6" l="1"/>
  <c r="M2150" i="6" s="1"/>
  <c r="S2150" i="6" s="1"/>
  <c r="Q2151" i="6"/>
  <c r="O2152" i="6"/>
  <c r="P2152" i="6" s="1"/>
  <c r="N2151" i="6"/>
  <c r="R2151" i="6" l="1"/>
  <c r="M2151" i="6" s="1"/>
  <c r="S2151" i="6" s="1"/>
  <c r="Q2152" i="6"/>
  <c r="N2152" i="6"/>
  <c r="O2153" i="6"/>
  <c r="P2153" i="6" s="1"/>
  <c r="R2152" i="6" l="1"/>
  <c r="M2152" i="6" s="1"/>
  <c r="S2152" i="6" s="1"/>
  <c r="Q2153" i="6"/>
  <c r="N2153" i="6"/>
  <c r="O2154" i="6"/>
  <c r="P2154" i="6" s="1"/>
  <c r="R2153" i="6" l="1"/>
  <c r="M2153" i="6" s="1"/>
  <c r="S2153" i="6" s="1"/>
  <c r="Q2154" i="6"/>
  <c r="N2154" i="6"/>
  <c r="O2155" i="6"/>
  <c r="P2155" i="6" s="1"/>
  <c r="R2154" i="6" l="1"/>
  <c r="M2154" i="6" s="1"/>
  <c r="S2154" i="6" s="1"/>
  <c r="Q2155" i="6"/>
  <c r="N2155" i="6"/>
  <c r="O2156" i="6"/>
  <c r="P2156" i="6" s="1"/>
  <c r="R2155" i="6" l="1"/>
  <c r="M2155" i="6" s="1"/>
  <c r="S2155" i="6" s="1"/>
  <c r="Q2156" i="6"/>
  <c r="N2156" i="6"/>
  <c r="O2157" i="6"/>
  <c r="P2157" i="6" s="1"/>
  <c r="R2156" i="6" l="1"/>
  <c r="M2156" i="6" s="1"/>
  <c r="S2156" i="6" s="1"/>
  <c r="Q2157" i="6"/>
  <c r="N2157" i="6"/>
  <c r="O2158" i="6"/>
  <c r="P2158" i="6" s="1"/>
  <c r="R2157" i="6" l="1"/>
  <c r="M2157" i="6" s="1"/>
  <c r="S2157" i="6" s="1"/>
  <c r="Q2158" i="6"/>
  <c r="N2158" i="6"/>
  <c r="O2159" i="6"/>
  <c r="P2159" i="6" s="1"/>
  <c r="R2158" i="6" l="1"/>
  <c r="M2158" i="6" s="1"/>
  <c r="S2158" i="6" s="1"/>
  <c r="Q2159" i="6"/>
  <c r="O2160" i="6"/>
  <c r="P2160" i="6" s="1"/>
  <c r="N2159" i="6"/>
  <c r="R2159" i="6" l="1"/>
  <c r="M2159" i="6" s="1"/>
  <c r="S2159" i="6" s="1"/>
  <c r="Q2160" i="6"/>
  <c r="O2161" i="6"/>
  <c r="P2161" i="6" s="1"/>
  <c r="N2160" i="6"/>
  <c r="R2160" i="6" l="1"/>
  <c r="M2160" i="6" s="1"/>
  <c r="S2160" i="6" s="1"/>
  <c r="Q2161" i="6"/>
  <c r="N2161" i="6"/>
  <c r="O2162" i="6"/>
  <c r="P2162" i="6" s="1"/>
  <c r="R2161" i="6" l="1"/>
  <c r="M2161" i="6" s="1"/>
  <c r="S2161" i="6" s="1"/>
  <c r="Q2162" i="6"/>
  <c r="O2163" i="6"/>
  <c r="P2163" i="6" s="1"/>
  <c r="N2162" i="6"/>
  <c r="R2162" i="6" l="1"/>
  <c r="M2162" i="6" s="1"/>
  <c r="S2162" i="6" s="1"/>
  <c r="Q2163" i="6"/>
  <c r="O2164" i="6"/>
  <c r="P2164" i="6" s="1"/>
  <c r="N2163" i="6"/>
  <c r="R2163" i="6" l="1"/>
  <c r="M2163" i="6" s="1"/>
  <c r="S2163" i="6" s="1"/>
  <c r="Q2164" i="6"/>
  <c r="O2165" i="6"/>
  <c r="P2165" i="6" s="1"/>
  <c r="N2164" i="6"/>
  <c r="R2164" i="6" l="1"/>
  <c r="M2164" i="6" s="1"/>
  <c r="S2164" i="6" s="1"/>
  <c r="Q2165" i="6"/>
  <c r="O2166" i="6"/>
  <c r="P2166" i="6" s="1"/>
  <c r="N2165" i="6"/>
  <c r="R2165" i="6" l="1"/>
  <c r="M2165" i="6" s="1"/>
  <c r="S2165" i="6" s="1"/>
  <c r="Q2166" i="6"/>
  <c r="N2166" i="6"/>
  <c r="O2167" i="6"/>
  <c r="P2167" i="6" s="1"/>
  <c r="R2166" i="6" l="1"/>
  <c r="M2166" i="6" s="1"/>
  <c r="S2166" i="6" s="1"/>
  <c r="Q2167" i="6"/>
  <c r="O2168" i="6"/>
  <c r="P2168" i="6" s="1"/>
  <c r="N2167" i="6"/>
  <c r="R2167" i="6" l="1"/>
  <c r="M2167" i="6" s="1"/>
  <c r="S2167" i="6" s="1"/>
  <c r="Q2168" i="6"/>
  <c r="N2168" i="6"/>
  <c r="O2169" i="6"/>
  <c r="P2169" i="6" s="1"/>
  <c r="R2168" i="6" l="1"/>
  <c r="M2168" i="6" s="1"/>
  <c r="S2168" i="6" s="1"/>
  <c r="Q2169" i="6"/>
  <c r="N2169" i="6"/>
  <c r="O2170" i="6"/>
  <c r="P2170" i="6" s="1"/>
  <c r="R2169" i="6" l="1"/>
  <c r="M2169" i="6" s="1"/>
  <c r="S2169" i="6" s="1"/>
  <c r="Q2170" i="6"/>
  <c r="N2170" i="6"/>
  <c r="O2171" i="6"/>
  <c r="P2171" i="6" s="1"/>
  <c r="R2170" i="6" l="1"/>
  <c r="M2170" i="6" s="1"/>
  <c r="S2170" i="6" s="1"/>
  <c r="Q2171" i="6"/>
  <c r="O2172" i="6"/>
  <c r="P2172" i="6" s="1"/>
  <c r="N2171" i="6"/>
  <c r="R2171" i="6" l="1"/>
  <c r="M2171" i="6" s="1"/>
  <c r="S2171" i="6" s="1"/>
  <c r="Q2172" i="6"/>
  <c r="N2172" i="6"/>
  <c r="O2173" i="6"/>
  <c r="P2173" i="6" s="1"/>
  <c r="R2172" i="6" l="1"/>
  <c r="M2172" i="6" s="1"/>
  <c r="S2172" i="6" s="1"/>
  <c r="Q2173" i="6"/>
  <c r="O2174" i="6"/>
  <c r="P2174" i="6" s="1"/>
  <c r="N2173" i="6"/>
  <c r="R2173" i="6" l="1"/>
  <c r="M2173" i="6" s="1"/>
  <c r="S2173" i="6" s="1"/>
  <c r="Q2174" i="6"/>
  <c r="N2174" i="6"/>
  <c r="O2175" i="6"/>
  <c r="P2175" i="6" s="1"/>
  <c r="R2174" i="6" l="1"/>
  <c r="M2174" i="6" s="1"/>
  <c r="S2174" i="6" s="1"/>
  <c r="Q2175" i="6"/>
  <c r="N2175" i="6"/>
  <c r="O2176" i="6"/>
  <c r="P2176" i="6" s="1"/>
  <c r="R2175" i="6" l="1"/>
  <c r="M2175" i="6" s="1"/>
  <c r="S2175" i="6" s="1"/>
  <c r="Q2176" i="6"/>
  <c r="N2176" i="6"/>
  <c r="O2177" i="6"/>
  <c r="P2177" i="6" s="1"/>
  <c r="R2176" i="6" l="1"/>
  <c r="M2176" i="6" s="1"/>
  <c r="S2176" i="6" s="1"/>
  <c r="Q2177" i="6"/>
  <c r="O2178" i="6"/>
  <c r="P2178" i="6" s="1"/>
  <c r="N2177" i="6"/>
  <c r="R2177" i="6" l="1"/>
  <c r="M2177" i="6" s="1"/>
  <c r="S2177" i="6" s="1"/>
  <c r="Q2178" i="6"/>
  <c r="N2178" i="6"/>
  <c r="O2179" i="6"/>
  <c r="P2179" i="6" s="1"/>
  <c r="R2178" i="6" l="1"/>
  <c r="M2178" i="6" s="1"/>
  <c r="S2178" i="6" s="1"/>
  <c r="Q2179" i="6"/>
  <c r="O2180" i="6"/>
  <c r="P2180" i="6" s="1"/>
  <c r="N2179" i="6"/>
  <c r="R2179" i="6" l="1"/>
  <c r="M2179" i="6" s="1"/>
  <c r="S2179" i="6" s="1"/>
  <c r="Q2180" i="6"/>
  <c r="O2181" i="6"/>
  <c r="P2181" i="6" s="1"/>
  <c r="N2180" i="6"/>
  <c r="R2180" i="6" l="1"/>
  <c r="M2180" i="6" s="1"/>
  <c r="S2180" i="6" s="1"/>
  <c r="Q2181" i="6"/>
  <c r="N2181" i="6"/>
  <c r="O2182" i="6"/>
  <c r="P2182" i="6" s="1"/>
  <c r="R2181" i="6" l="1"/>
  <c r="M2181" i="6" s="1"/>
  <c r="S2181" i="6" s="1"/>
  <c r="Q2182" i="6"/>
  <c r="O2183" i="6"/>
  <c r="P2183" i="6" s="1"/>
  <c r="N2182" i="6"/>
  <c r="R2182" i="6" l="1"/>
  <c r="M2182" i="6" s="1"/>
  <c r="S2182" i="6" s="1"/>
  <c r="Q2183" i="6"/>
  <c r="O2184" i="6"/>
  <c r="P2184" i="6" s="1"/>
  <c r="N2183" i="6"/>
  <c r="R2183" i="6" l="1"/>
  <c r="M2183" i="6" s="1"/>
  <c r="S2183" i="6" s="1"/>
  <c r="Q2184" i="6"/>
  <c r="N2184" i="6"/>
  <c r="O2185" i="6"/>
  <c r="P2185" i="6" s="1"/>
  <c r="R2184" i="6" l="1"/>
  <c r="M2184" i="6" s="1"/>
  <c r="S2184" i="6" s="1"/>
  <c r="Q2185" i="6"/>
  <c r="N2185" i="6"/>
  <c r="O2186" i="6"/>
  <c r="P2186" i="6" s="1"/>
  <c r="R2185" i="6" l="1"/>
  <c r="M2185" i="6" s="1"/>
  <c r="S2185" i="6" s="1"/>
  <c r="Q2186" i="6"/>
  <c r="N2186" i="6"/>
  <c r="O2187" i="6"/>
  <c r="P2187" i="6" s="1"/>
  <c r="R2186" i="6" l="1"/>
  <c r="M2186" i="6" s="1"/>
  <c r="S2186" i="6" s="1"/>
  <c r="Q2187" i="6"/>
  <c r="O2188" i="6"/>
  <c r="P2188" i="6" s="1"/>
  <c r="N2187" i="6"/>
  <c r="R2187" i="6" l="1"/>
  <c r="M2187" i="6" s="1"/>
  <c r="S2187" i="6" s="1"/>
  <c r="Q2188" i="6"/>
  <c r="O2189" i="6"/>
  <c r="P2189" i="6" s="1"/>
  <c r="N2188" i="6"/>
  <c r="R2188" i="6" l="1"/>
  <c r="M2188" i="6" s="1"/>
  <c r="S2188" i="6" s="1"/>
  <c r="Q2189" i="6"/>
  <c r="O2190" i="6"/>
  <c r="P2190" i="6" s="1"/>
  <c r="N2189" i="6"/>
  <c r="R2189" i="6" l="1"/>
  <c r="M2189" i="6" s="1"/>
  <c r="S2189" i="6" s="1"/>
  <c r="Q2190" i="6"/>
  <c r="N2190" i="6"/>
  <c r="O2191" i="6"/>
  <c r="P2191" i="6" s="1"/>
  <c r="R2190" i="6" l="1"/>
  <c r="M2190" i="6" s="1"/>
  <c r="S2190" i="6" s="1"/>
  <c r="Q2191" i="6"/>
  <c r="N2191" i="6"/>
  <c r="O2192" i="6"/>
  <c r="P2192" i="6" s="1"/>
  <c r="R2191" i="6" l="1"/>
  <c r="M2191" i="6" s="1"/>
  <c r="S2191" i="6" s="1"/>
  <c r="Q2192" i="6"/>
  <c r="O2193" i="6"/>
  <c r="P2193" i="6" s="1"/>
  <c r="N2192" i="6"/>
  <c r="R2192" i="6" l="1"/>
  <c r="M2192" i="6" s="1"/>
  <c r="S2192" i="6" s="1"/>
  <c r="Q2193" i="6"/>
  <c r="N2193" i="6"/>
  <c r="O2194" i="6"/>
  <c r="P2194" i="6" s="1"/>
  <c r="R2193" i="6" l="1"/>
  <c r="M2193" i="6" s="1"/>
  <c r="S2193" i="6" s="1"/>
  <c r="Q2194" i="6"/>
  <c r="N2194" i="6"/>
  <c r="O2195" i="6"/>
  <c r="P2195" i="6" s="1"/>
  <c r="R2194" i="6" l="1"/>
  <c r="M2194" i="6" s="1"/>
  <c r="S2194" i="6" s="1"/>
  <c r="Q2195" i="6"/>
  <c r="O2196" i="6"/>
  <c r="P2196" i="6" s="1"/>
  <c r="N2195" i="6"/>
  <c r="R2195" i="6" l="1"/>
  <c r="M2195" i="6" s="1"/>
  <c r="S2195" i="6" s="1"/>
  <c r="Q2196" i="6"/>
  <c r="O2197" i="6"/>
  <c r="P2197" i="6" s="1"/>
  <c r="N2196" i="6"/>
  <c r="R2196" i="6" l="1"/>
  <c r="M2196" i="6" s="1"/>
  <c r="S2196" i="6" s="1"/>
  <c r="Q2197" i="6"/>
  <c r="O2198" i="6"/>
  <c r="P2198" i="6" s="1"/>
  <c r="N2197" i="6"/>
  <c r="R2197" i="6" l="1"/>
  <c r="M2197" i="6" s="1"/>
  <c r="S2197" i="6" s="1"/>
  <c r="Q2198" i="6"/>
  <c r="N2198" i="6"/>
  <c r="O2199" i="6"/>
  <c r="P2199" i="6" s="1"/>
  <c r="R2198" i="6" l="1"/>
  <c r="M2198" i="6" s="1"/>
  <c r="S2198" i="6" s="1"/>
  <c r="Q2199" i="6"/>
  <c r="N2199" i="6"/>
  <c r="O2200" i="6"/>
  <c r="P2200" i="6" s="1"/>
  <c r="R2199" i="6" l="1"/>
  <c r="M2199" i="6" s="1"/>
  <c r="S2199" i="6" s="1"/>
  <c r="Q2200" i="6"/>
  <c r="N2200" i="6"/>
  <c r="O2201" i="6"/>
  <c r="P2201" i="6" s="1"/>
  <c r="R2200" i="6" l="1"/>
  <c r="M2200" i="6" s="1"/>
  <c r="S2200" i="6" s="1"/>
  <c r="Q2201" i="6"/>
  <c r="N2201" i="6"/>
  <c r="O2202" i="6"/>
  <c r="P2202" i="6" s="1"/>
  <c r="R2201" i="6" l="1"/>
  <c r="M2201" i="6" s="1"/>
  <c r="S2201" i="6" s="1"/>
  <c r="Q2202" i="6"/>
  <c r="N2202" i="6"/>
  <c r="O2203" i="6"/>
  <c r="P2203" i="6" s="1"/>
  <c r="R2202" i="6" l="1"/>
  <c r="M2202" i="6" s="1"/>
  <c r="S2202" i="6" s="1"/>
  <c r="Q2203" i="6"/>
  <c r="O2204" i="6"/>
  <c r="P2204" i="6" s="1"/>
  <c r="N2203" i="6"/>
  <c r="R2203" i="6" l="1"/>
  <c r="M2203" i="6" s="1"/>
  <c r="S2203" i="6" s="1"/>
  <c r="Q2204" i="6"/>
  <c r="N2204" i="6"/>
  <c r="O2205" i="6"/>
  <c r="P2205" i="6" s="1"/>
  <c r="R2204" i="6" l="1"/>
  <c r="M2204" i="6" s="1"/>
  <c r="S2204" i="6" s="1"/>
  <c r="Q2205" i="6"/>
  <c r="O2206" i="6"/>
  <c r="P2206" i="6" s="1"/>
  <c r="N2205" i="6"/>
  <c r="R2205" i="6" l="1"/>
  <c r="M2205" i="6" s="1"/>
  <c r="S2205" i="6" s="1"/>
  <c r="Q2206" i="6"/>
  <c r="N2206" i="6"/>
  <c r="O2207" i="6"/>
  <c r="P2207" i="6" s="1"/>
  <c r="R2206" i="6" l="1"/>
  <c r="M2206" i="6" s="1"/>
  <c r="S2206" i="6" s="1"/>
  <c r="Q2207" i="6"/>
  <c r="N2207" i="6"/>
  <c r="O2208" i="6"/>
  <c r="P2208" i="6" s="1"/>
  <c r="R2207" i="6" l="1"/>
  <c r="M2207" i="6" s="1"/>
  <c r="S2207" i="6" s="1"/>
  <c r="Q2208" i="6"/>
  <c r="N2208" i="6"/>
  <c r="O2209" i="6"/>
  <c r="P2209" i="6" s="1"/>
  <c r="R2208" i="6" l="1"/>
  <c r="M2208" i="6" s="1"/>
  <c r="S2208" i="6" s="1"/>
  <c r="Q2209" i="6"/>
  <c r="O2210" i="6"/>
  <c r="P2210" i="6" s="1"/>
  <c r="N2209" i="6"/>
  <c r="R2209" i="6" l="1"/>
  <c r="M2209" i="6" s="1"/>
  <c r="S2209" i="6" s="1"/>
  <c r="Q2210" i="6"/>
  <c r="O2211" i="6"/>
  <c r="P2211" i="6" s="1"/>
  <c r="N2210" i="6"/>
  <c r="R2210" i="6" l="1"/>
  <c r="M2210" i="6" s="1"/>
  <c r="S2210" i="6" s="1"/>
  <c r="Q2211" i="6"/>
  <c r="O2212" i="6"/>
  <c r="P2212" i="6" s="1"/>
  <c r="N2211" i="6"/>
  <c r="R2211" i="6" l="1"/>
  <c r="M2211" i="6" s="1"/>
  <c r="S2211" i="6" s="1"/>
  <c r="Q2212" i="6"/>
  <c r="O2213" i="6"/>
  <c r="P2213" i="6" s="1"/>
  <c r="N2212" i="6"/>
  <c r="R2212" i="6" l="1"/>
  <c r="M2212" i="6" s="1"/>
  <c r="S2212" i="6" s="1"/>
  <c r="Q2213" i="6"/>
  <c r="N2213" i="6"/>
  <c r="O2214" i="6"/>
  <c r="P2214" i="6" s="1"/>
  <c r="R2213" i="6" l="1"/>
  <c r="M2213" i="6" s="1"/>
  <c r="S2213" i="6" s="1"/>
  <c r="Q2214" i="6"/>
  <c r="N2214" i="6"/>
  <c r="O2215" i="6"/>
  <c r="P2215" i="6" s="1"/>
  <c r="R2214" i="6" l="1"/>
  <c r="M2214" i="6" s="1"/>
  <c r="S2214" i="6" s="1"/>
  <c r="Q2215" i="6"/>
  <c r="O2216" i="6"/>
  <c r="P2216" i="6" s="1"/>
  <c r="N2215" i="6"/>
  <c r="R2215" i="6" l="1"/>
  <c r="M2215" i="6" s="1"/>
  <c r="S2215" i="6" s="1"/>
  <c r="Q2216" i="6"/>
  <c r="N2216" i="6"/>
  <c r="O2217" i="6"/>
  <c r="P2217" i="6" s="1"/>
  <c r="R2216" i="6" l="1"/>
  <c r="M2216" i="6" s="1"/>
  <c r="S2216" i="6" s="1"/>
  <c r="Q2217" i="6"/>
  <c r="N2217" i="6"/>
  <c r="O2218" i="6"/>
  <c r="P2218" i="6" s="1"/>
  <c r="R2217" i="6" l="1"/>
  <c r="M2217" i="6" s="1"/>
  <c r="S2217" i="6" s="1"/>
  <c r="Q2218" i="6"/>
  <c r="N2218" i="6"/>
  <c r="O2219" i="6"/>
  <c r="P2219" i="6" s="1"/>
  <c r="R2218" i="6" l="1"/>
  <c r="M2218" i="6" s="1"/>
  <c r="S2218" i="6" s="1"/>
  <c r="Q2219" i="6"/>
  <c r="N2219" i="6"/>
  <c r="O2220" i="6"/>
  <c r="P2220" i="6" s="1"/>
  <c r="R2219" i="6" l="1"/>
  <c r="M2219" i="6" s="1"/>
  <c r="S2219" i="6" s="1"/>
  <c r="Q2220" i="6"/>
  <c r="N2220" i="6"/>
  <c r="O2221" i="6"/>
  <c r="P2221" i="6" s="1"/>
  <c r="R2220" i="6" l="1"/>
  <c r="M2220" i="6" s="1"/>
  <c r="S2220" i="6" s="1"/>
  <c r="Q2221" i="6"/>
  <c r="O2222" i="6"/>
  <c r="P2222" i="6" s="1"/>
  <c r="N2221" i="6"/>
  <c r="R2221" i="6" l="1"/>
  <c r="M2221" i="6" s="1"/>
  <c r="S2221" i="6" s="1"/>
  <c r="Q2222" i="6"/>
  <c r="N2222" i="6"/>
  <c r="O2223" i="6"/>
  <c r="P2223" i="6" s="1"/>
  <c r="R2222" i="6" l="1"/>
  <c r="M2222" i="6" s="1"/>
  <c r="S2222" i="6" s="1"/>
  <c r="Q2223" i="6"/>
  <c r="O2224" i="6"/>
  <c r="P2224" i="6" s="1"/>
  <c r="N2223" i="6"/>
  <c r="R2223" i="6" l="1"/>
  <c r="M2223" i="6" s="1"/>
  <c r="S2223" i="6" s="1"/>
  <c r="Q2224" i="6"/>
  <c r="O2225" i="6"/>
  <c r="P2225" i="6" s="1"/>
  <c r="N2224" i="6"/>
  <c r="R2224" i="6" l="1"/>
  <c r="M2224" i="6" s="1"/>
  <c r="S2224" i="6" s="1"/>
  <c r="Q2225" i="6"/>
  <c r="N2225" i="6"/>
  <c r="O2226" i="6"/>
  <c r="P2226" i="6" s="1"/>
  <c r="R2225" i="6" l="1"/>
  <c r="M2225" i="6" s="1"/>
  <c r="S2225" i="6" s="1"/>
  <c r="Q2226" i="6"/>
  <c r="N2226" i="6"/>
  <c r="O2227" i="6"/>
  <c r="P2227" i="6" s="1"/>
  <c r="R2226" i="6" l="1"/>
  <c r="M2226" i="6" s="1"/>
  <c r="S2226" i="6" s="1"/>
  <c r="Q2227" i="6"/>
  <c r="O2228" i="6"/>
  <c r="P2228" i="6" s="1"/>
  <c r="N2227" i="6"/>
  <c r="R2227" i="6" l="1"/>
  <c r="M2227" i="6" s="1"/>
  <c r="S2227" i="6" s="1"/>
  <c r="Q2228" i="6"/>
  <c r="N2228" i="6"/>
  <c r="O2229" i="6"/>
  <c r="P2229" i="6" s="1"/>
  <c r="R2228" i="6" l="1"/>
  <c r="M2228" i="6" s="1"/>
  <c r="S2228" i="6" s="1"/>
  <c r="Q2229" i="6"/>
  <c r="N2229" i="6"/>
  <c r="O2230" i="6"/>
  <c r="P2230" i="6" s="1"/>
  <c r="R2229" i="6" l="1"/>
  <c r="M2229" i="6" s="1"/>
  <c r="S2229" i="6" s="1"/>
  <c r="Q2230" i="6"/>
  <c r="N2230" i="6"/>
  <c r="O2231" i="6"/>
  <c r="P2231" i="6" s="1"/>
  <c r="R2230" i="6" l="1"/>
  <c r="M2230" i="6" s="1"/>
  <c r="S2230" i="6" s="1"/>
  <c r="Q2231" i="6"/>
  <c r="N2231" i="6"/>
  <c r="O2232" i="6"/>
  <c r="P2232" i="6" s="1"/>
  <c r="R2231" i="6" l="1"/>
  <c r="M2231" i="6" s="1"/>
  <c r="S2231" i="6" s="1"/>
  <c r="Q2232" i="6"/>
  <c r="O2233" i="6"/>
  <c r="P2233" i="6" s="1"/>
  <c r="N2232" i="6"/>
  <c r="R2232" i="6" l="1"/>
  <c r="M2232" i="6" s="1"/>
  <c r="S2232" i="6" s="1"/>
  <c r="Q2233" i="6"/>
  <c r="N2233" i="6"/>
  <c r="O2234" i="6"/>
  <c r="P2234" i="6" s="1"/>
  <c r="R2233" i="6" l="1"/>
  <c r="M2233" i="6" s="1"/>
  <c r="S2233" i="6" s="1"/>
  <c r="Q2234" i="6"/>
  <c r="N2234" i="6"/>
  <c r="O2235" i="6"/>
  <c r="P2235" i="6" s="1"/>
  <c r="R2234" i="6" l="1"/>
  <c r="M2234" i="6" s="1"/>
  <c r="S2234" i="6" s="1"/>
  <c r="Q2235" i="6"/>
  <c r="N2235" i="6"/>
  <c r="O2236" i="6"/>
  <c r="P2236" i="6" s="1"/>
  <c r="R2235" i="6" l="1"/>
  <c r="M2235" i="6" s="1"/>
  <c r="S2235" i="6" s="1"/>
  <c r="Q2236" i="6"/>
  <c r="N2236" i="6"/>
  <c r="O2237" i="6"/>
  <c r="P2237" i="6" s="1"/>
  <c r="R2236" i="6" l="1"/>
  <c r="M2236" i="6" s="1"/>
  <c r="S2236" i="6" s="1"/>
  <c r="Q2237" i="6"/>
  <c r="N2237" i="6"/>
  <c r="O2238" i="6"/>
  <c r="P2238" i="6" s="1"/>
  <c r="R2237" i="6" l="1"/>
  <c r="M2237" i="6" s="1"/>
  <c r="S2237" i="6" s="1"/>
  <c r="Q2238" i="6"/>
  <c r="N2238" i="6"/>
  <c r="O2239" i="6"/>
  <c r="P2239" i="6" s="1"/>
  <c r="R2238" i="6" l="1"/>
  <c r="M2238" i="6" s="1"/>
  <c r="S2238" i="6" s="1"/>
  <c r="Q2239" i="6"/>
  <c r="N2239" i="6"/>
  <c r="O2240" i="6"/>
  <c r="P2240" i="6" s="1"/>
  <c r="R2239" i="6" l="1"/>
  <c r="M2239" i="6" s="1"/>
  <c r="S2239" i="6" s="1"/>
  <c r="Q2240" i="6"/>
  <c r="O2241" i="6"/>
  <c r="P2241" i="6" s="1"/>
  <c r="N2240" i="6"/>
  <c r="R2240" i="6" l="1"/>
  <c r="M2240" i="6" s="1"/>
  <c r="S2240" i="6" s="1"/>
  <c r="Q2241" i="6"/>
  <c r="O2242" i="6"/>
  <c r="P2242" i="6" s="1"/>
  <c r="N2241" i="6"/>
  <c r="R2241" i="6" l="1"/>
  <c r="M2241" i="6" s="1"/>
  <c r="S2241" i="6" s="1"/>
  <c r="Q2242" i="6"/>
  <c r="O2243" i="6"/>
  <c r="P2243" i="6" s="1"/>
  <c r="N2242" i="6"/>
  <c r="R2242" i="6" l="1"/>
  <c r="M2242" i="6" s="1"/>
  <c r="S2242" i="6" s="1"/>
  <c r="Q2243" i="6"/>
  <c r="O2244" i="6"/>
  <c r="P2244" i="6" s="1"/>
  <c r="N2243" i="6"/>
  <c r="R2243" i="6" l="1"/>
  <c r="M2243" i="6" s="1"/>
  <c r="S2243" i="6" s="1"/>
  <c r="Q2244" i="6"/>
  <c r="N2244" i="6"/>
  <c r="O2245" i="6"/>
  <c r="P2245" i="6" s="1"/>
  <c r="R2244" i="6" l="1"/>
  <c r="M2244" i="6" s="1"/>
  <c r="S2244" i="6" s="1"/>
  <c r="Q2245" i="6"/>
  <c r="O2246" i="6"/>
  <c r="P2246" i="6" s="1"/>
  <c r="N2245" i="6"/>
  <c r="R2245" i="6" l="1"/>
  <c r="M2245" i="6" s="1"/>
  <c r="S2245" i="6" s="1"/>
  <c r="Q2246" i="6"/>
  <c r="O2247" i="6"/>
  <c r="P2247" i="6" s="1"/>
  <c r="N2246" i="6"/>
  <c r="R2246" i="6" l="1"/>
  <c r="M2246" i="6" s="1"/>
  <c r="S2246" i="6" s="1"/>
  <c r="Q2247" i="6"/>
  <c r="O2248" i="6"/>
  <c r="P2248" i="6" s="1"/>
  <c r="N2247" i="6"/>
  <c r="R2247" i="6" l="1"/>
  <c r="M2247" i="6" s="1"/>
  <c r="S2247" i="6" s="1"/>
  <c r="Q2248" i="6"/>
  <c r="N2248" i="6"/>
  <c r="O2249" i="6"/>
  <c r="P2249" i="6" s="1"/>
  <c r="R2248" i="6" l="1"/>
  <c r="M2248" i="6" s="1"/>
  <c r="S2248" i="6" s="1"/>
  <c r="Q2249" i="6"/>
  <c r="O2250" i="6"/>
  <c r="P2250" i="6" s="1"/>
  <c r="N2249" i="6"/>
  <c r="R2249" i="6" l="1"/>
  <c r="M2249" i="6" s="1"/>
  <c r="S2249" i="6" s="1"/>
  <c r="Q2250" i="6"/>
  <c r="N2250" i="6"/>
  <c r="O2251" i="6"/>
  <c r="P2251" i="6" s="1"/>
  <c r="R2250" i="6" l="1"/>
  <c r="M2250" i="6" s="1"/>
  <c r="S2250" i="6" s="1"/>
  <c r="Q2251" i="6"/>
  <c r="N2251" i="6"/>
  <c r="O2252" i="6"/>
  <c r="P2252" i="6" s="1"/>
  <c r="R2251" i="6" l="1"/>
  <c r="M2251" i="6" s="1"/>
  <c r="S2251" i="6" s="1"/>
  <c r="Q2252" i="6"/>
  <c r="N2252" i="6"/>
  <c r="O2253" i="6"/>
  <c r="P2253" i="6" s="1"/>
  <c r="R2252" i="6" l="1"/>
  <c r="M2252" i="6" s="1"/>
  <c r="S2252" i="6" s="1"/>
  <c r="Q2253" i="6"/>
  <c r="O2254" i="6"/>
  <c r="P2254" i="6" s="1"/>
  <c r="N2253" i="6"/>
  <c r="R2253" i="6" l="1"/>
  <c r="M2253" i="6" s="1"/>
  <c r="S2253" i="6" s="1"/>
  <c r="Q2254" i="6"/>
  <c r="O2255" i="6"/>
  <c r="P2255" i="6" s="1"/>
  <c r="N2254" i="6"/>
  <c r="R2254" i="6" l="1"/>
  <c r="M2254" i="6" s="1"/>
  <c r="S2254" i="6" s="1"/>
  <c r="Q2255" i="6"/>
  <c r="N2255" i="6"/>
  <c r="O2256" i="6"/>
  <c r="P2256" i="6" s="1"/>
  <c r="R2255" i="6" l="1"/>
  <c r="M2255" i="6" s="1"/>
  <c r="S2255" i="6" s="1"/>
  <c r="Q2256" i="6"/>
  <c r="N2256" i="6"/>
  <c r="O2257" i="6"/>
  <c r="P2257" i="6" s="1"/>
  <c r="R2256" i="6" l="1"/>
  <c r="M2256" i="6" s="1"/>
  <c r="S2256" i="6" s="1"/>
  <c r="Q2257" i="6"/>
  <c r="N2257" i="6"/>
  <c r="O2258" i="6"/>
  <c r="P2258" i="6" s="1"/>
  <c r="R2257" i="6" l="1"/>
  <c r="M2257" i="6" s="1"/>
  <c r="S2257" i="6" s="1"/>
  <c r="Q2258" i="6"/>
  <c r="O2259" i="6"/>
  <c r="P2259" i="6" s="1"/>
  <c r="N2258" i="6"/>
  <c r="R2258" i="6" l="1"/>
  <c r="M2258" i="6" s="1"/>
  <c r="S2258" i="6" s="1"/>
  <c r="Q2259" i="6"/>
  <c r="O2260" i="6"/>
  <c r="P2260" i="6" s="1"/>
  <c r="N2259" i="6"/>
  <c r="R2259" i="6" l="1"/>
  <c r="M2259" i="6" s="1"/>
  <c r="S2259" i="6" s="1"/>
  <c r="Q2260" i="6"/>
  <c r="N2260" i="6"/>
  <c r="O2261" i="6"/>
  <c r="P2261" i="6" s="1"/>
  <c r="R2260" i="6" l="1"/>
  <c r="M2260" i="6" s="1"/>
  <c r="S2260" i="6" s="1"/>
  <c r="Q2261" i="6"/>
  <c r="N2261" i="6"/>
  <c r="O2262" i="6"/>
  <c r="P2262" i="6" s="1"/>
  <c r="R2261" i="6" l="1"/>
  <c r="M2261" i="6" s="1"/>
  <c r="S2261" i="6" s="1"/>
  <c r="Q2262" i="6"/>
  <c r="N2262" i="6"/>
  <c r="O2263" i="6"/>
  <c r="P2263" i="6" s="1"/>
  <c r="R2262" i="6" l="1"/>
  <c r="M2262" i="6" s="1"/>
  <c r="S2262" i="6" s="1"/>
  <c r="Q2263" i="6"/>
  <c r="O2264" i="6"/>
  <c r="P2264" i="6" s="1"/>
  <c r="N2263" i="6"/>
  <c r="R2263" i="6" l="1"/>
  <c r="M2263" i="6" s="1"/>
  <c r="S2263" i="6" s="1"/>
  <c r="Q2264" i="6"/>
  <c r="O2265" i="6"/>
  <c r="P2265" i="6" s="1"/>
  <c r="N2264" i="6"/>
  <c r="R2264" i="6" l="1"/>
  <c r="M2264" i="6" s="1"/>
  <c r="S2264" i="6" s="1"/>
  <c r="Q2265" i="6"/>
  <c r="N2265" i="6"/>
  <c r="O2266" i="6"/>
  <c r="P2266" i="6" s="1"/>
  <c r="R2265" i="6" l="1"/>
  <c r="M2265" i="6" s="1"/>
  <c r="S2265" i="6" s="1"/>
  <c r="Q2266" i="6"/>
  <c r="O2267" i="6"/>
  <c r="P2267" i="6" s="1"/>
  <c r="N2266" i="6"/>
  <c r="R2266" i="6" l="1"/>
  <c r="M2266" i="6" s="1"/>
  <c r="S2266" i="6" s="1"/>
  <c r="Q2267" i="6"/>
  <c r="N2267" i="6"/>
  <c r="O2268" i="6"/>
  <c r="P2268" i="6" s="1"/>
  <c r="R2267" i="6" l="1"/>
  <c r="M2267" i="6" s="1"/>
  <c r="S2267" i="6" s="1"/>
  <c r="Q2268" i="6"/>
  <c r="N2268" i="6"/>
  <c r="O2269" i="6"/>
  <c r="P2269" i="6" s="1"/>
  <c r="R2268" i="6" l="1"/>
  <c r="M2268" i="6" s="1"/>
  <c r="S2268" i="6" s="1"/>
  <c r="Q2269" i="6"/>
  <c r="O2270" i="6"/>
  <c r="P2270" i="6" s="1"/>
  <c r="N2269" i="6"/>
  <c r="R2269" i="6" l="1"/>
  <c r="M2269" i="6" s="1"/>
  <c r="S2269" i="6" s="1"/>
  <c r="Q2270" i="6"/>
  <c r="O2271" i="6"/>
  <c r="P2271" i="6" s="1"/>
  <c r="N2270" i="6"/>
  <c r="R2270" i="6" l="1"/>
  <c r="M2270" i="6" s="1"/>
  <c r="S2270" i="6" s="1"/>
  <c r="Q2271" i="6"/>
  <c r="O2272" i="6"/>
  <c r="P2272" i="6" s="1"/>
  <c r="N2271" i="6"/>
  <c r="R2271" i="6" l="1"/>
  <c r="M2271" i="6" s="1"/>
  <c r="S2271" i="6" s="1"/>
  <c r="Q2272" i="6"/>
  <c r="O2273" i="6"/>
  <c r="P2273" i="6" s="1"/>
  <c r="N2272" i="6"/>
  <c r="R2272" i="6" l="1"/>
  <c r="M2272" i="6" s="1"/>
  <c r="S2272" i="6" s="1"/>
  <c r="Q2273" i="6"/>
  <c r="N2273" i="6"/>
  <c r="O2274" i="6"/>
  <c r="P2274" i="6" s="1"/>
  <c r="R2273" i="6" l="1"/>
  <c r="M2273" i="6" s="1"/>
  <c r="S2273" i="6" s="1"/>
  <c r="Q2274" i="6"/>
  <c r="O2275" i="6"/>
  <c r="P2275" i="6" s="1"/>
  <c r="N2274" i="6"/>
  <c r="R2274" i="6" l="1"/>
  <c r="M2274" i="6" s="1"/>
  <c r="S2274" i="6" s="1"/>
  <c r="Q2275" i="6"/>
  <c r="O2276" i="6"/>
  <c r="P2276" i="6" s="1"/>
  <c r="N2275" i="6"/>
  <c r="R2275" i="6" l="1"/>
  <c r="M2275" i="6" s="1"/>
  <c r="S2275" i="6" s="1"/>
  <c r="Q2276" i="6"/>
  <c r="N2276" i="6"/>
  <c r="O2277" i="6"/>
  <c r="P2277" i="6" s="1"/>
  <c r="R2276" i="6" l="1"/>
  <c r="M2276" i="6" s="1"/>
  <c r="S2276" i="6" s="1"/>
  <c r="Q2277" i="6"/>
  <c r="N2277" i="6"/>
  <c r="O2278" i="6"/>
  <c r="P2278" i="6" s="1"/>
  <c r="R2277" i="6" l="1"/>
  <c r="M2277" i="6" s="1"/>
  <c r="S2277" i="6" s="1"/>
  <c r="Q2278" i="6"/>
  <c r="O2279" i="6"/>
  <c r="P2279" i="6" s="1"/>
  <c r="N2278" i="6"/>
  <c r="R2278" i="6" l="1"/>
  <c r="M2278" i="6" s="1"/>
  <c r="S2278" i="6" s="1"/>
  <c r="Q2279" i="6"/>
  <c r="O2280" i="6"/>
  <c r="P2280" i="6" s="1"/>
  <c r="N2279" i="6"/>
  <c r="R2279" i="6" l="1"/>
  <c r="M2279" i="6" s="1"/>
  <c r="S2279" i="6" s="1"/>
  <c r="Q2280" i="6"/>
  <c r="N2280" i="6"/>
  <c r="O2281" i="6"/>
  <c r="P2281" i="6" s="1"/>
  <c r="R2280" i="6" l="1"/>
  <c r="M2280" i="6" s="1"/>
  <c r="S2280" i="6" s="1"/>
  <c r="Q2281" i="6"/>
  <c r="N2281" i="6"/>
  <c r="O2282" i="6"/>
  <c r="P2282" i="6" s="1"/>
  <c r="R2281" i="6" l="1"/>
  <c r="M2281" i="6" s="1"/>
  <c r="S2281" i="6" s="1"/>
  <c r="Q2282" i="6"/>
  <c r="O2283" i="6"/>
  <c r="P2283" i="6" s="1"/>
  <c r="N2282" i="6"/>
  <c r="R2282" i="6" l="1"/>
  <c r="M2282" i="6" s="1"/>
  <c r="S2282" i="6" s="1"/>
  <c r="Q2283" i="6"/>
  <c r="N2283" i="6"/>
  <c r="O2284" i="6"/>
  <c r="P2284" i="6" s="1"/>
  <c r="R2283" i="6" l="1"/>
  <c r="M2283" i="6" s="1"/>
  <c r="S2283" i="6" s="1"/>
  <c r="Q2284" i="6"/>
  <c r="O2285" i="6"/>
  <c r="P2285" i="6" s="1"/>
  <c r="N2284" i="6"/>
  <c r="R2284" i="6" l="1"/>
  <c r="M2284" i="6" s="1"/>
  <c r="S2284" i="6" s="1"/>
  <c r="Q2285" i="6"/>
  <c r="O2286" i="6"/>
  <c r="P2286" i="6" s="1"/>
  <c r="N2285" i="6"/>
  <c r="R2285" i="6" l="1"/>
  <c r="M2285" i="6" s="1"/>
  <c r="S2285" i="6" s="1"/>
  <c r="Q2286" i="6"/>
  <c r="O2287" i="6"/>
  <c r="P2287" i="6" s="1"/>
  <c r="N2286" i="6"/>
  <c r="R2286" i="6" l="1"/>
  <c r="M2286" i="6" s="1"/>
  <c r="S2286" i="6" s="1"/>
  <c r="Q2287" i="6"/>
  <c r="N2287" i="6"/>
  <c r="O2288" i="6"/>
  <c r="P2288" i="6" s="1"/>
  <c r="R2287" i="6" l="1"/>
  <c r="M2287" i="6" s="1"/>
  <c r="S2287" i="6" s="1"/>
  <c r="Q2288" i="6"/>
  <c r="O2289" i="6"/>
  <c r="P2289" i="6" s="1"/>
  <c r="N2288" i="6"/>
  <c r="R2288" i="6" l="1"/>
  <c r="M2288" i="6" s="1"/>
  <c r="S2288" i="6" s="1"/>
  <c r="Q2289" i="6"/>
  <c r="N2289" i="6"/>
  <c r="O2290" i="6"/>
  <c r="P2290" i="6" s="1"/>
  <c r="R2289" i="6" l="1"/>
  <c r="M2289" i="6" s="1"/>
  <c r="S2289" i="6" s="1"/>
  <c r="Q2290" i="6"/>
  <c r="N2290" i="6"/>
  <c r="O2291" i="6"/>
  <c r="P2291" i="6" s="1"/>
  <c r="R2290" i="6" l="1"/>
  <c r="M2290" i="6" s="1"/>
  <c r="S2290" i="6" s="1"/>
  <c r="Q2291" i="6"/>
  <c r="O2292" i="6"/>
  <c r="P2292" i="6" s="1"/>
  <c r="N2291" i="6"/>
  <c r="R2291" i="6" l="1"/>
  <c r="M2291" i="6" s="1"/>
  <c r="S2291" i="6" s="1"/>
  <c r="Q2292" i="6"/>
  <c r="O2293" i="6"/>
  <c r="P2293" i="6" s="1"/>
  <c r="N2292" i="6"/>
  <c r="R2292" i="6" l="1"/>
  <c r="M2292" i="6" s="1"/>
  <c r="S2292" i="6" s="1"/>
  <c r="Q2293" i="6"/>
  <c r="N2293" i="6"/>
  <c r="O2294" i="6"/>
  <c r="P2294" i="6" s="1"/>
  <c r="R2293" i="6" l="1"/>
  <c r="M2293" i="6" s="1"/>
  <c r="S2293" i="6" s="1"/>
  <c r="Q2294" i="6"/>
  <c r="N2294" i="6"/>
  <c r="O2295" i="6"/>
  <c r="P2295" i="6" s="1"/>
  <c r="R2294" i="6" l="1"/>
  <c r="M2294" i="6" s="1"/>
  <c r="S2294" i="6" s="1"/>
  <c r="Q2295" i="6"/>
  <c r="O2296" i="6"/>
  <c r="P2296" i="6" s="1"/>
  <c r="N2295" i="6"/>
  <c r="R2295" i="6" l="1"/>
  <c r="M2295" i="6" s="1"/>
  <c r="S2295" i="6" s="1"/>
  <c r="Q2296" i="6"/>
  <c r="O2297" i="6"/>
  <c r="P2297" i="6" s="1"/>
  <c r="N2296" i="6"/>
  <c r="R2296" i="6" l="1"/>
  <c r="M2296" i="6" s="1"/>
  <c r="S2296" i="6" s="1"/>
  <c r="Q2297" i="6"/>
  <c r="N2297" i="6"/>
  <c r="O2298" i="6"/>
  <c r="P2298" i="6" s="1"/>
  <c r="R2297" i="6" l="1"/>
  <c r="M2297" i="6" s="1"/>
  <c r="S2297" i="6" s="1"/>
  <c r="Q2298" i="6"/>
  <c r="O2299" i="6"/>
  <c r="P2299" i="6" s="1"/>
  <c r="N2298" i="6"/>
  <c r="R2298" i="6" l="1"/>
  <c r="M2298" i="6" s="1"/>
  <c r="S2298" i="6" s="1"/>
  <c r="Q2299" i="6"/>
  <c r="O2300" i="6"/>
  <c r="P2300" i="6" s="1"/>
  <c r="N2299" i="6"/>
  <c r="R2299" i="6" l="1"/>
  <c r="M2299" i="6" s="1"/>
  <c r="S2299" i="6" s="1"/>
  <c r="Q2300" i="6"/>
  <c r="N2300" i="6"/>
  <c r="O2301" i="6"/>
  <c r="P2301" i="6" s="1"/>
  <c r="R2300" i="6" l="1"/>
  <c r="M2300" i="6" s="1"/>
  <c r="S2300" i="6" s="1"/>
  <c r="Q2301" i="6"/>
  <c r="O2302" i="6"/>
  <c r="P2302" i="6" s="1"/>
  <c r="N2301" i="6"/>
  <c r="R2301" i="6" l="1"/>
  <c r="M2301" i="6" s="1"/>
  <c r="S2301" i="6" s="1"/>
  <c r="Q2302" i="6"/>
  <c r="O2303" i="6"/>
  <c r="P2303" i="6" s="1"/>
  <c r="N2302" i="6"/>
  <c r="R2302" i="6" l="1"/>
  <c r="M2302" i="6" s="1"/>
  <c r="S2302" i="6" s="1"/>
  <c r="Q2303" i="6"/>
  <c r="N2303" i="6"/>
  <c r="O2304" i="6"/>
  <c r="P2304" i="6" s="1"/>
  <c r="R2303" i="6" l="1"/>
  <c r="M2303" i="6" s="1"/>
  <c r="S2303" i="6" s="1"/>
  <c r="Q2304" i="6"/>
  <c r="N2304" i="6"/>
  <c r="O2305" i="6"/>
  <c r="P2305" i="6" s="1"/>
  <c r="R2304" i="6" l="1"/>
  <c r="M2304" i="6" s="1"/>
  <c r="S2304" i="6" s="1"/>
  <c r="Q2305" i="6"/>
  <c r="N2305" i="6"/>
  <c r="O2306" i="6"/>
  <c r="P2306" i="6" s="1"/>
  <c r="R2305" i="6" l="1"/>
  <c r="M2305" i="6" s="1"/>
  <c r="S2305" i="6" s="1"/>
  <c r="Q2306" i="6"/>
  <c r="N2306" i="6"/>
  <c r="O2307" i="6"/>
  <c r="P2307" i="6" s="1"/>
  <c r="R2306" i="6" l="1"/>
  <c r="M2306" i="6" s="1"/>
  <c r="S2306" i="6" s="1"/>
  <c r="Q2307" i="6"/>
  <c r="N2307" i="6"/>
  <c r="O2308" i="6"/>
  <c r="P2308" i="6" s="1"/>
  <c r="R2307" i="6" l="1"/>
  <c r="M2307" i="6" s="1"/>
  <c r="S2307" i="6" s="1"/>
  <c r="Q2308" i="6"/>
  <c r="O2309" i="6"/>
  <c r="P2309" i="6" s="1"/>
  <c r="N2308" i="6"/>
  <c r="R2308" i="6" l="1"/>
  <c r="M2308" i="6" s="1"/>
  <c r="S2308" i="6" s="1"/>
  <c r="Q2309" i="6"/>
  <c r="O2310" i="6"/>
  <c r="P2310" i="6" s="1"/>
  <c r="N2309" i="6"/>
  <c r="R2309" i="6" l="1"/>
  <c r="M2309" i="6" s="1"/>
  <c r="S2309" i="6" s="1"/>
  <c r="Q2310" i="6"/>
  <c r="O2311" i="6"/>
  <c r="P2311" i="6" s="1"/>
  <c r="N2310" i="6"/>
  <c r="R2310" i="6" l="1"/>
  <c r="M2310" i="6" s="1"/>
  <c r="S2310" i="6" s="1"/>
  <c r="Q2311" i="6"/>
  <c r="O2312" i="6"/>
  <c r="P2312" i="6" s="1"/>
  <c r="N2311" i="6"/>
  <c r="R2311" i="6" l="1"/>
  <c r="M2311" i="6" s="1"/>
  <c r="S2311" i="6" s="1"/>
  <c r="Q2312" i="6"/>
  <c r="O2313" i="6"/>
  <c r="P2313" i="6" s="1"/>
  <c r="N2312" i="6"/>
  <c r="R2312" i="6" l="1"/>
  <c r="M2312" i="6" s="1"/>
  <c r="S2312" i="6" s="1"/>
  <c r="Q2313" i="6"/>
  <c r="N2313" i="6"/>
  <c r="O2314" i="6"/>
  <c r="P2314" i="6" s="1"/>
  <c r="R2313" i="6" l="1"/>
  <c r="M2313" i="6" s="1"/>
  <c r="S2313" i="6" s="1"/>
  <c r="Q2314" i="6"/>
  <c r="O2315" i="6"/>
  <c r="P2315" i="6" s="1"/>
  <c r="N2314" i="6"/>
  <c r="R2314" i="6" l="1"/>
  <c r="M2314" i="6" s="1"/>
  <c r="S2314" i="6" s="1"/>
  <c r="Q2315" i="6"/>
  <c r="N2315" i="6"/>
  <c r="O2316" i="6"/>
  <c r="P2316" i="6" s="1"/>
  <c r="R2315" i="6" l="1"/>
  <c r="M2315" i="6" s="1"/>
  <c r="S2315" i="6" s="1"/>
  <c r="Q2316" i="6"/>
  <c r="N2316" i="6"/>
  <c r="O2317" i="6"/>
  <c r="P2317" i="6" s="1"/>
  <c r="R2316" i="6" l="1"/>
  <c r="M2316" i="6" s="1"/>
  <c r="S2316" i="6" s="1"/>
  <c r="Q2317" i="6"/>
  <c r="N2317" i="6"/>
  <c r="O2318" i="6"/>
  <c r="P2318" i="6" s="1"/>
  <c r="R2317" i="6" l="1"/>
  <c r="M2317" i="6" s="1"/>
  <c r="S2317" i="6" s="1"/>
  <c r="Q2318" i="6"/>
  <c r="N2318" i="6"/>
  <c r="O2319" i="6"/>
  <c r="P2319" i="6" s="1"/>
  <c r="R2318" i="6" l="1"/>
  <c r="M2318" i="6" s="1"/>
  <c r="S2318" i="6" s="1"/>
  <c r="Q2319" i="6"/>
  <c r="O2320" i="6"/>
  <c r="P2320" i="6" s="1"/>
  <c r="N2319" i="6"/>
  <c r="R2319" i="6" l="1"/>
  <c r="M2319" i="6" s="1"/>
  <c r="S2319" i="6" s="1"/>
  <c r="Q2320" i="6"/>
  <c r="O2321" i="6"/>
  <c r="P2321" i="6" s="1"/>
  <c r="N2320" i="6"/>
  <c r="R2320" i="6" l="1"/>
  <c r="M2320" i="6" s="1"/>
  <c r="S2320" i="6" s="1"/>
  <c r="Q2321" i="6"/>
  <c r="N2321" i="6"/>
  <c r="O2322" i="6"/>
  <c r="P2322" i="6" s="1"/>
  <c r="R2321" i="6" l="1"/>
  <c r="M2321" i="6" s="1"/>
  <c r="S2321" i="6" s="1"/>
  <c r="Q2322" i="6"/>
  <c r="O2323" i="6"/>
  <c r="P2323" i="6" s="1"/>
  <c r="N2322" i="6"/>
  <c r="R2322" i="6" l="1"/>
  <c r="M2322" i="6" s="1"/>
  <c r="S2322" i="6" s="1"/>
  <c r="Q2323" i="6"/>
  <c r="N2323" i="6"/>
  <c r="O2324" i="6"/>
  <c r="P2324" i="6" s="1"/>
  <c r="R2323" i="6" l="1"/>
  <c r="M2323" i="6" s="1"/>
  <c r="S2323" i="6" s="1"/>
  <c r="Q2324" i="6"/>
  <c r="N2324" i="6"/>
  <c r="O2325" i="6"/>
  <c r="P2325" i="6" s="1"/>
  <c r="R2324" i="6" l="1"/>
  <c r="M2324" i="6" s="1"/>
  <c r="S2324" i="6" s="1"/>
  <c r="Q2325" i="6"/>
  <c r="O2326" i="6"/>
  <c r="P2326" i="6" s="1"/>
  <c r="N2325" i="6"/>
  <c r="R2325" i="6" l="1"/>
  <c r="M2325" i="6" s="1"/>
  <c r="S2325" i="6" s="1"/>
  <c r="Q2326" i="6"/>
  <c r="O2327" i="6"/>
  <c r="P2327" i="6" s="1"/>
  <c r="N2326" i="6"/>
  <c r="R2326" i="6" l="1"/>
  <c r="M2326" i="6" s="1"/>
  <c r="S2326" i="6" s="1"/>
  <c r="Q2327" i="6"/>
  <c r="N2327" i="6"/>
  <c r="O2328" i="6"/>
  <c r="P2328" i="6" s="1"/>
  <c r="R2327" i="6" l="1"/>
  <c r="M2327" i="6" s="1"/>
  <c r="S2327" i="6" s="1"/>
  <c r="Q2328" i="6"/>
  <c r="N2328" i="6"/>
  <c r="O2329" i="6"/>
  <c r="P2329" i="6" s="1"/>
  <c r="R2328" i="6" l="1"/>
  <c r="M2328" i="6" s="1"/>
  <c r="S2328" i="6" s="1"/>
  <c r="Q2329" i="6"/>
  <c r="N2329" i="6"/>
  <c r="O2330" i="6"/>
  <c r="P2330" i="6" s="1"/>
  <c r="R2329" i="6" l="1"/>
  <c r="M2329" i="6" s="1"/>
  <c r="S2329" i="6" s="1"/>
  <c r="Q2330" i="6"/>
  <c r="N2330" i="6"/>
  <c r="O2331" i="6"/>
  <c r="P2331" i="6" s="1"/>
  <c r="R2330" i="6" l="1"/>
  <c r="M2330" i="6" s="1"/>
  <c r="S2330" i="6" s="1"/>
  <c r="Q2331" i="6"/>
  <c r="O2332" i="6"/>
  <c r="P2332" i="6" s="1"/>
  <c r="N2331" i="6"/>
  <c r="R2331" i="6" l="1"/>
  <c r="M2331" i="6" s="1"/>
  <c r="S2331" i="6" s="1"/>
  <c r="Q2332" i="6"/>
  <c r="O2333" i="6"/>
  <c r="P2333" i="6" s="1"/>
  <c r="N2332" i="6"/>
  <c r="R2332" i="6" l="1"/>
  <c r="M2332" i="6" s="1"/>
  <c r="S2332" i="6" s="1"/>
  <c r="Q2333" i="6"/>
  <c r="N2333" i="6"/>
  <c r="O2334" i="6"/>
  <c r="P2334" i="6" s="1"/>
  <c r="R2333" i="6" l="1"/>
  <c r="M2333" i="6" s="1"/>
  <c r="S2333" i="6" s="1"/>
  <c r="Q2334" i="6"/>
  <c r="O2335" i="6"/>
  <c r="P2335" i="6" s="1"/>
  <c r="N2334" i="6"/>
  <c r="R2334" i="6" l="1"/>
  <c r="M2334" i="6" s="1"/>
  <c r="S2334" i="6" s="1"/>
  <c r="Q2335" i="6"/>
  <c r="O2336" i="6"/>
  <c r="P2336" i="6" s="1"/>
  <c r="N2335" i="6"/>
  <c r="R2335" i="6" l="1"/>
  <c r="M2335" i="6" s="1"/>
  <c r="S2335" i="6" s="1"/>
  <c r="Q2336" i="6"/>
  <c r="O2337" i="6"/>
  <c r="P2337" i="6" s="1"/>
  <c r="N2336" i="6"/>
  <c r="R2336" i="6" l="1"/>
  <c r="M2336" i="6" s="1"/>
  <c r="S2336" i="6" s="1"/>
  <c r="Q2337" i="6"/>
  <c r="N2337" i="6"/>
  <c r="O2338" i="6"/>
  <c r="P2338" i="6" s="1"/>
  <c r="R2337" i="6" l="1"/>
  <c r="M2337" i="6" s="1"/>
  <c r="S2337" i="6" s="1"/>
  <c r="Q2338" i="6"/>
  <c r="O2339" i="6"/>
  <c r="P2339" i="6" s="1"/>
  <c r="N2338" i="6"/>
  <c r="R2338" i="6" l="1"/>
  <c r="M2338" i="6" s="1"/>
  <c r="S2338" i="6" s="1"/>
  <c r="Q2339" i="6"/>
  <c r="N2339" i="6"/>
  <c r="O2340" i="6"/>
  <c r="P2340" i="6" s="1"/>
  <c r="R2339" i="6" l="1"/>
  <c r="M2339" i="6" s="1"/>
  <c r="S2339" i="6" s="1"/>
  <c r="Q2340" i="6"/>
  <c r="N2340" i="6"/>
  <c r="O2341" i="6"/>
  <c r="P2341" i="6" s="1"/>
  <c r="R2340" i="6" l="1"/>
  <c r="M2340" i="6" s="1"/>
  <c r="S2340" i="6" s="1"/>
  <c r="Q2341" i="6"/>
  <c r="O2342" i="6"/>
  <c r="P2342" i="6" s="1"/>
  <c r="N2341" i="6"/>
  <c r="R2341" i="6" l="1"/>
  <c r="M2341" i="6" s="1"/>
  <c r="S2341" i="6" s="1"/>
  <c r="Q2342" i="6"/>
  <c r="O2343" i="6"/>
  <c r="P2343" i="6" s="1"/>
  <c r="N2342" i="6"/>
  <c r="R2342" i="6" l="1"/>
  <c r="M2342" i="6" s="1"/>
  <c r="S2342" i="6" s="1"/>
  <c r="Q2343" i="6"/>
  <c r="O2344" i="6"/>
  <c r="P2344" i="6" s="1"/>
  <c r="N2343" i="6"/>
  <c r="R2343" i="6" l="1"/>
  <c r="M2343" i="6" s="1"/>
  <c r="S2343" i="6" s="1"/>
  <c r="Q2344" i="6"/>
  <c r="N2344" i="6"/>
  <c r="O2345" i="6"/>
  <c r="P2345" i="6" s="1"/>
  <c r="R2344" i="6" l="1"/>
  <c r="M2344" i="6" s="1"/>
  <c r="S2344" i="6" s="1"/>
  <c r="Q2345" i="6"/>
  <c r="N2345" i="6"/>
  <c r="O2346" i="6"/>
  <c r="P2346" i="6" s="1"/>
  <c r="R2345" i="6" l="1"/>
  <c r="M2345" i="6" s="1"/>
  <c r="S2345" i="6" s="1"/>
  <c r="Q2346" i="6"/>
  <c r="N2346" i="6"/>
  <c r="O2347" i="6"/>
  <c r="P2347" i="6" s="1"/>
  <c r="R2346" i="6" l="1"/>
  <c r="M2346" i="6" s="1"/>
  <c r="S2346" i="6" s="1"/>
  <c r="Q2347" i="6"/>
  <c r="N2347" i="6"/>
  <c r="O2348" i="6"/>
  <c r="P2348" i="6" s="1"/>
  <c r="R2347" i="6" l="1"/>
  <c r="M2347" i="6" s="1"/>
  <c r="S2347" i="6" s="1"/>
  <c r="Q2348" i="6"/>
  <c r="O2349" i="6"/>
  <c r="P2349" i="6" s="1"/>
  <c r="N2348" i="6"/>
  <c r="R2348" i="6" l="1"/>
  <c r="M2348" i="6" s="1"/>
  <c r="S2348" i="6" s="1"/>
  <c r="Q2349" i="6"/>
  <c r="O2350" i="6"/>
  <c r="P2350" i="6" s="1"/>
  <c r="N2349" i="6"/>
  <c r="R2349" i="6" l="1"/>
  <c r="M2349" i="6" s="1"/>
  <c r="S2349" i="6" s="1"/>
  <c r="Q2350" i="6"/>
  <c r="O2351" i="6"/>
  <c r="P2351" i="6" s="1"/>
  <c r="N2350" i="6"/>
  <c r="R2350" i="6" l="1"/>
  <c r="M2350" i="6" s="1"/>
  <c r="S2350" i="6" s="1"/>
  <c r="Q2351" i="6"/>
  <c r="N2351" i="6"/>
  <c r="O2352" i="6"/>
  <c r="P2352" i="6" s="1"/>
  <c r="R2351" i="6" l="1"/>
  <c r="M2351" i="6" s="1"/>
  <c r="S2351" i="6" s="1"/>
  <c r="Q2352" i="6"/>
  <c r="O2353" i="6"/>
  <c r="P2353" i="6" s="1"/>
  <c r="N2352" i="6"/>
  <c r="R2352" i="6" l="1"/>
  <c r="M2352" i="6" s="1"/>
  <c r="S2352" i="6" s="1"/>
  <c r="Q2353" i="6"/>
  <c r="N2353" i="6"/>
  <c r="O2354" i="6"/>
  <c r="P2354" i="6" s="1"/>
  <c r="R2353" i="6" l="1"/>
  <c r="M2353" i="6" s="1"/>
  <c r="S2353" i="6" s="1"/>
  <c r="Q2354" i="6"/>
  <c r="N2354" i="6"/>
  <c r="O2355" i="6"/>
  <c r="P2355" i="6" s="1"/>
  <c r="R2354" i="6" l="1"/>
  <c r="M2354" i="6" s="1"/>
  <c r="S2354" i="6" s="1"/>
  <c r="Q2355" i="6"/>
  <c r="O2356" i="6"/>
  <c r="P2356" i="6" s="1"/>
  <c r="N2355" i="6"/>
  <c r="R2355" i="6" l="1"/>
  <c r="M2355" i="6" s="1"/>
  <c r="S2355" i="6" s="1"/>
  <c r="Q2356" i="6"/>
  <c r="N2356" i="6"/>
  <c r="O2357" i="6"/>
  <c r="P2357" i="6" s="1"/>
  <c r="R2356" i="6" l="1"/>
  <c r="M2356" i="6" s="1"/>
  <c r="S2356" i="6" s="1"/>
  <c r="Q2357" i="6"/>
  <c r="O2358" i="6"/>
  <c r="P2358" i="6" s="1"/>
  <c r="N2357" i="6"/>
  <c r="R2357" i="6" l="1"/>
  <c r="M2357" i="6" s="1"/>
  <c r="S2357" i="6" s="1"/>
  <c r="Q2358" i="6"/>
  <c r="N2358" i="6"/>
  <c r="O2359" i="6"/>
  <c r="P2359" i="6" s="1"/>
  <c r="R2358" i="6" l="1"/>
  <c r="M2358" i="6" s="1"/>
  <c r="S2358" i="6" s="1"/>
  <c r="Q2359" i="6"/>
  <c r="N2359" i="6"/>
  <c r="O2360" i="6"/>
  <c r="P2360" i="6" s="1"/>
  <c r="R2359" i="6" l="1"/>
  <c r="M2359" i="6" s="1"/>
  <c r="S2359" i="6" s="1"/>
  <c r="Q2360" i="6"/>
  <c r="O2361" i="6"/>
  <c r="P2361" i="6" s="1"/>
  <c r="N2360" i="6"/>
  <c r="R2360" i="6" l="1"/>
  <c r="M2360" i="6" s="1"/>
  <c r="S2360" i="6" s="1"/>
  <c r="Q2361" i="6"/>
  <c r="N2361" i="6"/>
  <c r="O2362" i="6"/>
  <c r="P2362" i="6" s="1"/>
  <c r="R2361" i="6" l="1"/>
  <c r="M2361" i="6" s="1"/>
  <c r="S2361" i="6" s="1"/>
  <c r="Q2362" i="6"/>
  <c r="O2363" i="6"/>
  <c r="P2363" i="6" s="1"/>
  <c r="N2362" i="6"/>
  <c r="R2362" i="6" l="1"/>
  <c r="M2362" i="6" s="1"/>
  <c r="S2362" i="6" s="1"/>
  <c r="Q2363" i="6"/>
  <c r="O2364" i="6"/>
  <c r="P2364" i="6" s="1"/>
  <c r="N2363" i="6"/>
  <c r="R2363" i="6" l="1"/>
  <c r="M2363" i="6" s="1"/>
  <c r="S2363" i="6" s="1"/>
  <c r="Q2364" i="6"/>
  <c r="O2365" i="6"/>
  <c r="P2365" i="6" s="1"/>
  <c r="N2364" i="6"/>
  <c r="R2364" i="6" l="1"/>
  <c r="M2364" i="6" s="1"/>
  <c r="S2364" i="6" s="1"/>
  <c r="Q2365" i="6"/>
  <c r="N2365" i="6"/>
  <c r="O2366" i="6"/>
  <c r="P2366" i="6" s="1"/>
  <c r="R2365" i="6" l="1"/>
  <c r="M2365" i="6" s="1"/>
  <c r="S2365" i="6" s="1"/>
  <c r="Q2366" i="6"/>
  <c r="N2366" i="6"/>
  <c r="O2367" i="6"/>
  <c r="P2367" i="6" s="1"/>
  <c r="R2366" i="6" l="1"/>
  <c r="M2366" i="6" s="1"/>
  <c r="S2366" i="6" s="1"/>
  <c r="Q2367" i="6"/>
  <c r="O2368" i="6"/>
  <c r="P2368" i="6" s="1"/>
  <c r="N2367" i="6"/>
  <c r="R2367" i="6" l="1"/>
  <c r="M2367" i="6" s="1"/>
  <c r="S2367" i="6" s="1"/>
  <c r="Q2368" i="6"/>
  <c r="O2369" i="6"/>
  <c r="P2369" i="6" s="1"/>
  <c r="N2368" i="6"/>
  <c r="R2368" i="6" l="1"/>
  <c r="M2368" i="6" s="1"/>
  <c r="S2368" i="6" s="1"/>
  <c r="Q2369" i="6"/>
  <c r="N2369" i="6"/>
  <c r="O2370" i="6"/>
  <c r="P2370" i="6" s="1"/>
  <c r="R2369" i="6" l="1"/>
  <c r="M2369" i="6" s="1"/>
  <c r="S2369" i="6" s="1"/>
  <c r="Q2370" i="6"/>
  <c r="O2371" i="6"/>
  <c r="P2371" i="6" s="1"/>
  <c r="N2370" i="6"/>
  <c r="R2370" i="6" l="1"/>
  <c r="M2370" i="6" s="1"/>
  <c r="S2370" i="6" s="1"/>
  <c r="Q2371" i="6"/>
  <c r="N2371" i="6"/>
  <c r="O2372" i="6"/>
  <c r="P2372" i="6" s="1"/>
  <c r="R2371" i="6" l="1"/>
  <c r="M2371" i="6" s="1"/>
  <c r="S2371" i="6" s="1"/>
  <c r="Q2372" i="6"/>
  <c r="N2372" i="6"/>
  <c r="O2373" i="6"/>
  <c r="P2373" i="6" s="1"/>
  <c r="R2372" i="6" l="1"/>
  <c r="M2372" i="6" s="1"/>
  <c r="S2372" i="6" s="1"/>
  <c r="Q2373" i="6"/>
  <c r="N2373" i="6"/>
  <c r="O2374" i="6"/>
  <c r="P2374" i="6" s="1"/>
  <c r="R2373" i="6" l="1"/>
  <c r="M2373" i="6" s="1"/>
  <c r="S2373" i="6" s="1"/>
  <c r="Q2374" i="6"/>
  <c r="O2375" i="6"/>
  <c r="P2375" i="6" s="1"/>
  <c r="N2374" i="6"/>
  <c r="R2374" i="6" l="1"/>
  <c r="M2374" i="6" s="1"/>
  <c r="S2374" i="6" s="1"/>
  <c r="Q2375" i="6"/>
  <c r="N2375" i="6"/>
  <c r="O2376" i="6"/>
  <c r="P2376" i="6" s="1"/>
  <c r="R2375" i="6" l="1"/>
  <c r="M2375" i="6" s="1"/>
  <c r="S2375" i="6" s="1"/>
  <c r="Q2376" i="6"/>
  <c r="N2376" i="6"/>
  <c r="O2377" i="6"/>
  <c r="P2377" i="6" s="1"/>
  <c r="R2376" i="6" l="1"/>
  <c r="M2376" i="6" s="1"/>
  <c r="S2376" i="6" s="1"/>
  <c r="Q2377" i="6"/>
  <c r="N2377" i="6"/>
  <c r="O2378" i="6"/>
  <c r="P2378" i="6" s="1"/>
  <c r="R2377" i="6" l="1"/>
  <c r="M2377" i="6" s="1"/>
  <c r="S2377" i="6" s="1"/>
  <c r="Q2378" i="6"/>
  <c r="N2378" i="6"/>
  <c r="O2379" i="6"/>
  <c r="P2379" i="6" s="1"/>
  <c r="R2378" i="6" l="1"/>
  <c r="M2378" i="6" s="1"/>
  <c r="S2378" i="6" s="1"/>
  <c r="Q2379" i="6"/>
  <c r="O2380" i="6"/>
  <c r="P2380" i="6" s="1"/>
  <c r="N2379" i="6"/>
  <c r="R2379" i="6" l="1"/>
  <c r="M2379" i="6" s="1"/>
  <c r="S2379" i="6" s="1"/>
  <c r="Q2380" i="6"/>
  <c r="O2381" i="6"/>
  <c r="P2381" i="6" s="1"/>
  <c r="N2380" i="6"/>
  <c r="R2380" i="6" l="1"/>
  <c r="M2380" i="6" s="1"/>
  <c r="S2380" i="6" s="1"/>
  <c r="Q2381" i="6"/>
  <c r="N2381" i="6"/>
  <c r="O2382" i="6"/>
  <c r="P2382" i="6" s="1"/>
  <c r="R2381" i="6" l="1"/>
  <c r="M2381" i="6" s="1"/>
  <c r="S2381" i="6" s="1"/>
  <c r="Q2382" i="6"/>
  <c r="N2382" i="6"/>
  <c r="O2383" i="6"/>
  <c r="P2383" i="6" s="1"/>
  <c r="R2382" i="6" l="1"/>
  <c r="M2382" i="6" s="1"/>
  <c r="S2382" i="6" s="1"/>
  <c r="Q2383" i="6"/>
  <c r="N2383" i="6"/>
  <c r="O2384" i="6"/>
  <c r="P2384" i="6" s="1"/>
  <c r="R2383" i="6" l="1"/>
  <c r="M2383" i="6" s="1"/>
  <c r="S2383" i="6" s="1"/>
  <c r="Q2384" i="6"/>
  <c r="N2384" i="6"/>
  <c r="O2385" i="6"/>
  <c r="P2385" i="6" s="1"/>
  <c r="R2384" i="6" l="1"/>
  <c r="M2384" i="6" s="1"/>
  <c r="S2384" i="6" s="1"/>
  <c r="Q2385" i="6"/>
  <c r="N2385" i="6"/>
  <c r="O2386" i="6"/>
  <c r="P2386" i="6" s="1"/>
  <c r="R2385" i="6" l="1"/>
  <c r="M2385" i="6" s="1"/>
  <c r="S2385" i="6" s="1"/>
  <c r="Q2386" i="6"/>
  <c r="O2387" i="6"/>
  <c r="P2387" i="6" s="1"/>
  <c r="N2386" i="6"/>
  <c r="R2386" i="6" l="1"/>
  <c r="M2386" i="6" s="1"/>
  <c r="S2386" i="6" s="1"/>
  <c r="Q2387" i="6"/>
  <c r="N2387" i="6"/>
  <c r="O2388" i="6"/>
  <c r="P2388" i="6" s="1"/>
  <c r="R2387" i="6" l="1"/>
  <c r="M2387" i="6" s="1"/>
  <c r="S2387" i="6" s="1"/>
  <c r="Q2388" i="6"/>
  <c r="N2388" i="6"/>
  <c r="O2389" i="6"/>
  <c r="P2389" i="6" s="1"/>
  <c r="R2388" i="6" l="1"/>
  <c r="M2388" i="6" s="1"/>
  <c r="S2388" i="6" s="1"/>
  <c r="Q2389" i="6"/>
  <c r="N2389" i="6"/>
  <c r="O2390" i="6"/>
  <c r="P2390" i="6" s="1"/>
  <c r="R2389" i="6" l="1"/>
  <c r="M2389" i="6" s="1"/>
  <c r="S2389" i="6" s="1"/>
  <c r="Q2390" i="6"/>
  <c r="N2390" i="6"/>
  <c r="O2391" i="6"/>
  <c r="P2391" i="6" s="1"/>
  <c r="R2390" i="6" l="1"/>
  <c r="M2390" i="6" s="1"/>
  <c r="S2390" i="6" s="1"/>
  <c r="Q2391" i="6"/>
  <c r="O2392" i="6"/>
  <c r="P2392" i="6" s="1"/>
  <c r="N2391" i="6"/>
  <c r="R2391" i="6" l="1"/>
  <c r="M2391" i="6" s="1"/>
  <c r="S2391" i="6" s="1"/>
  <c r="Q2392" i="6"/>
  <c r="N2392" i="6"/>
  <c r="O2393" i="6"/>
  <c r="P2393" i="6" s="1"/>
  <c r="R2392" i="6" l="1"/>
  <c r="M2392" i="6" s="1"/>
  <c r="S2392" i="6" s="1"/>
  <c r="Q2393" i="6"/>
  <c r="N2393" i="6"/>
  <c r="O2394" i="6"/>
  <c r="P2394" i="6" s="1"/>
  <c r="R2393" i="6" l="1"/>
  <c r="M2393" i="6" s="1"/>
  <c r="S2393" i="6" s="1"/>
  <c r="Q2394" i="6"/>
  <c r="O2395" i="6"/>
  <c r="P2395" i="6" s="1"/>
  <c r="N2394" i="6"/>
  <c r="R2394" i="6" l="1"/>
  <c r="M2394" i="6" s="1"/>
  <c r="S2394" i="6" s="1"/>
  <c r="Q2395" i="6"/>
  <c r="O2396" i="6"/>
  <c r="P2396" i="6" s="1"/>
  <c r="N2395" i="6"/>
  <c r="R2395" i="6" l="1"/>
  <c r="M2395" i="6" s="1"/>
  <c r="S2395" i="6" s="1"/>
  <c r="Q2396" i="6"/>
  <c r="N2396" i="6"/>
  <c r="O2397" i="6"/>
  <c r="P2397" i="6" s="1"/>
  <c r="R2396" i="6" l="1"/>
  <c r="M2396" i="6" s="1"/>
  <c r="S2396" i="6" s="1"/>
  <c r="Q2397" i="6"/>
  <c r="N2397" i="6"/>
  <c r="O2398" i="6"/>
  <c r="P2398" i="6" s="1"/>
  <c r="R2397" i="6" l="1"/>
  <c r="M2397" i="6" s="1"/>
  <c r="S2397" i="6" s="1"/>
  <c r="Q2398" i="6"/>
  <c r="N2398" i="6"/>
  <c r="O2399" i="6"/>
  <c r="P2399" i="6" s="1"/>
  <c r="R2398" i="6" l="1"/>
  <c r="M2398" i="6" s="1"/>
  <c r="S2398" i="6" s="1"/>
  <c r="Q2399" i="6"/>
  <c r="O2400" i="6"/>
  <c r="P2400" i="6" s="1"/>
  <c r="N2399" i="6"/>
  <c r="R2399" i="6" l="1"/>
  <c r="M2399" i="6" s="1"/>
  <c r="S2399" i="6" s="1"/>
  <c r="Q2400" i="6"/>
  <c r="N2400" i="6"/>
  <c r="O2401" i="6"/>
  <c r="P2401" i="6" s="1"/>
  <c r="R2400" i="6" l="1"/>
  <c r="M2400" i="6" s="1"/>
  <c r="S2400" i="6" s="1"/>
  <c r="Q2401" i="6"/>
  <c r="N2401" i="6"/>
  <c r="O2402" i="6"/>
  <c r="P2402" i="6" s="1"/>
  <c r="R2401" i="6" l="1"/>
  <c r="M2401" i="6" s="1"/>
  <c r="S2401" i="6" s="1"/>
  <c r="Q2402" i="6"/>
  <c r="N2402" i="6"/>
  <c r="O2403" i="6"/>
  <c r="P2403" i="6" s="1"/>
  <c r="R2402" i="6" l="1"/>
  <c r="M2402" i="6" s="1"/>
  <c r="S2402" i="6" s="1"/>
  <c r="Q2403" i="6"/>
  <c r="O2404" i="6"/>
  <c r="P2404" i="6" s="1"/>
  <c r="N2403" i="6"/>
  <c r="R2403" i="6" l="1"/>
  <c r="M2403" i="6" s="1"/>
  <c r="S2403" i="6" s="1"/>
  <c r="Q2404" i="6"/>
  <c r="N2404" i="6"/>
  <c r="O2405" i="6"/>
  <c r="P2405" i="6" s="1"/>
  <c r="R2404" i="6" l="1"/>
  <c r="M2404" i="6" s="1"/>
  <c r="S2404" i="6" s="1"/>
  <c r="Q2405" i="6"/>
  <c r="O2406" i="6"/>
  <c r="P2406" i="6" s="1"/>
  <c r="N2405" i="6"/>
  <c r="R2405" i="6" l="1"/>
  <c r="M2405" i="6" s="1"/>
  <c r="S2405" i="6" s="1"/>
  <c r="Q2406" i="6"/>
  <c r="N2406" i="6"/>
  <c r="O2407" i="6"/>
  <c r="P2407" i="6" s="1"/>
  <c r="R2406" i="6" l="1"/>
  <c r="M2406" i="6" s="1"/>
  <c r="S2406" i="6" s="1"/>
  <c r="Q2407" i="6"/>
  <c r="N2407" i="6"/>
  <c r="O2408" i="6"/>
  <c r="P2408" i="6" s="1"/>
  <c r="R2407" i="6" l="1"/>
  <c r="M2407" i="6" s="1"/>
  <c r="S2407" i="6" s="1"/>
  <c r="Q2408" i="6"/>
  <c r="O2409" i="6"/>
  <c r="P2409" i="6" s="1"/>
  <c r="N2408" i="6"/>
  <c r="R2408" i="6" l="1"/>
  <c r="M2408" i="6" s="1"/>
  <c r="S2408" i="6" s="1"/>
  <c r="Q2409" i="6"/>
  <c r="N2409" i="6"/>
  <c r="O2410" i="6"/>
  <c r="P2410" i="6" s="1"/>
  <c r="R2409" i="6" l="1"/>
  <c r="M2409" i="6" s="1"/>
  <c r="S2409" i="6" s="1"/>
  <c r="Q2410" i="6"/>
  <c r="N2410" i="6"/>
  <c r="O2411" i="6"/>
  <c r="P2411" i="6" s="1"/>
  <c r="R2410" i="6" l="1"/>
  <c r="M2410" i="6" s="1"/>
  <c r="S2410" i="6" s="1"/>
  <c r="Q2411" i="6"/>
  <c r="O2412" i="6"/>
  <c r="P2412" i="6" s="1"/>
  <c r="N2411" i="6"/>
  <c r="R2411" i="6" l="1"/>
  <c r="M2411" i="6" s="1"/>
  <c r="S2411" i="6" s="1"/>
  <c r="Q2412" i="6"/>
  <c r="O2413" i="6"/>
  <c r="P2413" i="6" s="1"/>
  <c r="N2412" i="6"/>
  <c r="R2412" i="6" l="1"/>
  <c r="M2412" i="6" s="1"/>
  <c r="S2412" i="6" s="1"/>
  <c r="Q2413" i="6"/>
  <c r="O2414" i="6"/>
  <c r="P2414" i="6" s="1"/>
  <c r="N2413" i="6"/>
  <c r="R2413" i="6" l="1"/>
  <c r="M2413" i="6" s="1"/>
  <c r="S2413" i="6" s="1"/>
  <c r="Q2414" i="6"/>
  <c r="O2415" i="6"/>
  <c r="P2415" i="6" s="1"/>
  <c r="N2414" i="6"/>
  <c r="R2414" i="6" l="1"/>
  <c r="M2414" i="6" s="1"/>
  <c r="S2414" i="6" s="1"/>
  <c r="Q2415" i="6"/>
  <c r="N2415" i="6"/>
  <c r="O2416" i="6"/>
  <c r="P2416" i="6" s="1"/>
  <c r="R2415" i="6" l="1"/>
  <c r="M2415" i="6" s="1"/>
  <c r="S2415" i="6" s="1"/>
  <c r="Q2416" i="6"/>
  <c r="N2416" i="6"/>
  <c r="O2417" i="6"/>
  <c r="P2417" i="6" s="1"/>
  <c r="R2416" i="6" l="1"/>
  <c r="M2416" i="6" s="1"/>
  <c r="S2416" i="6" s="1"/>
  <c r="Q2417" i="6"/>
  <c r="N2417" i="6"/>
  <c r="O2418" i="6"/>
  <c r="P2418" i="6" s="1"/>
  <c r="R2417" i="6" l="1"/>
  <c r="M2417" i="6" s="1"/>
  <c r="S2417" i="6" s="1"/>
  <c r="Q2418" i="6"/>
  <c r="N2418" i="6"/>
  <c r="O2419" i="6"/>
  <c r="P2419" i="6" s="1"/>
  <c r="R2418" i="6" l="1"/>
  <c r="M2418" i="6" s="1"/>
  <c r="S2418" i="6" s="1"/>
  <c r="Q2419" i="6"/>
  <c r="O2420" i="6"/>
  <c r="P2420" i="6" s="1"/>
  <c r="N2419" i="6"/>
  <c r="R2419" i="6" l="1"/>
  <c r="M2419" i="6" s="1"/>
  <c r="S2419" i="6" s="1"/>
  <c r="Q2420" i="6"/>
  <c r="O2421" i="6"/>
  <c r="P2421" i="6" s="1"/>
  <c r="N2420" i="6"/>
  <c r="R2420" i="6" l="1"/>
  <c r="M2420" i="6" s="1"/>
  <c r="S2420" i="6" s="1"/>
  <c r="Q2421" i="6"/>
  <c r="O2422" i="6"/>
  <c r="P2422" i="6" s="1"/>
  <c r="N2421" i="6"/>
  <c r="R2421" i="6" l="1"/>
  <c r="M2421" i="6" s="1"/>
  <c r="S2421" i="6" s="1"/>
  <c r="Q2422" i="6"/>
  <c r="N2422" i="6"/>
  <c r="O2423" i="6"/>
  <c r="P2423" i="6" s="1"/>
  <c r="R2422" i="6" l="1"/>
  <c r="M2422" i="6" s="1"/>
  <c r="S2422" i="6" s="1"/>
  <c r="Q2423" i="6"/>
  <c r="N2423" i="6"/>
  <c r="O2424" i="6"/>
  <c r="P2424" i="6" s="1"/>
  <c r="R2423" i="6" l="1"/>
  <c r="M2423" i="6" s="1"/>
  <c r="S2423" i="6" s="1"/>
  <c r="Q2424" i="6"/>
  <c r="O2425" i="6"/>
  <c r="P2425" i="6" s="1"/>
  <c r="N2424" i="6"/>
  <c r="R2424" i="6" l="1"/>
  <c r="M2424" i="6" s="1"/>
  <c r="S2424" i="6" s="1"/>
  <c r="Q2425" i="6"/>
  <c r="N2425" i="6"/>
  <c r="O2426" i="6"/>
  <c r="P2426" i="6" s="1"/>
  <c r="R2425" i="6" l="1"/>
  <c r="M2425" i="6" s="1"/>
  <c r="S2425" i="6" s="1"/>
  <c r="Q2426" i="6"/>
  <c r="N2426" i="6"/>
  <c r="O2427" i="6"/>
  <c r="P2427" i="6" s="1"/>
  <c r="R2426" i="6" l="1"/>
  <c r="M2426" i="6" s="1"/>
  <c r="S2426" i="6" s="1"/>
  <c r="Q2427" i="6"/>
  <c r="N2427" i="6"/>
  <c r="O2428" i="6"/>
  <c r="P2428" i="6" s="1"/>
  <c r="R2427" i="6" l="1"/>
  <c r="M2427" i="6" s="1"/>
  <c r="S2427" i="6" s="1"/>
  <c r="Q2428" i="6"/>
  <c r="N2428" i="6"/>
  <c r="O2429" i="6"/>
  <c r="P2429" i="6" s="1"/>
  <c r="R2428" i="6" l="1"/>
  <c r="M2428" i="6" s="1"/>
  <c r="S2428" i="6" s="1"/>
  <c r="Q2429" i="6"/>
  <c r="N2429" i="6"/>
  <c r="O2430" i="6"/>
  <c r="P2430" i="6" s="1"/>
  <c r="R2429" i="6" l="1"/>
  <c r="M2429" i="6" s="1"/>
  <c r="S2429" i="6" s="1"/>
  <c r="Q2430" i="6"/>
  <c r="N2430" i="6"/>
  <c r="O2431" i="6"/>
  <c r="P2431" i="6" s="1"/>
  <c r="R2430" i="6" l="1"/>
  <c r="M2430" i="6" s="1"/>
  <c r="S2430" i="6" s="1"/>
  <c r="Q2431" i="6"/>
  <c r="N2431" i="6"/>
  <c r="O2432" i="6"/>
  <c r="P2432" i="6" s="1"/>
  <c r="R2431" i="6" l="1"/>
  <c r="M2431" i="6" s="1"/>
  <c r="S2431" i="6" s="1"/>
  <c r="Q2432" i="6"/>
  <c r="N2432" i="6"/>
  <c r="O2433" i="6"/>
  <c r="P2433" i="6" s="1"/>
  <c r="R2432" i="6" l="1"/>
  <c r="M2432" i="6" s="1"/>
  <c r="S2432" i="6" s="1"/>
  <c r="Q2433" i="6"/>
  <c r="N2433" i="6"/>
  <c r="O2434" i="6"/>
  <c r="P2434" i="6" s="1"/>
  <c r="R2433" i="6" l="1"/>
  <c r="M2433" i="6" s="1"/>
  <c r="S2433" i="6" s="1"/>
  <c r="Q2434" i="6"/>
  <c r="N2434" i="6"/>
  <c r="O2435" i="6"/>
  <c r="P2435" i="6" s="1"/>
  <c r="R2434" i="6" l="1"/>
  <c r="M2434" i="6" s="1"/>
  <c r="S2434" i="6" s="1"/>
  <c r="Q2435" i="6"/>
  <c r="N2435" i="6"/>
  <c r="O2436" i="6"/>
  <c r="P2436" i="6" s="1"/>
  <c r="R2435" i="6" l="1"/>
  <c r="M2435" i="6" s="1"/>
  <c r="S2435" i="6" s="1"/>
  <c r="Q2436" i="6"/>
  <c r="N2436" i="6"/>
  <c r="O2437" i="6"/>
  <c r="P2437" i="6" s="1"/>
  <c r="R2436" i="6" l="1"/>
  <c r="M2436" i="6" s="1"/>
  <c r="S2436" i="6" s="1"/>
  <c r="Q2437" i="6"/>
  <c r="O2438" i="6"/>
  <c r="P2438" i="6" s="1"/>
  <c r="N2437" i="6"/>
  <c r="R2437" i="6" l="1"/>
  <c r="M2437" i="6" s="1"/>
  <c r="S2437" i="6" s="1"/>
  <c r="Q2438" i="6"/>
  <c r="O2439" i="6"/>
  <c r="P2439" i="6" s="1"/>
  <c r="N2438" i="6"/>
  <c r="R2438" i="6" l="1"/>
  <c r="M2438" i="6" s="1"/>
  <c r="S2438" i="6" s="1"/>
  <c r="Q2439" i="6"/>
  <c r="N2439" i="6"/>
  <c r="O2440" i="6"/>
  <c r="P2440" i="6" s="1"/>
  <c r="R2439" i="6" l="1"/>
  <c r="M2439" i="6" s="1"/>
  <c r="S2439" i="6" s="1"/>
  <c r="Q2440" i="6"/>
  <c r="O2441" i="6"/>
  <c r="P2441" i="6" s="1"/>
  <c r="N2440" i="6"/>
  <c r="R2440" i="6" l="1"/>
  <c r="M2440" i="6" s="1"/>
  <c r="S2440" i="6" s="1"/>
  <c r="Q2441" i="6"/>
  <c r="O2442" i="6"/>
  <c r="P2442" i="6" s="1"/>
  <c r="N2441" i="6"/>
  <c r="R2441" i="6" l="1"/>
  <c r="M2441" i="6" s="1"/>
  <c r="S2441" i="6" s="1"/>
  <c r="Q2442" i="6"/>
  <c r="O2443" i="6"/>
  <c r="P2443" i="6" s="1"/>
  <c r="N2442" i="6"/>
  <c r="R2442" i="6" l="1"/>
  <c r="M2442" i="6" s="1"/>
  <c r="S2442" i="6" s="1"/>
  <c r="Q2443" i="6"/>
  <c r="N2443" i="6"/>
  <c r="O2444" i="6"/>
  <c r="P2444" i="6" s="1"/>
  <c r="R2443" i="6" l="1"/>
  <c r="M2443" i="6" s="1"/>
  <c r="S2443" i="6" s="1"/>
  <c r="Q2444" i="6"/>
  <c r="O2445" i="6"/>
  <c r="P2445" i="6" s="1"/>
  <c r="N2444" i="6"/>
  <c r="R2444" i="6" l="1"/>
  <c r="M2444" i="6" s="1"/>
  <c r="S2444" i="6" s="1"/>
  <c r="Q2445" i="6"/>
  <c r="N2445" i="6"/>
  <c r="O2446" i="6"/>
  <c r="P2446" i="6" s="1"/>
  <c r="R2445" i="6" l="1"/>
  <c r="M2445" i="6" s="1"/>
  <c r="S2445" i="6" s="1"/>
  <c r="Q2446" i="6"/>
  <c r="N2446" i="6"/>
  <c r="O2447" i="6"/>
  <c r="P2447" i="6" s="1"/>
  <c r="R2446" i="6" l="1"/>
  <c r="M2446" i="6" s="1"/>
  <c r="S2446" i="6" s="1"/>
  <c r="Q2447" i="6"/>
  <c r="O2448" i="6"/>
  <c r="P2448" i="6" s="1"/>
  <c r="N2447" i="6"/>
  <c r="R2447" i="6" l="1"/>
  <c r="M2447" i="6" s="1"/>
  <c r="S2447" i="6" s="1"/>
  <c r="Q2448" i="6"/>
  <c r="N2448" i="6"/>
  <c r="O2449" i="6"/>
  <c r="P2449" i="6" s="1"/>
  <c r="R2448" i="6" l="1"/>
  <c r="M2448" i="6" s="1"/>
  <c r="S2448" i="6" s="1"/>
  <c r="Q2449" i="6"/>
  <c r="O2450" i="6"/>
  <c r="P2450" i="6" s="1"/>
  <c r="N2449" i="6"/>
  <c r="R2449" i="6" l="1"/>
  <c r="M2449" i="6" s="1"/>
  <c r="S2449" i="6" s="1"/>
  <c r="Q2450" i="6"/>
  <c r="N2450" i="6"/>
  <c r="O2451" i="6"/>
  <c r="P2451" i="6" s="1"/>
  <c r="R2450" i="6" l="1"/>
  <c r="M2450" i="6" s="1"/>
  <c r="S2450" i="6" s="1"/>
  <c r="Q2451" i="6"/>
  <c r="N2451" i="6"/>
  <c r="O2452" i="6"/>
  <c r="P2452" i="6" s="1"/>
  <c r="R2451" i="6" l="1"/>
  <c r="M2451" i="6" s="1"/>
  <c r="S2451" i="6" s="1"/>
  <c r="Q2452" i="6"/>
  <c r="N2452" i="6"/>
  <c r="O2453" i="6"/>
  <c r="P2453" i="6" s="1"/>
  <c r="R2452" i="6" l="1"/>
  <c r="M2452" i="6" s="1"/>
  <c r="S2452" i="6" s="1"/>
  <c r="Q2453" i="6"/>
  <c r="N2453" i="6"/>
  <c r="O2454" i="6"/>
  <c r="P2454" i="6" s="1"/>
  <c r="R2453" i="6" l="1"/>
  <c r="M2453" i="6" s="1"/>
  <c r="S2453" i="6" s="1"/>
  <c r="Q2454" i="6"/>
  <c r="O2455" i="6"/>
  <c r="P2455" i="6" s="1"/>
  <c r="N2454" i="6"/>
  <c r="R2454" i="6" l="1"/>
  <c r="M2454" i="6" s="1"/>
  <c r="S2454" i="6" s="1"/>
  <c r="Q2455" i="6"/>
  <c r="O2456" i="6"/>
  <c r="P2456" i="6" s="1"/>
  <c r="N2455" i="6"/>
  <c r="R2455" i="6" l="1"/>
  <c r="M2455" i="6" s="1"/>
  <c r="S2455" i="6" s="1"/>
  <c r="Q2456" i="6"/>
  <c r="O2457" i="6"/>
  <c r="P2457" i="6" s="1"/>
  <c r="N2456" i="6"/>
  <c r="R2456" i="6" l="1"/>
  <c r="M2456" i="6" s="1"/>
  <c r="S2456" i="6" s="1"/>
  <c r="Q2457" i="6"/>
  <c r="O2458" i="6"/>
  <c r="P2458" i="6" s="1"/>
  <c r="N2457" i="6"/>
  <c r="R2457" i="6" l="1"/>
  <c r="M2457" i="6" s="1"/>
  <c r="S2457" i="6" s="1"/>
  <c r="Q2458" i="6"/>
  <c r="N2458" i="6"/>
  <c r="O2459" i="6"/>
  <c r="P2459" i="6" s="1"/>
  <c r="R2458" i="6" l="1"/>
  <c r="M2458" i="6" s="1"/>
  <c r="S2458" i="6" s="1"/>
  <c r="Q2459" i="6"/>
  <c r="O2460" i="6"/>
  <c r="P2460" i="6" s="1"/>
  <c r="N2459" i="6"/>
  <c r="R2459" i="6" l="1"/>
  <c r="M2459" i="6" s="1"/>
  <c r="S2459" i="6" s="1"/>
  <c r="Q2460" i="6"/>
  <c r="O2461" i="6"/>
  <c r="P2461" i="6" s="1"/>
  <c r="N2460" i="6"/>
  <c r="R2460" i="6" l="1"/>
  <c r="M2460" i="6" s="1"/>
  <c r="S2460" i="6" s="1"/>
  <c r="Q2461" i="6"/>
  <c r="O2462" i="6"/>
  <c r="P2462" i="6" s="1"/>
  <c r="N2461" i="6"/>
  <c r="R2461" i="6" l="1"/>
  <c r="M2461" i="6" s="1"/>
  <c r="S2461" i="6" s="1"/>
  <c r="Q2462" i="6"/>
  <c r="N2462" i="6"/>
  <c r="O2463" i="6"/>
  <c r="P2463" i="6" s="1"/>
  <c r="R2462" i="6" l="1"/>
  <c r="M2462" i="6" s="1"/>
  <c r="S2462" i="6" s="1"/>
  <c r="Q2463" i="6"/>
  <c r="O2464" i="6"/>
  <c r="P2464" i="6" s="1"/>
  <c r="N2463" i="6"/>
  <c r="R2463" i="6" l="1"/>
  <c r="M2463" i="6" s="1"/>
  <c r="S2463" i="6" s="1"/>
  <c r="Q2464" i="6"/>
  <c r="N2464" i="6"/>
  <c r="O2465" i="6"/>
  <c r="P2465" i="6" s="1"/>
  <c r="R2464" i="6" l="1"/>
  <c r="M2464" i="6" s="1"/>
  <c r="S2464" i="6" s="1"/>
  <c r="Q2465" i="6"/>
  <c r="N2465" i="6"/>
  <c r="O2466" i="6"/>
  <c r="P2466" i="6" s="1"/>
  <c r="R2465" i="6" l="1"/>
  <c r="M2465" i="6" s="1"/>
  <c r="S2465" i="6" s="1"/>
  <c r="Q2466" i="6"/>
  <c r="N2466" i="6"/>
  <c r="O2467" i="6"/>
  <c r="P2467" i="6" s="1"/>
  <c r="R2466" i="6" l="1"/>
  <c r="M2466" i="6" s="1"/>
  <c r="S2466" i="6" s="1"/>
  <c r="Q2467" i="6"/>
  <c r="O2468" i="6"/>
  <c r="P2468" i="6" s="1"/>
  <c r="N2467" i="6"/>
  <c r="R2467" i="6" l="1"/>
  <c r="M2467" i="6" s="1"/>
  <c r="S2467" i="6" s="1"/>
  <c r="Q2468" i="6"/>
  <c r="N2468" i="6"/>
  <c r="O2469" i="6"/>
  <c r="P2469" i="6" s="1"/>
  <c r="R2468" i="6" l="1"/>
  <c r="M2468" i="6" s="1"/>
  <c r="S2468" i="6" s="1"/>
  <c r="Q2469" i="6"/>
  <c r="N2469" i="6"/>
  <c r="O2470" i="6"/>
  <c r="P2470" i="6" s="1"/>
  <c r="R2469" i="6" l="1"/>
  <c r="M2469" i="6" s="1"/>
  <c r="S2469" i="6" s="1"/>
  <c r="Q2470" i="6"/>
  <c r="N2470" i="6"/>
  <c r="O2471" i="6"/>
  <c r="P2471" i="6" s="1"/>
  <c r="R2470" i="6" l="1"/>
  <c r="M2470" i="6" s="1"/>
  <c r="S2470" i="6" s="1"/>
  <c r="Q2471" i="6"/>
  <c r="O2472" i="6"/>
  <c r="P2472" i="6" s="1"/>
  <c r="N2471" i="6"/>
  <c r="R2471" i="6" l="1"/>
  <c r="M2471" i="6" s="1"/>
  <c r="S2471" i="6" s="1"/>
  <c r="Q2472" i="6"/>
  <c r="N2472" i="6"/>
  <c r="O2473" i="6"/>
  <c r="P2473" i="6" s="1"/>
  <c r="R2472" i="6" l="1"/>
  <c r="M2472" i="6" s="1"/>
  <c r="S2472" i="6" s="1"/>
  <c r="Q2473" i="6"/>
  <c r="O2474" i="6"/>
  <c r="P2474" i="6" s="1"/>
  <c r="N2473" i="6"/>
  <c r="R2473" i="6" l="1"/>
  <c r="M2473" i="6" s="1"/>
  <c r="S2473" i="6" s="1"/>
  <c r="Q2474" i="6"/>
  <c r="N2474" i="6"/>
  <c r="O2475" i="6"/>
  <c r="P2475" i="6" s="1"/>
  <c r="R2474" i="6" l="1"/>
  <c r="M2474" i="6" s="1"/>
  <c r="S2474" i="6" s="1"/>
  <c r="Q2475" i="6"/>
  <c r="O2476" i="6"/>
  <c r="P2476" i="6" s="1"/>
  <c r="N2475" i="6"/>
  <c r="R2475" i="6" l="1"/>
  <c r="M2475" i="6" s="1"/>
  <c r="S2475" i="6" s="1"/>
  <c r="Q2476" i="6"/>
  <c r="O2477" i="6"/>
  <c r="P2477" i="6" s="1"/>
  <c r="N2476" i="6"/>
  <c r="R2476" i="6" l="1"/>
  <c r="M2476" i="6" s="1"/>
  <c r="S2476" i="6" s="1"/>
  <c r="Q2477" i="6"/>
  <c r="N2477" i="6"/>
  <c r="O2478" i="6"/>
  <c r="P2478" i="6" s="1"/>
  <c r="R2477" i="6" l="1"/>
  <c r="M2477" i="6" s="1"/>
  <c r="S2477" i="6" s="1"/>
  <c r="Q2478" i="6"/>
  <c r="N2478" i="6"/>
  <c r="O2479" i="6"/>
  <c r="P2479" i="6" s="1"/>
  <c r="R2478" i="6" l="1"/>
  <c r="M2478" i="6" s="1"/>
  <c r="S2478" i="6" s="1"/>
  <c r="Q2479" i="6"/>
  <c r="N2479" i="6"/>
  <c r="O2480" i="6"/>
  <c r="P2480" i="6" s="1"/>
  <c r="R2479" i="6" l="1"/>
  <c r="M2479" i="6" s="1"/>
  <c r="S2479" i="6" s="1"/>
  <c r="Q2480" i="6"/>
  <c r="N2480" i="6"/>
  <c r="O2481" i="6"/>
  <c r="P2481" i="6" s="1"/>
  <c r="R2480" i="6" l="1"/>
  <c r="M2480" i="6" s="1"/>
  <c r="S2480" i="6" s="1"/>
  <c r="Q2481" i="6"/>
  <c r="O2482" i="6"/>
  <c r="P2482" i="6" s="1"/>
  <c r="N2481" i="6"/>
  <c r="R2481" i="6" l="1"/>
  <c r="M2481" i="6" s="1"/>
  <c r="S2481" i="6" s="1"/>
  <c r="Q2482" i="6"/>
  <c r="N2482" i="6"/>
  <c r="O2483" i="6"/>
  <c r="P2483" i="6" s="1"/>
  <c r="R2482" i="6" l="1"/>
  <c r="M2482" i="6" s="1"/>
  <c r="S2482" i="6" s="1"/>
  <c r="Q2483" i="6"/>
  <c r="N2483" i="6"/>
  <c r="O2484" i="6"/>
  <c r="P2484" i="6" s="1"/>
  <c r="R2483" i="6" l="1"/>
  <c r="M2483" i="6" s="1"/>
  <c r="S2483" i="6" s="1"/>
  <c r="Q2484" i="6"/>
  <c r="N2484" i="6"/>
  <c r="O2485" i="6"/>
  <c r="P2485" i="6" s="1"/>
  <c r="R2484" i="6" l="1"/>
  <c r="M2484" i="6" s="1"/>
  <c r="S2484" i="6" s="1"/>
  <c r="Q2485" i="6"/>
  <c r="N2485" i="6"/>
  <c r="O2486" i="6"/>
  <c r="P2486" i="6" s="1"/>
  <c r="R2485" i="6" l="1"/>
  <c r="M2485" i="6" s="1"/>
  <c r="S2485" i="6" s="1"/>
  <c r="Q2486" i="6"/>
  <c r="O2487" i="6"/>
  <c r="P2487" i="6" s="1"/>
  <c r="N2486" i="6"/>
  <c r="R2486" i="6" l="1"/>
  <c r="M2486" i="6" s="1"/>
  <c r="S2486" i="6" s="1"/>
  <c r="Q2487" i="6"/>
  <c r="N2487" i="6"/>
  <c r="O2488" i="6"/>
  <c r="P2488" i="6" s="1"/>
  <c r="R2487" i="6" l="1"/>
  <c r="M2487" i="6" s="1"/>
  <c r="S2487" i="6" s="1"/>
  <c r="Q2488" i="6"/>
  <c r="N2488" i="6"/>
  <c r="O2489" i="6"/>
  <c r="P2489" i="6" s="1"/>
  <c r="R2488" i="6" l="1"/>
  <c r="M2488" i="6" s="1"/>
  <c r="S2488" i="6" s="1"/>
  <c r="Q2489" i="6"/>
  <c r="N2489" i="6"/>
  <c r="O2490" i="6"/>
  <c r="P2490" i="6" s="1"/>
  <c r="R2489" i="6" l="1"/>
  <c r="M2489" i="6" s="1"/>
  <c r="S2489" i="6" s="1"/>
  <c r="Q2490" i="6"/>
  <c r="N2490" i="6"/>
  <c r="O2491" i="6"/>
  <c r="P2491" i="6" s="1"/>
  <c r="R2490" i="6" l="1"/>
  <c r="M2490" i="6" s="1"/>
  <c r="S2490" i="6" s="1"/>
  <c r="Q2491" i="6"/>
  <c r="N2491" i="6"/>
  <c r="O2492" i="6"/>
  <c r="P2492" i="6" s="1"/>
  <c r="R2491" i="6" l="1"/>
  <c r="M2491" i="6" s="1"/>
  <c r="S2491" i="6" s="1"/>
  <c r="Q2492" i="6"/>
  <c r="O2493" i="6"/>
  <c r="P2493" i="6" s="1"/>
  <c r="N2492" i="6"/>
  <c r="R2492" i="6" l="1"/>
  <c r="M2492" i="6" s="1"/>
  <c r="S2492" i="6" s="1"/>
  <c r="Q2493" i="6"/>
  <c r="N2493" i="6"/>
  <c r="O2494" i="6"/>
  <c r="P2494" i="6" s="1"/>
  <c r="R2493" i="6" l="1"/>
  <c r="M2493" i="6" s="1"/>
  <c r="S2493" i="6" s="1"/>
  <c r="Q2494" i="6"/>
  <c r="O2495" i="6"/>
  <c r="P2495" i="6" s="1"/>
  <c r="N2494" i="6"/>
  <c r="R2494" i="6" l="1"/>
  <c r="M2494" i="6" s="1"/>
  <c r="S2494" i="6" s="1"/>
  <c r="Q2495" i="6"/>
  <c r="N2495" i="6"/>
  <c r="O2496" i="6"/>
  <c r="P2496" i="6" s="1"/>
  <c r="R2495" i="6" l="1"/>
  <c r="M2495" i="6" s="1"/>
  <c r="S2495" i="6" s="1"/>
  <c r="Q2496" i="6"/>
  <c r="O2497" i="6"/>
  <c r="P2497" i="6" s="1"/>
  <c r="N2496" i="6"/>
  <c r="R2496" i="6" l="1"/>
  <c r="M2496" i="6" s="1"/>
  <c r="S2496" i="6" s="1"/>
  <c r="Q2497" i="6"/>
  <c r="N2497" i="6"/>
  <c r="O2498" i="6"/>
  <c r="P2498" i="6" s="1"/>
  <c r="R2497" i="6" l="1"/>
  <c r="M2497" i="6" s="1"/>
  <c r="S2497" i="6" s="1"/>
  <c r="Q2498" i="6"/>
  <c r="N2498" i="6"/>
  <c r="O2499" i="6"/>
  <c r="P2499" i="6" s="1"/>
  <c r="R2498" i="6" l="1"/>
  <c r="M2498" i="6" s="1"/>
  <c r="S2498" i="6" s="1"/>
  <c r="Q2499" i="6"/>
  <c r="O2500" i="6"/>
  <c r="P2500" i="6" s="1"/>
  <c r="N2499" i="6"/>
  <c r="R2499" i="6" l="1"/>
  <c r="M2499" i="6" s="1"/>
  <c r="S2499" i="6" s="1"/>
  <c r="Q2500" i="6"/>
  <c r="N2500" i="6"/>
  <c r="O2501" i="6"/>
  <c r="P2501" i="6" s="1"/>
  <c r="R2500" i="6" l="1"/>
  <c r="M2500" i="6" s="1"/>
  <c r="S2500" i="6" s="1"/>
  <c r="Q2501" i="6"/>
  <c r="N2501" i="6"/>
  <c r="O2502" i="6"/>
  <c r="P2502" i="6" s="1"/>
  <c r="R2501" i="6" l="1"/>
  <c r="M2501" i="6" s="1"/>
  <c r="S2501" i="6" s="1"/>
  <c r="Q2502" i="6"/>
  <c r="O2503" i="6"/>
  <c r="P2503" i="6" s="1"/>
  <c r="N2502" i="6"/>
  <c r="R2502" i="6" l="1"/>
  <c r="M2502" i="6" s="1"/>
  <c r="S2502" i="6" s="1"/>
  <c r="Q2503" i="6"/>
  <c r="N2503" i="6"/>
  <c r="O2504" i="6"/>
  <c r="P2504" i="6" s="1"/>
  <c r="R2503" i="6" l="1"/>
  <c r="M2503" i="6" s="1"/>
  <c r="S2503" i="6" s="1"/>
  <c r="Q2504" i="6"/>
  <c r="N2504" i="6"/>
  <c r="O2505" i="6"/>
  <c r="P2505" i="6" s="1"/>
  <c r="R2504" i="6" l="1"/>
  <c r="M2504" i="6" s="1"/>
  <c r="S2504" i="6" s="1"/>
  <c r="Q2505" i="6"/>
  <c r="N2505" i="6"/>
  <c r="O2506" i="6"/>
  <c r="P2506" i="6" s="1"/>
  <c r="R2505" i="6" l="1"/>
  <c r="M2505" i="6" s="1"/>
  <c r="S2505" i="6" s="1"/>
  <c r="Q2506" i="6"/>
  <c r="O2507" i="6"/>
  <c r="P2507" i="6" s="1"/>
  <c r="N2506" i="6"/>
  <c r="R2506" i="6" l="1"/>
  <c r="M2506" i="6" s="1"/>
  <c r="S2506" i="6" s="1"/>
  <c r="Q2507" i="6"/>
  <c r="N2507" i="6"/>
  <c r="O2508" i="6"/>
  <c r="P2508" i="6" s="1"/>
  <c r="R2507" i="6" l="1"/>
  <c r="M2507" i="6" s="1"/>
  <c r="S2507" i="6" s="1"/>
  <c r="Q2508" i="6"/>
  <c r="N2508" i="6"/>
  <c r="O2509" i="6"/>
  <c r="P2509" i="6" s="1"/>
  <c r="R2508" i="6" l="1"/>
  <c r="M2508" i="6" s="1"/>
  <c r="S2508" i="6" s="1"/>
  <c r="Q2509" i="6"/>
  <c r="N2509" i="6"/>
  <c r="O2510" i="6"/>
  <c r="P2510" i="6" s="1"/>
  <c r="R2509" i="6" l="1"/>
  <c r="M2509" i="6" s="1"/>
  <c r="S2509" i="6" s="1"/>
  <c r="Q2510" i="6"/>
  <c r="O2511" i="6"/>
  <c r="P2511" i="6" s="1"/>
  <c r="N2510" i="6"/>
  <c r="R2510" i="6" l="1"/>
  <c r="M2510" i="6" s="1"/>
  <c r="S2510" i="6" s="1"/>
  <c r="Q2511" i="6"/>
  <c r="O2512" i="6"/>
  <c r="P2512" i="6" s="1"/>
  <c r="N2511" i="6"/>
  <c r="R2511" i="6" l="1"/>
  <c r="M2511" i="6" s="1"/>
  <c r="S2511" i="6" s="1"/>
  <c r="Q2512" i="6"/>
  <c r="N2512" i="6"/>
  <c r="O2513" i="6"/>
  <c r="P2513" i="6" s="1"/>
  <c r="R2512" i="6" l="1"/>
  <c r="M2512" i="6" s="1"/>
  <c r="S2512" i="6" s="1"/>
  <c r="Q2513" i="6"/>
  <c r="O2514" i="6"/>
  <c r="P2514" i="6" s="1"/>
  <c r="N2513" i="6"/>
  <c r="R2513" i="6" l="1"/>
  <c r="M2513" i="6" s="1"/>
  <c r="S2513" i="6" s="1"/>
  <c r="Q2514" i="6"/>
  <c r="O2515" i="6"/>
  <c r="P2515" i="6" s="1"/>
  <c r="N2514" i="6"/>
  <c r="R2514" i="6" l="1"/>
  <c r="M2514" i="6" s="1"/>
  <c r="S2514" i="6" s="1"/>
  <c r="Q2515" i="6"/>
  <c r="N2515" i="6"/>
  <c r="O2516" i="6"/>
  <c r="P2516" i="6" s="1"/>
  <c r="R2515" i="6" l="1"/>
  <c r="M2515" i="6" s="1"/>
  <c r="S2515" i="6" s="1"/>
  <c r="Q2516" i="6"/>
  <c r="O2517" i="6"/>
  <c r="P2517" i="6" s="1"/>
  <c r="N2516" i="6"/>
  <c r="R2516" i="6" l="1"/>
  <c r="M2516" i="6" s="1"/>
  <c r="S2516" i="6" s="1"/>
  <c r="Q2517" i="6"/>
  <c r="O2518" i="6"/>
  <c r="P2518" i="6" s="1"/>
  <c r="N2517" i="6"/>
  <c r="R2517" i="6" l="1"/>
  <c r="M2517" i="6" s="1"/>
  <c r="S2517" i="6" s="1"/>
  <c r="Q2518" i="6"/>
  <c r="O2519" i="6"/>
  <c r="P2519" i="6" s="1"/>
  <c r="N2518" i="6"/>
  <c r="R2518" i="6" l="1"/>
  <c r="M2518" i="6" s="1"/>
  <c r="S2518" i="6" s="1"/>
  <c r="Q2519" i="6"/>
  <c r="O2520" i="6"/>
  <c r="P2520" i="6" s="1"/>
  <c r="N2519" i="6"/>
  <c r="R2519" i="6" l="1"/>
  <c r="M2519" i="6" s="1"/>
  <c r="S2519" i="6" s="1"/>
  <c r="Q2520" i="6"/>
  <c r="N2520" i="6"/>
  <c r="O2521" i="6"/>
  <c r="P2521" i="6" s="1"/>
  <c r="R2520" i="6" l="1"/>
  <c r="M2520" i="6" s="1"/>
  <c r="S2520" i="6" s="1"/>
  <c r="Q2521" i="6"/>
  <c r="O2522" i="6"/>
  <c r="P2522" i="6" s="1"/>
  <c r="N2521" i="6"/>
  <c r="R2521" i="6" l="1"/>
  <c r="M2521" i="6" s="1"/>
  <c r="S2521" i="6" s="1"/>
  <c r="Q2522" i="6"/>
  <c r="O2523" i="6"/>
  <c r="P2523" i="6" s="1"/>
  <c r="N2522" i="6"/>
  <c r="R2522" i="6" l="1"/>
  <c r="M2522" i="6" s="1"/>
  <c r="S2522" i="6" s="1"/>
  <c r="Q2523" i="6"/>
  <c r="O2524" i="6"/>
  <c r="P2524" i="6" s="1"/>
  <c r="N2523" i="6"/>
  <c r="R2523" i="6" l="1"/>
  <c r="M2523" i="6" s="1"/>
  <c r="S2523" i="6" s="1"/>
  <c r="Q2524" i="6"/>
  <c r="N2524" i="6"/>
  <c r="O2525" i="6"/>
  <c r="P2525" i="6" s="1"/>
  <c r="R2524" i="6" l="1"/>
  <c r="M2524" i="6" s="1"/>
  <c r="S2524" i="6" s="1"/>
  <c r="Q2525" i="6"/>
  <c r="O2526" i="6"/>
  <c r="P2526" i="6" s="1"/>
  <c r="N2525" i="6"/>
  <c r="R2525" i="6" l="1"/>
  <c r="M2525" i="6" s="1"/>
  <c r="S2525" i="6" s="1"/>
  <c r="Q2526" i="6"/>
  <c r="O2527" i="6"/>
  <c r="P2527" i="6" s="1"/>
  <c r="N2526" i="6"/>
  <c r="R2526" i="6" l="1"/>
  <c r="M2526" i="6" s="1"/>
  <c r="S2526" i="6" s="1"/>
  <c r="Q2527" i="6"/>
  <c r="N2527" i="6"/>
  <c r="O2528" i="6"/>
  <c r="P2528" i="6" s="1"/>
  <c r="R2527" i="6" l="1"/>
  <c r="M2527" i="6" s="1"/>
  <c r="S2527" i="6" s="1"/>
  <c r="Q2528" i="6"/>
  <c r="N2528" i="6"/>
  <c r="O2529" i="6"/>
  <c r="P2529" i="6" s="1"/>
  <c r="R2528" i="6" l="1"/>
  <c r="M2528" i="6" s="1"/>
  <c r="S2528" i="6" s="1"/>
  <c r="Q2529" i="6"/>
  <c r="O2530" i="6"/>
  <c r="P2530" i="6" s="1"/>
  <c r="N2529" i="6"/>
  <c r="R2529" i="6" l="1"/>
  <c r="M2529" i="6" s="1"/>
  <c r="S2529" i="6" s="1"/>
  <c r="Q2530" i="6"/>
  <c r="N2530" i="6"/>
  <c r="O2531" i="6"/>
  <c r="P2531" i="6" s="1"/>
  <c r="R2530" i="6" l="1"/>
  <c r="M2530" i="6" s="1"/>
  <c r="S2530" i="6" s="1"/>
  <c r="Q2531" i="6"/>
  <c r="O2532" i="6"/>
  <c r="P2532" i="6" s="1"/>
  <c r="N2531" i="6"/>
  <c r="R2531" i="6" l="1"/>
  <c r="M2531" i="6" s="1"/>
  <c r="S2531" i="6" s="1"/>
  <c r="Q2532" i="6"/>
  <c r="O2533" i="6"/>
  <c r="P2533" i="6" s="1"/>
  <c r="N2532" i="6"/>
  <c r="R2532" i="6" l="1"/>
  <c r="M2532" i="6" s="1"/>
  <c r="S2532" i="6" s="1"/>
  <c r="Q2533" i="6"/>
  <c r="O2534" i="6"/>
  <c r="P2534" i="6" s="1"/>
  <c r="N2533" i="6"/>
  <c r="R2533" i="6" l="1"/>
  <c r="M2533" i="6" s="1"/>
  <c r="S2533" i="6" s="1"/>
  <c r="Q2534" i="6"/>
  <c r="O2535" i="6"/>
  <c r="P2535" i="6" s="1"/>
  <c r="N2534" i="6"/>
  <c r="R2534" i="6" l="1"/>
  <c r="M2534" i="6" s="1"/>
  <c r="S2534" i="6" s="1"/>
  <c r="Q2535" i="6"/>
  <c r="O2536" i="6"/>
  <c r="P2536" i="6" s="1"/>
  <c r="N2535" i="6"/>
  <c r="R2535" i="6" l="1"/>
  <c r="M2535" i="6" s="1"/>
  <c r="S2535" i="6" s="1"/>
  <c r="Q2536" i="6"/>
  <c r="N2536" i="6"/>
  <c r="O2537" i="6"/>
  <c r="P2537" i="6" s="1"/>
  <c r="R2536" i="6" l="1"/>
  <c r="M2536" i="6" s="1"/>
  <c r="S2536" i="6" s="1"/>
  <c r="Q2537" i="6"/>
  <c r="O2538" i="6"/>
  <c r="P2538" i="6" s="1"/>
  <c r="N2537" i="6"/>
  <c r="R2537" i="6" l="1"/>
  <c r="M2537" i="6" s="1"/>
  <c r="S2537" i="6" s="1"/>
  <c r="Q2538" i="6"/>
  <c r="N2538" i="6"/>
  <c r="O2539" i="6"/>
  <c r="P2539" i="6" s="1"/>
  <c r="R2538" i="6" l="1"/>
  <c r="M2538" i="6" s="1"/>
  <c r="S2538" i="6" s="1"/>
  <c r="Q2539" i="6"/>
  <c r="O2540" i="6"/>
  <c r="P2540" i="6" s="1"/>
  <c r="N2539" i="6"/>
  <c r="R2539" i="6" l="1"/>
  <c r="M2539" i="6" s="1"/>
  <c r="S2539" i="6" s="1"/>
  <c r="Q2540" i="6"/>
  <c r="N2540" i="6"/>
  <c r="O2541" i="6"/>
  <c r="P2541" i="6" s="1"/>
  <c r="R2540" i="6" l="1"/>
  <c r="M2540" i="6" s="1"/>
  <c r="S2540" i="6" s="1"/>
  <c r="Q2541" i="6"/>
  <c r="N2541" i="6"/>
  <c r="O2542" i="6"/>
  <c r="P2542" i="6" s="1"/>
  <c r="R2541" i="6" l="1"/>
  <c r="M2541" i="6" s="1"/>
  <c r="S2541" i="6" s="1"/>
  <c r="Q2542" i="6"/>
  <c r="O2543" i="6"/>
  <c r="P2543" i="6" s="1"/>
  <c r="N2542" i="6"/>
  <c r="R2542" i="6" l="1"/>
  <c r="M2542" i="6" s="1"/>
  <c r="S2542" i="6" s="1"/>
  <c r="Q2543" i="6"/>
  <c r="O2544" i="6"/>
  <c r="P2544" i="6" s="1"/>
  <c r="N2543" i="6"/>
  <c r="R2543" i="6" l="1"/>
  <c r="M2543" i="6" s="1"/>
  <c r="S2543" i="6" s="1"/>
  <c r="Q2544" i="6"/>
  <c r="O2545" i="6"/>
  <c r="P2545" i="6" s="1"/>
  <c r="N2544" i="6"/>
  <c r="R2544" i="6" l="1"/>
  <c r="M2544" i="6" s="1"/>
  <c r="S2544" i="6" s="1"/>
  <c r="Q2545" i="6"/>
  <c r="O2546" i="6"/>
  <c r="P2546" i="6" s="1"/>
  <c r="N2545" i="6"/>
  <c r="R2545" i="6" l="1"/>
  <c r="M2545" i="6" s="1"/>
  <c r="S2545" i="6" s="1"/>
  <c r="Q2546" i="6"/>
  <c r="N2546" i="6"/>
  <c r="O2547" i="6"/>
  <c r="P2547" i="6" s="1"/>
  <c r="R2546" i="6" l="1"/>
  <c r="M2546" i="6" s="1"/>
  <c r="S2546" i="6" s="1"/>
  <c r="Q2547" i="6"/>
  <c r="O2548" i="6"/>
  <c r="P2548" i="6" s="1"/>
  <c r="N2547" i="6"/>
  <c r="R2547" i="6" l="1"/>
  <c r="M2547" i="6" s="1"/>
  <c r="S2547" i="6" s="1"/>
  <c r="Q2548" i="6"/>
  <c r="O2549" i="6"/>
  <c r="P2549" i="6" s="1"/>
  <c r="N2548" i="6"/>
  <c r="R2548" i="6" l="1"/>
  <c r="M2548" i="6" s="1"/>
  <c r="S2548" i="6" s="1"/>
  <c r="Q2549" i="6"/>
  <c r="O2550" i="6"/>
  <c r="P2550" i="6" s="1"/>
  <c r="N2549" i="6"/>
  <c r="R2549" i="6" l="1"/>
  <c r="M2549" i="6" s="1"/>
  <c r="S2549" i="6" s="1"/>
  <c r="Q2550" i="6"/>
  <c r="N2550" i="6"/>
  <c r="O2551" i="6"/>
  <c r="P2551" i="6" s="1"/>
  <c r="R2550" i="6" l="1"/>
  <c r="M2550" i="6" s="1"/>
  <c r="S2550" i="6" s="1"/>
  <c r="Q2551" i="6"/>
  <c r="O2552" i="6"/>
  <c r="P2552" i="6" s="1"/>
  <c r="N2551" i="6"/>
  <c r="R2551" i="6" l="1"/>
  <c r="M2551" i="6" s="1"/>
  <c r="S2551" i="6" s="1"/>
  <c r="Q2552" i="6"/>
  <c r="O2553" i="6"/>
  <c r="P2553" i="6" s="1"/>
  <c r="N2552" i="6"/>
  <c r="R2552" i="6" l="1"/>
  <c r="M2552" i="6" s="1"/>
  <c r="S2552" i="6" s="1"/>
  <c r="Q2553" i="6"/>
  <c r="O2554" i="6"/>
  <c r="P2554" i="6" s="1"/>
  <c r="N2553" i="6"/>
  <c r="R2553" i="6" l="1"/>
  <c r="M2553" i="6" s="1"/>
  <c r="S2553" i="6" s="1"/>
  <c r="Q2554" i="6"/>
  <c r="N2554" i="6"/>
  <c r="O2555" i="6"/>
  <c r="P2555" i="6" s="1"/>
  <c r="R2554" i="6" l="1"/>
  <c r="M2554" i="6" s="1"/>
  <c r="S2554" i="6" s="1"/>
  <c r="Q2555" i="6"/>
  <c r="N2555" i="6"/>
  <c r="O2556" i="6"/>
  <c r="P2556" i="6" s="1"/>
  <c r="R2555" i="6" l="1"/>
  <c r="M2555" i="6" s="1"/>
  <c r="S2555" i="6" s="1"/>
  <c r="Q2556" i="6"/>
  <c r="N2556" i="6"/>
  <c r="O2557" i="6"/>
  <c r="P2557" i="6" s="1"/>
  <c r="R2556" i="6" l="1"/>
  <c r="M2556" i="6" s="1"/>
  <c r="S2556" i="6" s="1"/>
  <c r="Q2557" i="6"/>
  <c r="O2558" i="6"/>
  <c r="P2558" i="6" s="1"/>
  <c r="N2557" i="6"/>
  <c r="R2557" i="6" l="1"/>
  <c r="M2557" i="6" s="1"/>
  <c r="S2557" i="6" s="1"/>
  <c r="Q2558" i="6"/>
  <c r="N2558" i="6"/>
  <c r="O2559" i="6"/>
  <c r="P2559" i="6" s="1"/>
  <c r="R2558" i="6" l="1"/>
  <c r="M2558" i="6" s="1"/>
  <c r="S2558" i="6" s="1"/>
  <c r="Q2559" i="6"/>
  <c r="O2560" i="6"/>
  <c r="P2560" i="6" s="1"/>
  <c r="N2559" i="6"/>
  <c r="R2559" i="6" l="1"/>
  <c r="M2559" i="6" s="1"/>
  <c r="S2559" i="6" s="1"/>
  <c r="Q2560" i="6"/>
  <c r="N2560" i="6"/>
  <c r="O2561" i="6"/>
  <c r="P2561" i="6" s="1"/>
  <c r="R2560" i="6" l="1"/>
  <c r="M2560" i="6" s="1"/>
  <c r="S2560" i="6" s="1"/>
  <c r="Q2561" i="6"/>
  <c r="O2562" i="6"/>
  <c r="P2562" i="6" s="1"/>
  <c r="N2561" i="6"/>
  <c r="R2561" i="6" l="1"/>
  <c r="M2561" i="6" s="1"/>
  <c r="S2561" i="6" s="1"/>
  <c r="Q2562" i="6"/>
  <c r="O2563" i="6"/>
  <c r="P2563" i="6" s="1"/>
  <c r="N2562" i="6"/>
  <c r="R2562" i="6" l="1"/>
  <c r="M2562" i="6" s="1"/>
  <c r="S2562" i="6" s="1"/>
  <c r="Q2563" i="6"/>
  <c r="N2563" i="6"/>
  <c r="O2564" i="6"/>
  <c r="P2564" i="6" s="1"/>
  <c r="R2563" i="6" l="1"/>
  <c r="M2563" i="6" s="1"/>
  <c r="S2563" i="6" s="1"/>
  <c r="Q2564" i="6"/>
  <c r="N2564" i="6"/>
  <c r="O2565" i="6"/>
  <c r="P2565" i="6" s="1"/>
  <c r="R2564" i="6" l="1"/>
  <c r="M2564" i="6" s="1"/>
  <c r="S2564" i="6" s="1"/>
  <c r="Q2565" i="6"/>
  <c r="O2566" i="6"/>
  <c r="P2566" i="6" s="1"/>
  <c r="N2565" i="6"/>
  <c r="R2565" i="6" l="1"/>
  <c r="M2565" i="6" s="1"/>
  <c r="S2565" i="6" s="1"/>
  <c r="Q2566" i="6"/>
  <c r="N2566" i="6"/>
  <c r="O2567" i="6"/>
  <c r="P2567" i="6" s="1"/>
  <c r="R2566" i="6" l="1"/>
  <c r="M2566" i="6" s="1"/>
  <c r="S2566" i="6" s="1"/>
  <c r="Q2567" i="6"/>
  <c r="N2567" i="6"/>
  <c r="O2568" i="6"/>
  <c r="P2568" i="6" s="1"/>
  <c r="R2567" i="6" l="1"/>
  <c r="M2567" i="6" s="1"/>
  <c r="S2567" i="6" s="1"/>
  <c r="Q2568" i="6"/>
  <c r="N2568" i="6"/>
  <c r="O2569" i="6"/>
  <c r="P2569" i="6" s="1"/>
  <c r="R2568" i="6" l="1"/>
  <c r="M2568" i="6" s="1"/>
  <c r="S2568" i="6" s="1"/>
  <c r="Q2569" i="6"/>
  <c r="N2569" i="6"/>
  <c r="O2570" i="6"/>
  <c r="P2570" i="6" s="1"/>
  <c r="R2569" i="6" l="1"/>
  <c r="M2569" i="6" s="1"/>
  <c r="S2569" i="6" s="1"/>
  <c r="Q2570" i="6"/>
  <c r="O2571" i="6"/>
  <c r="P2571" i="6" s="1"/>
  <c r="N2570" i="6"/>
  <c r="R2570" i="6" l="1"/>
  <c r="M2570" i="6" s="1"/>
  <c r="S2570" i="6" s="1"/>
  <c r="Q2571" i="6"/>
  <c r="O2572" i="6"/>
  <c r="P2572" i="6" s="1"/>
  <c r="N2571" i="6"/>
  <c r="R2571" i="6" l="1"/>
  <c r="M2571" i="6" s="1"/>
  <c r="S2571" i="6" s="1"/>
  <c r="Q2572" i="6"/>
  <c r="N2572" i="6"/>
  <c r="O2573" i="6"/>
  <c r="P2573" i="6" s="1"/>
  <c r="R2572" i="6" l="1"/>
  <c r="M2572" i="6" s="1"/>
  <c r="S2572" i="6" s="1"/>
  <c r="Q2573" i="6"/>
  <c r="O2574" i="6"/>
  <c r="P2574" i="6" s="1"/>
  <c r="N2573" i="6"/>
  <c r="R2573" i="6" l="1"/>
  <c r="M2573" i="6" s="1"/>
  <c r="S2573" i="6" s="1"/>
  <c r="Q2574" i="6"/>
  <c r="O2575" i="6"/>
  <c r="P2575" i="6" s="1"/>
  <c r="N2574" i="6"/>
  <c r="R2574" i="6" l="1"/>
  <c r="M2574" i="6" s="1"/>
  <c r="S2574" i="6" s="1"/>
  <c r="Q2575" i="6"/>
  <c r="O2576" i="6"/>
  <c r="P2576" i="6" s="1"/>
  <c r="N2575" i="6"/>
  <c r="R2575" i="6" l="1"/>
  <c r="M2575" i="6" s="1"/>
  <c r="S2575" i="6" s="1"/>
  <c r="Q2576" i="6"/>
  <c r="N2576" i="6"/>
  <c r="O2577" i="6"/>
  <c r="P2577" i="6" s="1"/>
  <c r="R2576" i="6" l="1"/>
  <c r="M2576" i="6" s="1"/>
  <c r="S2576" i="6" s="1"/>
  <c r="Q2577" i="6"/>
  <c r="N2577" i="6"/>
  <c r="O2578" i="6"/>
  <c r="P2578" i="6" s="1"/>
  <c r="R2577" i="6" l="1"/>
  <c r="M2577" i="6" s="1"/>
  <c r="S2577" i="6" s="1"/>
  <c r="Q2578" i="6"/>
  <c r="O2579" i="6"/>
  <c r="P2579" i="6" s="1"/>
  <c r="N2578" i="6"/>
  <c r="R2578" i="6" l="1"/>
  <c r="M2578" i="6" s="1"/>
  <c r="S2578" i="6" s="1"/>
  <c r="Q2579" i="6"/>
  <c r="N2579" i="6"/>
  <c r="O2580" i="6"/>
  <c r="P2580" i="6" s="1"/>
  <c r="R2579" i="6" l="1"/>
  <c r="M2579" i="6" s="1"/>
  <c r="S2579" i="6" s="1"/>
  <c r="Q2580" i="6"/>
  <c r="N2580" i="6"/>
  <c r="O2581" i="6"/>
  <c r="P2581" i="6" s="1"/>
  <c r="R2580" i="6" l="1"/>
  <c r="M2580" i="6" s="1"/>
  <c r="S2580" i="6" s="1"/>
  <c r="Q2581" i="6"/>
  <c r="N2581" i="6"/>
  <c r="O2582" i="6"/>
  <c r="P2582" i="6" s="1"/>
  <c r="R2581" i="6" l="1"/>
  <c r="M2581" i="6" s="1"/>
  <c r="S2581" i="6" s="1"/>
  <c r="Q2582" i="6"/>
  <c r="N2582" i="6"/>
  <c r="O2583" i="6"/>
  <c r="P2583" i="6" s="1"/>
  <c r="R2582" i="6" l="1"/>
  <c r="M2582" i="6" s="1"/>
  <c r="S2582" i="6" s="1"/>
  <c r="Q2583" i="6"/>
  <c r="O2584" i="6"/>
  <c r="P2584" i="6" s="1"/>
  <c r="N2583" i="6"/>
  <c r="R2583" i="6" l="1"/>
  <c r="M2583" i="6" s="1"/>
  <c r="S2583" i="6" s="1"/>
  <c r="Q2584" i="6"/>
  <c r="N2584" i="6"/>
  <c r="O2585" i="6"/>
  <c r="P2585" i="6" s="1"/>
  <c r="R2584" i="6" l="1"/>
  <c r="M2584" i="6" s="1"/>
  <c r="S2584" i="6" s="1"/>
  <c r="Q2585" i="6"/>
  <c r="N2585" i="6"/>
  <c r="O2586" i="6"/>
  <c r="P2586" i="6" s="1"/>
  <c r="R2585" i="6" l="1"/>
  <c r="M2585" i="6" s="1"/>
  <c r="S2585" i="6" s="1"/>
  <c r="Q2586" i="6"/>
  <c r="O2587" i="6"/>
  <c r="P2587" i="6" s="1"/>
  <c r="N2586" i="6"/>
  <c r="R2586" i="6" l="1"/>
  <c r="M2586" i="6" s="1"/>
  <c r="S2586" i="6" s="1"/>
  <c r="Q2587" i="6"/>
  <c r="O2588" i="6"/>
  <c r="P2588" i="6" s="1"/>
  <c r="N2587" i="6"/>
  <c r="R2587" i="6" l="1"/>
  <c r="M2587" i="6" s="1"/>
  <c r="S2587" i="6" s="1"/>
  <c r="Q2588" i="6"/>
  <c r="O2589" i="6"/>
  <c r="P2589" i="6" s="1"/>
  <c r="N2588" i="6"/>
  <c r="R2588" i="6" l="1"/>
  <c r="M2588" i="6" s="1"/>
  <c r="S2588" i="6" s="1"/>
  <c r="Q2589" i="6"/>
  <c r="O2590" i="6"/>
  <c r="P2590" i="6" s="1"/>
  <c r="N2589" i="6"/>
  <c r="R2589" i="6" l="1"/>
  <c r="M2589" i="6" s="1"/>
  <c r="S2589" i="6" s="1"/>
  <c r="Q2590" i="6"/>
  <c r="N2590" i="6"/>
  <c r="O2591" i="6"/>
  <c r="P2591" i="6" s="1"/>
  <c r="R2590" i="6" l="1"/>
  <c r="M2590" i="6" s="1"/>
  <c r="S2590" i="6" s="1"/>
  <c r="Q2591" i="6"/>
  <c r="O2592" i="6"/>
  <c r="P2592" i="6" s="1"/>
  <c r="N2591" i="6"/>
  <c r="R2591" i="6" l="1"/>
  <c r="M2591" i="6" s="1"/>
  <c r="S2591" i="6" s="1"/>
  <c r="Q2592" i="6"/>
  <c r="O2593" i="6"/>
  <c r="P2593" i="6" s="1"/>
  <c r="N2592" i="6"/>
  <c r="R2592" i="6" l="1"/>
  <c r="M2592" i="6" s="1"/>
  <c r="S2592" i="6" s="1"/>
  <c r="Q2593" i="6"/>
  <c r="O2594" i="6"/>
  <c r="P2594" i="6" s="1"/>
  <c r="N2593" i="6"/>
  <c r="R2593" i="6" l="1"/>
  <c r="M2593" i="6" s="1"/>
  <c r="S2593" i="6" s="1"/>
  <c r="Q2594" i="6"/>
  <c r="O2595" i="6"/>
  <c r="P2595" i="6" s="1"/>
  <c r="N2594" i="6"/>
  <c r="R2594" i="6" l="1"/>
  <c r="M2594" i="6" s="1"/>
  <c r="S2594" i="6" s="1"/>
  <c r="Q2595" i="6"/>
  <c r="N2595" i="6"/>
  <c r="O2596" i="6"/>
  <c r="P2596" i="6" s="1"/>
  <c r="R2595" i="6" l="1"/>
  <c r="M2595" i="6" s="1"/>
  <c r="S2595" i="6" s="1"/>
  <c r="Q2596" i="6"/>
  <c r="N2596" i="6"/>
  <c r="O2597" i="6"/>
  <c r="P2597" i="6" s="1"/>
  <c r="R2596" i="6" l="1"/>
  <c r="M2596" i="6" s="1"/>
  <c r="S2596" i="6" s="1"/>
  <c r="Q2597" i="6"/>
  <c r="N2597" i="6"/>
  <c r="O2598" i="6"/>
  <c r="P2598" i="6" s="1"/>
  <c r="R2597" i="6" l="1"/>
  <c r="M2597" i="6" s="1"/>
  <c r="S2597" i="6" s="1"/>
  <c r="Q2598" i="6"/>
  <c r="O2599" i="6"/>
  <c r="P2599" i="6" s="1"/>
  <c r="N2598" i="6"/>
  <c r="R2598" i="6" l="1"/>
  <c r="M2598" i="6" s="1"/>
  <c r="S2598" i="6" s="1"/>
  <c r="Q2599" i="6"/>
  <c r="N2599" i="6"/>
  <c r="O2600" i="6"/>
  <c r="P2600" i="6" s="1"/>
  <c r="R2599" i="6" l="1"/>
  <c r="M2599" i="6" s="1"/>
  <c r="S2599" i="6" s="1"/>
  <c r="Q2600" i="6"/>
  <c r="N2600" i="6"/>
  <c r="O2601" i="6"/>
  <c r="P2601" i="6" s="1"/>
  <c r="R2600" i="6" l="1"/>
  <c r="M2600" i="6" s="1"/>
  <c r="S2600" i="6" s="1"/>
  <c r="Q2601" i="6"/>
  <c r="N2601" i="6"/>
  <c r="O2602" i="6"/>
  <c r="P2602" i="6" s="1"/>
  <c r="R2601" i="6" l="1"/>
  <c r="M2601" i="6" s="1"/>
  <c r="S2601" i="6" s="1"/>
  <c r="Q2602" i="6"/>
  <c r="N2602" i="6"/>
  <c r="O2603" i="6"/>
  <c r="P2603" i="6" s="1"/>
  <c r="R2602" i="6" l="1"/>
  <c r="M2602" i="6" s="1"/>
  <c r="S2602" i="6" s="1"/>
  <c r="Q2603" i="6"/>
  <c r="O2604" i="6"/>
  <c r="P2604" i="6" s="1"/>
  <c r="N2603" i="6"/>
  <c r="R2603" i="6" l="1"/>
  <c r="M2603" i="6" s="1"/>
  <c r="S2603" i="6" s="1"/>
  <c r="Q2604" i="6"/>
  <c r="N2604" i="6"/>
  <c r="O2605" i="6"/>
  <c r="P2605" i="6" s="1"/>
  <c r="E186" i="6"/>
  <c r="I186" i="6"/>
  <c r="D186" i="6"/>
  <c r="H186" i="6" s="1"/>
  <c r="F186" i="6"/>
  <c r="G186" i="6"/>
  <c r="AF186" i="6" s="1"/>
  <c r="R2604" i="6" l="1"/>
  <c r="M2604" i="6" s="1"/>
  <c r="S2604" i="6" s="1"/>
  <c r="Q2605" i="6"/>
  <c r="O2606" i="6"/>
  <c r="P2606" i="6" s="1"/>
  <c r="N2605" i="6"/>
  <c r="AE186" i="6"/>
  <c r="I187" i="6"/>
  <c r="G187" i="6"/>
  <c r="AF187" i="6" s="1"/>
  <c r="E187" i="6"/>
  <c r="F187" i="6"/>
  <c r="D187" i="6"/>
  <c r="R2605" i="6" l="1"/>
  <c r="M2605" i="6" s="1"/>
  <c r="S2605" i="6" s="1"/>
  <c r="Q2606" i="6"/>
  <c r="O2607" i="6"/>
  <c r="P2607" i="6" s="1"/>
  <c r="N2606" i="6"/>
  <c r="H187" i="6"/>
  <c r="AE187" i="6"/>
  <c r="R2606" i="6" l="1"/>
  <c r="M2606" i="6" s="1"/>
  <c r="S2606" i="6" s="1"/>
  <c r="Q2607" i="6"/>
  <c r="N2607" i="6"/>
  <c r="O2608" i="6"/>
  <c r="P2608" i="6" s="1"/>
  <c r="G188" i="6"/>
  <c r="AF188" i="6" s="1"/>
  <c r="I188" i="6"/>
  <c r="F188" i="6"/>
  <c r="D188" i="6"/>
  <c r="H188" i="6" s="1"/>
  <c r="E188" i="6"/>
  <c r="R2607" i="6" l="1"/>
  <c r="M2607" i="6" s="1"/>
  <c r="S2607" i="6" s="1"/>
  <c r="Q2608" i="6"/>
  <c r="N2608" i="6"/>
  <c r="O2609" i="6"/>
  <c r="P2609" i="6" s="1"/>
  <c r="G189" i="6"/>
  <c r="AF189" i="6" s="1"/>
  <c r="F189" i="6"/>
  <c r="E189" i="6"/>
  <c r="I189" i="6"/>
  <c r="D189" i="6"/>
  <c r="H189" i="6" s="1"/>
  <c r="AE188" i="6"/>
  <c r="R2608" i="6" l="1"/>
  <c r="M2608" i="6" s="1"/>
  <c r="S2608" i="6" s="1"/>
  <c r="Q2609" i="6"/>
  <c r="N2609" i="6"/>
  <c r="O2610" i="6"/>
  <c r="P2610" i="6" s="1"/>
  <c r="G190" i="6"/>
  <c r="AF190" i="6" s="1"/>
  <c r="I190" i="6"/>
  <c r="E190" i="6"/>
  <c r="D190" i="6"/>
  <c r="H190" i="6" s="1"/>
  <c r="F190" i="6"/>
  <c r="AE189" i="6"/>
  <c r="R2609" i="6" l="1"/>
  <c r="M2609" i="6" s="1"/>
  <c r="S2609" i="6" s="1"/>
  <c r="Q2610" i="6"/>
  <c r="N2610" i="6"/>
  <c r="O2611" i="6"/>
  <c r="P2611" i="6" s="1"/>
  <c r="AE190" i="6"/>
  <c r="G191" i="6"/>
  <c r="AF191" i="6" s="1"/>
  <c r="E191" i="6"/>
  <c r="I191" i="6"/>
  <c r="F191" i="6"/>
  <c r="D191" i="6"/>
  <c r="R2610" i="6" l="1"/>
  <c r="M2610" i="6" s="1"/>
  <c r="S2610" i="6" s="1"/>
  <c r="Q2611" i="6"/>
  <c r="O2612" i="6"/>
  <c r="P2612" i="6" s="1"/>
  <c r="N2611" i="6"/>
  <c r="H191" i="6"/>
  <c r="AE191" i="6"/>
  <c r="R2611" i="6" l="1"/>
  <c r="M2611" i="6" s="1"/>
  <c r="S2611" i="6" s="1"/>
  <c r="Q2612" i="6"/>
  <c r="N2612" i="6"/>
  <c r="O2613" i="6"/>
  <c r="P2613" i="6" s="1"/>
  <c r="G192" i="6"/>
  <c r="AF192" i="6" s="1"/>
  <c r="E192" i="6"/>
  <c r="D192" i="6"/>
  <c r="H192" i="6" s="1"/>
  <c r="F192" i="6"/>
  <c r="I192" i="6"/>
  <c r="R2612" i="6" l="1"/>
  <c r="M2612" i="6" s="1"/>
  <c r="S2612" i="6" s="1"/>
  <c r="Q2613" i="6"/>
  <c r="O2614" i="6"/>
  <c r="P2614" i="6" s="1"/>
  <c r="N2613" i="6"/>
  <c r="F193" i="6"/>
  <c r="D193" i="6"/>
  <c r="H193" i="6" s="1"/>
  <c r="I193" i="6"/>
  <c r="G193" i="6"/>
  <c r="AF193" i="6" s="1"/>
  <c r="E193" i="6"/>
  <c r="AE192" i="6"/>
  <c r="R2613" i="6" l="1"/>
  <c r="M2613" i="6" s="1"/>
  <c r="S2613" i="6" s="1"/>
  <c r="Q2614" i="6"/>
  <c r="O2615" i="6"/>
  <c r="P2615" i="6" s="1"/>
  <c r="N2614" i="6"/>
  <c r="AE193" i="6"/>
  <c r="D194" i="6"/>
  <c r="F194" i="6"/>
  <c r="G194" i="6"/>
  <c r="AF194" i="6" s="1"/>
  <c r="I194" i="6"/>
  <c r="E194" i="6"/>
  <c r="R2614" i="6" l="1"/>
  <c r="M2614" i="6" s="1"/>
  <c r="S2614" i="6" s="1"/>
  <c r="Q2615" i="6"/>
  <c r="O2616" i="6"/>
  <c r="P2616" i="6" s="1"/>
  <c r="N2615" i="6"/>
  <c r="H194" i="6"/>
  <c r="AE194" i="6"/>
  <c r="R2615" i="6" l="1"/>
  <c r="M2615" i="6" s="1"/>
  <c r="S2615" i="6" s="1"/>
  <c r="Q2616" i="6"/>
  <c r="N2616" i="6"/>
  <c r="O2617" i="6"/>
  <c r="P2617" i="6" s="1"/>
  <c r="D195" i="6"/>
  <c r="H195" i="6" s="1"/>
  <c r="F195" i="6"/>
  <c r="I195" i="6"/>
  <c r="E195" i="6"/>
  <c r="G195" i="6"/>
  <c r="AF195" i="6" s="1"/>
  <c r="R2616" i="6" l="1"/>
  <c r="M2616" i="6" s="1"/>
  <c r="S2616" i="6" s="1"/>
  <c r="Q2617" i="6"/>
  <c r="N2617" i="6"/>
  <c r="O2618" i="6"/>
  <c r="P2618" i="6" s="1"/>
  <c r="D196" i="6"/>
  <c r="F196" i="6"/>
  <c r="I196" i="6"/>
  <c r="E196" i="6"/>
  <c r="G196" i="6"/>
  <c r="AF196" i="6" s="1"/>
  <c r="AE195" i="6"/>
  <c r="R2617" i="6" l="1"/>
  <c r="M2617" i="6" s="1"/>
  <c r="S2617" i="6" s="1"/>
  <c r="Q2618" i="6"/>
  <c r="O2619" i="6"/>
  <c r="P2619" i="6" s="1"/>
  <c r="N2618" i="6"/>
  <c r="AE196" i="6"/>
  <c r="H196" i="6"/>
  <c r="R2618" i="6" l="1"/>
  <c r="M2618" i="6" s="1"/>
  <c r="S2618" i="6" s="1"/>
  <c r="Q2619" i="6"/>
  <c r="N2619" i="6"/>
  <c r="O2620" i="6"/>
  <c r="P2620" i="6" s="1"/>
  <c r="E197" i="6"/>
  <c r="G197" i="6"/>
  <c r="AF197" i="6" s="1"/>
  <c r="D197" i="6"/>
  <c r="H197" i="6" s="1"/>
  <c r="F197" i="6"/>
  <c r="I197" i="6"/>
  <c r="R2619" i="6" l="1"/>
  <c r="M2619" i="6" s="1"/>
  <c r="S2619" i="6" s="1"/>
  <c r="Q2620" i="6"/>
  <c r="N2620" i="6"/>
  <c r="O2621" i="6"/>
  <c r="P2621" i="6" s="1"/>
  <c r="AE197" i="6"/>
  <c r="D198" i="6"/>
  <c r="F198" i="6"/>
  <c r="G198" i="6"/>
  <c r="AF198" i="6" s="1"/>
  <c r="E198" i="6"/>
  <c r="I198" i="6"/>
  <c r="R2620" i="6" l="1"/>
  <c r="M2620" i="6" s="1"/>
  <c r="S2620" i="6" s="1"/>
  <c r="Q2621" i="6"/>
  <c r="O2622" i="6"/>
  <c r="P2622" i="6" s="1"/>
  <c r="N2621" i="6"/>
  <c r="H198" i="6"/>
  <c r="AE198" i="6"/>
  <c r="R2621" i="6" l="1"/>
  <c r="M2621" i="6" s="1"/>
  <c r="S2621" i="6" s="1"/>
  <c r="Q2622" i="6"/>
  <c r="N2622" i="6"/>
  <c r="O2623" i="6"/>
  <c r="P2623" i="6" s="1"/>
  <c r="F199" i="6"/>
  <c r="D199" i="6"/>
  <c r="I199" i="6"/>
  <c r="G199" i="6"/>
  <c r="AF199" i="6" s="1"/>
  <c r="E199" i="6"/>
  <c r="R2622" i="6" l="1"/>
  <c r="M2622" i="6" s="1"/>
  <c r="S2622" i="6" s="1"/>
  <c r="Q2623" i="6"/>
  <c r="O2624" i="6"/>
  <c r="P2624" i="6" s="1"/>
  <c r="N2623" i="6"/>
  <c r="H199" i="6"/>
  <c r="AE199" i="6"/>
  <c r="R2623" i="6" l="1"/>
  <c r="M2623" i="6" s="1"/>
  <c r="S2623" i="6" s="1"/>
  <c r="Q2624" i="6"/>
  <c r="N2624" i="6"/>
  <c r="O2625" i="6"/>
  <c r="P2625" i="6" s="1"/>
  <c r="I200" i="6"/>
  <c r="D200" i="6"/>
  <c r="H200" i="6" s="1"/>
  <c r="G200" i="6"/>
  <c r="AF200" i="6" s="1"/>
  <c r="E200" i="6"/>
  <c r="F200" i="6"/>
  <c r="R2624" i="6" l="1"/>
  <c r="M2624" i="6" s="1"/>
  <c r="S2624" i="6" s="1"/>
  <c r="Q2625" i="6"/>
  <c r="N2625" i="6"/>
  <c r="O2626" i="6"/>
  <c r="P2626" i="6" s="1"/>
  <c r="G201" i="6"/>
  <c r="AF201" i="6" s="1"/>
  <c r="D201" i="6"/>
  <c r="I201" i="6"/>
  <c r="E201" i="6"/>
  <c r="F201" i="6"/>
  <c r="AE200" i="6"/>
  <c r="R2625" i="6" l="1"/>
  <c r="M2625" i="6" s="1"/>
  <c r="S2625" i="6" s="1"/>
  <c r="Q2626" i="6"/>
  <c r="O2627" i="6"/>
  <c r="P2627" i="6" s="1"/>
  <c r="N2626" i="6"/>
  <c r="AE201" i="6"/>
  <c r="H201" i="6"/>
  <c r="R2626" i="6" l="1"/>
  <c r="M2626" i="6" s="1"/>
  <c r="S2626" i="6" s="1"/>
  <c r="Q2627" i="6"/>
  <c r="O2628" i="6"/>
  <c r="P2628" i="6" s="1"/>
  <c r="N2627" i="6"/>
  <c r="G202" i="6"/>
  <c r="AF202" i="6" s="1"/>
  <c r="F202" i="6"/>
  <c r="E202" i="6"/>
  <c r="D202" i="6"/>
  <c r="H202" i="6" s="1"/>
  <c r="I202" i="6"/>
  <c r="R2627" i="6" l="1"/>
  <c r="M2627" i="6" s="1"/>
  <c r="S2627" i="6" s="1"/>
  <c r="Q2628" i="6"/>
  <c r="N2628" i="6"/>
  <c r="O2629" i="6"/>
  <c r="P2629" i="6" s="1"/>
  <c r="AE202" i="6"/>
  <c r="E203" i="6"/>
  <c r="I203" i="6"/>
  <c r="D203" i="6"/>
  <c r="H203" i="6" s="1"/>
  <c r="G203" i="6"/>
  <c r="AF203" i="6" s="1"/>
  <c r="F203" i="6"/>
  <c r="R2628" i="6" l="1"/>
  <c r="M2628" i="6" s="1"/>
  <c r="S2628" i="6" s="1"/>
  <c r="Q2629" i="6"/>
  <c r="O2630" i="6"/>
  <c r="P2630" i="6" s="1"/>
  <c r="N2629" i="6"/>
  <c r="I204" i="6"/>
  <c r="F204" i="6"/>
  <c r="G204" i="6"/>
  <c r="AF204" i="6" s="1"/>
  <c r="E204" i="6"/>
  <c r="D204" i="6"/>
  <c r="AE203" i="6"/>
  <c r="R2629" i="6" l="1"/>
  <c r="M2629" i="6" s="1"/>
  <c r="S2629" i="6" s="1"/>
  <c r="Q2630" i="6"/>
  <c r="N2630" i="6"/>
  <c r="O2631" i="6"/>
  <c r="P2631" i="6" s="1"/>
  <c r="H204" i="6"/>
  <c r="AE204" i="6"/>
  <c r="R2630" i="6" l="1"/>
  <c r="M2630" i="6" s="1"/>
  <c r="S2630" i="6" s="1"/>
  <c r="Q2631" i="6"/>
  <c r="N2631" i="6"/>
  <c r="O2632" i="6"/>
  <c r="P2632" i="6" s="1"/>
  <c r="E205" i="6"/>
  <c r="I205" i="6"/>
  <c r="F205" i="6"/>
  <c r="D205" i="6"/>
  <c r="H205" i="6" s="1"/>
  <c r="I206" i="6" s="1"/>
  <c r="G205" i="6"/>
  <c r="R2631" i="6" l="1"/>
  <c r="M2631" i="6" s="1"/>
  <c r="S2631" i="6" s="1"/>
  <c r="Q2632" i="6"/>
  <c r="O2633" i="6"/>
  <c r="P2633" i="6" s="1"/>
  <c r="N2632" i="6"/>
  <c r="AF205" i="6"/>
  <c r="AE205" i="6"/>
  <c r="R2632" i="6" l="1"/>
  <c r="M2632" i="6" s="1"/>
  <c r="S2632" i="6" s="1"/>
  <c r="Q2633" i="6"/>
  <c r="N2633" i="6"/>
  <c r="O2634" i="6"/>
  <c r="P2634" i="6" s="1"/>
  <c r="R2633" i="6" l="1"/>
  <c r="M2633" i="6" s="1"/>
  <c r="S2633" i="6" s="1"/>
  <c r="Q2634" i="6"/>
  <c r="O2635" i="6"/>
  <c r="P2635" i="6" s="1"/>
  <c r="N2634" i="6"/>
  <c r="R2634" i="6" l="1"/>
  <c r="M2634" i="6" s="1"/>
  <c r="S2634" i="6" s="1"/>
  <c r="Q2635" i="6"/>
  <c r="N2635" i="6"/>
  <c r="O2636" i="6"/>
  <c r="P2636" i="6" s="1"/>
  <c r="R2635" i="6" l="1"/>
  <c r="M2635" i="6" s="1"/>
  <c r="S2635" i="6" s="1"/>
  <c r="Q2636" i="6"/>
  <c r="N2636" i="6"/>
  <c r="O2637" i="6"/>
  <c r="P2637" i="6" s="1"/>
  <c r="R2636" i="6" l="1"/>
  <c r="M2636" i="6" s="1"/>
  <c r="S2636" i="6" s="1"/>
  <c r="Q2637" i="6"/>
  <c r="O2638" i="6"/>
  <c r="P2638" i="6" s="1"/>
  <c r="N2637" i="6"/>
  <c r="R2637" i="6" l="1"/>
  <c r="M2637" i="6" s="1"/>
  <c r="S2637" i="6" s="1"/>
  <c r="Q2638" i="6"/>
  <c r="O2639" i="6"/>
  <c r="P2639" i="6" s="1"/>
  <c r="N2638" i="6"/>
  <c r="R2638" i="6" l="1"/>
  <c r="M2638" i="6" s="1"/>
  <c r="S2638" i="6" s="1"/>
  <c r="Q2639" i="6"/>
  <c r="O2640" i="6"/>
  <c r="P2640" i="6" s="1"/>
  <c r="N2639" i="6"/>
  <c r="R2639" i="6" l="1"/>
  <c r="M2639" i="6" s="1"/>
  <c r="S2639" i="6" s="1"/>
  <c r="Q2640" i="6"/>
  <c r="N2640" i="6"/>
  <c r="O2641" i="6"/>
  <c r="P2641" i="6" s="1"/>
  <c r="R2640" i="6" l="1"/>
  <c r="M2640" i="6" s="1"/>
  <c r="S2640" i="6" s="1"/>
  <c r="Q2641" i="6"/>
  <c r="N2641" i="6"/>
  <c r="O2642" i="6"/>
  <c r="P2642" i="6" s="1"/>
  <c r="R2641" i="6" l="1"/>
  <c r="M2641" i="6" s="1"/>
  <c r="S2641" i="6" s="1"/>
  <c r="Q2642" i="6"/>
  <c r="N2642" i="6"/>
  <c r="O2643" i="6"/>
  <c r="P2643" i="6" s="1"/>
  <c r="R2642" i="6" l="1"/>
  <c r="M2642" i="6" s="1"/>
  <c r="S2642" i="6" s="1"/>
  <c r="Q2643" i="6"/>
  <c r="N2643" i="6"/>
  <c r="O2644" i="6"/>
  <c r="P2644" i="6" s="1"/>
  <c r="R2643" i="6" l="1"/>
  <c r="M2643" i="6" s="1"/>
  <c r="S2643" i="6" s="1"/>
  <c r="Q2644" i="6"/>
  <c r="N2644" i="6"/>
  <c r="O2645" i="6"/>
  <c r="P2645" i="6" s="1"/>
  <c r="R2644" i="6" l="1"/>
  <c r="M2644" i="6" s="1"/>
  <c r="S2644" i="6" s="1"/>
  <c r="Q2645" i="6"/>
  <c r="N2645" i="6"/>
  <c r="O2646" i="6"/>
  <c r="P2646" i="6" s="1"/>
  <c r="R2645" i="6" l="1"/>
  <c r="M2645" i="6" s="1"/>
  <c r="S2645" i="6" s="1"/>
  <c r="Q2646" i="6"/>
  <c r="O2647" i="6"/>
  <c r="P2647" i="6" s="1"/>
  <c r="N2646" i="6"/>
  <c r="R2646" i="6" l="1"/>
  <c r="M2646" i="6" s="1"/>
  <c r="S2646" i="6" s="1"/>
  <c r="Q2647" i="6"/>
  <c r="N2647" i="6"/>
  <c r="O2648" i="6"/>
  <c r="P2648" i="6" s="1"/>
  <c r="R2647" i="6" l="1"/>
  <c r="M2647" i="6" s="1"/>
  <c r="S2647" i="6" s="1"/>
  <c r="Q2648" i="6"/>
  <c r="O2649" i="6"/>
  <c r="P2649" i="6" s="1"/>
  <c r="N2648" i="6"/>
  <c r="R2648" i="6" l="1"/>
  <c r="M2648" i="6" s="1"/>
  <c r="S2648" i="6" s="1"/>
  <c r="Q2649" i="6"/>
  <c r="N2649" i="6"/>
  <c r="O2650" i="6"/>
  <c r="P2650" i="6" s="1"/>
  <c r="R2649" i="6" l="1"/>
  <c r="M2649" i="6" s="1"/>
  <c r="S2649" i="6" s="1"/>
  <c r="Q2650" i="6"/>
  <c r="O2651" i="6"/>
  <c r="P2651" i="6" s="1"/>
  <c r="N2650" i="6"/>
  <c r="R2650" i="6" l="1"/>
  <c r="M2650" i="6" s="1"/>
  <c r="S2650" i="6" s="1"/>
  <c r="Q2651" i="6"/>
  <c r="O2652" i="6"/>
  <c r="P2652" i="6" s="1"/>
  <c r="N2651" i="6"/>
  <c r="R2651" i="6" l="1"/>
  <c r="M2651" i="6" s="1"/>
  <c r="S2651" i="6" s="1"/>
  <c r="Q2652" i="6"/>
  <c r="N2652" i="6"/>
  <c r="O2653" i="6"/>
  <c r="P2653" i="6" s="1"/>
  <c r="R2652" i="6" l="1"/>
  <c r="M2652" i="6" s="1"/>
  <c r="S2652" i="6" s="1"/>
  <c r="Q2653" i="6"/>
  <c r="O2654" i="6"/>
  <c r="P2654" i="6" s="1"/>
  <c r="N2653" i="6"/>
  <c r="R2653" i="6" l="1"/>
  <c r="M2653" i="6" s="1"/>
  <c r="S2653" i="6" s="1"/>
  <c r="Q2654" i="6"/>
  <c r="O2655" i="6"/>
  <c r="P2655" i="6" s="1"/>
  <c r="N2654" i="6"/>
  <c r="R2654" i="6" l="1"/>
  <c r="M2654" i="6" s="1"/>
  <c r="S2654" i="6" s="1"/>
  <c r="Q2655" i="6"/>
  <c r="N2655" i="6"/>
  <c r="O2656" i="6"/>
  <c r="P2656" i="6" s="1"/>
  <c r="R2655" i="6" l="1"/>
  <c r="M2655" i="6" s="1"/>
  <c r="S2655" i="6" s="1"/>
  <c r="Q2656" i="6"/>
  <c r="O2657" i="6"/>
  <c r="P2657" i="6" s="1"/>
  <c r="N2656" i="6"/>
  <c r="R2656" i="6" l="1"/>
  <c r="M2656" i="6" s="1"/>
  <c r="S2656" i="6" s="1"/>
  <c r="Q2657" i="6"/>
  <c r="N2657" i="6"/>
  <c r="O2658" i="6"/>
  <c r="P2658" i="6" s="1"/>
  <c r="R2657" i="6" l="1"/>
  <c r="M2657" i="6" s="1"/>
  <c r="S2657" i="6" s="1"/>
  <c r="Q2658" i="6"/>
  <c r="O2659" i="6"/>
  <c r="P2659" i="6" s="1"/>
  <c r="N2658" i="6"/>
  <c r="R2658" i="6" l="1"/>
  <c r="M2658" i="6" s="1"/>
  <c r="S2658" i="6" s="1"/>
  <c r="Q2659" i="6"/>
  <c r="N2659" i="6"/>
  <c r="O2660" i="6"/>
  <c r="P2660" i="6" s="1"/>
  <c r="R2659" i="6" l="1"/>
  <c r="M2659" i="6" s="1"/>
  <c r="S2659" i="6" s="1"/>
  <c r="Q2660" i="6"/>
  <c r="O2661" i="6"/>
  <c r="P2661" i="6" s="1"/>
  <c r="N2660" i="6"/>
  <c r="R2660" i="6" l="1"/>
  <c r="M2660" i="6" s="1"/>
  <c r="S2660" i="6" s="1"/>
  <c r="Q2661" i="6"/>
  <c r="N2661" i="6"/>
  <c r="O2662" i="6"/>
  <c r="P2662" i="6" s="1"/>
  <c r="R2661" i="6" l="1"/>
  <c r="M2661" i="6" s="1"/>
  <c r="S2661" i="6" s="1"/>
  <c r="Q2662" i="6"/>
  <c r="O2663" i="6"/>
  <c r="P2663" i="6" s="1"/>
  <c r="N2662" i="6"/>
  <c r="R2662" i="6" l="1"/>
  <c r="M2662" i="6" s="1"/>
  <c r="S2662" i="6" s="1"/>
  <c r="Q2663" i="6"/>
  <c r="N2663" i="6"/>
  <c r="O2664" i="6"/>
  <c r="P2664" i="6" s="1"/>
  <c r="R2663" i="6" l="1"/>
  <c r="M2663" i="6" s="1"/>
  <c r="S2663" i="6" s="1"/>
  <c r="Q2664" i="6"/>
  <c r="N2664" i="6"/>
  <c r="O2665" i="6"/>
  <c r="P2665" i="6" s="1"/>
  <c r="R2664" i="6" l="1"/>
  <c r="M2664" i="6" s="1"/>
  <c r="S2664" i="6" s="1"/>
  <c r="Q2665" i="6"/>
  <c r="O2666" i="6"/>
  <c r="P2666" i="6" s="1"/>
  <c r="N2665" i="6"/>
  <c r="R2665" i="6" l="1"/>
  <c r="M2665" i="6" s="1"/>
  <c r="S2665" i="6" s="1"/>
  <c r="Q2666" i="6"/>
  <c r="O2667" i="6"/>
  <c r="P2667" i="6" s="1"/>
  <c r="N2666" i="6"/>
  <c r="R2666" i="6" l="1"/>
  <c r="M2666" i="6" s="1"/>
  <c r="S2666" i="6" s="1"/>
  <c r="Q2667" i="6"/>
  <c r="N2667" i="6"/>
  <c r="O2668" i="6"/>
  <c r="P2668" i="6" s="1"/>
  <c r="R2667" i="6" l="1"/>
  <c r="M2667" i="6" s="1"/>
  <c r="S2667" i="6" s="1"/>
  <c r="Q2668" i="6"/>
  <c r="O2669" i="6"/>
  <c r="P2669" i="6" s="1"/>
  <c r="N2668" i="6"/>
  <c r="R2668" i="6" l="1"/>
  <c r="M2668" i="6" s="1"/>
  <c r="S2668" i="6" s="1"/>
  <c r="Q2669" i="6"/>
  <c r="N2669" i="6"/>
  <c r="O2670" i="6"/>
  <c r="P2670" i="6" s="1"/>
  <c r="R2669" i="6" l="1"/>
  <c r="M2669" i="6" s="1"/>
  <c r="S2669" i="6" s="1"/>
  <c r="Q2670" i="6"/>
  <c r="N2670" i="6"/>
  <c r="O2671" i="6"/>
  <c r="P2671" i="6" s="1"/>
  <c r="R2670" i="6" l="1"/>
  <c r="M2670" i="6" s="1"/>
  <c r="S2670" i="6" s="1"/>
  <c r="Q2671" i="6"/>
  <c r="N2671" i="6"/>
  <c r="O2672" i="6"/>
  <c r="P2672" i="6" s="1"/>
  <c r="R2671" i="6" l="1"/>
  <c r="M2671" i="6" s="1"/>
  <c r="S2671" i="6" s="1"/>
  <c r="Q2672" i="6"/>
  <c r="N2672" i="6"/>
  <c r="O2673" i="6"/>
  <c r="P2673" i="6" s="1"/>
  <c r="R2672" i="6" l="1"/>
  <c r="M2672" i="6" s="1"/>
  <c r="S2672" i="6" s="1"/>
  <c r="Q2673" i="6"/>
  <c r="N2673" i="6"/>
  <c r="O2674" i="6"/>
  <c r="P2674" i="6" s="1"/>
  <c r="R2673" i="6" l="1"/>
  <c r="M2673" i="6" s="1"/>
  <c r="S2673" i="6" s="1"/>
  <c r="Q2674" i="6"/>
  <c r="N2674" i="6"/>
  <c r="O2675" i="6"/>
  <c r="P2675" i="6" s="1"/>
  <c r="R2674" i="6" l="1"/>
  <c r="M2674" i="6" s="1"/>
  <c r="S2674" i="6" s="1"/>
  <c r="Q2675" i="6"/>
  <c r="N2675" i="6"/>
  <c r="O2676" i="6"/>
  <c r="P2676" i="6" s="1"/>
  <c r="R2675" i="6" l="1"/>
  <c r="M2675" i="6" s="1"/>
  <c r="S2675" i="6" s="1"/>
  <c r="Q2676" i="6"/>
  <c r="N2676" i="6"/>
  <c r="O2677" i="6"/>
  <c r="P2677" i="6" s="1"/>
  <c r="R2676" i="6" l="1"/>
  <c r="M2676" i="6" s="1"/>
  <c r="S2676" i="6" s="1"/>
  <c r="Q2677" i="6"/>
  <c r="N2677" i="6"/>
  <c r="O2678" i="6"/>
  <c r="P2678" i="6" s="1"/>
  <c r="R2677" i="6" l="1"/>
  <c r="M2677" i="6" s="1"/>
  <c r="S2677" i="6" s="1"/>
  <c r="Q2678" i="6"/>
  <c r="N2678" i="6"/>
  <c r="O2679" i="6"/>
  <c r="P2679" i="6" s="1"/>
  <c r="R2678" i="6" l="1"/>
  <c r="M2678" i="6" s="1"/>
  <c r="S2678" i="6" s="1"/>
  <c r="Q2679" i="6"/>
  <c r="O2680" i="6"/>
  <c r="P2680" i="6" s="1"/>
  <c r="N2679" i="6"/>
  <c r="R2679" i="6" l="1"/>
  <c r="M2679" i="6" s="1"/>
  <c r="S2679" i="6" s="1"/>
  <c r="Q2680" i="6"/>
  <c r="O2681" i="6"/>
  <c r="P2681" i="6" s="1"/>
  <c r="N2680" i="6"/>
  <c r="R2680" i="6" l="1"/>
  <c r="M2680" i="6" s="1"/>
  <c r="S2680" i="6" s="1"/>
  <c r="Q2681" i="6"/>
  <c r="O2682" i="6"/>
  <c r="P2682" i="6" s="1"/>
  <c r="N2681" i="6"/>
  <c r="R2681" i="6" l="1"/>
  <c r="M2681" i="6" s="1"/>
  <c r="S2681" i="6" s="1"/>
  <c r="Q2682" i="6"/>
  <c r="O2683" i="6"/>
  <c r="P2683" i="6" s="1"/>
  <c r="N2682" i="6"/>
  <c r="R2682" i="6" l="1"/>
  <c r="M2682" i="6" s="1"/>
  <c r="S2682" i="6" s="1"/>
  <c r="Q2683" i="6"/>
  <c r="N2683" i="6"/>
  <c r="O2684" i="6"/>
  <c r="P2684" i="6" s="1"/>
  <c r="R2683" i="6" l="1"/>
  <c r="M2683" i="6" s="1"/>
  <c r="S2683" i="6" s="1"/>
  <c r="Q2684" i="6"/>
  <c r="O2685" i="6"/>
  <c r="P2685" i="6" s="1"/>
  <c r="N2684" i="6"/>
  <c r="R2684" i="6" l="1"/>
  <c r="M2684" i="6" s="1"/>
  <c r="S2684" i="6" s="1"/>
  <c r="Q2685" i="6"/>
  <c r="N2685" i="6"/>
  <c r="O2686" i="6"/>
  <c r="P2686" i="6" s="1"/>
  <c r="R2685" i="6" l="1"/>
  <c r="M2685" i="6" s="1"/>
  <c r="S2685" i="6" s="1"/>
  <c r="Q2686" i="6"/>
  <c r="O2687" i="6"/>
  <c r="P2687" i="6" s="1"/>
  <c r="N2686" i="6"/>
  <c r="R2686" i="6" l="1"/>
  <c r="M2686" i="6" s="1"/>
  <c r="S2686" i="6" s="1"/>
  <c r="Q2687" i="6"/>
  <c r="N2687" i="6"/>
  <c r="O2688" i="6"/>
  <c r="P2688" i="6" s="1"/>
  <c r="R2687" i="6" l="1"/>
  <c r="M2687" i="6" s="1"/>
  <c r="S2687" i="6" s="1"/>
  <c r="Q2688" i="6"/>
  <c r="O2689" i="6"/>
  <c r="P2689" i="6" s="1"/>
  <c r="N2688" i="6"/>
  <c r="R2688" i="6" l="1"/>
  <c r="M2688" i="6" s="1"/>
  <c r="S2688" i="6" s="1"/>
  <c r="Q2689" i="6"/>
  <c r="N2689" i="6"/>
  <c r="O2690" i="6"/>
  <c r="P2690" i="6" s="1"/>
  <c r="R2689" i="6" l="1"/>
  <c r="M2689" i="6" s="1"/>
  <c r="S2689" i="6" s="1"/>
  <c r="Q2690" i="6"/>
  <c r="N2690" i="6"/>
  <c r="O2691" i="6"/>
  <c r="P2691" i="6" s="1"/>
  <c r="R2690" i="6" l="1"/>
  <c r="M2690" i="6" s="1"/>
  <c r="S2690" i="6" s="1"/>
  <c r="Q2691" i="6"/>
  <c r="O2692" i="6"/>
  <c r="P2692" i="6" s="1"/>
  <c r="N2691" i="6"/>
  <c r="R2691" i="6" l="1"/>
  <c r="M2691" i="6" s="1"/>
  <c r="S2691" i="6" s="1"/>
  <c r="Q2692" i="6"/>
  <c r="N2692" i="6"/>
  <c r="O2693" i="6"/>
  <c r="P2693" i="6" s="1"/>
  <c r="R2692" i="6" l="1"/>
  <c r="M2692" i="6" s="1"/>
  <c r="S2692" i="6" s="1"/>
  <c r="Q2693" i="6"/>
  <c r="O2694" i="6"/>
  <c r="P2694" i="6" s="1"/>
  <c r="N2693" i="6"/>
  <c r="R2693" i="6" l="1"/>
  <c r="M2693" i="6" s="1"/>
  <c r="S2693" i="6" s="1"/>
  <c r="Q2694" i="6"/>
  <c r="N2694" i="6"/>
  <c r="O2695" i="6"/>
  <c r="P2695" i="6" s="1"/>
  <c r="R2694" i="6" l="1"/>
  <c r="M2694" i="6" s="1"/>
  <c r="S2694" i="6" s="1"/>
  <c r="Q2695" i="6"/>
  <c r="O2696" i="6"/>
  <c r="P2696" i="6" s="1"/>
  <c r="N2695" i="6"/>
  <c r="R2695" i="6" l="1"/>
  <c r="M2695" i="6" s="1"/>
  <c r="S2695" i="6" s="1"/>
  <c r="Q2696" i="6"/>
  <c r="O2697" i="6"/>
  <c r="P2697" i="6" s="1"/>
  <c r="N2696" i="6"/>
  <c r="R2696" i="6" l="1"/>
  <c r="M2696" i="6" s="1"/>
  <c r="S2696" i="6" s="1"/>
  <c r="Q2697" i="6"/>
  <c r="N2697" i="6"/>
  <c r="O2698" i="6"/>
  <c r="P2698" i="6" s="1"/>
  <c r="R2697" i="6" l="1"/>
  <c r="M2697" i="6" s="1"/>
  <c r="S2697" i="6" s="1"/>
  <c r="Q2698" i="6"/>
  <c r="N2698" i="6"/>
  <c r="O2699" i="6"/>
  <c r="P2699" i="6" s="1"/>
  <c r="R2698" i="6" l="1"/>
  <c r="M2698" i="6" s="1"/>
  <c r="S2698" i="6" s="1"/>
  <c r="Q2699" i="6"/>
  <c r="O2700" i="6"/>
  <c r="P2700" i="6" s="1"/>
  <c r="N2699" i="6"/>
  <c r="R2699" i="6" l="1"/>
  <c r="M2699" i="6" s="1"/>
  <c r="S2699" i="6" s="1"/>
  <c r="Q2700" i="6"/>
  <c r="N2700" i="6"/>
  <c r="O2701" i="6"/>
  <c r="P2701" i="6" s="1"/>
  <c r="R2700" i="6" l="1"/>
  <c r="M2700" i="6" s="1"/>
  <c r="S2700" i="6" s="1"/>
  <c r="Q2701" i="6"/>
  <c r="O2702" i="6"/>
  <c r="P2702" i="6" s="1"/>
  <c r="N2701" i="6"/>
  <c r="R2701" i="6" l="1"/>
  <c r="M2701" i="6" s="1"/>
  <c r="S2701" i="6" s="1"/>
  <c r="Q2702" i="6"/>
  <c r="O2703" i="6"/>
  <c r="P2703" i="6" s="1"/>
  <c r="N2702" i="6"/>
  <c r="R2702" i="6" l="1"/>
  <c r="M2702" i="6" s="1"/>
  <c r="S2702" i="6" s="1"/>
  <c r="Q2703" i="6"/>
  <c r="N2703" i="6"/>
  <c r="O2704" i="6"/>
  <c r="P2704" i="6" s="1"/>
  <c r="R2703" i="6" l="1"/>
  <c r="M2703" i="6" s="1"/>
  <c r="S2703" i="6" s="1"/>
  <c r="Q2704" i="6"/>
  <c r="N2704" i="6"/>
  <c r="O2705" i="6"/>
  <c r="P2705" i="6" s="1"/>
  <c r="R2704" i="6" l="1"/>
  <c r="M2704" i="6" s="1"/>
  <c r="S2704" i="6" s="1"/>
  <c r="Q2705" i="6"/>
  <c r="N2705" i="6"/>
  <c r="O2706" i="6"/>
  <c r="P2706" i="6" s="1"/>
  <c r="R2705" i="6" l="1"/>
  <c r="M2705" i="6" s="1"/>
  <c r="S2705" i="6" s="1"/>
  <c r="Q2706" i="6"/>
  <c r="N2706" i="6"/>
  <c r="O2707" i="6"/>
  <c r="P2707" i="6" s="1"/>
  <c r="R2706" i="6" l="1"/>
  <c r="M2706" i="6" s="1"/>
  <c r="S2706" i="6" s="1"/>
  <c r="Q2707" i="6"/>
  <c r="N2707" i="6"/>
  <c r="O2708" i="6"/>
  <c r="P2708" i="6" s="1"/>
  <c r="R2707" i="6" l="1"/>
  <c r="M2707" i="6" s="1"/>
  <c r="S2707" i="6" s="1"/>
  <c r="Q2708" i="6"/>
  <c r="N2708" i="6"/>
  <c r="O2709" i="6"/>
  <c r="P2709" i="6" s="1"/>
  <c r="R2708" i="6" l="1"/>
  <c r="M2708" i="6" s="1"/>
  <c r="S2708" i="6" s="1"/>
  <c r="Q2709" i="6"/>
  <c r="N2709" i="6"/>
  <c r="O2710" i="6"/>
  <c r="P2710" i="6" s="1"/>
  <c r="R2709" i="6" l="1"/>
  <c r="M2709" i="6" s="1"/>
  <c r="S2709" i="6" s="1"/>
  <c r="Q2710" i="6"/>
  <c r="N2710" i="6"/>
  <c r="O2711" i="6"/>
  <c r="P2711" i="6" s="1"/>
  <c r="R2710" i="6" l="1"/>
  <c r="M2710" i="6" s="1"/>
  <c r="S2710" i="6" s="1"/>
  <c r="Q2711" i="6"/>
  <c r="O2712" i="6"/>
  <c r="P2712" i="6" s="1"/>
  <c r="N2711" i="6"/>
  <c r="R2711" i="6" l="1"/>
  <c r="M2711" i="6" s="1"/>
  <c r="S2711" i="6" s="1"/>
  <c r="Q2712" i="6"/>
  <c r="N2712" i="6"/>
  <c r="O2713" i="6"/>
  <c r="P2713" i="6" s="1"/>
  <c r="R2712" i="6" l="1"/>
  <c r="M2712" i="6" s="1"/>
  <c r="S2712" i="6" s="1"/>
  <c r="Q2713" i="6"/>
  <c r="N2713" i="6"/>
  <c r="O2714" i="6"/>
  <c r="P2714" i="6" s="1"/>
  <c r="R2713" i="6" l="1"/>
  <c r="M2713" i="6" s="1"/>
  <c r="S2713" i="6" s="1"/>
  <c r="Q2714" i="6"/>
  <c r="O2715" i="6"/>
  <c r="P2715" i="6" s="1"/>
  <c r="N2714" i="6"/>
  <c r="R2714" i="6" l="1"/>
  <c r="M2714" i="6" s="1"/>
  <c r="S2714" i="6" s="1"/>
  <c r="Q2715" i="6"/>
  <c r="O2716" i="6"/>
  <c r="P2716" i="6" s="1"/>
  <c r="N2715" i="6"/>
  <c r="R2715" i="6" l="1"/>
  <c r="M2715" i="6" s="1"/>
  <c r="S2715" i="6" s="1"/>
  <c r="Q2716" i="6"/>
  <c r="N2716" i="6"/>
  <c r="O2717" i="6"/>
  <c r="P2717" i="6" s="1"/>
  <c r="R2716" i="6" l="1"/>
  <c r="M2716" i="6" s="1"/>
  <c r="S2716" i="6" s="1"/>
  <c r="Q2717" i="6"/>
  <c r="O2718" i="6"/>
  <c r="P2718" i="6" s="1"/>
  <c r="N2717" i="6"/>
  <c r="R2717" i="6" l="1"/>
  <c r="M2717" i="6" s="1"/>
  <c r="S2717" i="6" s="1"/>
  <c r="Q2718" i="6"/>
  <c r="N2718" i="6"/>
  <c r="O2719" i="6"/>
  <c r="P2719" i="6" s="1"/>
  <c r="R2718" i="6" l="1"/>
  <c r="M2718" i="6" s="1"/>
  <c r="S2718" i="6" s="1"/>
  <c r="Q2719" i="6"/>
  <c r="N2719" i="6"/>
  <c r="O2720" i="6"/>
  <c r="P2720" i="6" s="1"/>
  <c r="R2719" i="6" l="1"/>
  <c r="M2719" i="6" s="1"/>
  <c r="S2719" i="6" s="1"/>
  <c r="Q2720" i="6"/>
  <c r="N2720" i="6"/>
  <c r="O2721" i="6"/>
  <c r="P2721" i="6" s="1"/>
  <c r="R2720" i="6" l="1"/>
  <c r="M2720" i="6" s="1"/>
  <c r="S2720" i="6" s="1"/>
  <c r="Q2721" i="6"/>
  <c r="N2721" i="6"/>
  <c r="O2722" i="6"/>
  <c r="P2722" i="6" s="1"/>
  <c r="R2721" i="6" l="1"/>
  <c r="M2721" i="6" s="1"/>
  <c r="S2721" i="6" s="1"/>
  <c r="Q2722" i="6"/>
  <c r="O2723" i="6"/>
  <c r="P2723" i="6" s="1"/>
  <c r="N2722" i="6"/>
  <c r="R2722" i="6" l="1"/>
  <c r="M2722" i="6" s="1"/>
  <c r="S2722" i="6" s="1"/>
  <c r="Q2723" i="6"/>
  <c r="N2723" i="6"/>
  <c r="O2724" i="6"/>
  <c r="P2724" i="6" s="1"/>
  <c r="R2723" i="6" l="1"/>
  <c r="M2723" i="6" s="1"/>
  <c r="S2723" i="6" s="1"/>
  <c r="Q2724" i="6"/>
  <c r="O2725" i="6"/>
  <c r="P2725" i="6" s="1"/>
  <c r="N2724" i="6"/>
  <c r="R2724" i="6" l="1"/>
  <c r="M2724" i="6" s="1"/>
  <c r="S2724" i="6" s="1"/>
  <c r="Q2725" i="6"/>
  <c r="N2725" i="6"/>
  <c r="O2726" i="6"/>
  <c r="P2726" i="6" s="1"/>
  <c r="R2725" i="6" l="1"/>
  <c r="M2725" i="6" s="1"/>
  <c r="S2725" i="6" s="1"/>
  <c r="Q2726" i="6"/>
  <c r="N2726" i="6"/>
  <c r="O2727" i="6"/>
  <c r="P2727" i="6" s="1"/>
  <c r="R2726" i="6" l="1"/>
  <c r="M2726" i="6" s="1"/>
  <c r="S2726" i="6" s="1"/>
  <c r="Q2727" i="6"/>
  <c r="N2727" i="6"/>
  <c r="O2728" i="6"/>
  <c r="P2728" i="6" s="1"/>
  <c r="R2727" i="6" l="1"/>
  <c r="M2727" i="6" s="1"/>
  <c r="S2727" i="6" s="1"/>
  <c r="Q2728" i="6"/>
  <c r="N2728" i="6"/>
  <c r="O2729" i="6"/>
  <c r="P2729" i="6" s="1"/>
  <c r="R2728" i="6" l="1"/>
  <c r="M2728" i="6" s="1"/>
  <c r="S2728" i="6" s="1"/>
  <c r="Q2729" i="6"/>
  <c r="O2730" i="6"/>
  <c r="P2730" i="6" s="1"/>
  <c r="N2729" i="6"/>
  <c r="R2729" i="6" l="1"/>
  <c r="M2729" i="6" s="1"/>
  <c r="S2729" i="6" s="1"/>
  <c r="Q2730" i="6"/>
  <c r="N2730" i="6"/>
  <c r="O2731" i="6"/>
  <c r="P2731" i="6" s="1"/>
  <c r="R2730" i="6" l="1"/>
  <c r="M2730" i="6" s="1"/>
  <c r="S2730" i="6" s="1"/>
  <c r="Q2731" i="6"/>
  <c r="N2731" i="6"/>
  <c r="O2732" i="6"/>
  <c r="P2732" i="6" s="1"/>
  <c r="R2731" i="6" l="1"/>
  <c r="M2731" i="6" s="1"/>
  <c r="S2731" i="6" s="1"/>
  <c r="Q2732" i="6"/>
  <c r="O2733" i="6"/>
  <c r="P2733" i="6" s="1"/>
  <c r="N2732" i="6"/>
  <c r="R2732" i="6" l="1"/>
  <c r="M2732" i="6" s="1"/>
  <c r="S2732" i="6" s="1"/>
  <c r="Q2733" i="6"/>
  <c r="N2733" i="6"/>
  <c r="O2734" i="6"/>
  <c r="P2734" i="6" s="1"/>
  <c r="R2733" i="6" l="1"/>
  <c r="M2733" i="6" s="1"/>
  <c r="S2733" i="6" s="1"/>
  <c r="Q2734" i="6"/>
  <c r="N2734" i="6"/>
  <c r="O2735" i="6"/>
  <c r="P2735" i="6" s="1"/>
  <c r="R2734" i="6" l="1"/>
  <c r="M2734" i="6" s="1"/>
  <c r="S2734" i="6" s="1"/>
  <c r="Q2735" i="6"/>
  <c r="N2735" i="6"/>
  <c r="O2736" i="6"/>
  <c r="P2736" i="6" s="1"/>
  <c r="R2735" i="6" l="1"/>
  <c r="M2735" i="6" s="1"/>
  <c r="S2735" i="6" s="1"/>
  <c r="Q2736" i="6"/>
  <c r="N2736" i="6"/>
  <c r="O2737" i="6"/>
  <c r="P2737" i="6" s="1"/>
  <c r="R2736" i="6" l="1"/>
  <c r="M2736" i="6" s="1"/>
  <c r="S2736" i="6" s="1"/>
  <c r="Q2737" i="6"/>
  <c r="N2737" i="6"/>
  <c r="O2738" i="6"/>
  <c r="P2738" i="6" s="1"/>
  <c r="R2737" i="6" l="1"/>
  <c r="M2737" i="6" s="1"/>
  <c r="S2737" i="6" s="1"/>
  <c r="Q2738" i="6"/>
  <c r="N2738" i="6"/>
  <c r="O2739" i="6"/>
  <c r="P2739" i="6" s="1"/>
  <c r="R2738" i="6" l="1"/>
  <c r="M2738" i="6" s="1"/>
  <c r="S2738" i="6" s="1"/>
  <c r="Q2739" i="6"/>
  <c r="N2739" i="6"/>
  <c r="O2740" i="6"/>
  <c r="P2740" i="6" s="1"/>
  <c r="R2739" i="6" l="1"/>
  <c r="M2739" i="6" s="1"/>
  <c r="S2739" i="6" s="1"/>
  <c r="Q2740" i="6"/>
  <c r="N2740" i="6"/>
  <c r="O2741" i="6"/>
  <c r="P2741" i="6" s="1"/>
  <c r="R2740" i="6" l="1"/>
  <c r="M2740" i="6" s="1"/>
  <c r="S2740" i="6" s="1"/>
  <c r="Q2741" i="6"/>
  <c r="N2741" i="6"/>
  <c r="O2742" i="6"/>
  <c r="P2742" i="6" s="1"/>
  <c r="R2741" i="6" l="1"/>
  <c r="M2741" i="6" s="1"/>
  <c r="S2741" i="6" s="1"/>
  <c r="Q2742" i="6"/>
  <c r="N2742" i="6"/>
  <c r="O2743" i="6"/>
  <c r="P2743" i="6" s="1"/>
  <c r="R2742" i="6" l="1"/>
  <c r="M2742" i="6" s="1"/>
  <c r="S2742" i="6" s="1"/>
  <c r="Q2743" i="6"/>
  <c r="N2743" i="6"/>
  <c r="O2744" i="6"/>
  <c r="P2744" i="6" s="1"/>
  <c r="R2743" i="6" l="1"/>
  <c r="M2743" i="6" s="1"/>
  <c r="S2743" i="6" s="1"/>
  <c r="Q2744" i="6"/>
  <c r="N2744" i="6"/>
  <c r="O2745" i="6"/>
  <c r="P2745" i="6" s="1"/>
  <c r="R2744" i="6" l="1"/>
  <c r="M2744" i="6" s="1"/>
  <c r="S2744" i="6" s="1"/>
  <c r="Q2745" i="6"/>
  <c r="N2745" i="6"/>
  <c r="O2746" i="6"/>
  <c r="P2746" i="6" s="1"/>
  <c r="R2745" i="6" l="1"/>
  <c r="M2745" i="6" s="1"/>
  <c r="S2745" i="6" s="1"/>
  <c r="Q2746" i="6"/>
  <c r="O2747" i="6"/>
  <c r="P2747" i="6" s="1"/>
  <c r="N2746" i="6"/>
  <c r="R2746" i="6" l="1"/>
  <c r="M2746" i="6" s="1"/>
  <c r="S2746" i="6" s="1"/>
  <c r="Q2747" i="6"/>
  <c r="N2747" i="6"/>
  <c r="O2748" i="6"/>
  <c r="P2748" i="6" s="1"/>
  <c r="R2747" i="6" l="1"/>
  <c r="M2747" i="6" s="1"/>
  <c r="S2747" i="6" s="1"/>
  <c r="Q2748" i="6"/>
  <c r="O2749" i="6"/>
  <c r="P2749" i="6" s="1"/>
  <c r="N2748" i="6"/>
  <c r="R2748" i="6" l="1"/>
  <c r="M2748" i="6" s="1"/>
  <c r="S2748" i="6" s="1"/>
  <c r="Q2749" i="6"/>
  <c r="N2749" i="6"/>
  <c r="O2750" i="6"/>
  <c r="P2750" i="6" s="1"/>
  <c r="R2749" i="6" l="1"/>
  <c r="M2749" i="6" s="1"/>
  <c r="S2749" i="6" s="1"/>
  <c r="Q2750" i="6"/>
  <c r="O2751" i="6"/>
  <c r="P2751" i="6" s="1"/>
  <c r="N2750" i="6"/>
  <c r="R2750" i="6" l="1"/>
  <c r="M2750" i="6" s="1"/>
  <c r="S2750" i="6" s="1"/>
  <c r="Q2751" i="6"/>
  <c r="N2751" i="6"/>
  <c r="O2752" i="6"/>
  <c r="P2752" i="6" s="1"/>
  <c r="R2751" i="6" l="1"/>
  <c r="M2751" i="6" s="1"/>
  <c r="S2751" i="6" s="1"/>
  <c r="Q2752" i="6"/>
  <c r="N2752" i="6"/>
  <c r="O2753" i="6"/>
  <c r="P2753" i="6" s="1"/>
  <c r="R2752" i="6" l="1"/>
  <c r="M2752" i="6" s="1"/>
  <c r="S2752" i="6" s="1"/>
  <c r="Q2753" i="6"/>
  <c r="N2753" i="6"/>
  <c r="O2754" i="6"/>
  <c r="P2754" i="6" s="1"/>
  <c r="R2753" i="6" l="1"/>
  <c r="M2753" i="6" s="1"/>
  <c r="S2753" i="6" s="1"/>
  <c r="Q2754" i="6"/>
  <c r="O2755" i="6"/>
  <c r="P2755" i="6" s="1"/>
  <c r="N2754" i="6"/>
  <c r="R2754" i="6" l="1"/>
  <c r="M2754" i="6" s="1"/>
  <c r="S2754" i="6" s="1"/>
  <c r="Q2755" i="6"/>
  <c r="O2756" i="6"/>
  <c r="P2756" i="6" s="1"/>
  <c r="N2755" i="6"/>
  <c r="R2755" i="6" l="1"/>
  <c r="M2755" i="6" s="1"/>
  <c r="S2755" i="6" s="1"/>
  <c r="Q2756" i="6"/>
  <c r="N2756" i="6"/>
  <c r="O2757" i="6"/>
  <c r="P2757" i="6" s="1"/>
  <c r="R2756" i="6" l="1"/>
  <c r="M2756" i="6" s="1"/>
  <c r="S2756" i="6" s="1"/>
  <c r="Q2757" i="6"/>
  <c r="O2758" i="6"/>
  <c r="P2758" i="6" s="1"/>
  <c r="N2757" i="6"/>
  <c r="R2757" i="6" l="1"/>
  <c r="M2757" i="6" s="1"/>
  <c r="S2757" i="6" s="1"/>
  <c r="Q2758" i="6"/>
  <c r="N2758" i="6"/>
  <c r="O2759" i="6"/>
  <c r="P2759" i="6" s="1"/>
  <c r="R2758" i="6" l="1"/>
  <c r="M2758" i="6" s="1"/>
  <c r="S2758" i="6" s="1"/>
  <c r="Q2759" i="6"/>
  <c r="N2759" i="6"/>
  <c r="O2760" i="6"/>
  <c r="P2760" i="6" s="1"/>
  <c r="R2759" i="6" l="1"/>
  <c r="M2759" i="6" s="1"/>
  <c r="S2759" i="6" s="1"/>
  <c r="Q2760" i="6"/>
  <c r="N2760" i="6"/>
  <c r="O2761" i="6"/>
  <c r="P2761" i="6" s="1"/>
  <c r="R2760" i="6" l="1"/>
  <c r="M2760" i="6" s="1"/>
  <c r="S2760" i="6" s="1"/>
  <c r="Q2761" i="6"/>
  <c r="N2761" i="6"/>
  <c r="O2762" i="6"/>
  <c r="P2762" i="6" s="1"/>
  <c r="R2761" i="6" l="1"/>
  <c r="M2761" i="6" s="1"/>
  <c r="S2761" i="6" s="1"/>
  <c r="Q2762" i="6"/>
  <c r="N2762" i="6"/>
  <c r="O2763" i="6"/>
  <c r="P2763" i="6" s="1"/>
  <c r="R2762" i="6" l="1"/>
  <c r="M2762" i="6" s="1"/>
  <c r="S2762" i="6" s="1"/>
  <c r="Q2763" i="6"/>
  <c r="O2764" i="6"/>
  <c r="P2764" i="6" s="1"/>
  <c r="N2763" i="6"/>
  <c r="R2763" i="6" l="1"/>
  <c r="M2763" i="6" s="1"/>
  <c r="S2763" i="6" s="1"/>
  <c r="Q2764" i="6"/>
  <c r="O2765" i="6"/>
  <c r="P2765" i="6" s="1"/>
  <c r="N2764" i="6"/>
  <c r="R2764" i="6" l="1"/>
  <c r="M2764" i="6" s="1"/>
  <c r="S2764" i="6" s="1"/>
  <c r="Q2765" i="6"/>
  <c r="O2766" i="6"/>
  <c r="P2766" i="6" s="1"/>
  <c r="N2765" i="6"/>
  <c r="R2765" i="6" l="1"/>
  <c r="M2765" i="6" s="1"/>
  <c r="S2765" i="6" s="1"/>
  <c r="Q2766" i="6"/>
  <c r="O2767" i="6"/>
  <c r="P2767" i="6" s="1"/>
  <c r="N2766" i="6"/>
  <c r="R2766" i="6" l="1"/>
  <c r="M2766" i="6" s="1"/>
  <c r="S2766" i="6" s="1"/>
  <c r="Q2767" i="6"/>
  <c r="O2768" i="6"/>
  <c r="P2768" i="6" s="1"/>
  <c r="N2767" i="6"/>
  <c r="R2767" i="6" l="1"/>
  <c r="M2767" i="6" s="1"/>
  <c r="S2767" i="6" s="1"/>
  <c r="Q2768" i="6"/>
  <c r="N2768" i="6"/>
  <c r="O2769" i="6"/>
  <c r="P2769" i="6" s="1"/>
  <c r="R2768" i="6" l="1"/>
  <c r="M2768" i="6" s="1"/>
  <c r="S2768" i="6" s="1"/>
  <c r="Q2769" i="6"/>
  <c r="N2769" i="6"/>
  <c r="O2770" i="6"/>
  <c r="P2770" i="6" s="1"/>
  <c r="R2769" i="6" l="1"/>
  <c r="M2769" i="6" s="1"/>
  <c r="S2769" i="6" s="1"/>
  <c r="Q2770" i="6"/>
  <c r="N2770" i="6"/>
  <c r="O2771" i="6"/>
  <c r="P2771" i="6" s="1"/>
  <c r="R2770" i="6" l="1"/>
  <c r="M2770" i="6" s="1"/>
  <c r="S2770" i="6" s="1"/>
  <c r="Q2771" i="6"/>
  <c r="O2772" i="6"/>
  <c r="P2772" i="6" s="1"/>
  <c r="N2771" i="6"/>
  <c r="R2771" i="6" l="1"/>
  <c r="M2771" i="6" s="1"/>
  <c r="S2771" i="6" s="1"/>
  <c r="Q2772" i="6"/>
  <c r="O2773" i="6"/>
  <c r="P2773" i="6" s="1"/>
  <c r="N2772" i="6"/>
  <c r="R2772" i="6" l="1"/>
  <c r="M2772" i="6" s="1"/>
  <c r="S2772" i="6" s="1"/>
  <c r="Q2773" i="6"/>
  <c r="N2773" i="6"/>
  <c r="O2774" i="6"/>
  <c r="P2774" i="6" s="1"/>
  <c r="R2773" i="6" l="1"/>
  <c r="M2773" i="6" s="1"/>
  <c r="S2773" i="6" s="1"/>
  <c r="Q2774" i="6"/>
  <c r="N2774" i="6"/>
  <c r="O2775" i="6"/>
  <c r="P2775" i="6" s="1"/>
  <c r="R2774" i="6" l="1"/>
  <c r="M2774" i="6" s="1"/>
  <c r="S2774" i="6" s="1"/>
  <c r="Q2775" i="6"/>
  <c r="N2775" i="6"/>
  <c r="O2776" i="6"/>
  <c r="P2776" i="6" s="1"/>
  <c r="R2775" i="6" l="1"/>
  <c r="M2775" i="6" s="1"/>
  <c r="S2775" i="6" s="1"/>
  <c r="Q2776" i="6"/>
  <c r="N2776" i="6"/>
  <c r="O2777" i="6"/>
  <c r="P2777" i="6" s="1"/>
  <c r="R2776" i="6" l="1"/>
  <c r="M2776" i="6" s="1"/>
  <c r="S2776" i="6" s="1"/>
  <c r="Q2777" i="6"/>
  <c r="N2777" i="6"/>
  <c r="O2778" i="6"/>
  <c r="P2778" i="6" s="1"/>
  <c r="R2777" i="6" l="1"/>
  <c r="M2777" i="6" s="1"/>
  <c r="S2777" i="6" s="1"/>
  <c r="Q2778" i="6"/>
  <c r="O2779" i="6"/>
  <c r="P2779" i="6" s="1"/>
  <c r="N2778" i="6"/>
  <c r="R2778" i="6" l="1"/>
  <c r="M2778" i="6" s="1"/>
  <c r="S2778" i="6" s="1"/>
  <c r="Q2779" i="6"/>
  <c r="N2779" i="6"/>
  <c r="O2780" i="6"/>
  <c r="P2780" i="6" s="1"/>
  <c r="R2779" i="6" l="1"/>
  <c r="M2779" i="6" s="1"/>
  <c r="S2779" i="6" s="1"/>
  <c r="Q2780" i="6"/>
  <c r="N2780" i="6"/>
  <c r="O2781" i="6"/>
  <c r="P2781" i="6" s="1"/>
  <c r="R2780" i="6" l="1"/>
  <c r="M2780" i="6" s="1"/>
  <c r="S2780" i="6" s="1"/>
  <c r="Q2781" i="6"/>
  <c r="N2781" i="6"/>
  <c r="O2782" i="6"/>
  <c r="P2782" i="6" s="1"/>
  <c r="R2781" i="6" l="1"/>
  <c r="M2781" i="6" s="1"/>
  <c r="S2781" i="6" s="1"/>
  <c r="Q2782" i="6"/>
  <c r="N2782" i="6"/>
  <c r="O2783" i="6"/>
  <c r="P2783" i="6" s="1"/>
  <c r="R2782" i="6" l="1"/>
  <c r="M2782" i="6" s="1"/>
  <c r="S2782" i="6" s="1"/>
  <c r="Q2783" i="6"/>
  <c r="O2784" i="6"/>
  <c r="P2784" i="6" s="1"/>
  <c r="N2783" i="6"/>
  <c r="R2783" i="6" l="1"/>
  <c r="M2783" i="6" s="1"/>
  <c r="S2783" i="6" s="1"/>
  <c r="Q2784" i="6"/>
  <c r="N2784" i="6"/>
  <c r="O2785" i="6"/>
  <c r="P2785" i="6" s="1"/>
  <c r="R2784" i="6" l="1"/>
  <c r="M2784" i="6" s="1"/>
  <c r="S2784" i="6" s="1"/>
  <c r="Q2785" i="6"/>
  <c r="N2785" i="6"/>
  <c r="O2786" i="6"/>
  <c r="P2786" i="6" s="1"/>
  <c r="R2785" i="6" l="1"/>
  <c r="M2785" i="6" s="1"/>
  <c r="S2785" i="6" s="1"/>
  <c r="Q2786" i="6"/>
  <c r="O2787" i="6"/>
  <c r="P2787" i="6" s="1"/>
  <c r="N2786" i="6"/>
  <c r="R2786" i="6" l="1"/>
  <c r="M2786" i="6" s="1"/>
  <c r="S2786" i="6" s="1"/>
  <c r="Q2787" i="6"/>
  <c r="N2787" i="6"/>
  <c r="O2788" i="6"/>
  <c r="P2788" i="6" s="1"/>
  <c r="R2787" i="6" l="1"/>
  <c r="M2787" i="6" s="1"/>
  <c r="S2787" i="6" s="1"/>
  <c r="Q2788" i="6"/>
  <c r="O2789" i="6"/>
  <c r="P2789" i="6" s="1"/>
  <c r="N2788" i="6"/>
  <c r="R2788" i="6" l="1"/>
  <c r="M2788" i="6" s="1"/>
  <c r="S2788" i="6" s="1"/>
  <c r="Q2789" i="6"/>
  <c r="O2790" i="6"/>
  <c r="P2790" i="6" s="1"/>
  <c r="N2789" i="6"/>
  <c r="R2789" i="6" l="1"/>
  <c r="M2789" i="6" s="1"/>
  <c r="S2789" i="6" s="1"/>
  <c r="Q2790" i="6"/>
  <c r="N2790" i="6"/>
  <c r="O2791" i="6"/>
  <c r="P2791" i="6" s="1"/>
  <c r="R2790" i="6" l="1"/>
  <c r="M2790" i="6" s="1"/>
  <c r="S2790" i="6" s="1"/>
  <c r="Q2791" i="6"/>
  <c r="N2791" i="6"/>
  <c r="O2792" i="6"/>
  <c r="P2792" i="6" s="1"/>
  <c r="R2791" i="6" l="1"/>
  <c r="M2791" i="6" s="1"/>
  <c r="S2791" i="6" s="1"/>
  <c r="Q2792" i="6"/>
  <c r="N2792" i="6"/>
  <c r="O2793" i="6"/>
  <c r="P2793" i="6" s="1"/>
  <c r="R2792" i="6" l="1"/>
  <c r="M2792" i="6" s="1"/>
  <c r="S2792" i="6" s="1"/>
  <c r="Q2793" i="6"/>
  <c r="N2793" i="6"/>
  <c r="O2794" i="6"/>
  <c r="P2794" i="6" s="1"/>
  <c r="R2793" i="6" l="1"/>
  <c r="M2793" i="6" s="1"/>
  <c r="S2793" i="6" s="1"/>
  <c r="Q2794" i="6"/>
  <c r="O2795" i="6"/>
  <c r="P2795" i="6" s="1"/>
  <c r="N2794" i="6"/>
  <c r="R2794" i="6" l="1"/>
  <c r="M2794" i="6" s="1"/>
  <c r="S2794" i="6" s="1"/>
  <c r="Q2795" i="6"/>
  <c r="O2796" i="6"/>
  <c r="P2796" i="6" s="1"/>
  <c r="N2795" i="6"/>
  <c r="R2795" i="6" l="1"/>
  <c r="M2795" i="6" s="1"/>
  <c r="S2795" i="6" s="1"/>
  <c r="Q2796" i="6"/>
  <c r="O2797" i="6"/>
  <c r="P2797" i="6" s="1"/>
  <c r="N2796" i="6"/>
  <c r="R2796" i="6" l="1"/>
  <c r="M2796" i="6" s="1"/>
  <c r="S2796" i="6" s="1"/>
  <c r="Q2797" i="6"/>
  <c r="O2798" i="6"/>
  <c r="P2798" i="6" s="1"/>
  <c r="N2797" i="6"/>
  <c r="R2797" i="6" l="1"/>
  <c r="M2797" i="6" s="1"/>
  <c r="S2797" i="6" s="1"/>
  <c r="Q2798" i="6"/>
  <c r="N2798" i="6"/>
  <c r="O2799" i="6"/>
  <c r="P2799" i="6" s="1"/>
  <c r="R2798" i="6" l="1"/>
  <c r="M2798" i="6" s="1"/>
  <c r="S2798" i="6" s="1"/>
  <c r="Q2799" i="6"/>
  <c r="N2799" i="6"/>
  <c r="O2800" i="6"/>
  <c r="P2800" i="6" s="1"/>
  <c r="R2799" i="6" l="1"/>
  <c r="M2799" i="6" s="1"/>
  <c r="S2799" i="6" s="1"/>
  <c r="Q2800" i="6"/>
  <c r="N2800" i="6"/>
  <c r="O2801" i="6"/>
  <c r="P2801" i="6" s="1"/>
  <c r="R2800" i="6" l="1"/>
  <c r="M2800" i="6" s="1"/>
  <c r="S2800" i="6" s="1"/>
  <c r="Q2801" i="6"/>
  <c r="N2801" i="6"/>
  <c r="O2802" i="6"/>
  <c r="P2802" i="6" s="1"/>
  <c r="R2801" i="6" l="1"/>
  <c r="M2801" i="6" s="1"/>
  <c r="S2801" i="6" s="1"/>
  <c r="Q2802" i="6"/>
  <c r="N2802" i="6"/>
  <c r="O2803" i="6"/>
  <c r="P2803" i="6" s="1"/>
  <c r="R2802" i="6" l="1"/>
  <c r="M2802" i="6" s="1"/>
  <c r="S2802" i="6" s="1"/>
  <c r="Q2803" i="6"/>
  <c r="N2803" i="6"/>
  <c r="O2804" i="6"/>
  <c r="P2804" i="6" s="1"/>
  <c r="R2803" i="6" l="1"/>
  <c r="M2803" i="6" s="1"/>
  <c r="S2803" i="6" s="1"/>
  <c r="Q2804" i="6"/>
  <c r="O2805" i="6"/>
  <c r="P2805" i="6" s="1"/>
  <c r="N2804" i="6"/>
  <c r="R2804" i="6" l="1"/>
  <c r="M2804" i="6" s="1"/>
  <c r="S2804" i="6" s="1"/>
  <c r="Q2805" i="6"/>
  <c r="N2805" i="6"/>
  <c r="O2806" i="6"/>
  <c r="P2806" i="6" s="1"/>
  <c r="R2805" i="6" l="1"/>
  <c r="M2805" i="6" s="1"/>
  <c r="S2805" i="6" s="1"/>
  <c r="Q2806" i="6"/>
  <c r="O2807" i="6"/>
  <c r="P2807" i="6" s="1"/>
  <c r="N2806" i="6"/>
  <c r="R2806" i="6" l="1"/>
  <c r="M2806" i="6" s="1"/>
  <c r="S2806" i="6" s="1"/>
  <c r="Q2807" i="6"/>
  <c r="N2807" i="6"/>
  <c r="O2808" i="6"/>
  <c r="P2808" i="6" s="1"/>
  <c r="R2807" i="6" l="1"/>
  <c r="M2807" i="6" s="1"/>
  <c r="S2807" i="6" s="1"/>
  <c r="Q2808" i="6"/>
  <c r="N2808" i="6"/>
  <c r="O2809" i="6"/>
  <c r="P2809" i="6" s="1"/>
  <c r="R2808" i="6" l="1"/>
  <c r="M2808" i="6" s="1"/>
  <c r="S2808" i="6" s="1"/>
  <c r="Q2809" i="6"/>
  <c r="N2809" i="6"/>
  <c r="O2810" i="6"/>
  <c r="P2810" i="6" s="1"/>
  <c r="R2809" i="6" l="1"/>
  <c r="M2809" i="6" s="1"/>
  <c r="S2809" i="6" s="1"/>
  <c r="Q2810" i="6"/>
  <c r="N2810" i="6"/>
  <c r="O2811" i="6"/>
  <c r="P2811" i="6" s="1"/>
  <c r="R2810" i="6" l="1"/>
  <c r="M2810" i="6" s="1"/>
  <c r="S2810" i="6" s="1"/>
  <c r="Q2811" i="6"/>
  <c r="N2811" i="6"/>
  <c r="O2812" i="6"/>
  <c r="P2812" i="6" s="1"/>
  <c r="R2811" i="6" l="1"/>
  <c r="M2811" i="6" s="1"/>
  <c r="S2811" i="6" s="1"/>
  <c r="Q2812" i="6"/>
  <c r="N2812" i="6"/>
  <c r="O2813" i="6"/>
  <c r="P2813" i="6" s="1"/>
  <c r="R2812" i="6" l="1"/>
  <c r="M2812" i="6" s="1"/>
  <c r="S2812" i="6" s="1"/>
  <c r="Q2813" i="6"/>
  <c r="O2814" i="6"/>
  <c r="P2814" i="6" s="1"/>
  <c r="N2813" i="6"/>
  <c r="R2813" i="6" l="1"/>
  <c r="M2813" i="6" s="1"/>
  <c r="S2813" i="6" s="1"/>
  <c r="Q2814" i="6"/>
  <c r="N2814" i="6"/>
  <c r="O2815" i="6"/>
  <c r="P2815" i="6" s="1"/>
  <c r="R2814" i="6" l="1"/>
  <c r="M2814" i="6" s="1"/>
  <c r="S2814" i="6" s="1"/>
  <c r="Q2815" i="6"/>
  <c r="N2815" i="6"/>
  <c r="O2816" i="6"/>
  <c r="P2816" i="6" s="1"/>
  <c r="R2815" i="6" l="1"/>
  <c r="M2815" i="6" s="1"/>
  <c r="S2815" i="6" s="1"/>
  <c r="Q2816" i="6"/>
  <c r="N2816" i="6"/>
  <c r="O2817" i="6"/>
  <c r="P2817" i="6" s="1"/>
  <c r="R2816" i="6" l="1"/>
  <c r="M2816" i="6" s="1"/>
  <c r="S2816" i="6" s="1"/>
  <c r="Q2817" i="6"/>
  <c r="N2817" i="6"/>
  <c r="O2818" i="6"/>
  <c r="P2818" i="6" s="1"/>
  <c r="R2817" i="6" l="1"/>
  <c r="M2817" i="6" s="1"/>
  <c r="S2817" i="6" s="1"/>
  <c r="Q2818" i="6"/>
  <c r="N2818" i="6"/>
  <c r="O2819" i="6"/>
  <c r="P2819" i="6" s="1"/>
  <c r="R2818" i="6" l="1"/>
  <c r="M2818" i="6" s="1"/>
  <c r="S2818" i="6" s="1"/>
  <c r="Q2819" i="6"/>
  <c r="O2820" i="6"/>
  <c r="P2820" i="6" s="1"/>
  <c r="N2819" i="6"/>
  <c r="R2819" i="6" l="1"/>
  <c r="M2819" i="6" s="1"/>
  <c r="S2819" i="6" s="1"/>
  <c r="Q2820" i="6"/>
  <c r="O2821" i="6"/>
  <c r="P2821" i="6" s="1"/>
  <c r="N2820" i="6"/>
  <c r="R2820" i="6" l="1"/>
  <c r="M2820" i="6" s="1"/>
  <c r="S2820" i="6" s="1"/>
  <c r="Q2821" i="6"/>
  <c r="O2822" i="6"/>
  <c r="P2822" i="6" s="1"/>
  <c r="N2821" i="6"/>
  <c r="R2821" i="6" l="1"/>
  <c r="M2821" i="6" s="1"/>
  <c r="S2821" i="6" s="1"/>
  <c r="Q2822" i="6"/>
  <c r="O2823" i="6"/>
  <c r="P2823" i="6" s="1"/>
  <c r="N2822" i="6"/>
  <c r="R2822" i="6" l="1"/>
  <c r="M2822" i="6" s="1"/>
  <c r="S2822" i="6" s="1"/>
  <c r="Q2823" i="6"/>
  <c r="N2823" i="6"/>
  <c r="O2824" i="6"/>
  <c r="P2824" i="6" s="1"/>
  <c r="R2823" i="6" l="1"/>
  <c r="M2823" i="6" s="1"/>
  <c r="S2823" i="6" s="1"/>
  <c r="Q2824" i="6"/>
  <c r="N2824" i="6"/>
  <c r="O2825" i="6"/>
  <c r="P2825" i="6" s="1"/>
  <c r="R2824" i="6" l="1"/>
  <c r="M2824" i="6" s="1"/>
  <c r="S2824" i="6" s="1"/>
  <c r="Q2825" i="6"/>
  <c r="O2826" i="6"/>
  <c r="P2826" i="6" s="1"/>
  <c r="N2825" i="6"/>
  <c r="R2825" i="6" l="1"/>
  <c r="M2825" i="6" s="1"/>
  <c r="S2825" i="6" s="1"/>
  <c r="Q2826" i="6"/>
  <c r="N2826" i="6"/>
  <c r="O2827" i="6"/>
  <c r="P2827" i="6" s="1"/>
  <c r="R2826" i="6" l="1"/>
  <c r="M2826" i="6" s="1"/>
  <c r="S2826" i="6" s="1"/>
  <c r="Q2827" i="6"/>
  <c r="N2827" i="6"/>
  <c r="O2828" i="6"/>
  <c r="P2828" i="6" s="1"/>
  <c r="R2827" i="6" l="1"/>
  <c r="M2827" i="6" s="1"/>
  <c r="S2827" i="6" s="1"/>
  <c r="Q2828" i="6"/>
  <c r="N2828" i="6"/>
  <c r="O2829" i="6"/>
  <c r="P2829" i="6" s="1"/>
  <c r="R2828" i="6" l="1"/>
  <c r="M2828" i="6" s="1"/>
  <c r="S2828" i="6" s="1"/>
  <c r="Q2829" i="6"/>
  <c r="N2829" i="6"/>
  <c r="O2830" i="6"/>
  <c r="P2830" i="6" s="1"/>
  <c r="R2829" i="6" l="1"/>
  <c r="M2829" i="6" s="1"/>
  <c r="S2829" i="6" s="1"/>
  <c r="Q2830" i="6"/>
  <c r="O2831" i="6"/>
  <c r="P2831" i="6" s="1"/>
  <c r="N2830" i="6"/>
  <c r="R2830" i="6" l="1"/>
  <c r="M2830" i="6" s="1"/>
  <c r="S2830" i="6" s="1"/>
  <c r="Q2831" i="6"/>
  <c r="N2831" i="6"/>
  <c r="O2832" i="6"/>
  <c r="P2832" i="6" s="1"/>
  <c r="R2831" i="6" l="1"/>
  <c r="M2831" i="6" s="1"/>
  <c r="S2831" i="6" s="1"/>
  <c r="Q2832" i="6"/>
  <c r="N2832" i="6"/>
  <c r="O2833" i="6"/>
  <c r="P2833" i="6" s="1"/>
  <c r="R2832" i="6" l="1"/>
  <c r="M2832" i="6" s="1"/>
  <c r="S2832" i="6" s="1"/>
  <c r="Q2833" i="6"/>
  <c r="N2833" i="6"/>
  <c r="O2834" i="6"/>
  <c r="P2834" i="6" s="1"/>
  <c r="R2833" i="6" l="1"/>
  <c r="M2833" i="6" s="1"/>
  <c r="S2833" i="6" s="1"/>
  <c r="Q2834" i="6"/>
  <c r="O2835" i="6"/>
  <c r="P2835" i="6" s="1"/>
  <c r="N2834" i="6"/>
  <c r="R2834" i="6" l="1"/>
  <c r="M2834" i="6" s="1"/>
  <c r="S2834" i="6" s="1"/>
  <c r="Q2835" i="6"/>
  <c r="O2836" i="6"/>
  <c r="P2836" i="6" s="1"/>
  <c r="N2835" i="6"/>
  <c r="R2835" i="6" l="1"/>
  <c r="M2835" i="6" s="1"/>
  <c r="S2835" i="6" s="1"/>
  <c r="Q2836" i="6"/>
  <c r="N2836" i="6"/>
  <c r="O2837" i="6"/>
  <c r="P2837" i="6" s="1"/>
  <c r="R2836" i="6" l="1"/>
  <c r="M2836" i="6" s="1"/>
  <c r="S2836" i="6" s="1"/>
  <c r="Q2837" i="6"/>
  <c r="N2837" i="6"/>
  <c r="O2838" i="6"/>
  <c r="P2838" i="6" s="1"/>
  <c r="R2837" i="6" l="1"/>
  <c r="M2837" i="6" s="1"/>
  <c r="S2837" i="6" s="1"/>
  <c r="Q2838" i="6"/>
  <c r="O2839" i="6"/>
  <c r="P2839" i="6" s="1"/>
  <c r="N2838" i="6"/>
  <c r="R2838" i="6" l="1"/>
  <c r="M2838" i="6" s="1"/>
  <c r="S2838" i="6" s="1"/>
  <c r="Q2839" i="6"/>
  <c r="N2839" i="6"/>
  <c r="O2840" i="6"/>
  <c r="P2840" i="6" s="1"/>
  <c r="R2839" i="6" l="1"/>
  <c r="M2839" i="6" s="1"/>
  <c r="S2839" i="6" s="1"/>
  <c r="Q2840" i="6"/>
  <c r="N2840" i="6"/>
  <c r="O2841" i="6"/>
  <c r="P2841" i="6" s="1"/>
  <c r="R2840" i="6" l="1"/>
  <c r="M2840" i="6" s="1"/>
  <c r="S2840" i="6" s="1"/>
  <c r="Q2841" i="6"/>
  <c r="O2842" i="6"/>
  <c r="P2842" i="6" s="1"/>
  <c r="N2841" i="6"/>
  <c r="R2841" i="6" l="1"/>
  <c r="M2841" i="6" s="1"/>
  <c r="S2841" i="6" s="1"/>
  <c r="Q2842" i="6"/>
  <c r="O2843" i="6"/>
  <c r="P2843" i="6" s="1"/>
  <c r="N2842" i="6"/>
  <c r="R2842" i="6" l="1"/>
  <c r="M2842" i="6" s="1"/>
  <c r="S2842" i="6" s="1"/>
  <c r="Q2843" i="6"/>
  <c r="N2843" i="6"/>
  <c r="O2844" i="6"/>
  <c r="P2844" i="6" s="1"/>
  <c r="R2843" i="6" l="1"/>
  <c r="M2843" i="6" s="1"/>
  <c r="S2843" i="6" s="1"/>
  <c r="Q2844" i="6"/>
  <c r="N2844" i="6"/>
  <c r="O2845" i="6"/>
  <c r="P2845" i="6" s="1"/>
  <c r="R2844" i="6" l="1"/>
  <c r="M2844" i="6" s="1"/>
  <c r="S2844" i="6" s="1"/>
  <c r="Q2845" i="6"/>
  <c r="O2846" i="6"/>
  <c r="P2846" i="6" s="1"/>
  <c r="N2845" i="6"/>
  <c r="R2845" i="6" l="1"/>
  <c r="M2845" i="6" s="1"/>
  <c r="S2845" i="6" s="1"/>
  <c r="Q2846" i="6"/>
  <c r="O2847" i="6"/>
  <c r="P2847" i="6" s="1"/>
  <c r="N2846" i="6"/>
  <c r="R2846" i="6" l="1"/>
  <c r="M2846" i="6" s="1"/>
  <c r="S2846" i="6" s="1"/>
  <c r="Q2847" i="6"/>
  <c r="N2847" i="6"/>
  <c r="O2848" i="6"/>
  <c r="P2848" i="6" s="1"/>
  <c r="R2847" i="6" l="1"/>
  <c r="M2847" i="6" s="1"/>
  <c r="S2847" i="6" s="1"/>
  <c r="Q2848" i="6"/>
  <c r="N2848" i="6"/>
  <c r="O2849" i="6"/>
  <c r="P2849" i="6" s="1"/>
  <c r="R2848" i="6" l="1"/>
  <c r="M2848" i="6" s="1"/>
  <c r="S2848" i="6" s="1"/>
  <c r="Q2849" i="6"/>
  <c r="N2849" i="6"/>
  <c r="O2850" i="6"/>
  <c r="P2850" i="6" s="1"/>
  <c r="R2849" i="6" l="1"/>
  <c r="M2849" i="6" s="1"/>
  <c r="S2849" i="6" s="1"/>
  <c r="Q2850" i="6"/>
  <c r="N2850" i="6"/>
  <c r="O2851" i="6"/>
  <c r="P2851" i="6" s="1"/>
  <c r="R2850" i="6" l="1"/>
  <c r="M2850" i="6" s="1"/>
  <c r="S2850" i="6" s="1"/>
  <c r="Q2851" i="6"/>
  <c r="N2851" i="6"/>
  <c r="O2852" i="6"/>
  <c r="P2852" i="6" s="1"/>
  <c r="R2851" i="6" l="1"/>
  <c r="M2851" i="6" s="1"/>
  <c r="S2851" i="6" s="1"/>
  <c r="Q2852" i="6"/>
  <c r="O2853" i="6"/>
  <c r="P2853" i="6" s="1"/>
  <c r="N2852" i="6"/>
  <c r="R2852" i="6" l="1"/>
  <c r="M2852" i="6" s="1"/>
  <c r="S2852" i="6" s="1"/>
  <c r="Q2853" i="6"/>
  <c r="N2853" i="6"/>
  <c r="O2854" i="6"/>
  <c r="P2854" i="6" s="1"/>
  <c r="R2853" i="6" l="1"/>
  <c r="M2853" i="6" s="1"/>
  <c r="S2853" i="6" s="1"/>
  <c r="Q2854" i="6"/>
  <c r="N2854" i="6"/>
  <c r="O2855" i="6"/>
  <c r="P2855" i="6" s="1"/>
  <c r="R2854" i="6" l="1"/>
  <c r="M2854" i="6" s="1"/>
  <c r="S2854" i="6" s="1"/>
  <c r="Q2855" i="6"/>
  <c r="N2855" i="6"/>
  <c r="O2856" i="6"/>
  <c r="P2856" i="6" s="1"/>
  <c r="R2855" i="6" l="1"/>
  <c r="M2855" i="6" s="1"/>
  <c r="S2855" i="6" s="1"/>
  <c r="Q2856" i="6"/>
  <c r="N2856" i="6"/>
  <c r="O2857" i="6"/>
  <c r="P2857" i="6" s="1"/>
  <c r="R2856" i="6" l="1"/>
  <c r="M2856" i="6" s="1"/>
  <c r="S2856" i="6" s="1"/>
  <c r="Q2857" i="6"/>
  <c r="N2857" i="6"/>
  <c r="O2858" i="6"/>
  <c r="P2858" i="6" s="1"/>
  <c r="R2857" i="6" l="1"/>
  <c r="M2857" i="6" s="1"/>
  <c r="S2857" i="6" s="1"/>
  <c r="Q2858" i="6"/>
  <c r="O2859" i="6"/>
  <c r="P2859" i="6" s="1"/>
  <c r="N2858" i="6"/>
  <c r="R2858" i="6" l="1"/>
  <c r="M2858" i="6" s="1"/>
  <c r="S2858" i="6" s="1"/>
  <c r="Q2859" i="6"/>
  <c r="O2860" i="6"/>
  <c r="P2860" i="6" s="1"/>
  <c r="N2859" i="6"/>
  <c r="R2859" i="6" l="1"/>
  <c r="M2859" i="6" s="1"/>
  <c r="S2859" i="6" s="1"/>
  <c r="Q2860" i="6"/>
  <c r="N2860" i="6"/>
  <c r="O2861" i="6"/>
  <c r="P2861" i="6" s="1"/>
  <c r="R2860" i="6" l="1"/>
  <c r="M2860" i="6" s="1"/>
  <c r="S2860" i="6" s="1"/>
  <c r="Q2861" i="6"/>
  <c r="O2862" i="6"/>
  <c r="P2862" i="6" s="1"/>
  <c r="N2861" i="6"/>
  <c r="R2861" i="6" l="1"/>
  <c r="M2861" i="6" s="1"/>
  <c r="S2861" i="6" s="1"/>
  <c r="Q2862" i="6"/>
  <c r="N2862" i="6"/>
  <c r="O2863" i="6"/>
  <c r="P2863" i="6" s="1"/>
  <c r="R2862" i="6" l="1"/>
  <c r="M2862" i="6" s="1"/>
  <c r="S2862" i="6" s="1"/>
  <c r="Q2863" i="6"/>
  <c r="N2863" i="6"/>
  <c r="O2864" i="6"/>
  <c r="P2864" i="6" s="1"/>
  <c r="R2863" i="6" l="1"/>
  <c r="M2863" i="6" s="1"/>
  <c r="S2863" i="6" s="1"/>
  <c r="Q2864" i="6"/>
  <c r="N2864" i="6"/>
  <c r="O2865" i="6"/>
  <c r="P2865" i="6" s="1"/>
  <c r="R2864" i="6" l="1"/>
  <c r="M2864" i="6" s="1"/>
  <c r="S2864" i="6" s="1"/>
  <c r="Q2865" i="6"/>
  <c r="N2865" i="6"/>
  <c r="O2866" i="6"/>
  <c r="P2866" i="6" s="1"/>
  <c r="R2865" i="6" l="1"/>
  <c r="M2865" i="6" s="1"/>
  <c r="S2865" i="6" s="1"/>
  <c r="Q2866" i="6"/>
  <c r="O2867" i="6"/>
  <c r="P2867" i="6" s="1"/>
  <c r="N2866" i="6"/>
  <c r="R2866" i="6" l="1"/>
  <c r="M2866" i="6" s="1"/>
  <c r="S2866" i="6" s="1"/>
  <c r="Q2867" i="6"/>
  <c r="O2868" i="6"/>
  <c r="P2868" i="6" s="1"/>
  <c r="N2867" i="6"/>
  <c r="R2867" i="6" l="1"/>
  <c r="M2867" i="6" s="1"/>
  <c r="S2867" i="6" s="1"/>
  <c r="Q2868" i="6"/>
  <c r="N2868" i="6"/>
  <c r="O2869" i="6"/>
  <c r="P2869" i="6" s="1"/>
  <c r="R2868" i="6" l="1"/>
  <c r="M2868" i="6" s="1"/>
  <c r="S2868" i="6" s="1"/>
  <c r="Q2869" i="6"/>
  <c r="O2870" i="6"/>
  <c r="P2870" i="6" s="1"/>
  <c r="N2869" i="6"/>
  <c r="R2869" i="6" l="1"/>
  <c r="M2869" i="6" s="1"/>
  <c r="S2869" i="6" s="1"/>
  <c r="Q2870" i="6"/>
  <c r="O2871" i="6"/>
  <c r="P2871" i="6" s="1"/>
  <c r="N2870" i="6"/>
  <c r="R2870" i="6" l="1"/>
  <c r="M2870" i="6" s="1"/>
  <c r="S2870" i="6" s="1"/>
  <c r="Q2871" i="6"/>
  <c r="O2872" i="6"/>
  <c r="P2872" i="6" s="1"/>
  <c r="N2871" i="6"/>
  <c r="R2871" i="6" l="1"/>
  <c r="M2871" i="6" s="1"/>
  <c r="S2871" i="6" s="1"/>
  <c r="Q2872" i="6"/>
  <c r="N2872" i="6"/>
  <c r="O2873" i="6"/>
  <c r="P2873" i="6" s="1"/>
  <c r="R2872" i="6" l="1"/>
  <c r="M2872" i="6" s="1"/>
  <c r="S2872" i="6" s="1"/>
  <c r="Q2873" i="6"/>
  <c r="N2873" i="6"/>
  <c r="O2874" i="6"/>
  <c r="P2874" i="6" s="1"/>
  <c r="R2873" i="6" l="1"/>
  <c r="M2873" i="6" s="1"/>
  <c r="S2873" i="6" s="1"/>
  <c r="Q2874" i="6"/>
  <c r="O2875" i="6"/>
  <c r="P2875" i="6" s="1"/>
  <c r="N2874" i="6"/>
  <c r="R2874" i="6" l="1"/>
  <c r="M2874" i="6" s="1"/>
  <c r="S2874" i="6" s="1"/>
  <c r="Q2875" i="6"/>
  <c r="N2875" i="6"/>
  <c r="O2876" i="6"/>
  <c r="P2876" i="6" s="1"/>
  <c r="R2875" i="6" l="1"/>
  <c r="M2875" i="6" s="1"/>
  <c r="S2875" i="6" s="1"/>
  <c r="Q2876" i="6"/>
  <c r="O2877" i="6"/>
  <c r="P2877" i="6" s="1"/>
  <c r="N2876" i="6"/>
  <c r="R2876" i="6" l="1"/>
  <c r="M2876" i="6" s="1"/>
  <c r="S2876" i="6" s="1"/>
  <c r="Q2877" i="6"/>
  <c r="O2878" i="6"/>
  <c r="P2878" i="6" s="1"/>
  <c r="N2877" i="6"/>
  <c r="R2877" i="6" l="1"/>
  <c r="M2877" i="6" s="1"/>
  <c r="S2877" i="6" s="1"/>
  <c r="Q2878" i="6"/>
  <c r="O2879" i="6"/>
  <c r="P2879" i="6" s="1"/>
  <c r="N2878" i="6"/>
  <c r="R2878" i="6" l="1"/>
  <c r="M2878" i="6" s="1"/>
  <c r="S2878" i="6" s="1"/>
  <c r="Q2879" i="6"/>
  <c r="N2879" i="6"/>
  <c r="O2880" i="6"/>
  <c r="P2880" i="6" s="1"/>
  <c r="R2879" i="6" l="1"/>
  <c r="M2879" i="6" s="1"/>
  <c r="S2879" i="6" s="1"/>
  <c r="Q2880" i="6"/>
  <c r="O2881" i="6"/>
  <c r="P2881" i="6" s="1"/>
  <c r="N2880" i="6"/>
  <c r="R2880" i="6" l="1"/>
  <c r="M2880" i="6" s="1"/>
  <c r="S2880" i="6" s="1"/>
  <c r="Q2881" i="6"/>
  <c r="O2882" i="6"/>
  <c r="P2882" i="6" s="1"/>
  <c r="N2881" i="6"/>
  <c r="R2881" i="6" l="1"/>
  <c r="M2881" i="6" s="1"/>
  <c r="S2881" i="6" s="1"/>
  <c r="Q2882" i="6"/>
  <c r="N2882" i="6"/>
  <c r="O2883" i="6"/>
  <c r="P2883" i="6" s="1"/>
  <c r="R2882" i="6" l="1"/>
  <c r="M2882" i="6" s="1"/>
  <c r="S2882" i="6" s="1"/>
  <c r="Q2883" i="6"/>
  <c r="N2883" i="6"/>
  <c r="O2884" i="6"/>
  <c r="P2884" i="6" s="1"/>
  <c r="R2883" i="6" l="1"/>
  <c r="M2883" i="6" s="1"/>
  <c r="S2883" i="6" s="1"/>
  <c r="Q2884" i="6"/>
  <c r="N2884" i="6"/>
  <c r="O2885" i="6"/>
  <c r="P2885" i="6" s="1"/>
  <c r="R2884" i="6" l="1"/>
  <c r="M2884" i="6" s="1"/>
  <c r="S2884" i="6" s="1"/>
  <c r="Q2885" i="6"/>
  <c r="N2885" i="6"/>
  <c r="O2886" i="6"/>
  <c r="P2886" i="6" s="1"/>
  <c r="R2885" i="6" l="1"/>
  <c r="M2885" i="6" s="1"/>
  <c r="S2885" i="6" s="1"/>
  <c r="Q2886" i="6"/>
  <c r="O2887" i="6"/>
  <c r="P2887" i="6" s="1"/>
  <c r="N2886" i="6"/>
  <c r="R2886" i="6" l="1"/>
  <c r="M2886" i="6" s="1"/>
  <c r="S2886" i="6" s="1"/>
  <c r="Q2887" i="6"/>
  <c r="N2887" i="6"/>
  <c r="O2888" i="6"/>
  <c r="P2888" i="6" s="1"/>
  <c r="R2887" i="6" l="1"/>
  <c r="M2887" i="6" s="1"/>
  <c r="S2887" i="6" s="1"/>
  <c r="Q2888" i="6"/>
  <c r="N2888" i="6"/>
  <c r="O2889" i="6"/>
  <c r="P2889" i="6" s="1"/>
  <c r="R2888" i="6" l="1"/>
  <c r="M2888" i="6" s="1"/>
  <c r="S2888" i="6" s="1"/>
  <c r="Q2889" i="6"/>
  <c r="N2889" i="6"/>
  <c r="O2890" i="6"/>
  <c r="P2890" i="6" s="1"/>
  <c r="R2889" i="6" l="1"/>
  <c r="M2889" i="6" s="1"/>
  <c r="S2889" i="6" s="1"/>
  <c r="Q2890" i="6"/>
  <c r="N2890" i="6"/>
  <c r="O2891" i="6"/>
  <c r="P2891" i="6" s="1"/>
  <c r="R2890" i="6" l="1"/>
  <c r="M2890" i="6" s="1"/>
  <c r="S2890" i="6" s="1"/>
  <c r="Q2891" i="6"/>
  <c r="N2891" i="6"/>
  <c r="O2892" i="6"/>
  <c r="P2892" i="6" s="1"/>
  <c r="R2891" i="6" l="1"/>
  <c r="M2891" i="6" s="1"/>
  <c r="S2891" i="6" s="1"/>
  <c r="Q2892" i="6"/>
  <c r="N2892" i="6"/>
  <c r="O2893" i="6"/>
  <c r="P2893" i="6" s="1"/>
  <c r="R2892" i="6" l="1"/>
  <c r="M2892" i="6" s="1"/>
  <c r="S2892" i="6" s="1"/>
  <c r="Q2893" i="6"/>
  <c r="O2894" i="6"/>
  <c r="P2894" i="6" s="1"/>
  <c r="N2893" i="6"/>
  <c r="R2893" i="6" l="1"/>
  <c r="M2893" i="6" s="1"/>
  <c r="S2893" i="6" s="1"/>
  <c r="Q2894" i="6"/>
  <c r="O2895" i="6"/>
  <c r="P2895" i="6" s="1"/>
  <c r="N2894" i="6"/>
  <c r="R2894" i="6" l="1"/>
  <c r="M2894" i="6" s="1"/>
  <c r="S2894" i="6" s="1"/>
  <c r="Q2895" i="6"/>
  <c r="N2895" i="6"/>
  <c r="O2896" i="6"/>
  <c r="P2896" i="6" s="1"/>
  <c r="R2895" i="6" l="1"/>
  <c r="M2895" i="6" s="1"/>
  <c r="S2895" i="6" s="1"/>
  <c r="Q2896" i="6"/>
  <c r="N2896" i="6"/>
  <c r="O2897" i="6"/>
  <c r="P2897" i="6" s="1"/>
  <c r="R2896" i="6" l="1"/>
  <c r="M2896" i="6" s="1"/>
  <c r="S2896" i="6" s="1"/>
  <c r="Q2897" i="6"/>
  <c r="O2898" i="6"/>
  <c r="P2898" i="6" s="1"/>
  <c r="N2897" i="6"/>
  <c r="R2897" i="6" l="1"/>
  <c r="M2897" i="6" s="1"/>
  <c r="S2897" i="6" s="1"/>
  <c r="Q2898" i="6"/>
  <c r="N2898" i="6"/>
  <c r="O2899" i="6"/>
  <c r="P2899" i="6" s="1"/>
  <c r="R2898" i="6" l="1"/>
  <c r="M2898" i="6" s="1"/>
  <c r="S2898" i="6" s="1"/>
  <c r="Q2899" i="6"/>
  <c r="O2900" i="6"/>
  <c r="P2900" i="6" s="1"/>
  <c r="N2899" i="6"/>
  <c r="R2899" i="6" l="1"/>
  <c r="M2899" i="6" s="1"/>
  <c r="S2899" i="6" s="1"/>
  <c r="Q2900" i="6"/>
  <c r="O2901" i="6"/>
  <c r="P2901" i="6" s="1"/>
  <c r="N2900" i="6"/>
  <c r="R2900" i="6" l="1"/>
  <c r="M2900" i="6" s="1"/>
  <c r="S2900" i="6" s="1"/>
  <c r="Q2901" i="6"/>
  <c r="O2902" i="6"/>
  <c r="P2902" i="6" s="1"/>
  <c r="N2901" i="6"/>
  <c r="R2901" i="6" l="1"/>
  <c r="M2901" i="6" s="1"/>
  <c r="S2901" i="6" s="1"/>
  <c r="Q2902" i="6"/>
  <c r="O2903" i="6"/>
  <c r="P2903" i="6" s="1"/>
  <c r="N2902" i="6"/>
  <c r="R2902" i="6" l="1"/>
  <c r="M2902" i="6" s="1"/>
  <c r="S2902" i="6" s="1"/>
  <c r="Q2903" i="6"/>
  <c r="N2903" i="6"/>
  <c r="O2904" i="6"/>
  <c r="P2904" i="6" s="1"/>
  <c r="R2903" i="6" l="1"/>
  <c r="M2903" i="6" s="1"/>
  <c r="S2903" i="6" s="1"/>
  <c r="Q2904" i="6"/>
  <c r="N2904" i="6"/>
  <c r="O2905" i="6"/>
  <c r="P2905" i="6" s="1"/>
  <c r="R2904" i="6" l="1"/>
  <c r="M2904" i="6" s="1"/>
  <c r="S2904" i="6" s="1"/>
  <c r="Q2905" i="6"/>
  <c r="O2906" i="6"/>
  <c r="P2906" i="6" s="1"/>
  <c r="N2905" i="6"/>
  <c r="R2905" i="6" l="1"/>
  <c r="M2905" i="6" s="1"/>
  <c r="S2905" i="6" s="1"/>
  <c r="Q2906" i="6"/>
  <c r="O2907" i="6"/>
  <c r="P2907" i="6" s="1"/>
  <c r="N2906" i="6"/>
  <c r="R2906" i="6" l="1"/>
  <c r="M2906" i="6" s="1"/>
  <c r="S2906" i="6" s="1"/>
  <c r="Q2907" i="6"/>
  <c r="N2907" i="6"/>
  <c r="O2908" i="6"/>
  <c r="P2908" i="6" s="1"/>
  <c r="R2907" i="6" l="1"/>
  <c r="M2907" i="6" s="1"/>
  <c r="S2907" i="6" s="1"/>
  <c r="Q2908" i="6"/>
  <c r="O2909" i="6"/>
  <c r="P2909" i="6" s="1"/>
  <c r="N2908" i="6"/>
  <c r="R2908" i="6" l="1"/>
  <c r="M2908" i="6" s="1"/>
  <c r="S2908" i="6" s="1"/>
  <c r="Q2909" i="6"/>
  <c r="N2909" i="6"/>
  <c r="O2910" i="6"/>
  <c r="P2910" i="6" s="1"/>
  <c r="R2909" i="6" l="1"/>
  <c r="M2909" i="6" s="1"/>
  <c r="S2909" i="6" s="1"/>
  <c r="Q2910" i="6"/>
  <c r="N2910" i="6"/>
  <c r="O2911" i="6"/>
  <c r="P2911" i="6" s="1"/>
  <c r="R2910" i="6" l="1"/>
  <c r="M2910" i="6" s="1"/>
  <c r="S2910" i="6" s="1"/>
  <c r="Q2911" i="6"/>
  <c r="N2911" i="6"/>
  <c r="O2912" i="6"/>
  <c r="P2912" i="6" s="1"/>
  <c r="R2911" i="6" l="1"/>
  <c r="M2911" i="6" s="1"/>
  <c r="S2911" i="6" s="1"/>
  <c r="Q2912" i="6"/>
  <c r="N2912" i="6"/>
  <c r="O2913" i="6"/>
  <c r="P2913" i="6" s="1"/>
  <c r="R2912" i="6" l="1"/>
  <c r="M2912" i="6" s="1"/>
  <c r="S2912" i="6" s="1"/>
  <c r="Q2913" i="6"/>
  <c r="O2914" i="6"/>
  <c r="P2914" i="6" s="1"/>
  <c r="N2913" i="6"/>
  <c r="R2913" i="6" l="1"/>
  <c r="M2913" i="6" s="1"/>
  <c r="S2913" i="6" s="1"/>
  <c r="Q2914" i="6"/>
  <c r="N2914" i="6"/>
  <c r="O2915" i="6"/>
  <c r="P2915" i="6" s="1"/>
  <c r="R2914" i="6" l="1"/>
  <c r="M2914" i="6" s="1"/>
  <c r="S2914" i="6" s="1"/>
  <c r="Q2915" i="6"/>
  <c r="N2915" i="6"/>
  <c r="O2916" i="6"/>
  <c r="P2916" i="6" s="1"/>
  <c r="R2915" i="6" l="1"/>
  <c r="M2915" i="6" s="1"/>
  <c r="S2915" i="6" s="1"/>
  <c r="Q2916" i="6"/>
  <c r="N2916" i="6"/>
  <c r="O2917" i="6"/>
  <c r="P2917" i="6" s="1"/>
  <c r="R2916" i="6" l="1"/>
  <c r="M2916" i="6" s="1"/>
  <c r="S2916" i="6" s="1"/>
  <c r="Q2917" i="6"/>
  <c r="N2917" i="6"/>
  <c r="O2918" i="6"/>
  <c r="P2918" i="6" s="1"/>
  <c r="R2917" i="6" l="1"/>
  <c r="M2917" i="6" s="1"/>
  <c r="S2917" i="6" s="1"/>
  <c r="Q2918" i="6"/>
  <c r="N2918" i="6"/>
  <c r="O2919" i="6"/>
  <c r="P2919" i="6" s="1"/>
  <c r="R2918" i="6" l="1"/>
  <c r="M2918" i="6" s="1"/>
  <c r="S2918" i="6" s="1"/>
  <c r="Q2919" i="6"/>
  <c r="N2919" i="6"/>
  <c r="O2920" i="6"/>
  <c r="P2920" i="6" s="1"/>
  <c r="R2919" i="6" l="1"/>
  <c r="M2919" i="6" s="1"/>
  <c r="S2919" i="6" s="1"/>
  <c r="Q2920" i="6"/>
  <c r="N2920" i="6"/>
  <c r="O2921" i="6"/>
  <c r="P2921" i="6" s="1"/>
  <c r="R2920" i="6" l="1"/>
  <c r="M2920" i="6" s="1"/>
  <c r="S2920" i="6" s="1"/>
  <c r="Q2921" i="6"/>
  <c r="N2921" i="6"/>
  <c r="O2922" i="6"/>
  <c r="P2922" i="6" s="1"/>
  <c r="R2921" i="6" l="1"/>
  <c r="M2921" i="6" s="1"/>
  <c r="S2921" i="6" s="1"/>
  <c r="Q2922" i="6"/>
  <c r="N2922" i="6"/>
  <c r="O2923" i="6"/>
  <c r="P2923" i="6" s="1"/>
  <c r="R2922" i="6" l="1"/>
  <c r="M2922" i="6" s="1"/>
  <c r="S2922" i="6" s="1"/>
  <c r="Q2923" i="6"/>
  <c r="N2923" i="6"/>
  <c r="O2924" i="6"/>
  <c r="P2924" i="6" s="1"/>
  <c r="R2923" i="6" l="1"/>
  <c r="M2923" i="6" s="1"/>
  <c r="S2923" i="6" s="1"/>
  <c r="Q2924" i="6"/>
  <c r="N2924" i="6"/>
  <c r="O2925" i="6"/>
  <c r="P2925" i="6" s="1"/>
  <c r="R2924" i="6" l="1"/>
  <c r="M2924" i="6" s="1"/>
  <c r="S2924" i="6" s="1"/>
  <c r="Q2925" i="6"/>
  <c r="O2926" i="6"/>
  <c r="P2926" i="6" s="1"/>
  <c r="N2925" i="6"/>
  <c r="R2925" i="6" l="1"/>
  <c r="M2925" i="6" s="1"/>
  <c r="S2925" i="6" s="1"/>
  <c r="Q2926" i="6"/>
  <c r="N2926" i="6"/>
  <c r="O2927" i="6"/>
  <c r="P2927" i="6" s="1"/>
  <c r="R2926" i="6" l="1"/>
  <c r="M2926" i="6" s="1"/>
  <c r="S2926" i="6" s="1"/>
  <c r="Q2927" i="6"/>
  <c r="N2927" i="6"/>
  <c r="O2928" i="6"/>
  <c r="P2928" i="6" s="1"/>
  <c r="R2927" i="6" l="1"/>
  <c r="M2927" i="6" s="1"/>
  <c r="S2927" i="6" s="1"/>
  <c r="Q2928" i="6"/>
  <c r="N2928" i="6"/>
  <c r="O2929" i="6"/>
  <c r="P2929" i="6" s="1"/>
  <c r="R2928" i="6" l="1"/>
  <c r="M2928" i="6" s="1"/>
  <c r="S2928" i="6" s="1"/>
  <c r="Q2929" i="6"/>
  <c r="N2929" i="6"/>
  <c r="O2930" i="6"/>
  <c r="P2930" i="6" s="1"/>
  <c r="R2929" i="6" l="1"/>
  <c r="M2929" i="6" s="1"/>
  <c r="S2929" i="6" s="1"/>
  <c r="Q2930" i="6"/>
  <c r="N2930" i="6"/>
  <c r="O2931" i="6"/>
  <c r="P2931" i="6" s="1"/>
  <c r="R2930" i="6" l="1"/>
  <c r="M2930" i="6" s="1"/>
  <c r="S2930" i="6" s="1"/>
  <c r="Q2931" i="6"/>
  <c r="N2931" i="6"/>
  <c r="O2932" i="6"/>
  <c r="P2932" i="6" s="1"/>
  <c r="R2931" i="6" l="1"/>
  <c r="M2931" i="6" s="1"/>
  <c r="S2931" i="6" s="1"/>
  <c r="Q2932" i="6"/>
  <c r="N2932" i="6"/>
  <c r="O2933" i="6"/>
  <c r="P2933" i="6" s="1"/>
  <c r="R2932" i="6" l="1"/>
  <c r="M2932" i="6" s="1"/>
  <c r="S2932" i="6" s="1"/>
  <c r="Q2933" i="6"/>
  <c r="O2934" i="6"/>
  <c r="P2934" i="6" s="1"/>
  <c r="N2933" i="6"/>
  <c r="R2933" i="6" l="1"/>
  <c r="M2933" i="6" s="1"/>
  <c r="S2933" i="6" s="1"/>
  <c r="Q2934" i="6"/>
  <c r="N2934" i="6"/>
  <c r="O2935" i="6"/>
  <c r="P2935" i="6" s="1"/>
  <c r="R2934" i="6" l="1"/>
  <c r="M2934" i="6" s="1"/>
  <c r="S2934" i="6" s="1"/>
  <c r="Q2935" i="6"/>
  <c r="N2935" i="6"/>
  <c r="O2936" i="6"/>
  <c r="P2936" i="6" s="1"/>
  <c r="R2935" i="6" l="1"/>
  <c r="M2935" i="6" s="1"/>
  <c r="S2935" i="6" s="1"/>
  <c r="Q2936" i="6"/>
  <c r="N2936" i="6"/>
  <c r="O2937" i="6"/>
  <c r="P2937" i="6" s="1"/>
  <c r="R2936" i="6" l="1"/>
  <c r="M2936" i="6" s="1"/>
  <c r="S2936" i="6" s="1"/>
  <c r="Q2937" i="6"/>
  <c r="N2937" i="6"/>
  <c r="O2938" i="6"/>
  <c r="P2938" i="6" s="1"/>
  <c r="R2937" i="6" l="1"/>
  <c r="M2937" i="6" s="1"/>
  <c r="S2937" i="6" s="1"/>
  <c r="Q2938" i="6"/>
  <c r="N2938" i="6"/>
  <c r="O2939" i="6"/>
  <c r="P2939" i="6" s="1"/>
  <c r="R2938" i="6" l="1"/>
  <c r="M2938" i="6" s="1"/>
  <c r="S2938" i="6" s="1"/>
  <c r="Q2939" i="6"/>
  <c r="O2940" i="6"/>
  <c r="P2940" i="6" s="1"/>
  <c r="N2939" i="6"/>
  <c r="R2939" i="6" l="1"/>
  <c r="M2939" i="6" s="1"/>
  <c r="S2939" i="6" s="1"/>
  <c r="Q2940" i="6"/>
  <c r="N2940" i="6"/>
  <c r="O2941" i="6"/>
  <c r="P2941" i="6" s="1"/>
  <c r="R2940" i="6" l="1"/>
  <c r="M2940" i="6" s="1"/>
  <c r="S2940" i="6" s="1"/>
  <c r="Q2941" i="6"/>
  <c r="O2942" i="6"/>
  <c r="P2942" i="6" s="1"/>
  <c r="N2941" i="6"/>
  <c r="R2941" i="6" l="1"/>
  <c r="M2941" i="6" s="1"/>
  <c r="S2941" i="6" s="1"/>
  <c r="Q2942" i="6"/>
  <c r="O2943" i="6"/>
  <c r="P2943" i="6" s="1"/>
  <c r="N2942" i="6"/>
  <c r="R2942" i="6" l="1"/>
  <c r="M2942" i="6" s="1"/>
  <c r="S2942" i="6" s="1"/>
  <c r="Q2943" i="6"/>
  <c r="N2943" i="6"/>
  <c r="O2944" i="6"/>
  <c r="P2944" i="6" s="1"/>
  <c r="R2943" i="6" l="1"/>
  <c r="M2943" i="6" s="1"/>
  <c r="S2943" i="6" s="1"/>
  <c r="Q2944" i="6"/>
  <c r="N2944" i="6"/>
  <c r="O2945" i="6"/>
  <c r="P2945" i="6" s="1"/>
  <c r="R2944" i="6" l="1"/>
  <c r="M2944" i="6" s="1"/>
  <c r="S2944" i="6" s="1"/>
  <c r="Q2945" i="6"/>
  <c r="O2946" i="6"/>
  <c r="P2946" i="6" s="1"/>
  <c r="N2945" i="6"/>
  <c r="R2945" i="6" l="1"/>
  <c r="M2945" i="6" s="1"/>
  <c r="S2945" i="6" s="1"/>
  <c r="Q2946" i="6"/>
  <c r="O2947" i="6"/>
  <c r="P2947" i="6" s="1"/>
  <c r="N2946" i="6"/>
  <c r="R2946" i="6" l="1"/>
  <c r="M2946" i="6" s="1"/>
  <c r="S2946" i="6" s="1"/>
  <c r="Q2947" i="6"/>
  <c r="N2947" i="6"/>
  <c r="O2948" i="6"/>
  <c r="P2948" i="6" s="1"/>
  <c r="R2947" i="6" l="1"/>
  <c r="M2947" i="6" s="1"/>
  <c r="S2947" i="6" s="1"/>
  <c r="Q2948" i="6"/>
  <c r="O2949" i="6"/>
  <c r="P2949" i="6" s="1"/>
  <c r="N2948" i="6"/>
  <c r="R2948" i="6" l="1"/>
  <c r="M2948" i="6" s="1"/>
  <c r="S2948" i="6" s="1"/>
  <c r="Q2949" i="6"/>
  <c r="O2950" i="6"/>
  <c r="P2950" i="6" s="1"/>
  <c r="N2949" i="6"/>
  <c r="R2949" i="6" l="1"/>
  <c r="M2949" i="6" s="1"/>
  <c r="S2949" i="6" s="1"/>
  <c r="Q2950" i="6"/>
  <c r="N2950" i="6"/>
  <c r="O2951" i="6"/>
  <c r="P2951" i="6" s="1"/>
  <c r="R2950" i="6" l="1"/>
  <c r="M2950" i="6" s="1"/>
  <c r="S2950" i="6" s="1"/>
  <c r="Q2951" i="6"/>
  <c r="N2951" i="6"/>
  <c r="O2952" i="6"/>
  <c r="P2952" i="6" s="1"/>
  <c r="R2951" i="6" l="1"/>
  <c r="M2951" i="6" s="1"/>
  <c r="S2951" i="6" s="1"/>
  <c r="Q2952" i="6"/>
  <c r="O2953" i="6"/>
  <c r="P2953" i="6" s="1"/>
  <c r="N2952" i="6"/>
  <c r="R2952" i="6" l="1"/>
  <c r="M2952" i="6" s="1"/>
  <c r="S2952" i="6" s="1"/>
  <c r="Q2953" i="6"/>
  <c r="O2954" i="6"/>
  <c r="P2954" i="6" s="1"/>
  <c r="N2953" i="6"/>
  <c r="R2953" i="6" l="1"/>
  <c r="M2953" i="6" s="1"/>
  <c r="S2953" i="6" s="1"/>
  <c r="Q2954" i="6"/>
  <c r="O2955" i="6"/>
  <c r="P2955" i="6" s="1"/>
  <c r="N2954" i="6"/>
  <c r="R2954" i="6" l="1"/>
  <c r="M2954" i="6" s="1"/>
  <c r="S2954" i="6" s="1"/>
  <c r="Q2955" i="6"/>
  <c r="N2955" i="6"/>
  <c r="O2956" i="6"/>
  <c r="P2956" i="6" s="1"/>
  <c r="R2955" i="6" l="1"/>
  <c r="M2955" i="6" s="1"/>
  <c r="S2955" i="6" s="1"/>
  <c r="Q2956" i="6"/>
  <c r="N2956" i="6"/>
  <c r="O2957" i="6"/>
  <c r="P2957" i="6" s="1"/>
  <c r="R2956" i="6" l="1"/>
  <c r="M2956" i="6" s="1"/>
  <c r="S2956" i="6" s="1"/>
  <c r="Q2957" i="6"/>
  <c r="N2957" i="6"/>
  <c r="O2958" i="6"/>
  <c r="P2958" i="6" s="1"/>
  <c r="R2957" i="6" l="1"/>
  <c r="M2957" i="6" s="1"/>
  <c r="S2957" i="6" s="1"/>
  <c r="Q2958" i="6"/>
  <c r="O2959" i="6"/>
  <c r="P2959" i="6" s="1"/>
  <c r="N2958" i="6"/>
  <c r="R2958" i="6" l="1"/>
  <c r="M2958" i="6" s="1"/>
  <c r="S2958" i="6" s="1"/>
  <c r="Q2959" i="6"/>
  <c r="N2959" i="6"/>
  <c r="O2960" i="6"/>
  <c r="P2960" i="6" s="1"/>
  <c r="R2959" i="6" l="1"/>
  <c r="M2959" i="6" s="1"/>
  <c r="S2959" i="6" s="1"/>
  <c r="Q2960" i="6"/>
  <c r="N2960" i="6"/>
  <c r="O2961" i="6"/>
  <c r="P2961" i="6" s="1"/>
  <c r="R2960" i="6" l="1"/>
  <c r="M2960" i="6" s="1"/>
  <c r="S2960" i="6" s="1"/>
  <c r="Q2961" i="6"/>
  <c r="N2961" i="6"/>
  <c r="O2962" i="6"/>
  <c r="P2962" i="6" s="1"/>
  <c r="R2961" i="6" l="1"/>
  <c r="M2961" i="6" s="1"/>
  <c r="S2961" i="6" s="1"/>
  <c r="Q2962" i="6"/>
  <c r="O2963" i="6"/>
  <c r="P2963" i="6" s="1"/>
  <c r="N2962" i="6"/>
  <c r="R2962" i="6" l="1"/>
  <c r="M2962" i="6" s="1"/>
  <c r="S2962" i="6" s="1"/>
  <c r="Q2963" i="6"/>
  <c r="N2963" i="6"/>
  <c r="O2964" i="6"/>
  <c r="P2964" i="6" s="1"/>
  <c r="R2963" i="6" l="1"/>
  <c r="M2963" i="6" s="1"/>
  <c r="S2963" i="6" s="1"/>
  <c r="Q2964" i="6"/>
  <c r="O2965" i="6"/>
  <c r="P2965" i="6" s="1"/>
  <c r="N2964" i="6"/>
  <c r="R2964" i="6" l="1"/>
  <c r="M2964" i="6" s="1"/>
  <c r="S2964" i="6" s="1"/>
  <c r="Q2965" i="6"/>
  <c r="N2965" i="6"/>
  <c r="O2966" i="6"/>
  <c r="P2966" i="6" s="1"/>
  <c r="R2965" i="6" l="1"/>
  <c r="M2965" i="6" s="1"/>
  <c r="S2965" i="6" s="1"/>
  <c r="Q2966" i="6"/>
  <c r="O2967" i="6"/>
  <c r="P2967" i="6" s="1"/>
  <c r="N2966" i="6"/>
  <c r="R2966" i="6" l="1"/>
  <c r="M2966" i="6" s="1"/>
  <c r="S2966" i="6" s="1"/>
  <c r="Q2967" i="6"/>
  <c r="O2968" i="6"/>
  <c r="P2968" i="6" s="1"/>
  <c r="N2967" i="6"/>
  <c r="R2967" i="6" l="1"/>
  <c r="M2967" i="6" s="1"/>
  <c r="S2967" i="6" s="1"/>
  <c r="Q2968" i="6"/>
  <c r="N2968" i="6"/>
  <c r="O2969" i="6"/>
  <c r="P2969" i="6" s="1"/>
  <c r="R2968" i="6" l="1"/>
  <c r="M2968" i="6" s="1"/>
  <c r="S2968" i="6" s="1"/>
  <c r="Q2969" i="6"/>
  <c r="N2969" i="6"/>
  <c r="O2970" i="6"/>
  <c r="P2970" i="6" s="1"/>
  <c r="R2969" i="6" l="1"/>
  <c r="M2969" i="6" s="1"/>
  <c r="S2969" i="6" s="1"/>
  <c r="Q2970" i="6"/>
  <c r="O2971" i="6"/>
  <c r="P2971" i="6" s="1"/>
  <c r="N2970" i="6"/>
  <c r="R2970" i="6" l="1"/>
  <c r="M2970" i="6" s="1"/>
  <c r="S2970" i="6" s="1"/>
  <c r="Q2971" i="6"/>
  <c r="N2971" i="6"/>
  <c r="O2972" i="6"/>
  <c r="P2972" i="6" s="1"/>
  <c r="R2971" i="6" l="1"/>
  <c r="M2971" i="6" s="1"/>
  <c r="S2971" i="6" s="1"/>
  <c r="Q2972" i="6"/>
  <c r="N2972" i="6"/>
  <c r="O2973" i="6"/>
  <c r="P2973" i="6" s="1"/>
  <c r="R2972" i="6" l="1"/>
  <c r="M2972" i="6" s="1"/>
  <c r="S2972" i="6" s="1"/>
  <c r="Q2973" i="6"/>
  <c r="N2973" i="6"/>
  <c r="O2974" i="6"/>
  <c r="P2974" i="6" s="1"/>
  <c r="R2973" i="6" l="1"/>
  <c r="M2973" i="6" s="1"/>
  <c r="S2973" i="6" s="1"/>
  <c r="Q2974" i="6"/>
  <c r="N2974" i="6"/>
  <c r="O2975" i="6"/>
  <c r="P2975" i="6" s="1"/>
  <c r="R2974" i="6" l="1"/>
  <c r="M2974" i="6" s="1"/>
  <c r="S2974" i="6" s="1"/>
  <c r="Q2975" i="6"/>
  <c r="N2975" i="6"/>
  <c r="O2976" i="6"/>
  <c r="P2976" i="6" s="1"/>
  <c r="R2975" i="6" l="1"/>
  <c r="M2975" i="6" s="1"/>
  <c r="S2975" i="6" s="1"/>
  <c r="Q2976" i="6"/>
  <c r="N2976" i="6"/>
  <c r="O2977" i="6"/>
  <c r="P2977" i="6" s="1"/>
  <c r="R2976" i="6" l="1"/>
  <c r="M2976" i="6" s="1"/>
  <c r="S2976" i="6" s="1"/>
  <c r="Q2977" i="6"/>
  <c r="O2978" i="6"/>
  <c r="P2978" i="6" s="1"/>
  <c r="N2977" i="6"/>
  <c r="R2977" i="6" l="1"/>
  <c r="M2977" i="6" s="1"/>
  <c r="S2977" i="6" s="1"/>
  <c r="Q2978" i="6"/>
  <c r="O2979" i="6"/>
  <c r="P2979" i="6" s="1"/>
  <c r="N2978" i="6"/>
  <c r="R2978" i="6" l="1"/>
  <c r="M2978" i="6" s="1"/>
  <c r="S2978" i="6" s="1"/>
  <c r="Q2979" i="6"/>
  <c r="O2980" i="6"/>
  <c r="P2980" i="6" s="1"/>
  <c r="N2979" i="6"/>
  <c r="R2979" i="6" l="1"/>
  <c r="M2979" i="6" s="1"/>
  <c r="S2979" i="6" s="1"/>
  <c r="Q2980" i="6"/>
  <c r="O2981" i="6"/>
  <c r="P2981" i="6" s="1"/>
  <c r="N2980" i="6"/>
  <c r="R2980" i="6" l="1"/>
  <c r="M2980" i="6" s="1"/>
  <c r="S2980" i="6" s="1"/>
  <c r="Q2981" i="6"/>
  <c r="O2982" i="6"/>
  <c r="P2982" i="6" s="1"/>
  <c r="N2981" i="6"/>
  <c r="R2981" i="6" l="1"/>
  <c r="M2981" i="6" s="1"/>
  <c r="S2981" i="6" s="1"/>
  <c r="Q2982" i="6"/>
  <c r="N2982" i="6"/>
  <c r="O2983" i="6"/>
  <c r="P2983" i="6" s="1"/>
  <c r="R2982" i="6" l="1"/>
  <c r="M2982" i="6" s="1"/>
  <c r="S2982" i="6" s="1"/>
  <c r="Q2983" i="6"/>
  <c r="N2983" i="6"/>
  <c r="O2984" i="6"/>
  <c r="P2984" i="6" s="1"/>
  <c r="R2983" i="6" l="1"/>
  <c r="M2983" i="6" s="1"/>
  <c r="S2983" i="6" s="1"/>
  <c r="Q2984" i="6"/>
  <c r="N2984" i="6"/>
  <c r="O2985" i="6"/>
  <c r="P2985" i="6" s="1"/>
  <c r="R2984" i="6" l="1"/>
  <c r="M2984" i="6" s="1"/>
  <c r="S2984" i="6" s="1"/>
  <c r="Q2985" i="6"/>
  <c r="N2985" i="6"/>
  <c r="O2986" i="6"/>
  <c r="P2986" i="6" s="1"/>
  <c r="R2985" i="6" l="1"/>
  <c r="M2985" i="6" s="1"/>
  <c r="S2985" i="6" s="1"/>
  <c r="Q2986" i="6"/>
  <c r="N2986" i="6"/>
  <c r="O2987" i="6"/>
  <c r="P2987" i="6" s="1"/>
  <c r="R2986" i="6" l="1"/>
  <c r="M2986" i="6" s="1"/>
  <c r="S2986" i="6" s="1"/>
  <c r="Q2987" i="6"/>
  <c r="O2988" i="6"/>
  <c r="P2988" i="6" s="1"/>
  <c r="N2987" i="6"/>
  <c r="R2987" i="6" l="1"/>
  <c r="M2987" i="6" s="1"/>
  <c r="S2987" i="6" s="1"/>
  <c r="Q2988" i="6"/>
  <c r="N2988" i="6"/>
  <c r="O2989" i="6"/>
  <c r="P2989" i="6" s="1"/>
  <c r="R2988" i="6" l="1"/>
  <c r="M2988" i="6" s="1"/>
  <c r="S2988" i="6" s="1"/>
  <c r="Q2989" i="6"/>
  <c r="O2990" i="6"/>
  <c r="P2990" i="6" s="1"/>
  <c r="N2989" i="6"/>
  <c r="R2989" i="6" l="1"/>
  <c r="M2989" i="6" s="1"/>
  <c r="S2989" i="6" s="1"/>
  <c r="Q2990" i="6"/>
  <c r="O2991" i="6"/>
  <c r="P2991" i="6" s="1"/>
  <c r="N2990" i="6"/>
  <c r="R2990" i="6" l="1"/>
  <c r="M2990" i="6" s="1"/>
  <c r="S2990" i="6" s="1"/>
  <c r="Q2991" i="6"/>
  <c r="O2992" i="6"/>
  <c r="P2992" i="6" s="1"/>
  <c r="N2991" i="6"/>
  <c r="R2991" i="6" l="1"/>
  <c r="M2991" i="6" s="1"/>
  <c r="S2991" i="6" s="1"/>
  <c r="Q2992" i="6"/>
  <c r="N2992" i="6"/>
  <c r="O2993" i="6"/>
  <c r="P2993" i="6" s="1"/>
  <c r="R2992" i="6" l="1"/>
  <c r="M2992" i="6" s="1"/>
  <c r="S2992" i="6" s="1"/>
  <c r="Q2993" i="6"/>
  <c r="N2993" i="6"/>
  <c r="O2994" i="6"/>
  <c r="P2994" i="6" s="1"/>
  <c r="R2993" i="6" l="1"/>
  <c r="M2993" i="6" s="1"/>
  <c r="S2993" i="6" s="1"/>
  <c r="Q2994" i="6"/>
  <c r="O2995" i="6"/>
  <c r="P2995" i="6" s="1"/>
  <c r="N2994" i="6"/>
  <c r="R2994" i="6" l="1"/>
  <c r="M2994" i="6" s="1"/>
  <c r="S2994" i="6" s="1"/>
  <c r="Q2995" i="6"/>
  <c r="N2995" i="6"/>
  <c r="O2996" i="6"/>
  <c r="P2996" i="6" s="1"/>
  <c r="R2995" i="6" l="1"/>
  <c r="M2995" i="6" s="1"/>
  <c r="S2995" i="6" s="1"/>
  <c r="Q2996" i="6"/>
  <c r="N2996" i="6"/>
  <c r="O2997" i="6"/>
  <c r="P2997" i="6" s="1"/>
  <c r="R2996" i="6" l="1"/>
  <c r="M2996" i="6" s="1"/>
  <c r="S2996" i="6" s="1"/>
  <c r="Q2997" i="6"/>
  <c r="O2998" i="6"/>
  <c r="P2998" i="6" s="1"/>
  <c r="N2997" i="6"/>
  <c r="R2997" i="6" l="1"/>
  <c r="M2997" i="6" s="1"/>
  <c r="S2997" i="6" s="1"/>
  <c r="Q2998" i="6"/>
  <c r="O2999" i="6"/>
  <c r="P2999" i="6" s="1"/>
  <c r="N2998" i="6"/>
  <c r="R2998" i="6" l="1"/>
  <c r="M2998" i="6" s="1"/>
  <c r="S2998" i="6" s="1"/>
  <c r="Q2999" i="6"/>
  <c r="N2999" i="6"/>
  <c r="O3000" i="6"/>
  <c r="P3000" i="6" s="1"/>
  <c r="R2999" i="6" l="1"/>
  <c r="M2999" i="6" s="1"/>
  <c r="S2999" i="6" s="1"/>
  <c r="Q3000" i="6"/>
  <c r="N3000" i="6"/>
  <c r="O3001" i="6"/>
  <c r="P3001" i="6" s="1"/>
  <c r="R3000" i="6" l="1"/>
  <c r="M3000" i="6" s="1"/>
  <c r="S3000" i="6" s="1"/>
  <c r="Q3001" i="6"/>
  <c r="O3002" i="6"/>
  <c r="P3002" i="6" s="1"/>
  <c r="N3001" i="6"/>
  <c r="R3001" i="6" l="1"/>
  <c r="M3001" i="6" s="1"/>
  <c r="S3001" i="6" s="1"/>
  <c r="Q3002" i="6"/>
  <c r="O3003" i="6"/>
  <c r="P3003" i="6" s="1"/>
  <c r="N3002" i="6"/>
  <c r="R3002" i="6" l="1"/>
  <c r="M3002" i="6" s="1"/>
  <c r="S3002" i="6" s="1"/>
  <c r="Q3003" i="6"/>
  <c r="O3004" i="6"/>
  <c r="P3004" i="6" s="1"/>
  <c r="N3003" i="6"/>
  <c r="R3003" i="6" l="1"/>
  <c r="M3003" i="6" s="1"/>
  <c r="S3003" i="6" s="1"/>
  <c r="Q3004" i="6"/>
  <c r="N3004" i="6"/>
  <c r="O3005" i="6"/>
  <c r="P3005" i="6" s="1"/>
  <c r="R3004" i="6" l="1"/>
  <c r="M3004" i="6" s="1"/>
  <c r="S3004" i="6" s="1"/>
  <c r="Q3005" i="6"/>
  <c r="O3006" i="6"/>
  <c r="P3006" i="6" s="1"/>
  <c r="N3005" i="6"/>
  <c r="R3005" i="6" l="1"/>
  <c r="M3005" i="6" s="1"/>
  <c r="S3005" i="6" s="1"/>
  <c r="Q3006" i="6"/>
  <c r="N3006" i="6"/>
  <c r="O3007" i="6"/>
  <c r="P3007" i="6" s="1"/>
  <c r="R3006" i="6" l="1"/>
  <c r="M3006" i="6" s="1"/>
  <c r="S3006" i="6" s="1"/>
  <c r="Q3007" i="6"/>
  <c r="O3008" i="6"/>
  <c r="P3008" i="6" s="1"/>
  <c r="N3007" i="6"/>
  <c r="R3007" i="6" l="1"/>
  <c r="M3007" i="6" s="1"/>
  <c r="S3007" i="6" s="1"/>
  <c r="Q3008" i="6"/>
  <c r="O3009" i="6"/>
  <c r="P3009" i="6" s="1"/>
  <c r="N3008" i="6"/>
  <c r="R3008" i="6" l="1"/>
  <c r="M3008" i="6" s="1"/>
  <c r="S3008" i="6" s="1"/>
  <c r="Q3009" i="6"/>
  <c r="N3009" i="6"/>
  <c r="O3010" i="6"/>
  <c r="P3010" i="6" s="1"/>
  <c r="R3009" i="6" l="1"/>
  <c r="M3009" i="6" s="1"/>
  <c r="S3009" i="6" s="1"/>
  <c r="Q3010" i="6"/>
  <c r="O3011" i="6"/>
  <c r="P3011" i="6" s="1"/>
  <c r="N3010" i="6"/>
  <c r="R3010" i="6" l="1"/>
  <c r="M3010" i="6" s="1"/>
  <c r="S3010" i="6" s="1"/>
  <c r="Q3011" i="6"/>
  <c r="O3012" i="6"/>
  <c r="P3012" i="6" s="1"/>
  <c r="N3011" i="6"/>
  <c r="R3011" i="6" l="1"/>
  <c r="M3011" i="6" s="1"/>
  <c r="S3011" i="6" s="1"/>
  <c r="Q3012" i="6"/>
  <c r="N3012" i="6"/>
  <c r="O3013" i="6"/>
  <c r="P3013" i="6" s="1"/>
  <c r="R3012" i="6" l="1"/>
  <c r="M3012" i="6" s="1"/>
  <c r="S3012" i="6" s="1"/>
  <c r="Q3013" i="6"/>
  <c r="N3013" i="6"/>
  <c r="O3014" i="6"/>
  <c r="P3014" i="6" s="1"/>
  <c r="R3013" i="6" l="1"/>
  <c r="M3013" i="6" s="1"/>
  <c r="S3013" i="6" s="1"/>
  <c r="Q3014" i="6"/>
  <c r="O3015" i="6"/>
  <c r="P3015" i="6" s="1"/>
  <c r="N3014" i="6"/>
  <c r="R3014" i="6" l="1"/>
  <c r="M3014" i="6" s="1"/>
  <c r="S3014" i="6" s="1"/>
  <c r="Q3015" i="6"/>
  <c r="N3015" i="6"/>
  <c r="O3016" i="6"/>
  <c r="P3016" i="6" s="1"/>
  <c r="R3015" i="6" l="1"/>
  <c r="M3015" i="6" s="1"/>
  <c r="S3015" i="6" s="1"/>
  <c r="Q3016" i="6"/>
  <c r="N3016" i="6"/>
  <c r="O3017" i="6"/>
  <c r="P3017" i="6" s="1"/>
  <c r="R3016" i="6" l="1"/>
  <c r="M3016" i="6" s="1"/>
  <c r="S3016" i="6" s="1"/>
  <c r="Q3017" i="6"/>
  <c r="N3017" i="6"/>
  <c r="O3018" i="6"/>
  <c r="P3018" i="6" s="1"/>
  <c r="R3017" i="6" l="1"/>
  <c r="M3017" i="6" s="1"/>
  <c r="S3017" i="6" s="1"/>
  <c r="Q3018" i="6"/>
  <c r="N3018" i="6"/>
  <c r="O3019" i="6"/>
  <c r="P3019" i="6" s="1"/>
  <c r="R3018" i="6" l="1"/>
  <c r="M3018" i="6" s="1"/>
  <c r="S3018" i="6" s="1"/>
  <c r="Q3019" i="6"/>
  <c r="N3019" i="6"/>
  <c r="O3020" i="6"/>
  <c r="P3020" i="6" s="1"/>
  <c r="R3019" i="6" l="1"/>
  <c r="M3019" i="6" s="1"/>
  <c r="S3019" i="6" s="1"/>
  <c r="Q3020" i="6"/>
  <c r="O3021" i="6"/>
  <c r="P3021" i="6" s="1"/>
  <c r="N3020" i="6"/>
  <c r="R3020" i="6" l="1"/>
  <c r="M3020" i="6" s="1"/>
  <c r="S3020" i="6" s="1"/>
  <c r="Q3021" i="6"/>
  <c r="N3021" i="6"/>
  <c r="O3022" i="6"/>
  <c r="P3022" i="6" s="1"/>
  <c r="R3021" i="6" l="1"/>
  <c r="M3021" i="6" s="1"/>
  <c r="S3021" i="6" s="1"/>
  <c r="Q3022" i="6"/>
  <c r="O3023" i="6"/>
  <c r="P3023" i="6" s="1"/>
  <c r="N3022" i="6"/>
  <c r="R3022" i="6" l="1"/>
  <c r="M3022" i="6" s="1"/>
  <c r="S3022" i="6" s="1"/>
  <c r="Q3023" i="6"/>
  <c r="N3023" i="6"/>
  <c r="O3024" i="6"/>
  <c r="P3024" i="6" s="1"/>
  <c r="R3023" i="6" l="1"/>
  <c r="M3023" i="6" s="1"/>
  <c r="S3023" i="6" s="1"/>
  <c r="Q3024" i="6"/>
  <c r="O3025" i="6"/>
  <c r="P3025" i="6" s="1"/>
  <c r="N3024" i="6"/>
  <c r="R3024" i="6" l="1"/>
  <c r="M3024" i="6" s="1"/>
  <c r="S3024" i="6" s="1"/>
  <c r="Q3025" i="6"/>
  <c r="N3025" i="6"/>
  <c r="O3026" i="6"/>
  <c r="P3026" i="6" s="1"/>
  <c r="R3025" i="6" l="1"/>
  <c r="M3025" i="6" s="1"/>
  <c r="S3025" i="6" s="1"/>
  <c r="Q3026" i="6"/>
  <c r="O3027" i="6"/>
  <c r="P3027" i="6" s="1"/>
  <c r="N3026" i="6"/>
  <c r="R3026" i="6" l="1"/>
  <c r="M3026" i="6" s="1"/>
  <c r="S3026" i="6" s="1"/>
  <c r="Q3027" i="6"/>
  <c r="N3027" i="6"/>
  <c r="O3028" i="6"/>
  <c r="P3028" i="6" s="1"/>
  <c r="R3027" i="6" l="1"/>
  <c r="M3027" i="6" s="1"/>
  <c r="S3027" i="6" s="1"/>
  <c r="Q3028" i="6"/>
  <c r="N3028" i="6"/>
  <c r="O3029" i="6"/>
  <c r="P3029" i="6" s="1"/>
  <c r="R3028" i="6" l="1"/>
  <c r="M3028" i="6" s="1"/>
  <c r="S3028" i="6" s="1"/>
  <c r="Q3029" i="6"/>
  <c r="N3029" i="6"/>
  <c r="O3030" i="6"/>
  <c r="P3030" i="6" s="1"/>
  <c r="R3029" i="6" l="1"/>
  <c r="M3029" i="6" s="1"/>
  <c r="S3029" i="6" s="1"/>
  <c r="Q3030" i="6"/>
  <c r="O3031" i="6"/>
  <c r="P3031" i="6" s="1"/>
  <c r="N3030" i="6"/>
  <c r="R3030" i="6" l="1"/>
  <c r="M3030" i="6" s="1"/>
  <c r="S3030" i="6" s="1"/>
  <c r="Q3031" i="6"/>
  <c r="N3031" i="6"/>
  <c r="O3032" i="6"/>
  <c r="P3032" i="6" s="1"/>
  <c r="R3031" i="6" l="1"/>
  <c r="M3031" i="6" s="1"/>
  <c r="S3031" i="6" s="1"/>
  <c r="Q3032" i="6"/>
  <c r="N3032" i="6"/>
  <c r="O3033" i="6"/>
  <c r="P3033" i="6" s="1"/>
  <c r="R3032" i="6" l="1"/>
  <c r="M3032" i="6" s="1"/>
  <c r="S3032" i="6" s="1"/>
  <c r="Q3033" i="6"/>
  <c r="N3033" i="6"/>
  <c r="O3034" i="6"/>
  <c r="P3034" i="6" s="1"/>
  <c r="R3033" i="6" l="1"/>
  <c r="M3033" i="6" s="1"/>
  <c r="S3033" i="6" s="1"/>
  <c r="Q3034" i="6"/>
  <c r="N3034" i="6"/>
  <c r="O3035" i="6"/>
  <c r="P3035" i="6" s="1"/>
  <c r="R3034" i="6" l="1"/>
  <c r="M3034" i="6" s="1"/>
  <c r="S3034" i="6" s="1"/>
  <c r="Q3035" i="6"/>
  <c r="N3035" i="6"/>
  <c r="O3036" i="6"/>
  <c r="P3036" i="6" s="1"/>
  <c r="R3035" i="6" l="1"/>
  <c r="M3035" i="6" s="1"/>
  <c r="S3035" i="6" s="1"/>
  <c r="Q3036" i="6"/>
  <c r="O3037" i="6"/>
  <c r="P3037" i="6" s="1"/>
  <c r="N3036" i="6"/>
  <c r="R3036" i="6" l="1"/>
  <c r="M3036" i="6" s="1"/>
  <c r="S3036" i="6" s="1"/>
  <c r="Q3037" i="6"/>
  <c r="N3037" i="6"/>
  <c r="O3038" i="6"/>
  <c r="P3038" i="6" s="1"/>
  <c r="R3037" i="6" l="1"/>
  <c r="M3037" i="6" s="1"/>
  <c r="S3037" i="6" s="1"/>
  <c r="Q3038" i="6"/>
  <c r="O3039" i="6"/>
  <c r="P3039" i="6" s="1"/>
  <c r="N3038" i="6"/>
  <c r="R3038" i="6" l="1"/>
  <c r="M3038" i="6" s="1"/>
  <c r="S3038" i="6" s="1"/>
  <c r="Q3039" i="6"/>
  <c r="N3039" i="6"/>
  <c r="O3040" i="6"/>
  <c r="P3040" i="6" s="1"/>
  <c r="R3039" i="6" l="1"/>
  <c r="M3039" i="6" s="1"/>
  <c r="S3039" i="6" s="1"/>
  <c r="Q3040" i="6"/>
  <c r="O3041" i="6"/>
  <c r="P3041" i="6" s="1"/>
  <c r="N3040" i="6"/>
  <c r="R3040" i="6" l="1"/>
  <c r="M3040" i="6" s="1"/>
  <c r="S3040" i="6" s="1"/>
  <c r="Q3041" i="6"/>
  <c r="O3042" i="6"/>
  <c r="P3042" i="6" s="1"/>
  <c r="N3041" i="6"/>
  <c r="R3041" i="6" l="1"/>
  <c r="M3041" i="6" s="1"/>
  <c r="S3041" i="6" s="1"/>
  <c r="Q3042" i="6"/>
  <c r="O3043" i="6"/>
  <c r="P3043" i="6" s="1"/>
  <c r="N3042" i="6"/>
  <c r="R3042" i="6" l="1"/>
  <c r="M3042" i="6" s="1"/>
  <c r="S3042" i="6" s="1"/>
  <c r="Q3043" i="6"/>
  <c r="N3043" i="6"/>
  <c r="O3044" i="6"/>
  <c r="P3044" i="6" s="1"/>
  <c r="R3043" i="6" l="1"/>
  <c r="M3043" i="6" s="1"/>
  <c r="S3043" i="6" s="1"/>
  <c r="Q3044" i="6"/>
  <c r="O3045" i="6"/>
  <c r="P3045" i="6" s="1"/>
  <c r="N3044" i="6"/>
  <c r="R3044" i="6" l="1"/>
  <c r="M3044" i="6" s="1"/>
  <c r="S3044" i="6" s="1"/>
  <c r="Q3045" i="6"/>
  <c r="N3045" i="6"/>
  <c r="O3046" i="6"/>
  <c r="P3046" i="6" s="1"/>
  <c r="R3045" i="6" l="1"/>
  <c r="M3045" i="6" s="1"/>
  <c r="S3045" i="6" s="1"/>
  <c r="Q3046" i="6"/>
  <c r="O3047" i="6"/>
  <c r="P3047" i="6" s="1"/>
  <c r="N3046" i="6"/>
  <c r="R3046" i="6" l="1"/>
  <c r="M3046" i="6" s="1"/>
  <c r="S3046" i="6" s="1"/>
  <c r="Q3047" i="6"/>
  <c r="N3047" i="6"/>
  <c r="O3048" i="6"/>
  <c r="P3048" i="6" s="1"/>
  <c r="R3047" i="6" l="1"/>
  <c r="M3047" i="6" s="1"/>
  <c r="S3047" i="6" s="1"/>
  <c r="Q3048" i="6"/>
  <c r="N3048" i="6"/>
  <c r="O3049" i="6"/>
  <c r="P3049" i="6" s="1"/>
  <c r="R3048" i="6" l="1"/>
  <c r="M3048" i="6" s="1"/>
  <c r="S3048" i="6" s="1"/>
  <c r="Q3049" i="6"/>
  <c r="O3050" i="6"/>
  <c r="P3050" i="6" s="1"/>
  <c r="N3049" i="6"/>
  <c r="R3049" i="6" l="1"/>
  <c r="M3049" i="6" s="1"/>
  <c r="S3049" i="6" s="1"/>
  <c r="Q3050" i="6"/>
  <c r="N3050" i="6"/>
  <c r="O3051" i="6"/>
  <c r="P3051" i="6" s="1"/>
  <c r="R3050" i="6" l="1"/>
  <c r="M3050" i="6" s="1"/>
  <c r="S3050" i="6" s="1"/>
  <c r="Q3051" i="6"/>
  <c r="N3051" i="6"/>
  <c r="O3052" i="6"/>
  <c r="P3052" i="6" s="1"/>
  <c r="R3051" i="6" l="1"/>
  <c r="M3051" i="6" s="1"/>
  <c r="S3051" i="6" s="1"/>
  <c r="Q3052" i="6"/>
  <c r="N3052" i="6"/>
  <c r="O3053" i="6"/>
  <c r="P3053" i="6" s="1"/>
  <c r="R3052" i="6" l="1"/>
  <c r="M3052" i="6" s="1"/>
  <c r="S3052" i="6" s="1"/>
  <c r="Q3053" i="6"/>
  <c r="N3053" i="6"/>
  <c r="O3054" i="6"/>
  <c r="P3054" i="6" s="1"/>
  <c r="R3053" i="6" l="1"/>
  <c r="M3053" i="6" s="1"/>
  <c r="S3053" i="6" s="1"/>
  <c r="Q3054" i="6"/>
  <c r="O3055" i="6"/>
  <c r="P3055" i="6" s="1"/>
  <c r="N3054" i="6"/>
  <c r="R3054" i="6" l="1"/>
  <c r="M3054" i="6" s="1"/>
  <c r="S3054" i="6" s="1"/>
  <c r="Q3055" i="6"/>
  <c r="O3056" i="6"/>
  <c r="P3056" i="6" s="1"/>
  <c r="N3055" i="6"/>
  <c r="R3055" i="6" l="1"/>
  <c r="M3055" i="6" s="1"/>
  <c r="S3055" i="6" s="1"/>
  <c r="Q3056" i="6"/>
  <c r="O3057" i="6"/>
  <c r="P3057" i="6" s="1"/>
  <c r="N3056" i="6"/>
  <c r="R3056" i="6" l="1"/>
  <c r="M3056" i="6" s="1"/>
  <c r="S3056" i="6" s="1"/>
  <c r="Q3057" i="6"/>
  <c r="N3057" i="6"/>
  <c r="O3058" i="6"/>
  <c r="P3058" i="6" s="1"/>
  <c r="R3057" i="6" l="1"/>
  <c r="M3057" i="6" s="1"/>
  <c r="S3057" i="6" s="1"/>
  <c r="Q3058" i="6"/>
  <c r="O3059" i="6"/>
  <c r="P3059" i="6" s="1"/>
  <c r="N3058" i="6"/>
  <c r="R3058" i="6" l="1"/>
  <c r="M3058" i="6" s="1"/>
  <c r="S3058" i="6" s="1"/>
  <c r="Q3059" i="6"/>
  <c r="N3059" i="6"/>
  <c r="O3060" i="6"/>
  <c r="P3060" i="6" s="1"/>
  <c r="R3059" i="6" l="1"/>
  <c r="M3059" i="6" s="1"/>
  <c r="S3059" i="6" s="1"/>
  <c r="Q3060" i="6"/>
  <c r="N3060" i="6"/>
  <c r="O3061" i="6"/>
  <c r="P3061" i="6" s="1"/>
  <c r="R3060" i="6" l="1"/>
  <c r="M3060" i="6" s="1"/>
  <c r="S3060" i="6" s="1"/>
  <c r="Q3061" i="6"/>
  <c r="N3061" i="6"/>
  <c r="O3062" i="6"/>
  <c r="P3062" i="6" s="1"/>
  <c r="R3061" i="6" l="1"/>
  <c r="M3061" i="6" s="1"/>
  <c r="S3061" i="6" s="1"/>
  <c r="Q3062" i="6"/>
  <c r="O3063" i="6"/>
  <c r="P3063" i="6" s="1"/>
  <c r="N3062" i="6"/>
  <c r="R3062" i="6" l="1"/>
  <c r="M3062" i="6" s="1"/>
  <c r="S3062" i="6" s="1"/>
  <c r="Q3063" i="6"/>
  <c r="N3063" i="6"/>
  <c r="O3064" i="6"/>
  <c r="P3064" i="6" s="1"/>
  <c r="R3063" i="6" l="1"/>
  <c r="M3063" i="6" s="1"/>
  <c r="S3063" i="6" s="1"/>
  <c r="Q3064" i="6"/>
  <c r="N3064" i="6"/>
  <c r="O3065" i="6"/>
  <c r="P3065" i="6" s="1"/>
  <c r="R3064" i="6" l="1"/>
  <c r="M3064" i="6" s="1"/>
  <c r="S3064" i="6" s="1"/>
  <c r="Q3065" i="6"/>
  <c r="N3065" i="6"/>
  <c r="O3066" i="6"/>
  <c r="P3066" i="6" s="1"/>
  <c r="R3065" i="6" l="1"/>
  <c r="M3065" i="6" s="1"/>
  <c r="S3065" i="6" s="1"/>
  <c r="Q3066" i="6"/>
  <c r="N3066" i="6"/>
  <c r="O3067" i="6"/>
  <c r="P3067" i="6" s="1"/>
  <c r="R3066" i="6" l="1"/>
  <c r="M3066" i="6" s="1"/>
  <c r="S3066" i="6" s="1"/>
  <c r="Q3067" i="6"/>
  <c r="N3067" i="6"/>
  <c r="O3068" i="6"/>
  <c r="P3068" i="6" s="1"/>
  <c r="R3067" i="6" l="1"/>
  <c r="M3067" i="6" s="1"/>
  <c r="S3067" i="6" s="1"/>
  <c r="Q3068" i="6"/>
  <c r="N3068" i="6"/>
  <c r="O3069" i="6"/>
  <c r="P3069" i="6" s="1"/>
  <c r="R3068" i="6" l="1"/>
  <c r="M3068" i="6" s="1"/>
  <c r="S3068" i="6" s="1"/>
  <c r="Q3069" i="6"/>
  <c r="N3069" i="6"/>
  <c r="O3070" i="6"/>
  <c r="P3070" i="6" s="1"/>
  <c r="R3069" i="6" l="1"/>
  <c r="M3069" i="6" s="1"/>
  <c r="S3069" i="6" s="1"/>
  <c r="Q3070" i="6"/>
  <c r="O3071" i="6"/>
  <c r="P3071" i="6" s="1"/>
  <c r="N3070" i="6"/>
  <c r="R3070" i="6" l="1"/>
  <c r="M3070" i="6" s="1"/>
  <c r="S3070" i="6" s="1"/>
  <c r="Q3071" i="6"/>
  <c r="N3071" i="6"/>
  <c r="O3072" i="6"/>
  <c r="P3072" i="6" s="1"/>
  <c r="R3071" i="6" l="1"/>
  <c r="M3071" i="6" s="1"/>
  <c r="S3071" i="6" s="1"/>
  <c r="Q3072" i="6"/>
  <c r="O3073" i="6"/>
  <c r="P3073" i="6" s="1"/>
  <c r="N3072" i="6"/>
  <c r="R3072" i="6" l="1"/>
  <c r="M3072" i="6" s="1"/>
  <c r="S3072" i="6" s="1"/>
  <c r="Q3073" i="6"/>
  <c r="N3073" i="6"/>
  <c r="O3074" i="6"/>
  <c r="P3074" i="6" s="1"/>
  <c r="R3073" i="6" l="1"/>
  <c r="M3073" i="6" s="1"/>
  <c r="S3073" i="6" s="1"/>
  <c r="Q3074" i="6"/>
  <c r="O3075" i="6"/>
  <c r="P3075" i="6" s="1"/>
  <c r="N3074" i="6"/>
  <c r="R3074" i="6" l="1"/>
  <c r="M3074" i="6" s="1"/>
  <c r="S3074" i="6" s="1"/>
  <c r="Q3075" i="6"/>
  <c r="N3075" i="6"/>
  <c r="O3076" i="6"/>
  <c r="P3076" i="6" s="1"/>
  <c r="R3075" i="6" l="1"/>
  <c r="M3075" i="6" s="1"/>
  <c r="S3075" i="6" s="1"/>
  <c r="Q3076" i="6"/>
  <c r="N3076" i="6"/>
  <c r="O3077" i="6"/>
  <c r="P3077" i="6" s="1"/>
  <c r="R3076" i="6" l="1"/>
  <c r="M3076" i="6" s="1"/>
  <c r="S3076" i="6" s="1"/>
  <c r="Q3077" i="6"/>
  <c r="N3077" i="6"/>
  <c r="O3078" i="6"/>
  <c r="P3078" i="6" s="1"/>
  <c r="R3077" i="6" l="1"/>
  <c r="M3077" i="6" s="1"/>
  <c r="S3077" i="6" s="1"/>
  <c r="Q3078" i="6"/>
  <c r="O3079" i="6"/>
  <c r="P3079" i="6" s="1"/>
  <c r="N3078" i="6"/>
  <c r="R3078" i="6" l="1"/>
  <c r="M3078" i="6" s="1"/>
  <c r="S3078" i="6" s="1"/>
  <c r="Q3079" i="6"/>
  <c r="N3079" i="6"/>
  <c r="O3080" i="6"/>
  <c r="P3080" i="6" s="1"/>
  <c r="R3079" i="6" l="1"/>
  <c r="M3079" i="6" s="1"/>
  <c r="S3079" i="6" s="1"/>
  <c r="Q3080" i="6"/>
  <c r="N3080" i="6"/>
  <c r="O3081" i="6"/>
  <c r="P3081" i="6" s="1"/>
  <c r="R3080" i="6" l="1"/>
  <c r="M3080" i="6" s="1"/>
  <c r="S3080" i="6" s="1"/>
  <c r="Q3081" i="6"/>
  <c r="N3081" i="6"/>
  <c r="O3082" i="6"/>
  <c r="P3082" i="6" s="1"/>
  <c r="R3081" i="6" l="1"/>
  <c r="M3081" i="6" s="1"/>
  <c r="S3081" i="6" s="1"/>
  <c r="Q3082" i="6"/>
  <c r="N3082" i="6"/>
  <c r="O3083" i="6"/>
  <c r="P3083" i="6" s="1"/>
  <c r="R3082" i="6" l="1"/>
  <c r="M3082" i="6" s="1"/>
  <c r="S3082" i="6" s="1"/>
  <c r="Q3083" i="6"/>
  <c r="N3083" i="6"/>
  <c r="O3084" i="6"/>
  <c r="P3084" i="6" s="1"/>
  <c r="R3083" i="6" l="1"/>
  <c r="M3083" i="6" s="1"/>
  <c r="S3083" i="6" s="1"/>
  <c r="Q3084" i="6"/>
  <c r="N3084" i="6"/>
  <c r="O3085" i="6"/>
  <c r="P3085" i="6" s="1"/>
  <c r="R3084" i="6" l="1"/>
  <c r="M3084" i="6" s="1"/>
  <c r="S3084" i="6" s="1"/>
  <c r="Q3085" i="6"/>
  <c r="O3086" i="6"/>
  <c r="P3086" i="6" s="1"/>
  <c r="N3085" i="6"/>
  <c r="R3085" i="6" l="1"/>
  <c r="M3085" i="6" s="1"/>
  <c r="S3085" i="6" s="1"/>
  <c r="Q3086" i="6"/>
  <c r="O3087" i="6"/>
  <c r="P3087" i="6" s="1"/>
  <c r="N3086" i="6"/>
  <c r="R3086" i="6" l="1"/>
  <c r="M3086" i="6" s="1"/>
  <c r="S3086" i="6" s="1"/>
  <c r="Q3087" i="6"/>
  <c r="N3087" i="6"/>
  <c r="O3088" i="6"/>
  <c r="P3088" i="6" s="1"/>
  <c r="R3087" i="6" l="1"/>
  <c r="M3087" i="6" s="1"/>
  <c r="S3087" i="6" s="1"/>
  <c r="Q3088" i="6"/>
  <c r="O3089" i="6"/>
  <c r="P3089" i="6" s="1"/>
  <c r="N3088" i="6"/>
  <c r="R3088" i="6" l="1"/>
  <c r="M3088" i="6" s="1"/>
  <c r="S3088" i="6" s="1"/>
  <c r="Q3089" i="6"/>
  <c r="N3089" i="6"/>
  <c r="O3090" i="6"/>
  <c r="P3090" i="6" s="1"/>
  <c r="R3089" i="6" l="1"/>
  <c r="M3089" i="6" s="1"/>
  <c r="S3089" i="6" s="1"/>
  <c r="Q3090" i="6"/>
  <c r="N3090" i="6"/>
  <c r="O3091" i="6"/>
  <c r="P3091" i="6" s="1"/>
  <c r="R3090" i="6" l="1"/>
  <c r="M3090" i="6" s="1"/>
  <c r="S3090" i="6" s="1"/>
  <c r="Q3091" i="6"/>
  <c r="N3091" i="6"/>
  <c r="O3092" i="6"/>
  <c r="P3092" i="6" s="1"/>
  <c r="R3091" i="6" l="1"/>
  <c r="M3091" i="6" s="1"/>
  <c r="S3091" i="6" s="1"/>
  <c r="Q3092" i="6"/>
  <c r="N3092" i="6"/>
  <c r="O3093" i="6"/>
  <c r="P3093" i="6" s="1"/>
  <c r="R3092" i="6" l="1"/>
  <c r="M3092" i="6" s="1"/>
  <c r="S3092" i="6" s="1"/>
  <c r="Q3093" i="6"/>
  <c r="N3093" i="6"/>
  <c r="O3094" i="6"/>
  <c r="P3094" i="6" s="1"/>
  <c r="R3093" i="6" l="1"/>
  <c r="M3093" i="6" s="1"/>
  <c r="S3093" i="6" s="1"/>
  <c r="Q3094" i="6"/>
  <c r="O3095" i="6"/>
  <c r="P3095" i="6" s="1"/>
  <c r="N3094" i="6"/>
  <c r="R3094" i="6" l="1"/>
  <c r="M3094" i="6" s="1"/>
  <c r="S3094" i="6" s="1"/>
  <c r="Q3095" i="6"/>
  <c r="N3095" i="6"/>
  <c r="O3096" i="6"/>
  <c r="P3096" i="6" s="1"/>
  <c r="R3095" i="6" l="1"/>
  <c r="M3095" i="6" s="1"/>
  <c r="S3095" i="6" s="1"/>
  <c r="Q3096" i="6"/>
  <c r="N3096" i="6"/>
  <c r="O3097" i="6"/>
  <c r="P3097" i="6" s="1"/>
  <c r="R3096" i="6" l="1"/>
  <c r="M3096" i="6" s="1"/>
  <c r="S3096" i="6" s="1"/>
  <c r="Q3097" i="6"/>
  <c r="N3097" i="6"/>
  <c r="O3098" i="6"/>
  <c r="P3098" i="6" s="1"/>
  <c r="R3097" i="6" l="1"/>
  <c r="M3097" i="6" s="1"/>
  <c r="S3097" i="6" s="1"/>
  <c r="Q3098" i="6"/>
  <c r="N3098" i="6"/>
  <c r="O3099" i="6"/>
  <c r="P3099" i="6" s="1"/>
  <c r="R3098" i="6" l="1"/>
  <c r="M3098" i="6" s="1"/>
  <c r="S3098" i="6" s="1"/>
  <c r="Q3099" i="6"/>
  <c r="N3099" i="6"/>
  <c r="O3100" i="6"/>
  <c r="P3100" i="6" s="1"/>
  <c r="R3099" i="6" l="1"/>
  <c r="M3099" i="6" s="1"/>
  <c r="S3099" i="6" s="1"/>
  <c r="Q3100" i="6"/>
  <c r="N3100" i="6"/>
  <c r="O3101" i="6"/>
  <c r="P3101" i="6" s="1"/>
  <c r="R3100" i="6" l="1"/>
  <c r="M3100" i="6" s="1"/>
  <c r="S3100" i="6" s="1"/>
  <c r="Q3101" i="6"/>
  <c r="N3101" i="6"/>
  <c r="O3102" i="6"/>
  <c r="P3102" i="6" s="1"/>
  <c r="R3101" i="6" l="1"/>
  <c r="M3101" i="6" s="1"/>
  <c r="S3101" i="6" s="1"/>
  <c r="Q3102" i="6"/>
  <c r="O3103" i="6"/>
  <c r="P3103" i="6" s="1"/>
  <c r="N3102" i="6"/>
  <c r="R3102" i="6" l="1"/>
  <c r="M3102" i="6" s="1"/>
  <c r="S3102" i="6" s="1"/>
  <c r="Q3103" i="6"/>
  <c r="N3103" i="6"/>
  <c r="O3104" i="6"/>
  <c r="P3104" i="6" s="1"/>
  <c r="R3103" i="6" l="1"/>
  <c r="M3103" i="6" s="1"/>
  <c r="S3103" i="6" s="1"/>
  <c r="Q3104" i="6"/>
  <c r="O3105" i="6"/>
  <c r="P3105" i="6" s="1"/>
  <c r="N3104" i="6"/>
  <c r="R3104" i="6" l="1"/>
  <c r="M3104" i="6" s="1"/>
  <c r="S3104" i="6" s="1"/>
  <c r="Q3105" i="6"/>
  <c r="N3105" i="6"/>
  <c r="O3106" i="6"/>
  <c r="P3106" i="6" s="1"/>
  <c r="R3105" i="6" l="1"/>
  <c r="M3105" i="6" s="1"/>
  <c r="S3105" i="6" s="1"/>
  <c r="Q3106" i="6"/>
  <c r="O3107" i="6"/>
  <c r="P3107" i="6" s="1"/>
  <c r="N3106" i="6"/>
  <c r="R3106" i="6" l="1"/>
  <c r="M3106" i="6" s="1"/>
  <c r="S3106" i="6" s="1"/>
  <c r="Q3107" i="6"/>
  <c r="N3107" i="6"/>
  <c r="O3108" i="6"/>
  <c r="P3108" i="6" s="1"/>
  <c r="R3107" i="6" l="1"/>
  <c r="M3107" i="6" s="1"/>
  <c r="S3107" i="6" s="1"/>
  <c r="Q3108" i="6"/>
  <c r="N3108" i="6"/>
  <c r="O3109" i="6"/>
  <c r="P3109" i="6" s="1"/>
  <c r="R3108" i="6" l="1"/>
  <c r="M3108" i="6" s="1"/>
  <c r="S3108" i="6" s="1"/>
  <c r="Q3109" i="6"/>
  <c r="N3109" i="6"/>
  <c r="O3110" i="6"/>
  <c r="P3110" i="6" s="1"/>
  <c r="R3109" i="6" l="1"/>
  <c r="M3109" i="6" s="1"/>
  <c r="S3109" i="6" s="1"/>
  <c r="Q3110" i="6"/>
  <c r="O3111" i="6"/>
  <c r="P3111" i="6" s="1"/>
  <c r="N3110" i="6"/>
  <c r="R3110" i="6" l="1"/>
  <c r="M3110" i="6" s="1"/>
  <c r="S3110" i="6" s="1"/>
  <c r="Q3111" i="6"/>
  <c r="N3111" i="6"/>
  <c r="O3112" i="6"/>
  <c r="P3112" i="6" s="1"/>
  <c r="R3111" i="6" l="1"/>
  <c r="M3111" i="6" s="1"/>
  <c r="S3111" i="6" s="1"/>
  <c r="Q3112" i="6"/>
  <c r="N3112" i="6"/>
  <c r="O3113" i="6"/>
  <c r="P3113" i="6" s="1"/>
  <c r="R3112" i="6" l="1"/>
  <c r="M3112" i="6" s="1"/>
  <c r="S3112" i="6" s="1"/>
  <c r="Q3113" i="6"/>
  <c r="O3114" i="6"/>
  <c r="P3114" i="6" s="1"/>
  <c r="N3113" i="6"/>
  <c r="R3113" i="6" l="1"/>
  <c r="M3113" i="6" s="1"/>
  <c r="S3113" i="6" s="1"/>
  <c r="Q3114" i="6"/>
  <c r="N3114" i="6"/>
  <c r="O3115" i="6"/>
  <c r="P3115" i="6" s="1"/>
  <c r="R3114" i="6" l="1"/>
  <c r="M3114" i="6" s="1"/>
  <c r="S3114" i="6" s="1"/>
  <c r="Q3115" i="6"/>
  <c r="O3116" i="6"/>
  <c r="P3116" i="6" s="1"/>
  <c r="N3115" i="6"/>
  <c r="R3115" i="6" l="1"/>
  <c r="M3115" i="6" s="1"/>
  <c r="S3115" i="6" s="1"/>
  <c r="Q3116" i="6"/>
  <c r="N3116" i="6"/>
  <c r="O3117" i="6"/>
  <c r="P3117" i="6" s="1"/>
  <c r="R3116" i="6" l="1"/>
  <c r="M3116" i="6" s="1"/>
  <c r="S3116" i="6" s="1"/>
  <c r="Q3117" i="6"/>
  <c r="N3117" i="6"/>
  <c r="O3118" i="6"/>
  <c r="P3118" i="6" s="1"/>
  <c r="R3117" i="6" l="1"/>
  <c r="M3117" i="6" s="1"/>
  <c r="S3117" i="6" s="1"/>
  <c r="Q3118" i="6"/>
  <c r="O3119" i="6"/>
  <c r="P3119" i="6" s="1"/>
  <c r="N3118" i="6"/>
  <c r="R3118" i="6" l="1"/>
  <c r="M3118" i="6" s="1"/>
  <c r="S3118" i="6" s="1"/>
  <c r="Q3119" i="6"/>
  <c r="O3120" i="6"/>
  <c r="P3120" i="6" s="1"/>
  <c r="N3119" i="6"/>
  <c r="R3119" i="6" l="1"/>
  <c r="M3119" i="6" s="1"/>
  <c r="S3119" i="6" s="1"/>
  <c r="Q3120" i="6"/>
  <c r="O3121" i="6"/>
  <c r="P3121" i="6" s="1"/>
  <c r="N3120" i="6"/>
  <c r="R3120" i="6" l="1"/>
  <c r="M3120" i="6" s="1"/>
  <c r="S3120" i="6" s="1"/>
  <c r="Q3121" i="6"/>
  <c r="O3122" i="6"/>
  <c r="P3122" i="6" s="1"/>
  <c r="N3121" i="6"/>
  <c r="R3121" i="6" l="1"/>
  <c r="M3121" i="6" s="1"/>
  <c r="S3121" i="6" s="1"/>
  <c r="Q3122" i="6"/>
  <c r="O3123" i="6"/>
  <c r="P3123" i="6" s="1"/>
  <c r="N3122" i="6"/>
  <c r="R3122" i="6" l="1"/>
  <c r="M3122" i="6" s="1"/>
  <c r="S3122" i="6" s="1"/>
  <c r="Q3123" i="6"/>
  <c r="N3123" i="6"/>
  <c r="O3124" i="6"/>
  <c r="P3124" i="6" s="1"/>
  <c r="R3123" i="6" l="1"/>
  <c r="M3123" i="6" s="1"/>
  <c r="S3123" i="6" s="1"/>
  <c r="Q3124" i="6"/>
  <c r="N3124" i="6"/>
  <c r="O3125" i="6"/>
  <c r="P3125" i="6" s="1"/>
  <c r="R3124" i="6" l="1"/>
  <c r="M3124" i="6" s="1"/>
  <c r="S3124" i="6" s="1"/>
  <c r="Q3125" i="6"/>
  <c r="N3125" i="6"/>
  <c r="O3126" i="6"/>
  <c r="P3126" i="6" s="1"/>
  <c r="R3125" i="6" l="1"/>
  <c r="M3125" i="6" s="1"/>
  <c r="S3125" i="6" s="1"/>
  <c r="Q3126" i="6"/>
  <c r="O3127" i="6"/>
  <c r="P3127" i="6" s="1"/>
  <c r="N3126" i="6"/>
  <c r="R3126" i="6" l="1"/>
  <c r="M3126" i="6" s="1"/>
  <c r="S3126" i="6" s="1"/>
  <c r="Q3127" i="6"/>
  <c r="N3127" i="6"/>
  <c r="O3128" i="6"/>
  <c r="P3128" i="6" s="1"/>
  <c r="R3127" i="6" l="1"/>
  <c r="M3127" i="6" s="1"/>
  <c r="S3127" i="6" s="1"/>
  <c r="Q3128" i="6"/>
  <c r="N3128" i="6"/>
  <c r="O3129" i="6"/>
  <c r="P3129" i="6" s="1"/>
  <c r="R3128" i="6" l="1"/>
  <c r="M3128" i="6" s="1"/>
  <c r="S3128" i="6" s="1"/>
  <c r="Q3129" i="6"/>
  <c r="N3129" i="6"/>
  <c r="O3130" i="6"/>
  <c r="P3130" i="6" s="1"/>
  <c r="R3129" i="6" l="1"/>
  <c r="M3129" i="6" s="1"/>
  <c r="S3129" i="6" s="1"/>
  <c r="Q3130" i="6"/>
  <c r="N3130" i="6"/>
  <c r="O3131" i="6"/>
  <c r="P3131" i="6" s="1"/>
  <c r="R3130" i="6" l="1"/>
  <c r="M3130" i="6" s="1"/>
  <c r="S3130" i="6" s="1"/>
  <c r="Q3131" i="6"/>
  <c r="N3131" i="6"/>
  <c r="O3132" i="6"/>
  <c r="P3132" i="6" s="1"/>
  <c r="R3131" i="6" l="1"/>
  <c r="M3131" i="6" s="1"/>
  <c r="S3131" i="6" s="1"/>
  <c r="Q3132" i="6"/>
  <c r="N3132" i="6"/>
  <c r="O3133" i="6"/>
  <c r="P3133" i="6" s="1"/>
  <c r="R3132" i="6" l="1"/>
  <c r="M3132" i="6" s="1"/>
  <c r="S3132" i="6" s="1"/>
  <c r="Q3133" i="6"/>
  <c r="N3133" i="6"/>
  <c r="O3134" i="6"/>
  <c r="P3134" i="6" s="1"/>
  <c r="R3133" i="6" l="1"/>
  <c r="M3133" i="6" s="1"/>
  <c r="S3133" i="6" s="1"/>
  <c r="Q3134" i="6"/>
  <c r="O3135" i="6"/>
  <c r="P3135" i="6" s="1"/>
  <c r="N3134" i="6"/>
  <c r="R3134" i="6" l="1"/>
  <c r="M3134" i="6" s="1"/>
  <c r="S3134" i="6" s="1"/>
  <c r="Q3135" i="6"/>
  <c r="N3135" i="6"/>
  <c r="O3136" i="6"/>
  <c r="P3136" i="6" s="1"/>
  <c r="R3135" i="6" l="1"/>
  <c r="M3135" i="6" s="1"/>
  <c r="S3135" i="6" s="1"/>
  <c r="Q3136" i="6"/>
  <c r="O3137" i="6"/>
  <c r="P3137" i="6" s="1"/>
  <c r="N3136" i="6"/>
  <c r="R3136" i="6" l="1"/>
  <c r="M3136" i="6" s="1"/>
  <c r="S3136" i="6" s="1"/>
  <c r="Q3137" i="6"/>
  <c r="N3137" i="6"/>
  <c r="O3138" i="6"/>
  <c r="P3138" i="6" s="1"/>
  <c r="R3137" i="6" l="1"/>
  <c r="M3137" i="6" s="1"/>
  <c r="S3137" i="6" s="1"/>
  <c r="Q3138" i="6"/>
  <c r="O3139" i="6"/>
  <c r="P3139" i="6" s="1"/>
  <c r="N3138" i="6"/>
  <c r="R3138" i="6" l="1"/>
  <c r="M3138" i="6" s="1"/>
  <c r="S3138" i="6" s="1"/>
  <c r="Q3139" i="6"/>
  <c r="N3139" i="6"/>
  <c r="O3140" i="6"/>
  <c r="P3140" i="6" s="1"/>
  <c r="R3139" i="6" l="1"/>
  <c r="M3139" i="6" s="1"/>
  <c r="S3139" i="6" s="1"/>
  <c r="Q3140" i="6"/>
  <c r="N3140" i="6"/>
  <c r="O3141" i="6"/>
  <c r="P3141" i="6" s="1"/>
  <c r="R3140" i="6" l="1"/>
  <c r="M3140" i="6" s="1"/>
  <c r="S3140" i="6" s="1"/>
  <c r="Q3141" i="6"/>
  <c r="N3141" i="6"/>
  <c r="O3142" i="6"/>
  <c r="P3142" i="6" s="1"/>
  <c r="R3141" i="6" l="1"/>
  <c r="M3141" i="6" s="1"/>
  <c r="S3141" i="6" s="1"/>
  <c r="Q3142" i="6"/>
  <c r="O3143" i="6"/>
  <c r="P3143" i="6" s="1"/>
  <c r="N3142" i="6"/>
  <c r="R3142" i="6" l="1"/>
  <c r="M3142" i="6" s="1"/>
  <c r="S3142" i="6" s="1"/>
  <c r="Q3143" i="6"/>
  <c r="N3143" i="6"/>
  <c r="O3144" i="6"/>
  <c r="P3144" i="6" s="1"/>
  <c r="R3143" i="6" l="1"/>
  <c r="M3143" i="6" s="1"/>
  <c r="S3143" i="6" s="1"/>
  <c r="Q3144" i="6"/>
  <c r="N3144" i="6"/>
  <c r="O3145" i="6"/>
  <c r="P3145" i="6" s="1"/>
  <c r="R3144" i="6" l="1"/>
  <c r="M3144" i="6" s="1"/>
  <c r="S3144" i="6" s="1"/>
  <c r="Q3145" i="6"/>
  <c r="O3146" i="6"/>
  <c r="P3146" i="6" s="1"/>
  <c r="N3145" i="6"/>
  <c r="R3145" i="6" l="1"/>
  <c r="M3145" i="6" s="1"/>
  <c r="S3145" i="6" s="1"/>
  <c r="Q3146" i="6"/>
  <c r="N3146" i="6"/>
  <c r="O3147" i="6"/>
  <c r="P3147" i="6" s="1"/>
  <c r="R3146" i="6" l="1"/>
  <c r="M3146" i="6" s="1"/>
  <c r="S3146" i="6" s="1"/>
  <c r="Q3147" i="6"/>
  <c r="O3148" i="6"/>
  <c r="P3148" i="6" s="1"/>
  <c r="N3147" i="6"/>
  <c r="R3147" i="6" l="1"/>
  <c r="M3147" i="6" s="1"/>
  <c r="S3147" i="6" s="1"/>
  <c r="Q3148" i="6"/>
  <c r="N3148" i="6"/>
  <c r="O3149" i="6"/>
  <c r="P3149" i="6" s="1"/>
  <c r="R3148" i="6" l="1"/>
  <c r="M3148" i="6" s="1"/>
  <c r="S3148" i="6" s="1"/>
  <c r="Q3149" i="6"/>
  <c r="N3149" i="6"/>
  <c r="O3150" i="6"/>
  <c r="P3150" i="6" s="1"/>
  <c r="R3149" i="6" l="1"/>
  <c r="M3149" i="6" s="1"/>
  <c r="S3149" i="6" s="1"/>
  <c r="Q3150" i="6"/>
  <c r="O3151" i="6"/>
  <c r="P3151" i="6" s="1"/>
  <c r="N3150" i="6"/>
  <c r="R3150" i="6" l="1"/>
  <c r="M3150" i="6" s="1"/>
  <c r="S3150" i="6" s="1"/>
  <c r="Q3151" i="6"/>
  <c r="N3151" i="6"/>
  <c r="O3152" i="6"/>
  <c r="P3152" i="6" s="1"/>
  <c r="R3151" i="6" l="1"/>
  <c r="M3151" i="6" s="1"/>
  <c r="S3151" i="6" s="1"/>
  <c r="Q3152" i="6"/>
  <c r="O3153" i="6"/>
  <c r="P3153" i="6" s="1"/>
  <c r="N3152" i="6"/>
  <c r="R3152" i="6" l="1"/>
  <c r="M3152" i="6" s="1"/>
  <c r="S3152" i="6" s="1"/>
  <c r="Q3153" i="6"/>
  <c r="O3154" i="6"/>
  <c r="P3154" i="6" s="1"/>
  <c r="N3153" i="6"/>
  <c r="R3153" i="6" l="1"/>
  <c r="M3153" i="6" s="1"/>
  <c r="S3153" i="6" s="1"/>
  <c r="Q3154" i="6"/>
  <c r="O3155" i="6"/>
  <c r="P3155" i="6" s="1"/>
  <c r="N3154" i="6"/>
  <c r="R3154" i="6" l="1"/>
  <c r="M3154" i="6" s="1"/>
  <c r="S3154" i="6" s="1"/>
  <c r="Q3155" i="6"/>
  <c r="N3155" i="6"/>
  <c r="O3156" i="6"/>
  <c r="P3156" i="6" s="1"/>
  <c r="R3155" i="6" l="1"/>
  <c r="M3155" i="6" s="1"/>
  <c r="S3155" i="6" s="1"/>
  <c r="Q3156" i="6"/>
  <c r="N3156" i="6"/>
  <c r="O3157" i="6"/>
  <c r="P3157" i="6" s="1"/>
  <c r="R3156" i="6" l="1"/>
  <c r="M3156" i="6" s="1"/>
  <c r="S3156" i="6" s="1"/>
  <c r="Q3157" i="6"/>
  <c r="N3157" i="6"/>
  <c r="O3158" i="6"/>
  <c r="P3158" i="6" s="1"/>
  <c r="R3157" i="6" l="1"/>
  <c r="M3157" i="6" s="1"/>
  <c r="S3157" i="6" s="1"/>
  <c r="Q3158" i="6"/>
  <c r="O3159" i="6"/>
  <c r="P3159" i="6" s="1"/>
  <c r="N3158" i="6"/>
  <c r="R3158" i="6" l="1"/>
  <c r="M3158" i="6" s="1"/>
  <c r="S3158" i="6" s="1"/>
  <c r="Q3159" i="6"/>
  <c r="N3159" i="6"/>
  <c r="O3160" i="6"/>
  <c r="P3160" i="6" s="1"/>
  <c r="R3159" i="6" l="1"/>
  <c r="M3159" i="6" s="1"/>
  <c r="S3159" i="6" s="1"/>
  <c r="Q3160" i="6"/>
  <c r="N3160" i="6"/>
  <c r="O3161" i="6"/>
  <c r="P3161" i="6" s="1"/>
  <c r="R3160" i="6" l="1"/>
  <c r="M3160" i="6" s="1"/>
  <c r="S3160" i="6" s="1"/>
  <c r="Q3161" i="6"/>
  <c r="O3162" i="6"/>
  <c r="P3162" i="6" s="1"/>
  <c r="N3161" i="6"/>
  <c r="R3161" i="6" l="1"/>
  <c r="M3161" i="6" s="1"/>
  <c r="S3161" i="6" s="1"/>
  <c r="Q3162" i="6"/>
  <c r="N3162" i="6"/>
  <c r="O3163" i="6"/>
  <c r="P3163" i="6" s="1"/>
  <c r="R3162" i="6" l="1"/>
  <c r="M3162" i="6" s="1"/>
  <c r="S3162" i="6" s="1"/>
  <c r="Q3163" i="6"/>
  <c r="N3163" i="6"/>
  <c r="O3164" i="6"/>
  <c r="P3164" i="6" s="1"/>
  <c r="R3163" i="6" l="1"/>
  <c r="M3163" i="6" s="1"/>
  <c r="S3163" i="6" s="1"/>
  <c r="Q3164" i="6"/>
  <c r="N3164" i="6"/>
  <c r="O3165" i="6"/>
  <c r="P3165" i="6" s="1"/>
  <c r="R3164" i="6" l="1"/>
  <c r="M3164" i="6" s="1"/>
  <c r="S3164" i="6" s="1"/>
  <c r="Q3165" i="6"/>
  <c r="N3165" i="6"/>
  <c r="O3166" i="6"/>
  <c r="P3166" i="6" s="1"/>
  <c r="R3165" i="6" l="1"/>
  <c r="M3165" i="6" s="1"/>
  <c r="S3165" i="6" s="1"/>
  <c r="Q3166" i="6"/>
  <c r="O3167" i="6"/>
  <c r="P3167" i="6" s="1"/>
  <c r="N3166" i="6"/>
  <c r="R3166" i="6" l="1"/>
  <c r="M3166" i="6" s="1"/>
  <c r="S3166" i="6" s="1"/>
  <c r="Q3167" i="6"/>
  <c r="N3167" i="6"/>
  <c r="O3168" i="6"/>
  <c r="P3168" i="6" s="1"/>
  <c r="R3167" i="6" l="1"/>
  <c r="M3167" i="6" s="1"/>
  <c r="S3167" i="6" s="1"/>
  <c r="Q3168" i="6"/>
  <c r="O3169" i="6"/>
  <c r="P3169" i="6" s="1"/>
  <c r="N3168" i="6"/>
  <c r="R3168" i="6" l="1"/>
  <c r="M3168" i="6" s="1"/>
  <c r="S3168" i="6" s="1"/>
  <c r="Q3169" i="6"/>
  <c r="N3169" i="6"/>
  <c r="O3170" i="6"/>
  <c r="P3170" i="6" s="1"/>
  <c r="R3169" i="6" l="1"/>
  <c r="M3169" i="6" s="1"/>
  <c r="S3169" i="6" s="1"/>
  <c r="Q3170" i="6"/>
  <c r="O3171" i="6"/>
  <c r="P3171" i="6" s="1"/>
  <c r="N3170" i="6"/>
  <c r="R3170" i="6" l="1"/>
  <c r="M3170" i="6" s="1"/>
  <c r="S3170" i="6" s="1"/>
  <c r="Q3171" i="6"/>
  <c r="N3171" i="6"/>
  <c r="O3172" i="6"/>
  <c r="P3172" i="6" s="1"/>
  <c r="R3171" i="6" l="1"/>
  <c r="M3171" i="6" s="1"/>
  <c r="S3171" i="6" s="1"/>
  <c r="Q3172" i="6"/>
  <c r="N3172" i="6"/>
  <c r="O3173" i="6"/>
  <c r="P3173" i="6" s="1"/>
  <c r="R3172" i="6" l="1"/>
  <c r="M3172" i="6" s="1"/>
  <c r="S3172" i="6" s="1"/>
  <c r="Q3173" i="6"/>
  <c r="N3173" i="6"/>
  <c r="O3174" i="6"/>
  <c r="P3174" i="6" s="1"/>
  <c r="R3173" i="6" l="1"/>
  <c r="M3173" i="6" s="1"/>
  <c r="S3173" i="6" s="1"/>
  <c r="Q3174" i="6"/>
  <c r="O3175" i="6"/>
  <c r="P3175" i="6" s="1"/>
  <c r="N3174" i="6"/>
  <c r="R3174" i="6" l="1"/>
  <c r="M3174" i="6" s="1"/>
  <c r="S3174" i="6" s="1"/>
  <c r="Q3175" i="6"/>
  <c r="N3175" i="6"/>
  <c r="O3176" i="6"/>
  <c r="P3176" i="6" s="1"/>
  <c r="R3175" i="6" l="1"/>
  <c r="M3175" i="6" s="1"/>
  <c r="S3175" i="6" s="1"/>
  <c r="Q3176" i="6"/>
  <c r="N3176" i="6"/>
  <c r="O3177" i="6"/>
  <c r="P3177" i="6" s="1"/>
  <c r="R3176" i="6" l="1"/>
  <c r="M3176" i="6" s="1"/>
  <c r="S3176" i="6" s="1"/>
  <c r="Q3177" i="6"/>
  <c r="O3178" i="6"/>
  <c r="P3178" i="6" s="1"/>
  <c r="N3177" i="6"/>
  <c r="R3177" i="6" l="1"/>
  <c r="M3177" i="6" s="1"/>
  <c r="S3177" i="6" s="1"/>
  <c r="Q3178" i="6"/>
  <c r="N3178" i="6"/>
  <c r="O3179" i="6"/>
  <c r="P3179" i="6" s="1"/>
  <c r="R3178" i="6" l="1"/>
  <c r="M3178" i="6" s="1"/>
  <c r="S3178" i="6" s="1"/>
  <c r="Q3179" i="6"/>
  <c r="N3179" i="6"/>
  <c r="O3180" i="6"/>
  <c r="P3180" i="6" s="1"/>
  <c r="R3179" i="6" l="1"/>
  <c r="M3179" i="6" s="1"/>
  <c r="S3179" i="6" s="1"/>
  <c r="Q3180" i="6"/>
  <c r="N3180" i="6"/>
  <c r="O3181" i="6"/>
  <c r="P3181" i="6" s="1"/>
  <c r="R3180" i="6" l="1"/>
  <c r="M3180" i="6" s="1"/>
  <c r="S3180" i="6" s="1"/>
  <c r="Q3181" i="6"/>
  <c r="N3181" i="6"/>
  <c r="O3182" i="6"/>
  <c r="P3182" i="6" s="1"/>
  <c r="R3181" i="6" l="1"/>
  <c r="M3181" i="6" s="1"/>
  <c r="S3181" i="6" s="1"/>
  <c r="Q3182" i="6"/>
  <c r="O3183" i="6"/>
  <c r="P3183" i="6" s="1"/>
  <c r="N3182" i="6"/>
  <c r="R3182" i="6" l="1"/>
  <c r="M3182" i="6" s="1"/>
  <c r="S3182" i="6" s="1"/>
  <c r="Q3183" i="6"/>
  <c r="N3183" i="6"/>
  <c r="O3184" i="6"/>
  <c r="P3184" i="6" s="1"/>
  <c r="R3183" i="6" l="1"/>
  <c r="M3183" i="6" s="1"/>
  <c r="S3183" i="6" s="1"/>
  <c r="Q3184" i="6"/>
  <c r="N3184" i="6"/>
  <c r="O3185" i="6"/>
  <c r="P3185" i="6" s="1"/>
  <c r="R3184" i="6" l="1"/>
  <c r="M3184" i="6" s="1"/>
  <c r="S3184" i="6" s="1"/>
  <c r="Q3185" i="6"/>
  <c r="O3186" i="6"/>
  <c r="P3186" i="6" s="1"/>
  <c r="N3185" i="6"/>
  <c r="R3185" i="6" l="1"/>
  <c r="M3185" i="6" s="1"/>
  <c r="S3185" i="6" s="1"/>
  <c r="Q3186" i="6"/>
  <c r="O3187" i="6"/>
  <c r="P3187" i="6" s="1"/>
  <c r="N3186" i="6"/>
  <c r="R3186" i="6" l="1"/>
  <c r="M3186" i="6" s="1"/>
  <c r="S3186" i="6" s="1"/>
  <c r="Q3187" i="6"/>
  <c r="O3188" i="6"/>
  <c r="P3188" i="6" s="1"/>
  <c r="N3187" i="6"/>
  <c r="R3187" i="6" l="1"/>
  <c r="M3187" i="6" s="1"/>
  <c r="S3187" i="6" s="1"/>
  <c r="Q3188" i="6"/>
  <c r="O3189" i="6"/>
  <c r="P3189" i="6" s="1"/>
  <c r="N3188" i="6"/>
  <c r="R3188" i="6" l="1"/>
  <c r="M3188" i="6" s="1"/>
  <c r="S3188" i="6" s="1"/>
  <c r="Q3189" i="6"/>
  <c r="N3189" i="6"/>
  <c r="O3190" i="6"/>
  <c r="P3190" i="6" s="1"/>
  <c r="R3189" i="6" l="1"/>
  <c r="M3189" i="6" s="1"/>
  <c r="S3189" i="6" s="1"/>
  <c r="Q3190" i="6"/>
  <c r="O3191" i="6"/>
  <c r="P3191" i="6" s="1"/>
  <c r="N3190" i="6"/>
  <c r="R3190" i="6" l="1"/>
  <c r="M3190" i="6" s="1"/>
  <c r="S3190" i="6" s="1"/>
  <c r="Q3191" i="6"/>
  <c r="N3191" i="6"/>
  <c r="O3192" i="6"/>
  <c r="P3192" i="6" s="1"/>
  <c r="R3191" i="6" l="1"/>
  <c r="M3191" i="6" s="1"/>
  <c r="S3191" i="6" s="1"/>
  <c r="Q3192" i="6"/>
  <c r="O3193" i="6"/>
  <c r="P3193" i="6" s="1"/>
  <c r="N3192" i="6"/>
  <c r="R3192" i="6" l="1"/>
  <c r="M3192" i="6" s="1"/>
  <c r="S3192" i="6" s="1"/>
  <c r="Q3193" i="6"/>
  <c r="O3194" i="6"/>
  <c r="P3194" i="6" s="1"/>
  <c r="N3193" i="6"/>
  <c r="R3193" i="6" l="1"/>
  <c r="M3193" i="6" s="1"/>
  <c r="S3193" i="6" s="1"/>
  <c r="Q3194" i="6"/>
  <c r="O3195" i="6"/>
  <c r="P3195" i="6" s="1"/>
  <c r="N3194" i="6"/>
  <c r="R3194" i="6" l="1"/>
  <c r="M3194" i="6" s="1"/>
  <c r="S3194" i="6" s="1"/>
  <c r="Q3195" i="6"/>
  <c r="O3196" i="6"/>
  <c r="P3196" i="6" s="1"/>
  <c r="N3195" i="6"/>
  <c r="R3195" i="6" l="1"/>
  <c r="M3195" i="6" s="1"/>
  <c r="S3195" i="6" s="1"/>
  <c r="Q3196" i="6"/>
  <c r="O3197" i="6"/>
  <c r="P3197" i="6" s="1"/>
  <c r="N3196" i="6"/>
  <c r="R3196" i="6" l="1"/>
  <c r="M3196" i="6" s="1"/>
  <c r="S3196" i="6" s="1"/>
  <c r="Q3197" i="6"/>
  <c r="N3197" i="6"/>
  <c r="O3198" i="6"/>
  <c r="P3198" i="6" s="1"/>
  <c r="R3197" i="6" l="1"/>
  <c r="M3197" i="6" s="1"/>
  <c r="S3197" i="6" s="1"/>
  <c r="Q3198" i="6"/>
  <c r="N3198" i="6"/>
  <c r="O3199" i="6"/>
  <c r="P3199" i="6" s="1"/>
  <c r="R3198" i="6" l="1"/>
  <c r="M3198" i="6" s="1"/>
  <c r="S3198" i="6" s="1"/>
  <c r="Q3199" i="6"/>
  <c r="O3200" i="6"/>
  <c r="P3200" i="6" s="1"/>
  <c r="N3199" i="6"/>
  <c r="R3199" i="6" l="1"/>
  <c r="M3199" i="6" s="1"/>
  <c r="S3199" i="6" s="1"/>
  <c r="Q3200" i="6"/>
  <c r="N3200" i="6"/>
  <c r="O3201" i="6"/>
  <c r="P3201" i="6" s="1"/>
  <c r="R3200" i="6" l="1"/>
  <c r="M3200" i="6" s="1"/>
  <c r="S3200" i="6" s="1"/>
  <c r="Q3201" i="6"/>
  <c r="O3202" i="6"/>
  <c r="P3202" i="6" s="1"/>
  <c r="N3201" i="6"/>
  <c r="R3201" i="6" l="1"/>
  <c r="M3201" i="6" s="1"/>
  <c r="S3201" i="6" s="1"/>
  <c r="Q3202" i="6"/>
  <c r="O3203" i="6"/>
  <c r="P3203" i="6" s="1"/>
  <c r="N3202" i="6"/>
  <c r="R3202" i="6" l="1"/>
  <c r="M3202" i="6" s="1"/>
  <c r="S3202" i="6" s="1"/>
  <c r="Q3203" i="6"/>
  <c r="O3204" i="6"/>
  <c r="P3204" i="6" s="1"/>
  <c r="N3203" i="6"/>
  <c r="R3203" i="6" l="1"/>
  <c r="M3203" i="6" s="1"/>
  <c r="S3203" i="6" s="1"/>
  <c r="Q3204" i="6"/>
  <c r="O3205" i="6"/>
  <c r="P3205" i="6" s="1"/>
  <c r="N3204" i="6"/>
  <c r="R3204" i="6" l="1"/>
  <c r="M3204" i="6" s="1"/>
  <c r="S3204" i="6" s="1"/>
  <c r="Q3205" i="6"/>
  <c r="N3205" i="6"/>
  <c r="O3206" i="6"/>
  <c r="P3206" i="6" s="1"/>
  <c r="R3205" i="6" l="1"/>
  <c r="M3205" i="6" s="1"/>
  <c r="S3205" i="6" s="1"/>
  <c r="Q3206" i="6"/>
  <c r="O3207" i="6"/>
  <c r="P3207" i="6" s="1"/>
  <c r="N3206" i="6"/>
  <c r="R3206" i="6" l="1"/>
  <c r="M3206" i="6" s="1"/>
  <c r="S3206" i="6" s="1"/>
  <c r="Q3207" i="6"/>
  <c r="N3207" i="6"/>
  <c r="O3208" i="6"/>
  <c r="P3208" i="6" s="1"/>
  <c r="R3207" i="6" l="1"/>
  <c r="M3207" i="6" s="1"/>
  <c r="S3207" i="6" s="1"/>
  <c r="Q3208" i="6"/>
  <c r="O3209" i="6"/>
  <c r="P3209" i="6" s="1"/>
  <c r="N3208" i="6"/>
  <c r="R3208" i="6" l="1"/>
  <c r="M3208" i="6" s="1"/>
  <c r="S3208" i="6" s="1"/>
  <c r="Q3209" i="6"/>
  <c r="O3210" i="6"/>
  <c r="P3210" i="6" s="1"/>
  <c r="N3209" i="6"/>
  <c r="R3209" i="6" l="1"/>
  <c r="M3209" i="6" s="1"/>
  <c r="S3209" i="6" s="1"/>
  <c r="Q3210" i="6"/>
  <c r="O3211" i="6"/>
  <c r="P3211" i="6" s="1"/>
  <c r="N3210" i="6"/>
  <c r="R3210" i="6" l="1"/>
  <c r="M3210" i="6" s="1"/>
  <c r="S3210" i="6" s="1"/>
  <c r="Q3211" i="6"/>
  <c r="O3212" i="6"/>
  <c r="P3212" i="6" s="1"/>
  <c r="N3211" i="6"/>
  <c r="R3211" i="6" l="1"/>
  <c r="M3211" i="6" s="1"/>
  <c r="S3211" i="6" s="1"/>
  <c r="Q3212" i="6"/>
  <c r="O3213" i="6"/>
  <c r="P3213" i="6" s="1"/>
  <c r="N3212" i="6"/>
  <c r="R3212" i="6" l="1"/>
  <c r="M3212" i="6" s="1"/>
  <c r="S3212" i="6" s="1"/>
  <c r="Q3213" i="6"/>
  <c r="N3213" i="6"/>
  <c r="O3214" i="6"/>
  <c r="P3214" i="6" s="1"/>
  <c r="R3213" i="6" l="1"/>
  <c r="M3213" i="6" s="1"/>
  <c r="S3213" i="6" s="1"/>
  <c r="Q3214" i="6"/>
  <c r="N3214" i="6"/>
  <c r="O3215" i="6"/>
  <c r="P3215" i="6" s="1"/>
  <c r="R3214" i="6" l="1"/>
  <c r="M3214" i="6" s="1"/>
  <c r="S3214" i="6" s="1"/>
  <c r="Q3215" i="6"/>
  <c r="O3216" i="6"/>
  <c r="P3216" i="6" s="1"/>
  <c r="N3215" i="6"/>
  <c r="R3215" i="6" l="1"/>
  <c r="M3215" i="6" s="1"/>
  <c r="S3215" i="6" s="1"/>
  <c r="Q3216" i="6"/>
  <c r="N3216" i="6"/>
  <c r="O3217" i="6"/>
  <c r="P3217" i="6" s="1"/>
  <c r="R3216" i="6" l="1"/>
  <c r="M3216" i="6" s="1"/>
  <c r="S3216" i="6" s="1"/>
  <c r="Q3217" i="6"/>
  <c r="O3218" i="6"/>
  <c r="P3218" i="6" s="1"/>
  <c r="N3217" i="6"/>
  <c r="R3217" i="6" l="1"/>
  <c r="M3217" i="6" s="1"/>
  <c r="S3217" i="6" s="1"/>
  <c r="Q3218" i="6"/>
  <c r="O3219" i="6"/>
  <c r="P3219" i="6" s="1"/>
  <c r="N3218" i="6"/>
  <c r="R3218" i="6" l="1"/>
  <c r="M3218" i="6" s="1"/>
  <c r="S3218" i="6" s="1"/>
  <c r="Q3219" i="6"/>
  <c r="O3220" i="6"/>
  <c r="P3220" i="6" s="1"/>
  <c r="N3219" i="6"/>
  <c r="R3219" i="6" l="1"/>
  <c r="M3219" i="6" s="1"/>
  <c r="S3219" i="6" s="1"/>
  <c r="Q3220" i="6"/>
  <c r="O3221" i="6"/>
  <c r="P3221" i="6" s="1"/>
  <c r="N3220" i="6"/>
  <c r="R3220" i="6" l="1"/>
  <c r="M3220" i="6" s="1"/>
  <c r="S3220" i="6" s="1"/>
  <c r="Q3221" i="6"/>
  <c r="N3221" i="6"/>
  <c r="O3222" i="6"/>
  <c r="P3222" i="6" s="1"/>
  <c r="R3221" i="6" l="1"/>
  <c r="M3221" i="6" s="1"/>
  <c r="S3221" i="6" s="1"/>
  <c r="Q3222" i="6"/>
  <c r="O3223" i="6"/>
  <c r="P3223" i="6" s="1"/>
  <c r="N3222" i="6"/>
  <c r="R3222" i="6" l="1"/>
  <c r="M3222" i="6" s="1"/>
  <c r="S3222" i="6" s="1"/>
  <c r="Q3223" i="6"/>
  <c r="N3223" i="6"/>
  <c r="O3224" i="6"/>
  <c r="P3224" i="6" s="1"/>
  <c r="R3223" i="6" l="1"/>
  <c r="M3223" i="6" s="1"/>
  <c r="S3223" i="6" s="1"/>
  <c r="Q3224" i="6"/>
  <c r="O3225" i="6"/>
  <c r="P3225" i="6" s="1"/>
  <c r="N3224" i="6"/>
  <c r="R3224" i="6" l="1"/>
  <c r="M3224" i="6" s="1"/>
  <c r="S3224" i="6" s="1"/>
  <c r="Q3225" i="6"/>
  <c r="O3226" i="6"/>
  <c r="P3226" i="6" s="1"/>
  <c r="N3225" i="6"/>
  <c r="R3225" i="6" l="1"/>
  <c r="M3225" i="6" s="1"/>
  <c r="S3225" i="6" s="1"/>
  <c r="Q3226" i="6"/>
  <c r="O3227" i="6"/>
  <c r="P3227" i="6" s="1"/>
  <c r="N3226" i="6"/>
  <c r="R3226" i="6" l="1"/>
  <c r="M3226" i="6" s="1"/>
  <c r="S3226" i="6" s="1"/>
  <c r="Q3227" i="6"/>
  <c r="O3228" i="6"/>
  <c r="P3228" i="6" s="1"/>
  <c r="N3227" i="6"/>
  <c r="R3227" i="6" l="1"/>
  <c r="M3227" i="6" s="1"/>
  <c r="S3227" i="6" s="1"/>
  <c r="Q3228" i="6"/>
  <c r="O3229" i="6"/>
  <c r="P3229" i="6" s="1"/>
  <c r="N3228" i="6"/>
  <c r="R3228" i="6" l="1"/>
  <c r="M3228" i="6" s="1"/>
  <c r="S3228" i="6" s="1"/>
  <c r="Q3229" i="6"/>
  <c r="N3229" i="6"/>
  <c r="O3230" i="6"/>
  <c r="P3230" i="6" s="1"/>
  <c r="R3229" i="6" l="1"/>
  <c r="M3229" i="6" s="1"/>
  <c r="S3229" i="6" s="1"/>
  <c r="Q3230" i="6"/>
  <c r="N3230" i="6"/>
  <c r="O3231" i="6"/>
  <c r="P3231" i="6" s="1"/>
  <c r="R3230" i="6" l="1"/>
  <c r="M3230" i="6" s="1"/>
  <c r="S3230" i="6" s="1"/>
  <c r="Q3231" i="6"/>
  <c r="O3232" i="6"/>
  <c r="P3232" i="6" s="1"/>
  <c r="N3231" i="6"/>
  <c r="R3231" i="6" l="1"/>
  <c r="M3231" i="6" s="1"/>
  <c r="S3231" i="6" s="1"/>
  <c r="Q3232" i="6"/>
  <c r="N3232" i="6"/>
  <c r="O3233" i="6"/>
  <c r="P3233" i="6" s="1"/>
  <c r="R3232" i="6" l="1"/>
  <c r="M3232" i="6" s="1"/>
  <c r="S3232" i="6" s="1"/>
  <c r="Q3233" i="6"/>
  <c r="O3234" i="6"/>
  <c r="P3234" i="6" s="1"/>
  <c r="N3233" i="6"/>
  <c r="R3233" i="6" l="1"/>
  <c r="M3233" i="6" s="1"/>
  <c r="S3233" i="6" s="1"/>
  <c r="Q3234" i="6"/>
  <c r="O3235" i="6"/>
  <c r="P3235" i="6" s="1"/>
  <c r="N3234" i="6"/>
  <c r="R3234" i="6" l="1"/>
  <c r="M3234" i="6" s="1"/>
  <c r="S3234" i="6" s="1"/>
  <c r="Q3235" i="6"/>
  <c r="O3236" i="6"/>
  <c r="P3236" i="6" s="1"/>
  <c r="N3235" i="6"/>
  <c r="R3235" i="6" l="1"/>
  <c r="M3235" i="6" s="1"/>
  <c r="S3235" i="6" s="1"/>
  <c r="Q3236" i="6"/>
  <c r="O3237" i="6"/>
  <c r="P3237" i="6" s="1"/>
  <c r="N3236" i="6"/>
  <c r="R3236" i="6" l="1"/>
  <c r="M3236" i="6" s="1"/>
  <c r="S3236" i="6" s="1"/>
  <c r="Q3237" i="6"/>
  <c r="N3237" i="6"/>
  <c r="O3238" i="6"/>
  <c r="P3238" i="6" s="1"/>
  <c r="R3237" i="6" l="1"/>
  <c r="M3237" i="6" s="1"/>
  <c r="S3237" i="6" s="1"/>
  <c r="Q3238" i="6"/>
  <c r="O3239" i="6"/>
  <c r="P3239" i="6" s="1"/>
  <c r="N3238" i="6"/>
  <c r="R3238" i="6" l="1"/>
  <c r="M3238" i="6" s="1"/>
  <c r="S3238" i="6" s="1"/>
  <c r="Q3239" i="6"/>
  <c r="N3239" i="6"/>
  <c r="O3240" i="6"/>
  <c r="P3240" i="6" s="1"/>
  <c r="R3239" i="6" l="1"/>
  <c r="M3239" i="6" s="1"/>
  <c r="S3239" i="6" s="1"/>
  <c r="Q3240" i="6"/>
  <c r="O3241" i="6"/>
  <c r="P3241" i="6" s="1"/>
  <c r="N3240" i="6"/>
  <c r="R3240" i="6" l="1"/>
  <c r="M3240" i="6" s="1"/>
  <c r="S3240" i="6" s="1"/>
  <c r="Q3241" i="6"/>
  <c r="O3242" i="6"/>
  <c r="P3242" i="6" s="1"/>
  <c r="N3241" i="6"/>
  <c r="R3241" i="6" l="1"/>
  <c r="M3241" i="6" s="1"/>
  <c r="S3241" i="6" s="1"/>
  <c r="Q3242" i="6"/>
  <c r="O3243" i="6"/>
  <c r="P3243" i="6" s="1"/>
  <c r="N3242" i="6"/>
  <c r="R3242" i="6" l="1"/>
  <c r="M3242" i="6" s="1"/>
  <c r="S3242" i="6" s="1"/>
  <c r="Q3243" i="6"/>
  <c r="O3244" i="6"/>
  <c r="P3244" i="6" s="1"/>
  <c r="N3243" i="6"/>
  <c r="R3243" i="6" l="1"/>
  <c r="M3243" i="6" s="1"/>
  <c r="S3243" i="6" s="1"/>
  <c r="Q3244" i="6"/>
  <c r="O3245" i="6"/>
  <c r="P3245" i="6" s="1"/>
  <c r="N3244" i="6"/>
  <c r="R3244" i="6" l="1"/>
  <c r="M3244" i="6" s="1"/>
  <c r="S3244" i="6" s="1"/>
  <c r="Q3245" i="6"/>
  <c r="N3245" i="6"/>
  <c r="O3246" i="6"/>
  <c r="P3246" i="6" s="1"/>
  <c r="R3245" i="6" l="1"/>
  <c r="M3245" i="6" s="1"/>
  <c r="S3245" i="6" s="1"/>
  <c r="Q3246" i="6"/>
  <c r="N3246" i="6"/>
  <c r="O3247" i="6"/>
  <c r="P3247" i="6" s="1"/>
  <c r="R3246" i="6" l="1"/>
  <c r="M3246" i="6" s="1"/>
  <c r="S3246" i="6" s="1"/>
  <c r="Q3247" i="6"/>
  <c r="O3248" i="6"/>
  <c r="P3248" i="6" s="1"/>
  <c r="N3247" i="6"/>
  <c r="R3247" i="6" l="1"/>
  <c r="M3247" i="6" s="1"/>
  <c r="S3247" i="6" s="1"/>
  <c r="Q3248" i="6"/>
  <c r="O3249" i="6"/>
  <c r="P3249" i="6" s="1"/>
  <c r="N3248" i="6"/>
  <c r="R3248" i="6" l="1"/>
  <c r="M3248" i="6" s="1"/>
  <c r="S3248" i="6" s="1"/>
  <c r="Q3249" i="6"/>
  <c r="N3249" i="6"/>
  <c r="O3250" i="6"/>
  <c r="P3250" i="6" s="1"/>
  <c r="R3249" i="6" l="1"/>
  <c r="M3249" i="6" s="1"/>
  <c r="S3249" i="6" s="1"/>
  <c r="Q3250" i="6"/>
  <c r="N3250" i="6"/>
  <c r="O3251" i="6"/>
  <c r="P3251" i="6" s="1"/>
  <c r="R3250" i="6" l="1"/>
  <c r="M3250" i="6" s="1"/>
  <c r="S3250" i="6" s="1"/>
  <c r="Q3251" i="6"/>
  <c r="O3252" i="6"/>
  <c r="P3252" i="6" s="1"/>
  <c r="N3251" i="6"/>
  <c r="R3251" i="6" l="1"/>
  <c r="M3251" i="6" s="1"/>
  <c r="S3251" i="6" s="1"/>
  <c r="Q3252" i="6"/>
  <c r="O3253" i="6"/>
  <c r="P3253" i="6" s="1"/>
  <c r="N3252" i="6"/>
  <c r="R3252" i="6" l="1"/>
  <c r="M3252" i="6" s="1"/>
  <c r="S3252" i="6" s="1"/>
  <c r="Q3253" i="6"/>
  <c r="N3253" i="6"/>
  <c r="O3254" i="6"/>
  <c r="P3254" i="6" s="1"/>
  <c r="R3253" i="6" l="1"/>
  <c r="M3253" i="6" s="1"/>
  <c r="S3253" i="6" s="1"/>
  <c r="Q3254" i="6"/>
  <c r="N3254" i="6"/>
  <c r="O3255" i="6"/>
  <c r="P3255" i="6" s="1"/>
  <c r="R3254" i="6" l="1"/>
  <c r="M3254" i="6" s="1"/>
  <c r="S3254" i="6" s="1"/>
  <c r="Q3255" i="6"/>
  <c r="O3256" i="6"/>
  <c r="P3256" i="6" s="1"/>
  <c r="N3255" i="6"/>
  <c r="R3255" i="6" l="1"/>
  <c r="M3255" i="6" s="1"/>
  <c r="S3255" i="6" s="1"/>
  <c r="Q3256" i="6"/>
  <c r="O3257" i="6"/>
  <c r="P3257" i="6" s="1"/>
  <c r="N3256" i="6"/>
  <c r="R3256" i="6" l="1"/>
  <c r="M3256" i="6" s="1"/>
  <c r="S3256" i="6" s="1"/>
  <c r="Q3257" i="6"/>
  <c r="O3258" i="6"/>
  <c r="P3258" i="6" s="1"/>
  <c r="N3257" i="6"/>
  <c r="R3257" i="6" l="1"/>
  <c r="M3257" i="6" s="1"/>
  <c r="S3257" i="6" s="1"/>
  <c r="Q3258" i="6"/>
  <c r="O3259" i="6"/>
  <c r="P3259" i="6" s="1"/>
  <c r="N3258" i="6"/>
  <c r="R3258" i="6" l="1"/>
  <c r="M3258" i="6" s="1"/>
  <c r="S3258" i="6" s="1"/>
  <c r="Q3259" i="6"/>
  <c r="N3259" i="6"/>
  <c r="O3260" i="6"/>
  <c r="P3260" i="6" s="1"/>
  <c r="R3259" i="6" l="1"/>
  <c r="M3259" i="6" s="1"/>
  <c r="S3259" i="6" s="1"/>
  <c r="Q3260" i="6"/>
  <c r="O3261" i="6"/>
  <c r="P3261" i="6" s="1"/>
  <c r="N3260" i="6"/>
  <c r="R3260" i="6" l="1"/>
  <c r="M3260" i="6" s="1"/>
  <c r="S3260" i="6" s="1"/>
  <c r="Q3261" i="6"/>
  <c r="N3261" i="6"/>
  <c r="O3262" i="6"/>
  <c r="P3262" i="6" s="1"/>
  <c r="R3261" i="6" l="1"/>
  <c r="M3261" i="6" s="1"/>
  <c r="S3261" i="6" s="1"/>
  <c r="Q3262" i="6"/>
  <c r="O3263" i="6"/>
  <c r="P3263" i="6" s="1"/>
  <c r="N3262" i="6"/>
  <c r="R3262" i="6" l="1"/>
  <c r="M3262" i="6" s="1"/>
  <c r="S3262" i="6" s="1"/>
  <c r="Q3263" i="6"/>
  <c r="N3263" i="6"/>
  <c r="O3264" i="6"/>
  <c r="P3264" i="6" s="1"/>
  <c r="R3263" i="6" l="1"/>
  <c r="M3263" i="6" s="1"/>
  <c r="S3263" i="6" s="1"/>
  <c r="Q3264" i="6"/>
  <c r="N3264" i="6"/>
  <c r="O3265" i="6"/>
  <c r="P3265" i="6" s="1"/>
  <c r="R3264" i="6" l="1"/>
  <c r="M3264" i="6" s="1"/>
  <c r="S3264" i="6" s="1"/>
  <c r="Q3265" i="6"/>
  <c r="O3266" i="6"/>
  <c r="P3266" i="6" s="1"/>
  <c r="N3265" i="6"/>
  <c r="R3265" i="6" l="1"/>
  <c r="M3265" i="6" s="1"/>
  <c r="S3265" i="6" s="1"/>
  <c r="Q3266" i="6"/>
  <c r="N3266" i="6"/>
  <c r="O3267" i="6"/>
  <c r="P3267" i="6" s="1"/>
  <c r="R3266" i="6" l="1"/>
  <c r="M3266" i="6" s="1"/>
  <c r="S3266" i="6" s="1"/>
  <c r="Q3267" i="6"/>
  <c r="O3268" i="6"/>
  <c r="P3268" i="6" s="1"/>
  <c r="N3267" i="6"/>
  <c r="R3267" i="6" l="1"/>
  <c r="M3267" i="6" s="1"/>
  <c r="S3267" i="6" s="1"/>
  <c r="Q3268" i="6"/>
  <c r="O3269" i="6"/>
  <c r="P3269" i="6" s="1"/>
  <c r="N3268" i="6"/>
  <c r="R3268" i="6" l="1"/>
  <c r="M3268" i="6" s="1"/>
  <c r="S3268" i="6" s="1"/>
  <c r="Q3269" i="6"/>
  <c r="N3269" i="6"/>
  <c r="O3270" i="6"/>
  <c r="P3270" i="6" s="1"/>
  <c r="R3269" i="6" l="1"/>
  <c r="M3269" i="6" s="1"/>
  <c r="S3269" i="6" s="1"/>
  <c r="Q3270" i="6"/>
  <c r="N3270" i="6"/>
  <c r="O3271" i="6"/>
  <c r="P3271" i="6" s="1"/>
  <c r="R3270" i="6" l="1"/>
  <c r="M3270" i="6" s="1"/>
  <c r="S3270" i="6" s="1"/>
  <c r="Q3271" i="6"/>
  <c r="O3272" i="6"/>
  <c r="P3272" i="6" s="1"/>
  <c r="N3271" i="6"/>
  <c r="R3271" i="6" l="1"/>
  <c r="M3271" i="6" s="1"/>
  <c r="S3271" i="6" s="1"/>
  <c r="Q3272" i="6"/>
  <c r="O3273" i="6"/>
  <c r="P3273" i="6" s="1"/>
  <c r="N3272" i="6"/>
  <c r="R3272" i="6" l="1"/>
  <c r="M3272" i="6" s="1"/>
  <c r="S3272" i="6" s="1"/>
  <c r="Q3273" i="6"/>
  <c r="O3274" i="6"/>
  <c r="P3274" i="6" s="1"/>
  <c r="N3273" i="6"/>
  <c r="R3273" i="6" l="1"/>
  <c r="M3273" i="6" s="1"/>
  <c r="S3273" i="6" s="1"/>
  <c r="Q3274" i="6"/>
  <c r="N3274" i="6"/>
  <c r="O3275" i="6"/>
  <c r="P3275" i="6" s="1"/>
  <c r="R3274" i="6" l="1"/>
  <c r="M3274" i="6" s="1"/>
  <c r="S3274" i="6" s="1"/>
  <c r="Q3275" i="6"/>
  <c r="O3276" i="6"/>
  <c r="P3276" i="6" s="1"/>
  <c r="N3275" i="6"/>
  <c r="R3275" i="6" l="1"/>
  <c r="M3275" i="6" s="1"/>
  <c r="S3275" i="6" s="1"/>
  <c r="Q3276" i="6"/>
  <c r="O3277" i="6"/>
  <c r="P3277" i="6" s="1"/>
  <c r="N3276" i="6"/>
  <c r="R3276" i="6" l="1"/>
  <c r="M3276" i="6" s="1"/>
  <c r="S3276" i="6" s="1"/>
  <c r="Q3277" i="6"/>
  <c r="N3277" i="6"/>
  <c r="O3278" i="6"/>
  <c r="P3278" i="6" s="1"/>
  <c r="R3277" i="6" l="1"/>
  <c r="M3277" i="6" s="1"/>
  <c r="S3277" i="6" s="1"/>
  <c r="Q3278" i="6"/>
  <c r="O3279" i="6"/>
  <c r="P3279" i="6" s="1"/>
  <c r="N3278" i="6"/>
  <c r="R3278" i="6" l="1"/>
  <c r="M3278" i="6" s="1"/>
  <c r="S3278" i="6" s="1"/>
  <c r="Q3279" i="6"/>
  <c r="N3279" i="6"/>
  <c r="O3280" i="6"/>
  <c r="P3280" i="6" s="1"/>
  <c r="R3279" i="6" l="1"/>
  <c r="M3279" i="6" s="1"/>
  <c r="S3279" i="6" s="1"/>
  <c r="Q3280" i="6"/>
  <c r="N3280" i="6"/>
  <c r="O3281" i="6"/>
  <c r="P3281" i="6" s="1"/>
  <c r="R3280" i="6" l="1"/>
  <c r="M3280" i="6" s="1"/>
  <c r="S3280" i="6" s="1"/>
  <c r="Q3281" i="6"/>
  <c r="O3282" i="6"/>
  <c r="P3282" i="6" s="1"/>
  <c r="N3281" i="6"/>
  <c r="R3281" i="6" l="1"/>
  <c r="M3281" i="6" s="1"/>
  <c r="S3281" i="6" s="1"/>
  <c r="Q3282" i="6"/>
  <c r="O3283" i="6"/>
  <c r="P3283" i="6" s="1"/>
  <c r="N3282" i="6"/>
  <c r="R3282" i="6" l="1"/>
  <c r="M3282" i="6" s="1"/>
  <c r="S3282" i="6" s="1"/>
  <c r="Q3283" i="6"/>
  <c r="O3284" i="6"/>
  <c r="P3284" i="6" s="1"/>
  <c r="N3283" i="6"/>
  <c r="R3283" i="6" l="1"/>
  <c r="M3283" i="6" s="1"/>
  <c r="S3283" i="6" s="1"/>
  <c r="Q3284" i="6"/>
  <c r="O3285" i="6"/>
  <c r="P3285" i="6" s="1"/>
  <c r="N3284" i="6"/>
  <c r="R3284" i="6" l="1"/>
  <c r="M3284" i="6" s="1"/>
  <c r="S3284" i="6" s="1"/>
  <c r="Q3285" i="6"/>
  <c r="O3286" i="6"/>
  <c r="P3286" i="6" s="1"/>
  <c r="N3285" i="6"/>
  <c r="R3285" i="6" l="1"/>
  <c r="M3285" i="6" s="1"/>
  <c r="S3285" i="6" s="1"/>
  <c r="Q3286" i="6"/>
  <c r="O3287" i="6"/>
  <c r="P3287" i="6" s="1"/>
  <c r="N3286" i="6"/>
  <c r="R3286" i="6" l="1"/>
  <c r="M3286" i="6" s="1"/>
  <c r="S3286" i="6" s="1"/>
  <c r="Q3287" i="6"/>
  <c r="O3288" i="6"/>
  <c r="P3288" i="6" s="1"/>
  <c r="N3287" i="6"/>
  <c r="R3287" i="6" l="1"/>
  <c r="M3287" i="6" s="1"/>
  <c r="S3287" i="6" s="1"/>
  <c r="Q3288" i="6"/>
  <c r="O3289" i="6"/>
  <c r="P3289" i="6" s="1"/>
  <c r="N3288" i="6"/>
  <c r="R3288" i="6" l="1"/>
  <c r="M3288" i="6" s="1"/>
  <c r="S3288" i="6" s="1"/>
  <c r="Q3289" i="6"/>
  <c r="N3289" i="6"/>
  <c r="O3290" i="6"/>
  <c r="P3290" i="6" s="1"/>
  <c r="R3289" i="6" l="1"/>
  <c r="M3289" i="6" s="1"/>
  <c r="S3289" i="6" s="1"/>
  <c r="Q3290" i="6"/>
  <c r="N3290" i="6"/>
  <c r="O3291" i="6"/>
  <c r="P3291" i="6" s="1"/>
  <c r="R3290" i="6" l="1"/>
  <c r="M3290" i="6" s="1"/>
  <c r="S3290" i="6" s="1"/>
  <c r="Q3291" i="6"/>
  <c r="O3292" i="6"/>
  <c r="P3292" i="6" s="1"/>
  <c r="N3291" i="6"/>
  <c r="R3291" i="6" l="1"/>
  <c r="M3291" i="6" s="1"/>
  <c r="S3291" i="6" s="1"/>
  <c r="Q3292" i="6"/>
  <c r="N3292" i="6"/>
  <c r="O3293" i="6"/>
  <c r="P3293" i="6" s="1"/>
  <c r="R3292" i="6" l="1"/>
  <c r="M3292" i="6" s="1"/>
  <c r="S3292" i="6" s="1"/>
  <c r="Q3293" i="6"/>
  <c r="N3293" i="6"/>
  <c r="O3294" i="6"/>
  <c r="P3294" i="6" s="1"/>
  <c r="R3293" i="6" l="1"/>
  <c r="M3293" i="6" s="1"/>
  <c r="S3293" i="6" s="1"/>
  <c r="Q3294" i="6"/>
  <c r="O3295" i="6"/>
  <c r="P3295" i="6" s="1"/>
  <c r="N3294" i="6"/>
  <c r="R3294" i="6" l="1"/>
  <c r="M3294" i="6" s="1"/>
  <c r="S3294" i="6" s="1"/>
  <c r="Q3295" i="6"/>
  <c r="O3296" i="6"/>
  <c r="P3296" i="6" s="1"/>
  <c r="N3295" i="6"/>
  <c r="R3295" i="6" l="1"/>
  <c r="M3295" i="6" s="1"/>
  <c r="S3295" i="6" s="1"/>
  <c r="Q3296" i="6"/>
  <c r="O3297" i="6"/>
  <c r="P3297" i="6" s="1"/>
  <c r="N3296" i="6"/>
  <c r="R3296" i="6" l="1"/>
  <c r="M3296" i="6" s="1"/>
  <c r="S3296" i="6" s="1"/>
  <c r="Q3297" i="6"/>
  <c r="N3297" i="6"/>
  <c r="O3298" i="6"/>
  <c r="P3298" i="6" s="1"/>
  <c r="R3297" i="6" l="1"/>
  <c r="M3297" i="6" s="1"/>
  <c r="S3297" i="6" s="1"/>
  <c r="Q3298" i="6"/>
  <c r="N3298" i="6"/>
  <c r="O3299" i="6"/>
  <c r="P3299" i="6" s="1"/>
  <c r="R3298" i="6" l="1"/>
  <c r="M3298" i="6" s="1"/>
  <c r="S3298" i="6" s="1"/>
  <c r="Q3299" i="6"/>
  <c r="N3299" i="6"/>
  <c r="O3300" i="6"/>
  <c r="P3300" i="6" s="1"/>
  <c r="R3299" i="6" l="1"/>
  <c r="M3299" i="6" s="1"/>
  <c r="S3299" i="6" s="1"/>
  <c r="Q3300" i="6"/>
  <c r="N3300" i="6"/>
  <c r="O3301" i="6"/>
  <c r="P3301" i="6" s="1"/>
  <c r="R3300" i="6" l="1"/>
  <c r="M3300" i="6" s="1"/>
  <c r="S3300" i="6" s="1"/>
  <c r="Q3301" i="6"/>
  <c r="N3301" i="6"/>
  <c r="O3302" i="6"/>
  <c r="P3302" i="6" s="1"/>
  <c r="R3301" i="6" l="1"/>
  <c r="M3301" i="6" s="1"/>
  <c r="S3301" i="6" s="1"/>
  <c r="Q3302" i="6"/>
  <c r="O3303" i="6"/>
  <c r="P3303" i="6" s="1"/>
  <c r="N3302" i="6"/>
  <c r="R3302" i="6" l="1"/>
  <c r="M3302" i="6" s="1"/>
  <c r="S3302" i="6" s="1"/>
  <c r="Q3303" i="6"/>
  <c r="O3304" i="6"/>
  <c r="P3304" i="6" s="1"/>
  <c r="N3303" i="6"/>
  <c r="R3303" i="6" l="1"/>
  <c r="M3303" i="6" s="1"/>
  <c r="S3303" i="6" s="1"/>
  <c r="Q3304" i="6"/>
  <c r="O3305" i="6"/>
  <c r="P3305" i="6" s="1"/>
  <c r="N3304" i="6"/>
  <c r="R3304" i="6" l="1"/>
  <c r="M3304" i="6" s="1"/>
  <c r="S3304" i="6" s="1"/>
  <c r="Q3305" i="6"/>
  <c r="N3305" i="6"/>
  <c r="O3306" i="6"/>
  <c r="P3306" i="6" s="1"/>
  <c r="R3305" i="6" l="1"/>
  <c r="M3305" i="6" s="1"/>
  <c r="S3305" i="6" s="1"/>
  <c r="Q3306" i="6"/>
  <c r="N3306" i="6"/>
  <c r="O3307" i="6"/>
  <c r="P3307" i="6" s="1"/>
  <c r="R3306" i="6" l="1"/>
  <c r="M3306" i="6" s="1"/>
  <c r="S3306" i="6" s="1"/>
  <c r="Q3307" i="6"/>
  <c r="N3307" i="6"/>
  <c r="O3308" i="6"/>
  <c r="P3308" i="6" s="1"/>
  <c r="R3307" i="6" l="1"/>
  <c r="M3307" i="6" s="1"/>
  <c r="S3307" i="6" s="1"/>
  <c r="Q3308" i="6"/>
  <c r="N3308" i="6"/>
  <c r="O3309" i="6"/>
  <c r="P3309" i="6" s="1"/>
  <c r="R3308" i="6" l="1"/>
  <c r="M3308" i="6" s="1"/>
  <c r="S3308" i="6" s="1"/>
  <c r="Q3309" i="6"/>
  <c r="N3309" i="6"/>
  <c r="O3310" i="6"/>
  <c r="P3310" i="6" s="1"/>
  <c r="R3309" i="6" l="1"/>
  <c r="M3309" i="6" s="1"/>
  <c r="S3309" i="6" s="1"/>
  <c r="Q3310" i="6"/>
  <c r="N3310" i="6"/>
  <c r="O3311" i="6"/>
  <c r="P3311" i="6" s="1"/>
  <c r="R3310" i="6" l="1"/>
  <c r="M3310" i="6" s="1"/>
  <c r="S3310" i="6" s="1"/>
  <c r="Q3311" i="6"/>
  <c r="O3312" i="6"/>
  <c r="P3312" i="6" s="1"/>
  <c r="N3311" i="6"/>
  <c r="R3311" i="6" l="1"/>
  <c r="M3311" i="6" s="1"/>
  <c r="S3311" i="6" s="1"/>
  <c r="Q3312" i="6"/>
  <c r="O3313" i="6"/>
  <c r="P3313" i="6" s="1"/>
  <c r="N3312" i="6"/>
  <c r="R3312" i="6" l="1"/>
  <c r="M3312" i="6" s="1"/>
  <c r="S3312" i="6" s="1"/>
  <c r="Q3313" i="6"/>
  <c r="N3313" i="6"/>
  <c r="O3314" i="6"/>
  <c r="P3314" i="6" s="1"/>
  <c r="R3313" i="6" l="1"/>
  <c r="M3313" i="6" s="1"/>
  <c r="S3313" i="6" s="1"/>
  <c r="Q3314" i="6"/>
  <c r="N3314" i="6"/>
  <c r="O3315" i="6"/>
  <c r="P3315" i="6" s="1"/>
  <c r="R3314" i="6" l="1"/>
  <c r="M3314" i="6" s="1"/>
  <c r="S3314" i="6" s="1"/>
  <c r="Q3315" i="6"/>
  <c r="O3316" i="6"/>
  <c r="P3316" i="6" s="1"/>
  <c r="N3315" i="6"/>
  <c r="R3315" i="6" l="1"/>
  <c r="M3315" i="6" s="1"/>
  <c r="S3315" i="6" s="1"/>
  <c r="Q3316" i="6"/>
  <c r="N3316" i="6"/>
  <c r="O3317" i="6"/>
  <c r="P3317" i="6" s="1"/>
  <c r="R3316" i="6" l="1"/>
  <c r="M3316" i="6" s="1"/>
  <c r="S3316" i="6" s="1"/>
  <c r="Q3317" i="6"/>
  <c r="N3317" i="6"/>
  <c r="O3318" i="6"/>
  <c r="P3318" i="6" s="1"/>
  <c r="R3317" i="6" l="1"/>
  <c r="M3317" i="6" s="1"/>
  <c r="S3317" i="6" s="1"/>
  <c r="Q3318" i="6"/>
  <c r="O3319" i="6"/>
  <c r="P3319" i="6" s="1"/>
  <c r="N3318" i="6"/>
  <c r="R3318" i="6" l="1"/>
  <c r="M3318" i="6" s="1"/>
  <c r="S3318" i="6" s="1"/>
  <c r="Q3319" i="6"/>
  <c r="O3320" i="6"/>
  <c r="P3320" i="6" s="1"/>
  <c r="N3319" i="6"/>
  <c r="R3319" i="6" l="1"/>
  <c r="M3319" i="6" s="1"/>
  <c r="S3319" i="6" s="1"/>
  <c r="Q3320" i="6"/>
  <c r="O3321" i="6"/>
  <c r="P3321" i="6" s="1"/>
  <c r="N3320" i="6"/>
  <c r="R3320" i="6" l="1"/>
  <c r="M3320" i="6" s="1"/>
  <c r="S3320" i="6" s="1"/>
  <c r="Q3321" i="6"/>
  <c r="N3321" i="6"/>
  <c r="O3322" i="6"/>
  <c r="P3322" i="6" s="1"/>
  <c r="R3321" i="6" l="1"/>
  <c r="M3321" i="6" s="1"/>
  <c r="S3321" i="6" s="1"/>
  <c r="Q3322" i="6"/>
  <c r="N3322" i="6"/>
  <c r="O3323" i="6"/>
  <c r="P3323" i="6" s="1"/>
  <c r="R3322" i="6" l="1"/>
  <c r="M3322" i="6" s="1"/>
  <c r="S3322" i="6" s="1"/>
  <c r="Q3323" i="6"/>
  <c r="N3323" i="6"/>
  <c r="O3324" i="6"/>
  <c r="P3324" i="6" s="1"/>
  <c r="R3323" i="6" l="1"/>
  <c r="M3323" i="6" s="1"/>
  <c r="S3323" i="6" s="1"/>
  <c r="Q3324" i="6"/>
  <c r="N3324" i="6"/>
  <c r="O3325" i="6"/>
  <c r="P3325" i="6" s="1"/>
  <c r="R3324" i="6" l="1"/>
  <c r="M3324" i="6" s="1"/>
  <c r="S3324" i="6" s="1"/>
  <c r="Q3325" i="6"/>
  <c r="N3325" i="6"/>
  <c r="O3326" i="6"/>
  <c r="P3326" i="6" s="1"/>
  <c r="R3325" i="6" l="1"/>
  <c r="M3325" i="6" s="1"/>
  <c r="S3325" i="6" s="1"/>
  <c r="Q3326" i="6"/>
  <c r="N3326" i="6"/>
  <c r="O3327" i="6"/>
  <c r="P3327" i="6" s="1"/>
  <c r="R3326" i="6" l="1"/>
  <c r="M3326" i="6" s="1"/>
  <c r="S3326" i="6" s="1"/>
  <c r="Q3327" i="6"/>
  <c r="O3328" i="6"/>
  <c r="P3328" i="6" s="1"/>
  <c r="N3327" i="6"/>
  <c r="R3327" i="6" l="1"/>
  <c r="M3327" i="6" s="1"/>
  <c r="S3327" i="6" s="1"/>
  <c r="Q3328" i="6"/>
  <c r="O3329" i="6"/>
  <c r="P3329" i="6" s="1"/>
  <c r="N3328" i="6"/>
  <c r="R3328" i="6" l="1"/>
  <c r="M3328" i="6" s="1"/>
  <c r="S3328" i="6" s="1"/>
  <c r="Q3329" i="6"/>
  <c r="N3329" i="6"/>
  <c r="O3330" i="6"/>
  <c r="P3330" i="6" s="1"/>
  <c r="R3329" i="6" l="1"/>
  <c r="M3329" i="6" s="1"/>
  <c r="S3329" i="6" s="1"/>
  <c r="Q3330" i="6"/>
  <c r="N3330" i="6"/>
  <c r="O3331" i="6"/>
  <c r="P3331" i="6" s="1"/>
  <c r="R3330" i="6" l="1"/>
  <c r="M3330" i="6" s="1"/>
  <c r="S3330" i="6" s="1"/>
  <c r="Q3331" i="6"/>
  <c r="N3331" i="6"/>
  <c r="O3332" i="6"/>
  <c r="P3332" i="6" s="1"/>
  <c r="R3331" i="6" l="1"/>
  <c r="M3331" i="6" s="1"/>
  <c r="S3331" i="6" s="1"/>
  <c r="Q3332" i="6"/>
  <c r="N3332" i="6"/>
  <c r="O3333" i="6"/>
  <c r="P3333" i="6" s="1"/>
  <c r="R3332" i="6" l="1"/>
  <c r="M3332" i="6" s="1"/>
  <c r="S3332" i="6" s="1"/>
  <c r="Q3333" i="6"/>
  <c r="N3333" i="6"/>
  <c r="O3334" i="6"/>
  <c r="P3334" i="6" s="1"/>
  <c r="R3333" i="6" l="1"/>
  <c r="M3333" i="6" s="1"/>
  <c r="S3333" i="6" s="1"/>
  <c r="Q3334" i="6"/>
  <c r="N3334" i="6"/>
  <c r="O3335" i="6"/>
  <c r="P3335" i="6" s="1"/>
  <c r="R3334" i="6" l="1"/>
  <c r="M3334" i="6" s="1"/>
  <c r="S3334" i="6" s="1"/>
  <c r="Q3335" i="6"/>
  <c r="O3336" i="6"/>
  <c r="P3336" i="6" s="1"/>
  <c r="N3335" i="6"/>
  <c r="R3335" i="6" l="1"/>
  <c r="M3335" i="6" s="1"/>
  <c r="S3335" i="6" s="1"/>
  <c r="Q3336" i="6"/>
  <c r="O3337" i="6"/>
  <c r="P3337" i="6" s="1"/>
  <c r="N3336" i="6"/>
  <c r="R3336" i="6" l="1"/>
  <c r="M3336" i="6" s="1"/>
  <c r="S3336" i="6" s="1"/>
  <c r="Q3337" i="6"/>
  <c r="N3337" i="6"/>
  <c r="O3338" i="6"/>
  <c r="P3338" i="6" s="1"/>
  <c r="R3337" i="6" l="1"/>
  <c r="M3337" i="6" s="1"/>
  <c r="S3337" i="6" s="1"/>
  <c r="Q3338" i="6"/>
  <c r="N3338" i="6"/>
  <c r="O3339" i="6"/>
  <c r="P3339" i="6" s="1"/>
  <c r="R3338" i="6" l="1"/>
  <c r="M3338" i="6" s="1"/>
  <c r="S3338" i="6" s="1"/>
  <c r="Q3339" i="6"/>
  <c r="N3339" i="6"/>
  <c r="O3340" i="6"/>
  <c r="P3340" i="6" s="1"/>
  <c r="R3339" i="6" l="1"/>
  <c r="M3339" i="6" s="1"/>
  <c r="S3339" i="6" s="1"/>
  <c r="Q3340" i="6"/>
  <c r="N3340" i="6"/>
  <c r="O3341" i="6"/>
  <c r="P3341" i="6" s="1"/>
  <c r="R3340" i="6" l="1"/>
  <c r="M3340" i="6" s="1"/>
  <c r="S3340" i="6" s="1"/>
  <c r="Q3341" i="6"/>
  <c r="N3341" i="6"/>
  <c r="O3342" i="6"/>
  <c r="P3342" i="6" s="1"/>
  <c r="R3341" i="6" l="1"/>
  <c r="M3341" i="6" s="1"/>
  <c r="S3341" i="6" s="1"/>
  <c r="Q3342" i="6"/>
  <c r="O3343" i="6"/>
  <c r="P3343" i="6" s="1"/>
  <c r="N3342" i="6"/>
  <c r="R3342" i="6" l="1"/>
  <c r="M3342" i="6" s="1"/>
  <c r="S3342" i="6" s="1"/>
  <c r="Q3343" i="6"/>
  <c r="O3344" i="6"/>
  <c r="P3344" i="6" s="1"/>
  <c r="N3343" i="6"/>
  <c r="R3343" i="6" l="1"/>
  <c r="M3343" i="6" s="1"/>
  <c r="S3343" i="6" s="1"/>
  <c r="Q3344" i="6"/>
  <c r="O3345" i="6"/>
  <c r="P3345" i="6" s="1"/>
  <c r="N3344" i="6"/>
  <c r="R3344" i="6" l="1"/>
  <c r="M3344" i="6" s="1"/>
  <c r="S3344" i="6" s="1"/>
  <c r="Q3345" i="6"/>
  <c r="N3345" i="6"/>
  <c r="O3346" i="6"/>
  <c r="P3346" i="6" s="1"/>
  <c r="R3345" i="6" l="1"/>
  <c r="M3345" i="6" s="1"/>
  <c r="S3345" i="6" s="1"/>
  <c r="Q3346" i="6"/>
  <c r="N3346" i="6"/>
  <c r="O3347" i="6"/>
  <c r="P3347" i="6" s="1"/>
  <c r="R3346" i="6" l="1"/>
  <c r="M3346" i="6" s="1"/>
  <c r="S3346" i="6" s="1"/>
  <c r="Q3347" i="6"/>
  <c r="O3348" i="6"/>
  <c r="P3348" i="6" s="1"/>
  <c r="N3347" i="6"/>
  <c r="R3347" i="6" l="1"/>
  <c r="M3347" i="6" s="1"/>
  <c r="S3347" i="6" s="1"/>
  <c r="Q3348" i="6"/>
  <c r="N3348" i="6"/>
  <c r="O3349" i="6"/>
  <c r="P3349" i="6" s="1"/>
  <c r="R3348" i="6" l="1"/>
  <c r="M3348" i="6" s="1"/>
  <c r="S3348" i="6" s="1"/>
  <c r="Q3349" i="6"/>
  <c r="N3349" i="6"/>
  <c r="O3350" i="6"/>
  <c r="P3350" i="6" s="1"/>
  <c r="R3349" i="6" l="1"/>
  <c r="M3349" i="6" s="1"/>
  <c r="S3349" i="6" s="1"/>
  <c r="Q3350" i="6"/>
  <c r="O3351" i="6"/>
  <c r="P3351" i="6" s="1"/>
  <c r="N3350" i="6"/>
  <c r="R3350" i="6" l="1"/>
  <c r="M3350" i="6" s="1"/>
  <c r="S3350" i="6" s="1"/>
  <c r="Q3351" i="6"/>
  <c r="O3352" i="6"/>
  <c r="P3352" i="6" s="1"/>
  <c r="N3351" i="6"/>
  <c r="R3351" i="6" l="1"/>
  <c r="M3351" i="6" s="1"/>
  <c r="S3351" i="6" s="1"/>
  <c r="Q3352" i="6"/>
  <c r="O3353" i="6"/>
  <c r="P3353" i="6" s="1"/>
  <c r="N3352" i="6"/>
  <c r="R3352" i="6" l="1"/>
  <c r="M3352" i="6" s="1"/>
  <c r="S3352" i="6" s="1"/>
  <c r="Q3353" i="6"/>
  <c r="N3353" i="6"/>
  <c r="O3354" i="6"/>
  <c r="P3354" i="6" s="1"/>
  <c r="R3353" i="6" l="1"/>
  <c r="M3353" i="6" s="1"/>
  <c r="S3353" i="6" s="1"/>
  <c r="Q3354" i="6"/>
  <c r="N3354" i="6"/>
  <c r="O3355" i="6"/>
  <c r="P3355" i="6" s="1"/>
  <c r="R3354" i="6" l="1"/>
  <c r="M3354" i="6" s="1"/>
  <c r="S3354" i="6" s="1"/>
  <c r="Q3355" i="6"/>
  <c r="N3355" i="6"/>
  <c r="O3356" i="6"/>
  <c r="P3356" i="6" s="1"/>
  <c r="R3355" i="6" l="1"/>
  <c r="M3355" i="6" s="1"/>
  <c r="S3355" i="6" s="1"/>
  <c r="Q3356" i="6"/>
  <c r="N3356" i="6"/>
  <c r="O3357" i="6"/>
  <c r="P3357" i="6" s="1"/>
  <c r="R3356" i="6" l="1"/>
  <c r="M3356" i="6" s="1"/>
  <c r="S3356" i="6" s="1"/>
  <c r="Q3357" i="6"/>
  <c r="N3357" i="6"/>
  <c r="O3358" i="6"/>
  <c r="P3358" i="6" s="1"/>
  <c r="R3357" i="6" l="1"/>
  <c r="M3357" i="6" s="1"/>
  <c r="S3357" i="6" s="1"/>
  <c r="Q3358" i="6"/>
  <c r="O3359" i="6"/>
  <c r="P3359" i="6" s="1"/>
  <c r="N3358" i="6"/>
  <c r="R3358" i="6" l="1"/>
  <c r="M3358" i="6" s="1"/>
  <c r="S3358" i="6" s="1"/>
  <c r="Q3359" i="6"/>
  <c r="O3360" i="6"/>
  <c r="P3360" i="6" s="1"/>
  <c r="N3359" i="6"/>
  <c r="R3359" i="6" l="1"/>
  <c r="M3359" i="6" s="1"/>
  <c r="S3359" i="6" s="1"/>
  <c r="Q3360" i="6"/>
  <c r="O3361" i="6"/>
  <c r="P3361" i="6" s="1"/>
  <c r="N3360" i="6"/>
  <c r="R3360" i="6" l="1"/>
  <c r="M3360" i="6" s="1"/>
  <c r="S3360" i="6" s="1"/>
  <c r="Q3361" i="6"/>
  <c r="O3362" i="6"/>
  <c r="P3362" i="6" s="1"/>
  <c r="N3361" i="6"/>
  <c r="R3361" i="6" l="1"/>
  <c r="M3361" i="6" s="1"/>
  <c r="S3361" i="6" s="1"/>
  <c r="Q3362" i="6"/>
  <c r="O3363" i="6"/>
  <c r="P3363" i="6" s="1"/>
  <c r="N3362" i="6"/>
  <c r="R3362" i="6" l="1"/>
  <c r="M3362" i="6" s="1"/>
  <c r="S3362" i="6" s="1"/>
  <c r="Q3363" i="6"/>
  <c r="N3363" i="6"/>
  <c r="O3364" i="6"/>
  <c r="P3364" i="6" s="1"/>
  <c r="R3363" i="6" l="1"/>
  <c r="M3363" i="6" s="1"/>
  <c r="S3363" i="6" s="1"/>
  <c r="Q3364" i="6"/>
  <c r="N3364" i="6"/>
  <c r="O3365" i="6"/>
  <c r="P3365" i="6" s="1"/>
  <c r="R3364" i="6" l="1"/>
  <c r="M3364" i="6" s="1"/>
  <c r="S3364" i="6" s="1"/>
  <c r="Q3365" i="6"/>
  <c r="N3365" i="6"/>
  <c r="O3366" i="6"/>
  <c r="P3366" i="6" s="1"/>
  <c r="R3365" i="6" l="1"/>
  <c r="M3365" i="6" s="1"/>
  <c r="S3365" i="6" s="1"/>
  <c r="Q3366" i="6"/>
  <c r="O3367" i="6"/>
  <c r="P3367" i="6" s="1"/>
  <c r="N3366" i="6"/>
  <c r="R3366" i="6" l="1"/>
  <c r="M3366" i="6" s="1"/>
  <c r="S3366" i="6" s="1"/>
  <c r="Q3367" i="6"/>
  <c r="N3367" i="6"/>
  <c r="O3368" i="6"/>
  <c r="P3368" i="6" s="1"/>
  <c r="R3367" i="6" l="1"/>
  <c r="M3367" i="6" s="1"/>
  <c r="S3367" i="6" s="1"/>
  <c r="Q3368" i="6"/>
  <c r="O3369" i="6"/>
  <c r="P3369" i="6" s="1"/>
  <c r="N3368" i="6"/>
  <c r="R3368" i="6" l="1"/>
  <c r="M3368" i="6" s="1"/>
  <c r="S3368" i="6" s="1"/>
  <c r="Q3369" i="6"/>
  <c r="N3369" i="6"/>
  <c r="O3370" i="6"/>
  <c r="P3370" i="6" s="1"/>
  <c r="R3369" i="6" l="1"/>
  <c r="M3369" i="6" s="1"/>
  <c r="S3369" i="6" s="1"/>
  <c r="Q3370" i="6"/>
  <c r="N3370" i="6"/>
  <c r="O3371" i="6"/>
  <c r="P3371" i="6" s="1"/>
  <c r="R3370" i="6" l="1"/>
  <c r="M3370" i="6" s="1"/>
  <c r="S3370" i="6" s="1"/>
  <c r="Q3371" i="6"/>
  <c r="N3371" i="6"/>
  <c r="O3372" i="6"/>
  <c r="P3372" i="6" s="1"/>
  <c r="R3371" i="6" l="1"/>
  <c r="M3371" i="6" s="1"/>
  <c r="S3371" i="6" s="1"/>
  <c r="Q3372" i="6"/>
  <c r="N3372" i="6"/>
  <c r="O3373" i="6"/>
  <c r="P3373" i="6" s="1"/>
  <c r="R3372" i="6" l="1"/>
  <c r="M3372" i="6" s="1"/>
  <c r="S3372" i="6" s="1"/>
  <c r="Q3373" i="6"/>
  <c r="N3373" i="6"/>
  <c r="O3374" i="6"/>
  <c r="P3374" i="6" s="1"/>
  <c r="R3373" i="6" l="1"/>
  <c r="M3373" i="6" s="1"/>
  <c r="S3373" i="6" s="1"/>
  <c r="Q3374" i="6"/>
  <c r="N3374" i="6"/>
  <c r="O3375" i="6"/>
  <c r="P3375" i="6" s="1"/>
  <c r="R3374" i="6" l="1"/>
  <c r="M3374" i="6" s="1"/>
  <c r="S3374" i="6" s="1"/>
  <c r="Q3375" i="6"/>
  <c r="O3376" i="6"/>
  <c r="P3376" i="6" s="1"/>
  <c r="N3375" i="6"/>
  <c r="R3375" i="6" l="1"/>
  <c r="M3375" i="6" s="1"/>
  <c r="S3375" i="6" s="1"/>
  <c r="Q3376" i="6"/>
  <c r="O3377" i="6"/>
  <c r="P3377" i="6" s="1"/>
  <c r="N3376" i="6"/>
  <c r="R3376" i="6" l="1"/>
  <c r="M3376" i="6" s="1"/>
  <c r="S3376" i="6" s="1"/>
  <c r="Q3377" i="6"/>
  <c r="N3377" i="6"/>
  <c r="O3378" i="6"/>
  <c r="P3378" i="6" s="1"/>
  <c r="R3377" i="6" l="1"/>
  <c r="M3377" i="6" s="1"/>
  <c r="S3377" i="6" s="1"/>
  <c r="Q3378" i="6"/>
  <c r="N3378" i="6"/>
  <c r="O3379" i="6"/>
  <c r="P3379" i="6" s="1"/>
  <c r="R3378" i="6" l="1"/>
  <c r="M3378" i="6" s="1"/>
  <c r="S3378" i="6" s="1"/>
  <c r="Q3379" i="6"/>
  <c r="O3380" i="6"/>
  <c r="P3380" i="6" s="1"/>
  <c r="N3379" i="6"/>
  <c r="R3379" i="6" l="1"/>
  <c r="M3379" i="6" s="1"/>
  <c r="S3379" i="6" s="1"/>
  <c r="Q3380" i="6"/>
  <c r="N3380" i="6"/>
  <c r="O3381" i="6"/>
  <c r="P3381" i="6" s="1"/>
  <c r="R3380" i="6" l="1"/>
  <c r="M3380" i="6" s="1"/>
  <c r="S3380" i="6" s="1"/>
  <c r="Q3381" i="6"/>
  <c r="N3381" i="6"/>
  <c r="O3382" i="6"/>
  <c r="P3382" i="6" s="1"/>
  <c r="R3381" i="6" l="1"/>
  <c r="M3381" i="6" s="1"/>
  <c r="S3381" i="6" s="1"/>
  <c r="Q3382" i="6"/>
  <c r="N3382" i="6"/>
  <c r="O3383" i="6"/>
  <c r="P3383" i="6" s="1"/>
  <c r="R3382" i="6" l="1"/>
  <c r="M3382" i="6" s="1"/>
  <c r="S3382" i="6" s="1"/>
  <c r="Q3383" i="6"/>
  <c r="N3383" i="6"/>
  <c r="O3384" i="6"/>
  <c r="P3384" i="6" s="1"/>
  <c r="R3383" i="6" l="1"/>
  <c r="M3383" i="6" s="1"/>
  <c r="S3383" i="6" s="1"/>
  <c r="Q3384" i="6"/>
  <c r="O3385" i="6"/>
  <c r="P3385" i="6" s="1"/>
  <c r="N3384" i="6"/>
  <c r="R3384" i="6" l="1"/>
  <c r="M3384" i="6" s="1"/>
  <c r="S3384" i="6" s="1"/>
  <c r="Q3385" i="6"/>
  <c r="O3386" i="6"/>
  <c r="P3386" i="6" s="1"/>
  <c r="N3385" i="6"/>
  <c r="R3385" i="6" l="1"/>
  <c r="M3385" i="6" s="1"/>
  <c r="S3385" i="6" s="1"/>
  <c r="Q3386" i="6"/>
  <c r="N3386" i="6"/>
  <c r="O3387" i="6"/>
  <c r="P3387" i="6" s="1"/>
  <c r="R3386" i="6" l="1"/>
  <c r="M3386" i="6" s="1"/>
  <c r="S3386" i="6" s="1"/>
  <c r="Q3387" i="6"/>
  <c r="N3387" i="6"/>
  <c r="O3388" i="6"/>
  <c r="P3388" i="6" s="1"/>
  <c r="R3387" i="6" l="1"/>
  <c r="M3387" i="6" s="1"/>
  <c r="S3387" i="6" s="1"/>
  <c r="Q3388" i="6"/>
  <c r="N3388" i="6"/>
  <c r="O3389" i="6"/>
  <c r="P3389" i="6" s="1"/>
  <c r="R3388" i="6" l="1"/>
  <c r="M3388" i="6" s="1"/>
  <c r="S3388" i="6" s="1"/>
  <c r="Q3389" i="6"/>
  <c r="N3389" i="6"/>
  <c r="O3390" i="6"/>
  <c r="P3390" i="6" s="1"/>
  <c r="R3389" i="6" l="1"/>
  <c r="M3389" i="6" s="1"/>
  <c r="S3389" i="6" s="1"/>
  <c r="Q3390" i="6"/>
  <c r="N3390" i="6"/>
  <c r="O3391" i="6"/>
  <c r="P3391" i="6" s="1"/>
  <c r="R3390" i="6" l="1"/>
  <c r="M3390" i="6" s="1"/>
  <c r="S3390" i="6" s="1"/>
  <c r="Q3391" i="6"/>
  <c r="N3391" i="6"/>
  <c r="O3392" i="6"/>
  <c r="P3392" i="6" s="1"/>
  <c r="R3391" i="6" l="1"/>
  <c r="M3391" i="6" s="1"/>
  <c r="S3391" i="6" s="1"/>
  <c r="Q3392" i="6"/>
  <c r="O3393" i="6"/>
  <c r="P3393" i="6" s="1"/>
  <c r="N3392" i="6"/>
  <c r="R3392" i="6" l="1"/>
  <c r="M3392" i="6" s="1"/>
  <c r="S3392" i="6" s="1"/>
  <c r="Q3393" i="6"/>
  <c r="O3394" i="6"/>
  <c r="P3394" i="6" s="1"/>
  <c r="N3393" i="6"/>
  <c r="R3393" i="6" l="1"/>
  <c r="M3393" i="6" s="1"/>
  <c r="S3393" i="6" s="1"/>
  <c r="Q3394" i="6"/>
  <c r="N3394" i="6"/>
  <c r="O3395" i="6"/>
  <c r="P3395" i="6" s="1"/>
  <c r="R3394" i="6" l="1"/>
  <c r="M3394" i="6" s="1"/>
  <c r="S3394" i="6" s="1"/>
  <c r="Q3395" i="6"/>
  <c r="O3396" i="6"/>
  <c r="P3396" i="6" s="1"/>
  <c r="N3395" i="6"/>
  <c r="R3395" i="6" l="1"/>
  <c r="M3395" i="6" s="1"/>
  <c r="S3395" i="6" s="1"/>
  <c r="Q3396" i="6"/>
  <c r="N3396" i="6"/>
  <c r="O3397" i="6"/>
  <c r="P3397" i="6" s="1"/>
  <c r="R3396" i="6" l="1"/>
  <c r="M3396" i="6" s="1"/>
  <c r="S3396" i="6" s="1"/>
  <c r="Q3397" i="6"/>
  <c r="O3398" i="6"/>
  <c r="P3398" i="6" s="1"/>
  <c r="N3397" i="6"/>
  <c r="R3397" i="6" l="1"/>
  <c r="M3397" i="6" s="1"/>
  <c r="S3397" i="6" s="1"/>
  <c r="Q3398" i="6"/>
  <c r="O3399" i="6"/>
  <c r="P3399" i="6" s="1"/>
  <c r="N3398" i="6"/>
  <c r="R3398" i="6" l="1"/>
  <c r="M3398" i="6" s="1"/>
  <c r="S3398" i="6" s="1"/>
  <c r="Q3399" i="6"/>
  <c r="O3400" i="6"/>
  <c r="P3400" i="6" s="1"/>
  <c r="N3399" i="6"/>
  <c r="R3399" i="6" l="1"/>
  <c r="M3399" i="6" s="1"/>
  <c r="S3399" i="6" s="1"/>
  <c r="Q3400" i="6"/>
  <c r="O3401" i="6"/>
  <c r="P3401" i="6" s="1"/>
  <c r="N3400" i="6"/>
  <c r="R3400" i="6" l="1"/>
  <c r="M3400" i="6" s="1"/>
  <c r="S3400" i="6" s="1"/>
  <c r="Q3401" i="6"/>
  <c r="N3401" i="6"/>
  <c r="O3402" i="6"/>
  <c r="P3402" i="6" s="1"/>
  <c r="R3401" i="6" l="1"/>
  <c r="M3401" i="6" s="1"/>
  <c r="S3401" i="6" s="1"/>
  <c r="Q3402" i="6"/>
  <c r="O3403" i="6"/>
  <c r="P3403" i="6" s="1"/>
  <c r="N3402" i="6"/>
  <c r="R3402" i="6" l="1"/>
  <c r="M3402" i="6" s="1"/>
  <c r="S3402" i="6" s="1"/>
  <c r="Q3403" i="6"/>
  <c r="N3403" i="6"/>
  <c r="O3404" i="6"/>
  <c r="P3404" i="6" s="1"/>
  <c r="R3403" i="6" l="1"/>
  <c r="M3403" i="6" s="1"/>
  <c r="S3403" i="6" s="1"/>
  <c r="Q3404" i="6"/>
  <c r="N3404" i="6"/>
  <c r="O3405" i="6"/>
  <c r="P3405" i="6" s="1"/>
  <c r="R3404" i="6" l="1"/>
  <c r="M3404" i="6" s="1"/>
  <c r="S3404" i="6" s="1"/>
  <c r="Q3405" i="6"/>
  <c r="O3406" i="6"/>
  <c r="P3406" i="6" s="1"/>
  <c r="N3405" i="6"/>
  <c r="R3405" i="6" l="1"/>
  <c r="M3405" i="6" s="1"/>
  <c r="S3405" i="6" s="1"/>
  <c r="Q3406" i="6"/>
  <c r="O3407" i="6"/>
  <c r="P3407" i="6" s="1"/>
  <c r="N3406" i="6"/>
  <c r="R3406" i="6" l="1"/>
  <c r="M3406" i="6" s="1"/>
  <c r="S3406" i="6" s="1"/>
  <c r="Q3407" i="6"/>
  <c r="O3408" i="6"/>
  <c r="P3408" i="6" s="1"/>
  <c r="N3407" i="6"/>
  <c r="R3407" i="6" l="1"/>
  <c r="M3407" i="6" s="1"/>
  <c r="S3407" i="6" s="1"/>
  <c r="Q3408" i="6"/>
  <c r="O3409" i="6"/>
  <c r="P3409" i="6" s="1"/>
  <c r="N3408" i="6"/>
  <c r="R3408" i="6" l="1"/>
  <c r="M3408" i="6" s="1"/>
  <c r="S3408" i="6" s="1"/>
  <c r="Q3409" i="6"/>
  <c r="N3409" i="6"/>
  <c r="O3410" i="6"/>
  <c r="P3410" i="6" s="1"/>
  <c r="R3409" i="6" l="1"/>
  <c r="M3409" i="6" s="1"/>
  <c r="S3409" i="6" s="1"/>
  <c r="Q3410" i="6"/>
  <c r="N3410" i="6"/>
  <c r="O3411" i="6"/>
  <c r="P3411" i="6" s="1"/>
  <c r="R3410" i="6" l="1"/>
  <c r="M3410" i="6" s="1"/>
  <c r="S3410" i="6" s="1"/>
  <c r="Q3411" i="6"/>
  <c r="O3412" i="6"/>
  <c r="P3412" i="6" s="1"/>
  <c r="N3411" i="6"/>
  <c r="R3411" i="6" l="1"/>
  <c r="M3411" i="6" s="1"/>
  <c r="S3411" i="6" s="1"/>
  <c r="Q3412" i="6"/>
  <c r="N3412" i="6"/>
  <c r="O3413" i="6"/>
  <c r="P3413" i="6" s="1"/>
  <c r="R3412" i="6" l="1"/>
  <c r="M3412" i="6" s="1"/>
  <c r="S3412" i="6" s="1"/>
  <c r="Q3413" i="6"/>
  <c r="O3414" i="6"/>
  <c r="P3414" i="6" s="1"/>
  <c r="N3413" i="6"/>
  <c r="R3413" i="6" l="1"/>
  <c r="M3413" i="6" s="1"/>
  <c r="S3413" i="6" s="1"/>
  <c r="Q3414" i="6"/>
  <c r="O3415" i="6"/>
  <c r="P3415" i="6" s="1"/>
  <c r="N3414" i="6"/>
  <c r="R3414" i="6" l="1"/>
  <c r="M3414" i="6" s="1"/>
  <c r="S3414" i="6" s="1"/>
  <c r="Q3415" i="6"/>
  <c r="O3416" i="6"/>
  <c r="P3416" i="6" s="1"/>
  <c r="N3415" i="6"/>
  <c r="R3415" i="6" l="1"/>
  <c r="M3415" i="6" s="1"/>
  <c r="S3415" i="6" s="1"/>
  <c r="Q3416" i="6"/>
  <c r="O3417" i="6"/>
  <c r="P3417" i="6" s="1"/>
  <c r="N3416" i="6"/>
  <c r="R3416" i="6" l="1"/>
  <c r="M3416" i="6" s="1"/>
  <c r="S3416" i="6" s="1"/>
  <c r="Q3417" i="6"/>
  <c r="N3417" i="6"/>
  <c r="O3418" i="6"/>
  <c r="P3418" i="6" s="1"/>
  <c r="R3417" i="6" l="1"/>
  <c r="M3417" i="6" s="1"/>
  <c r="S3417" i="6" s="1"/>
  <c r="Q3418" i="6"/>
  <c r="O3419" i="6"/>
  <c r="P3419" i="6" s="1"/>
  <c r="N3418" i="6"/>
  <c r="R3418" i="6" l="1"/>
  <c r="M3418" i="6" s="1"/>
  <c r="S3418" i="6" s="1"/>
  <c r="Q3419" i="6"/>
  <c r="N3419" i="6"/>
  <c r="O3420" i="6"/>
  <c r="P3420" i="6" s="1"/>
  <c r="R3419" i="6" l="1"/>
  <c r="M3419" i="6" s="1"/>
  <c r="S3419" i="6" s="1"/>
  <c r="Q3420" i="6"/>
  <c r="N3420" i="6"/>
  <c r="O3421" i="6"/>
  <c r="P3421" i="6" s="1"/>
  <c r="R3420" i="6" l="1"/>
  <c r="M3420" i="6" s="1"/>
  <c r="S3420" i="6" s="1"/>
  <c r="Q3421" i="6"/>
  <c r="O3422" i="6"/>
  <c r="P3422" i="6" s="1"/>
  <c r="N3421" i="6"/>
  <c r="R3421" i="6" l="1"/>
  <c r="M3421" i="6" s="1"/>
  <c r="S3421" i="6" s="1"/>
  <c r="Q3422" i="6"/>
  <c r="O3423" i="6"/>
  <c r="P3423" i="6" s="1"/>
  <c r="N3422" i="6"/>
  <c r="R3422" i="6" l="1"/>
  <c r="M3422" i="6" s="1"/>
  <c r="S3422" i="6" s="1"/>
  <c r="Q3423" i="6"/>
  <c r="O3424" i="6"/>
  <c r="P3424" i="6" s="1"/>
  <c r="N3423" i="6"/>
  <c r="R3423" i="6" l="1"/>
  <c r="M3423" i="6" s="1"/>
  <c r="S3423" i="6" s="1"/>
  <c r="Q3424" i="6"/>
  <c r="O3425" i="6"/>
  <c r="P3425" i="6" s="1"/>
  <c r="N3424" i="6"/>
  <c r="R3424" i="6" l="1"/>
  <c r="M3424" i="6" s="1"/>
  <c r="S3424" i="6" s="1"/>
  <c r="Q3425" i="6"/>
  <c r="N3425" i="6"/>
  <c r="O3426" i="6"/>
  <c r="P3426" i="6" s="1"/>
  <c r="R3425" i="6" l="1"/>
  <c r="M3425" i="6" s="1"/>
  <c r="S3425" i="6" s="1"/>
  <c r="Q3426" i="6"/>
  <c r="O3427" i="6"/>
  <c r="P3427" i="6" s="1"/>
  <c r="N3426" i="6"/>
  <c r="R3426" i="6" l="1"/>
  <c r="M3426" i="6" s="1"/>
  <c r="S3426" i="6" s="1"/>
  <c r="Q3427" i="6"/>
  <c r="N3427" i="6"/>
  <c r="O3428" i="6"/>
  <c r="P3428" i="6" s="1"/>
  <c r="R3427" i="6" l="1"/>
  <c r="M3427" i="6" s="1"/>
  <c r="S3427" i="6" s="1"/>
  <c r="Q3428" i="6"/>
  <c r="N3428" i="6"/>
  <c r="O3429" i="6"/>
  <c r="P3429" i="6" s="1"/>
  <c r="R3428" i="6" l="1"/>
  <c r="M3428" i="6" s="1"/>
  <c r="S3428" i="6" s="1"/>
  <c r="Q3429" i="6"/>
  <c r="O3430" i="6"/>
  <c r="P3430" i="6" s="1"/>
  <c r="N3429" i="6"/>
  <c r="R3429" i="6" l="1"/>
  <c r="M3429" i="6" s="1"/>
  <c r="S3429" i="6" s="1"/>
  <c r="Q3430" i="6"/>
  <c r="O3431" i="6"/>
  <c r="P3431" i="6" s="1"/>
  <c r="N3430" i="6"/>
  <c r="R3430" i="6" l="1"/>
  <c r="M3430" i="6" s="1"/>
  <c r="S3430" i="6" s="1"/>
  <c r="Q3431" i="6"/>
  <c r="O3432" i="6"/>
  <c r="P3432" i="6" s="1"/>
  <c r="N3431" i="6"/>
  <c r="R3431" i="6" l="1"/>
  <c r="M3431" i="6" s="1"/>
  <c r="S3431" i="6" s="1"/>
  <c r="Q3432" i="6"/>
  <c r="O3433" i="6"/>
  <c r="P3433" i="6" s="1"/>
  <c r="N3432" i="6"/>
  <c r="R3432" i="6" l="1"/>
  <c r="M3432" i="6" s="1"/>
  <c r="S3432" i="6" s="1"/>
  <c r="Q3433" i="6"/>
  <c r="N3433" i="6"/>
  <c r="O3434" i="6"/>
  <c r="P3434" i="6" s="1"/>
  <c r="R3433" i="6" l="1"/>
  <c r="M3433" i="6" s="1"/>
  <c r="S3433" i="6" s="1"/>
  <c r="Q3434" i="6"/>
  <c r="O3435" i="6"/>
  <c r="P3435" i="6" s="1"/>
  <c r="N3434" i="6"/>
  <c r="R3434" i="6" l="1"/>
  <c r="M3434" i="6" s="1"/>
  <c r="S3434" i="6" s="1"/>
  <c r="Q3435" i="6"/>
  <c r="N3435" i="6"/>
  <c r="O3436" i="6"/>
  <c r="P3436" i="6" s="1"/>
  <c r="R3435" i="6" l="1"/>
  <c r="M3435" i="6" s="1"/>
  <c r="S3435" i="6" s="1"/>
  <c r="Q3436" i="6"/>
  <c r="N3436" i="6"/>
  <c r="O3437" i="6"/>
  <c r="P3437" i="6" s="1"/>
  <c r="R3436" i="6" l="1"/>
  <c r="M3436" i="6" s="1"/>
  <c r="S3436" i="6" s="1"/>
  <c r="Q3437" i="6"/>
  <c r="O3438" i="6"/>
  <c r="P3438" i="6" s="1"/>
  <c r="N3437" i="6"/>
  <c r="R3437" i="6" l="1"/>
  <c r="M3437" i="6" s="1"/>
  <c r="S3437" i="6" s="1"/>
  <c r="Q3438" i="6"/>
  <c r="O3439" i="6"/>
  <c r="P3439" i="6" s="1"/>
  <c r="N3438" i="6"/>
  <c r="R3438" i="6" l="1"/>
  <c r="M3438" i="6" s="1"/>
  <c r="S3438" i="6" s="1"/>
  <c r="Q3439" i="6"/>
  <c r="O3440" i="6"/>
  <c r="P3440" i="6" s="1"/>
  <c r="N3439" i="6"/>
  <c r="R3439" i="6" l="1"/>
  <c r="M3439" i="6" s="1"/>
  <c r="S3439" i="6" s="1"/>
  <c r="Q3440" i="6"/>
  <c r="O3441" i="6"/>
  <c r="P3441" i="6" s="1"/>
  <c r="N3440" i="6"/>
  <c r="R3440" i="6" l="1"/>
  <c r="M3440" i="6" s="1"/>
  <c r="S3440" i="6" s="1"/>
  <c r="Q3441" i="6"/>
  <c r="N3441" i="6"/>
  <c r="O3442" i="6"/>
  <c r="P3442" i="6" s="1"/>
  <c r="R3441" i="6" l="1"/>
  <c r="M3441" i="6" s="1"/>
  <c r="S3441" i="6" s="1"/>
  <c r="Q3442" i="6"/>
  <c r="N3442" i="6"/>
  <c r="O3443" i="6"/>
  <c r="P3443" i="6" s="1"/>
  <c r="R3442" i="6" l="1"/>
  <c r="M3442" i="6" s="1"/>
  <c r="S3442" i="6" s="1"/>
  <c r="Q3443" i="6"/>
  <c r="O3444" i="6"/>
  <c r="P3444" i="6" s="1"/>
  <c r="N3443" i="6"/>
  <c r="R3443" i="6" l="1"/>
  <c r="M3443" i="6" s="1"/>
  <c r="S3443" i="6" s="1"/>
  <c r="Q3444" i="6"/>
  <c r="O3445" i="6"/>
  <c r="P3445" i="6" s="1"/>
  <c r="N3444" i="6"/>
  <c r="R3444" i="6" l="1"/>
  <c r="M3444" i="6" s="1"/>
  <c r="S3444" i="6" s="1"/>
  <c r="Q3445" i="6"/>
  <c r="O3446" i="6"/>
  <c r="P3446" i="6" s="1"/>
  <c r="N3445" i="6"/>
  <c r="R3445" i="6" l="1"/>
  <c r="M3445" i="6" s="1"/>
  <c r="S3445" i="6" s="1"/>
  <c r="Q3446" i="6"/>
  <c r="O3447" i="6"/>
  <c r="P3447" i="6" s="1"/>
  <c r="N3446" i="6"/>
  <c r="R3446" i="6" l="1"/>
  <c r="M3446" i="6" s="1"/>
  <c r="S3446" i="6" s="1"/>
  <c r="Q3447" i="6"/>
  <c r="N3447" i="6"/>
  <c r="O3448" i="6"/>
  <c r="P3448" i="6" s="1"/>
  <c r="R3447" i="6" l="1"/>
  <c r="M3447" i="6" s="1"/>
  <c r="S3447" i="6" s="1"/>
  <c r="Q3448" i="6"/>
  <c r="O3449" i="6"/>
  <c r="P3449" i="6" s="1"/>
  <c r="N3448" i="6"/>
  <c r="R3448" i="6" l="1"/>
  <c r="M3448" i="6" s="1"/>
  <c r="S3448" i="6" s="1"/>
  <c r="Q3449" i="6"/>
  <c r="N3449" i="6"/>
  <c r="O3450" i="6"/>
  <c r="P3450" i="6" s="1"/>
  <c r="R3449" i="6" l="1"/>
  <c r="M3449" i="6" s="1"/>
  <c r="S3449" i="6" s="1"/>
  <c r="Q3450" i="6"/>
  <c r="N3450" i="6"/>
  <c r="O3451" i="6"/>
  <c r="P3451" i="6" s="1"/>
  <c r="R3450" i="6" l="1"/>
  <c r="M3450" i="6" s="1"/>
  <c r="S3450" i="6" s="1"/>
  <c r="Q3451" i="6"/>
  <c r="O3452" i="6"/>
  <c r="P3452" i="6" s="1"/>
  <c r="N3451" i="6"/>
  <c r="R3451" i="6" l="1"/>
  <c r="M3451" i="6" s="1"/>
  <c r="S3451" i="6" s="1"/>
  <c r="Q3452" i="6"/>
  <c r="N3452" i="6"/>
  <c r="O3453" i="6"/>
  <c r="P3453" i="6" s="1"/>
  <c r="R3452" i="6" l="1"/>
  <c r="M3452" i="6" s="1"/>
  <c r="S3452" i="6" s="1"/>
  <c r="Q3453" i="6"/>
  <c r="O3454" i="6"/>
  <c r="P3454" i="6" s="1"/>
  <c r="N3453" i="6"/>
  <c r="R3453" i="6" l="1"/>
  <c r="M3453" i="6" s="1"/>
  <c r="S3453" i="6" s="1"/>
  <c r="Q3454" i="6"/>
  <c r="O3455" i="6"/>
  <c r="P3455" i="6" s="1"/>
  <c r="N3454" i="6"/>
  <c r="R3454" i="6" l="1"/>
  <c r="M3454" i="6" s="1"/>
  <c r="S3454" i="6" s="1"/>
  <c r="Q3455" i="6"/>
  <c r="O3456" i="6"/>
  <c r="P3456" i="6" s="1"/>
  <c r="N3455" i="6"/>
  <c r="R3455" i="6" l="1"/>
  <c r="M3455" i="6" s="1"/>
  <c r="S3455" i="6" s="1"/>
  <c r="Q3456" i="6"/>
  <c r="O3457" i="6"/>
  <c r="P3457" i="6" s="1"/>
  <c r="N3456" i="6"/>
  <c r="R3456" i="6" l="1"/>
  <c r="M3456" i="6" s="1"/>
  <c r="S3456" i="6" s="1"/>
  <c r="Q3457" i="6"/>
  <c r="N3457" i="6"/>
  <c r="O3458" i="6"/>
  <c r="P3458" i="6" s="1"/>
  <c r="R3457" i="6" l="1"/>
  <c r="M3457" i="6" s="1"/>
  <c r="S3457" i="6" s="1"/>
  <c r="Q3458" i="6"/>
  <c r="N3458" i="6"/>
  <c r="O3459" i="6"/>
  <c r="P3459" i="6" s="1"/>
  <c r="R3458" i="6" l="1"/>
  <c r="M3458" i="6" s="1"/>
  <c r="S3458" i="6" s="1"/>
  <c r="Q3459" i="6"/>
  <c r="N3459" i="6"/>
  <c r="O3460" i="6"/>
  <c r="P3460" i="6" s="1"/>
  <c r="R3459" i="6" l="1"/>
  <c r="M3459" i="6" s="1"/>
  <c r="S3459" i="6" s="1"/>
  <c r="Q3460" i="6"/>
  <c r="O3461" i="6"/>
  <c r="P3461" i="6" s="1"/>
  <c r="N3460" i="6"/>
  <c r="R3460" i="6" l="1"/>
  <c r="M3460" i="6" s="1"/>
  <c r="S3460" i="6" s="1"/>
  <c r="Q3461" i="6"/>
  <c r="O3462" i="6"/>
  <c r="P3462" i="6" s="1"/>
  <c r="N3461" i="6"/>
  <c r="R3461" i="6" l="1"/>
  <c r="M3461" i="6" s="1"/>
  <c r="S3461" i="6" s="1"/>
  <c r="Q3462" i="6"/>
  <c r="N3462" i="6"/>
  <c r="O3463" i="6"/>
  <c r="P3463" i="6" s="1"/>
  <c r="R3462" i="6" l="1"/>
  <c r="M3462" i="6" s="1"/>
  <c r="S3462" i="6" s="1"/>
  <c r="Q3463" i="6"/>
  <c r="O3464" i="6"/>
  <c r="P3464" i="6" s="1"/>
  <c r="N3463" i="6"/>
  <c r="R3463" i="6" l="1"/>
  <c r="M3463" i="6" s="1"/>
  <c r="S3463" i="6" s="1"/>
  <c r="Q3464" i="6"/>
  <c r="O3465" i="6"/>
  <c r="P3465" i="6" s="1"/>
  <c r="N3464" i="6"/>
  <c r="R3464" i="6" l="1"/>
  <c r="M3464" i="6" s="1"/>
  <c r="S3464" i="6" s="1"/>
  <c r="Q3465" i="6"/>
  <c r="N3465" i="6"/>
  <c r="O3466" i="6"/>
  <c r="P3466" i="6" s="1"/>
  <c r="R3465" i="6" l="1"/>
  <c r="M3465" i="6" s="1"/>
  <c r="S3465" i="6" s="1"/>
  <c r="Q3466" i="6"/>
  <c r="N3466" i="6"/>
  <c r="O3467" i="6"/>
  <c r="P3467" i="6" s="1"/>
  <c r="R3466" i="6" l="1"/>
  <c r="M3466" i="6" s="1"/>
  <c r="S3466" i="6" s="1"/>
  <c r="Q3467" i="6"/>
  <c r="N3467" i="6"/>
  <c r="O3468" i="6"/>
  <c r="P3468" i="6" s="1"/>
  <c r="R3467" i="6" l="1"/>
  <c r="M3467" i="6" s="1"/>
  <c r="S3467" i="6" s="1"/>
  <c r="Q3468" i="6"/>
  <c r="N3468" i="6"/>
  <c r="O3469" i="6"/>
  <c r="P3469" i="6" s="1"/>
  <c r="R3468" i="6" l="1"/>
  <c r="M3468" i="6" s="1"/>
  <c r="S3468" i="6" s="1"/>
  <c r="Q3469" i="6"/>
  <c r="O3470" i="6"/>
  <c r="P3470" i="6" s="1"/>
  <c r="N3469" i="6"/>
  <c r="R3469" i="6" l="1"/>
  <c r="M3469" i="6" s="1"/>
  <c r="S3469" i="6" s="1"/>
  <c r="Q3470" i="6"/>
  <c r="O3471" i="6"/>
  <c r="P3471" i="6" s="1"/>
  <c r="N3470" i="6"/>
  <c r="R3470" i="6" l="1"/>
  <c r="M3470" i="6" s="1"/>
  <c r="S3470" i="6" s="1"/>
  <c r="Q3471" i="6"/>
  <c r="O3472" i="6"/>
  <c r="P3472" i="6" s="1"/>
  <c r="N3471" i="6"/>
  <c r="R3471" i="6" l="1"/>
  <c r="M3471" i="6" s="1"/>
  <c r="S3471" i="6" s="1"/>
  <c r="Q3472" i="6"/>
  <c r="O3473" i="6"/>
  <c r="P3473" i="6" s="1"/>
  <c r="N3472" i="6"/>
  <c r="R3472" i="6" l="1"/>
  <c r="M3472" i="6" s="1"/>
  <c r="S3472" i="6" s="1"/>
  <c r="Q3473" i="6"/>
  <c r="N3473" i="6"/>
  <c r="O3474" i="6"/>
  <c r="P3474" i="6" s="1"/>
  <c r="R3473" i="6" l="1"/>
  <c r="M3473" i="6" s="1"/>
  <c r="S3473" i="6" s="1"/>
  <c r="Q3474" i="6"/>
  <c r="N3474" i="6"/>
  <c r="O3475" i="6"/>
  <c r="P3475" i="6" s="1"/>
  <c r="R3474" i="6" l="1"/>
  <c r="M3474" i="6" s="1"/>
  <c r="S3474" i="6" s="1"/>
  <c r="Q3475" i="6"/>
  <c r="N3475" i="6"/>
  <c r="O3476" i="6"/>
  <c r="P3476" i="6" s="1"/>
  <c r="R3475" i="6" l="1"/>
  <c r="M3475" i="6" s="1"/>
  <c r="S3475" i="6" s="1"/>
  <c r="Q3476" i="6"/>
  <c r="O3477" i="6"/>
  <c r="P3477" i="6" s="1"/>
  <c r="N3476" i="6"/>
  <c r="R3476" i="6" l="1"/>
  <c r="M3476" i="6" s="1"/>
  <c r="S3476" i="6" s="1"/>
  <c r="Q3477" i="6"/>
  <c r="N3477" i="6"/>
  <c r="R3477" i="6" l="1"/>
  <c r="M3477" i="6" s="1"/>
  <c r="S3477" i="6" l="1"/>
  <c r="V28" i="7" l="1"/>
  <c r="T28" i="7"/>
  <c r="U28" i="7"/>
  <c r="T25" i="7" s="1"/>
  <c r="W28" i="7" l="1"/>
  <c r="G5" i="6"/>
  <c r="H5" i="6" l="1"/>
  <c r="F6" i="6" s="1"/>
  <c r="L12" i="5"/>
  <c r="AF5" i="6"/>
  <c r="D6" i="6" l="1"/>
  <c r="G6" i="6"/>
  <c r="L13" i="5" s="1"/>
  <c r="E6" i="6"/>
  <c r="I6" i="6"/>
  <c r="H6" i="6" l="1"/>
  <c r="F7" i="6" s="1"/>
  <c r="AE6" i="6"/>
  <c r="AF6" i="6"/>
  <c r="D7" i="6" l="1"/>
  <c r="G7" i="6"/>
  <c r="L14" i="5" s="1"/>
  <c r="I7" i="6"/>
  <c r="E7" i="6"/>
  <c r="AF7" i="6" l="1"/>
  <c r="H7" i="6"/>
  <c r="F8" i="6" s="1"/>
  <c r="AE7" i="6"/>
  <c r="D8" i="6" l="1"/>
  <c r="G8" i="6"/>
  <c r="AF8" i="6" s="1"/>
  <c r="I8" i="6"/>
  <c r="E8" i="6"/>
  <c r="H8" i="6" l="1"/>
  <c r="E9" i="6" s="1"/>
  <c r="AE8" i="6"/>
  <c r="L15" i="5"/>
  <c r="I9" i="6"/>
  <c r="F9" i="6"/>
  <c r="D9" i="6" l="1"/>
  <c r="G9" i="6"/>
  <c r="AF9" i="6" s="1"/>
  <c r="AE9" i="6" l="1"/>
  <c r="L16" i="5"/>
  <c r="H9" i="6"/>
  <c r="D10" i="6" s="1"/>
  <c r="G10" i="6" l="1"/>
  <c r="AF10" i="6" s="1"/>
  <c r="E10" i="6"/>
  <c r="F10" i="6"/>
  <c r="I10" i="6"/>
  <c r="L17" i="5" l="1"/>
  <c r="H10" i="6"/>
  <c r="I11" i="6" s="1"/>
  <c r="AE10" i="6"/>
  <c r="F11" i="6" l="1"/>
  <c r="G11" i="6"/>
  <c r="AF11" i="6" s="1"/>
  <c r="E11" i="6"/>
  <c r="D11" i="6"/>
  <c r="H11" i="6" l="1"/>
  <c r="G12" i="6" s="1"/>
  <c r="AF12" i="6" s="1"/>
  <c r="AE11" i="6"/>
  <c r="L18" i="5"/>
  <c r="D12" i="6" l="1"/>
  <c r="E12" i="6"/>
  <c r="I12" i="6"/>
  <c r="F12" i="6"/>
  <c r="L19" i="5"/>
  <c r="H12" i="6"/>
  <c r="E13" i="6" s="1"/>
  <c r="AE12" i="6"/>
  <c r="D13" i="6" l="1"/>
  <c r="G13" i="6"/>
  <c r="AF13" i="6" s="1"/>
  <c r="I13" i="6"/>
  <c r="F13" i="6"/>
  <c r="H13" i="6" l="1"/>
  <c r="F14" i="6" s="1"/>
  <c r="L20" i="5"/>
  <c r="AE13" i="6"/>
  <c r="G14" i="6" l="1"/>
  <c r="AF14" i="6" s="1"/>
  <c r="E14" i="6"/>
  <c r="D14" i="6"/>
  <c r="I14" i="6"/>
  <c r="H14" i="6" l="1"/>
  <c r="AE14" i="6"/>
  <c r="L21" i="5"/>
  <c r="F15" i="6"/>
  <c r="I15" i="6"/>
  <c r="D15" i="6"/>
  <c r="G15" i="6"/>
  <c r="E15" i="6"/>
  <c r="AF15" i="6" l="1"/>
  <c r="L22" i="5"/>
  <c r="H15" i="6"/>
  <c r="F16" i="6" s="1"/>
  <c r="AE15" i="6"/>
  <c r="D16" i="6" l="1"/>
  <c r="E16" i="6"/>
  <c r="I16" i="6"/>
  <c r="G16" i="6"/>
  <c r="AF16" i="6" l="1"/>
  <c r="L23" i="5"/>
  <c r="H16" i="6"/>
  <c r="D17" i="6" s="1"/>
  <c r="AE16" i="6"/>
  <c r="F17" i="6" l="1"/>
  <c r="I17" i="6"/>
  <c r="G17" i="6"/>
  <c r="E17" i="6"/>
  <c r="AF17" i="6" l="1"/>
  <c r="L24" i="5"/>
  <c r="H17" i="6"/>
  <c r="F18" i="6" s="1"/>
  <c r="AE17" i="6"/>
  <c r="G18" i="6" l="1"/>
  <c r="E18" i="6"/>
  <c r="D18" i="6"/>
  <c r="I18" i="6"/>
  <c r="AF18" i="6" l="1"/>
  <c r="L25" i="5"/>
  <c r="H18" i="6"/>
  <c r="G19" i="6" s="1"/>
  <c r="AE18" i="6"/>
  <c r="AF19" i="6" l="1"/>
  <c r="L26" i="5"/>
  <c r="I19" i="6"/>
  <c r="F19" i="6"/>
  <c r="E19" i="6"/>
  <c r="D19" i="6"/>
  <c r="H19" i="6" s="1"/>
  <c r="F20" i="6" s="1"/>
  <c r="AE19" i="6"/>
  <c r="G20" i="6" l="1"/>
  <c r="I20" i="6"/>
  <c r="E20" i="6"/>
  <c r="D20" i="6"/>
  <c r="AF20" i="6" l="1"/>
  <c r="L27" i="5"/>
  <c r="H20" i="6"/>
  <c r="G21" i="6" s="1"/>
  <c r="AE20" i="6"/>
  <c r="AF21" i="6" l="1"/>
  <c r="L28" i="5"/>
  <c r="I21" i="6"/>
  <c r="E21" i="6"/>
  <c r="D21" i="6"/>
  <c r="H21" i="6" s="1"/>
  <c r="G22" i="6" s="1"/>
  <c r="F21" i="6"/>
  <c r="AE21" i="6"/>
  <c r="AF22" i="6" l="1"/>
  <c r="L29" i="5"/>
  <c r="E22" i="6"/>
  <c r="F22" i="6"/>
  <c r="AE22" i="6"/>
  <c r="D22" i="6"/>
  <c r="H22" i="6" s="1"/>
  <c r="I23" i="6" s="1"/>
  <c r="I22" i="6"/>
  <c r="F23" i="6" l="1"/>
  <c r="E23" i="6"/>
  <c r="D23" i="6"/>
  <c r="G23" i="6"/>
  <c r="AF23" i="6" l="1"/>
  <c r="L30" i="5"/>
  <c r="H23" i="6"/>
  <c r="G24" i="6" s="1"/>
  <c r="AE23" i="6"/>
  <c r="AF24" i="6" l="1"/>
  <c r="L31" i="5"/>
  <c r="E24" i="6"/>
  <c r="I24" i="6"/>
  <c r="F24" i="6"/>
  <c r="AE24" i="6"/>
  <c r="D24" i="6"/>
  <c r="H24" i="6" s="1"/>
  <c r="I25" i="6" s="1"/>
  <c r="D25" i="6" l="1"/>
  <c r="G25" i="6"/>
  <c r="F25" i="6"/>
  <c r="E25" i="6"/>
  <c r="AF25" i="6" l="1"/>
  <c r="L32" i="5"/>
  <c r="H25" i="6"/>
  <c r="G26" i="6" s="1"/>
  <c r="AE25" i="6"/>
  <c r="AF26" i="6" l="1"/>
  <c r="L33" i="5"/>
  <c r="I26" i="6"/>
  <c r="E26" i="6"/>
  <c r="F26" i="6"/>
  <c r="D26" i="6"/>
  <c r="H26" i="6" s="1"/>
  <c r="AE26" i="6"/>
  <c r="F27" i="6" l="1"/>
  <c r="D27" i="6"/>
  <c r="G27" i="6"/>
  <c r="E27" i="6"/>
  <c r="I27" i="6"/>
  <c r="AF27" i="6" l="1"/>
  <c r="L34" i="5"/>
  <c r="H27" i="6"/>
  <c r="I28" i="6" s="1"/>
  <c r="AE27" i="6"/>
  <c r="G28" i="6" l="1"/>
  <c r="E28" i="6"/>
  <c r="D28" i="6"/>
  <c r="F28" i="6"/>
  <c r="AF28" i="6" l="1"/>
  <c r="L35" i="5"/>
  <c r="AE28" i="6"/>
  <c r="H28" i="6"/>
  <c r="E29" i="6" s="1"/>
  <c r="I29" i="6" l="1"/>
  <c r="D29" i="6"/>
  <c r="G29" i="6"/>
  <c r="F29" i="6"/>
  <c r="AF29" i="6" l="1"/>
  <c r="L36" i="5"/>
  <c r="H29" i="6"/>
  <c r="F30" i="6" s="1"/>
  <c r="AE29" i="6"/>
  <c r="I30" i="6" l="1"/>
  <c r="E30" i="6"/>
  <c r="D30" i="6"/>
  <c r="G30" i="6"/>
  <c r="AF30" i="6" l="1"/>
  <c r="L37" i="5"/>
  <c r="AE30" i="6"/>
  <c r="H30" i="6"/>
  <c r="G31" i="6" l="1"/>
  <c r="E31" i="6"/>
  <c r="F31" i="6"/>
  <c r="I31" i="6"/>
  <c r="D31" i="6"/>
  <c r="AF31" i="6" l="1"/>
  <c r="L38" i="5"/>
  <c r="H31" i="6"/>
  <c r="G32" i="6" s="1"/>
  <c r="AE31" i="6"/>
  <c r="AF32" i="6" l="1"/>
  <c r="L39" i="5"/>
  <c r="D32" i="6"/>
  <c r="H32" i="6" s="1"/>
  <c r="D33" i="6" s="1"/>
  <c r="E32" i="6"/>
  <c r="I32" i="6"/>
  <c r="AE32" i="6"/>
  <c r="F32" i="6"/>
  <c r="G33" i="6" l="1"/>
  <c r="F33" i="6"/>
  <c r="I33" i="6"/>
  <c r="E33" i="6"/>
  <c r="AF33" i="6" l="1"/>
  <c r="L40" i="5"/>
  <c r="AE33" i="6"/>
  <c r="H33" i="6"/>
  <c r="E34" i="6" s="1"/>
  <c r="F34" i="6" l="1"/>
  <c r="I34" i="6"/>
  <c r="G34" i="6"/>
  <c r="D34" i="6"/>
  <c r="AF34" i="6" l="1"/>
  <c r="L41" i="5"/>
  <c r="H34" i="6"/>
  <c r="AE34" i="6"/>
  <c r="I35" i="6" l="1"/>
  <c r="G35" i="6"/>
  <c r="D35" i="6"/>
  <c r="F35" i="6"/>
  <c r="E35" i="6"/>
  <c r="AF35" i="6" l="1"/>
  <c r="L42" i="5"/>
  <c r="H35" i="6"/>
  <c r="I36" i="6" s="1"/>
  <c r="AE35" i="6"/>
  <c r="D36" i="6" l="1"/>
  <c r="G36" i="6"/>
  <c r="F36" i="6"/>
  <c r="E36" i="6"/>
  <c r="AF36" i="6" l="1"/>
  <c r="L43" i="5"/>
  <c r="AE36" i="6"/>
  <c r="H36" i="6"/>
  <c r="D37" i="6" s="1"/>
  <c r="F37" i="6" l="1"/>
  <c r="G37" i="6"/>
  <c r="I37" i="6"/>
  <c r="E37" i="6"/>
  <c r="AF37" i="6" l="1"/>
  <c r="L44" i="5"/>
  <c r="AE37" i="6"/>
  <c r="H37" i="6"/>
  <c r="G38" i="6" s="1"/>
  <c r="AF38" i="6" l="1"/>
  <c r="L45" i="5"/>
  <c r="I38" i="6"/>
  <c r="E38" i="6"/>
  <c r="F38" i="6"/>
  <c r="D38" i="6"/>
  <c r="H38" i="6" s="1"/>
  <c r="AE38" i="6"/>
  <c r="I39" i="6" l="1"/>
  <c r="G39" i="6"/>
  <c r="D39" i="6"/>
  <c r="F39" i="6"/>
  <c r="E39" i="6"/>
  <c r="AF39" i="6" l="1"/>
  <c r="L46" i="5"/>
  <c r="H39" i="6"/>
  <c r="F40" i="6" s="1"/>
  <c r="AE39" i="6"/>
  <c r="D40" i="6" l="1"/>
  <c r="E40" i="6"/>
  <c r="G40" i="6"/>
  <c r="I40" i="6"/>
  <c r="AF40" i="6" l="1"/>
  <c r="L47" i="5"/>
  <c r="AE40" i="6"/>
  <c r="H40" i="6"/>
  <c r="I41" i="6" s="1"/>
  <c r="F41" i="6" l="1"/>
  <c r="E41" i="6"/>
  <c r="G41" i="6"/>
  <c r="D41" i="6"/>
  <c r="AF41" i="6" l="1"/>
  <c r="L48" i="5"/>
  <c r="H41" i="6"/>
  <c r="G42" i="6" s="1"/>
  <c r="AE41" i="6"/>
  <c r="AF42" i="6" l="1"/>
  <c r="L49" i="5"/>
  <c r="E42" i="6"/>
  <c r="D42" i="6"/>
  <c r="H42" i="6" s="1"/>
  <c r="I42" i="6"/>
  <c r="F42" i="6"/>
  <c r="AE42" i="6"/>
  <c r="E43" i="6" l="1"/>
  <c r="G43" i="6"/>
  <c r="I43" i="6"/>
  <c r="D43" i="6"/>
  <c r="F43" i="6"/>
  <c r="AF43" i="6" l="1"/>
  <c r="L50" i="5"/>
  <c r="H43" i="6"/>
  <c r="D44" i="6" s="1"/>
  <c r="AE43" i="6"/>
  <c r="F44" i="6" l="1"/>
  <c r="G44" i="6"/>
  <c r="I44" i="6"/>
  <c r="E44" i="6"/>
  <c r="AF44" i="6" l="1"/>
  <c r="L51" i="5"/>
  <c r="AE44" i="6"/>
  <c r="H44" i="6"/>
  <c r="E45" i="6" s="1"/>
  <c r="G45" i="6" l="1"/>
  <c r="D45" i="6"/>
  <c r="F45" i="6"/>
  <c r="I45" i="6"/>
  <c r="AF45" i="6" l="1"/>
  <c r="L52" i="5"/>
  <c r="H45" i="6"/>
  <c r="F46" i="6" s="1"/>
  <c r="AE45" i="6"/>
  <c r="I46" i="6" l="1"/>
  <c r="G46" i="6"/>
  <c r="D46" i="6"/>
  <c r="E46" i="6"/>
  <c r="AF46" i="6" l="1"/>
  <c r="L53" i="5"/>
  <c r="H46" i="6"/>
  <c r="F47" i="6" s="1"/>
  <c r="AE46" i="6"/>
  <c r="I47" i="6" l="1"/>
  <c r="D47" i="6"/>
  <c r="G47" i="6"/>
  <c r="E47" i="6"/>
  <c r="AF47" i="6" l="1"/>
  <c r="L54" i="5"/>
  <c r="H47" i="6"/>
  <c r="I48" i="6" s="1"/>
  <c r="AE47" i="6"/>
  <c r="D48" i="6" l="1"/>
  <c r="F48" i="6"/>
  <c r="E48" i="6"/>
  <c r="G48" i="6"/>
  <c r="AF48" i="6" l="1"/>
  <c r="L55" i="5"/>
  <c r="AE48" i="6"/>
  <c r="H48" i="6"/>
  <c r="F49" i="6" l="1"/>
  <c r="G49" i="6"/>
  <c r="I49" i="6"/>
  <c r="E49" i="6"/>
  <c r="D49" i="6"/>
  <c r="AF49" i="6" l="1"/>
  <c r="L56" i="5"/>
  <c r="H49" i="6"/>
  <c r="AE49" i="6"/>
  <c r="G50" i="6" l="1"/>
  <c r="E50" i="6"/>
  <c r="D50" i="6"/>
  <c r="F50" i="6"/>
  <c r="I50" i="6"/>
  <c r="AF50" i="6" l="1"/>
  <c r="L57" i="5"/>
  <c r="H50" i="6"/>
  <c r="I51" i="6" s="1"/>
  <c r="AE50" i="6"/>
  <c r="D51" i="6" l="1"/>
  <c r="G51" i="6"/>
  <c r="E51" i="6"/>
  <c r="F51" i="6"/>
  <c r="AF51" i="6" l="1"/>
  <c r="L58" i="5"/>
  <c r="H51" i="6"/>
  <c r="I52" i="6" s="1"/>
  <c r="AE51" i="6"/>
  <c r="E52" i="6" l="1"/>
  <c r="D52" i="6"/>
  <c r="F52" i="6"/>
  <c r="G52" i="6"/>
  <c r="AF52" i="6" l="1"/>
  <c r="L59" i="5"/>
  <c r="AE52" i="6"/>
  <c r="H52" i="6"/>
  <c r="E53" i="6" s="1"/>
  <c r="I53" i="6" l="1"/>
  <c r="G53" i="6"/>
  <c r="D53" i="6"/>
  <c r="F53" i="6"/>
  <c r="AF53" i="6" l="1"/>
  <c r="L60" i="5"/>
  <c r="H53" i="6"/>
  <c r="F54" i="6" s="1"/>
  <c r="AE53" i="6"/>
  <c r="G54" i="6" l="1"/>
  <c r="E54" i="6"/>
  <c r="D54" i="6"/>
  <c r="I54" i="6"/>
  <c r="AF54" i="6" l="1"/>
  <c r="L61" i="5"/>
  <c r="H54" i="6"/>
  <c r="E55" i="6" s="1"/>
  <c r="AE54" i="6"/>
  <c r="D55" i="6" l="1"/>
  <c r="F55" i="6"/>
  <c r="G55" i="6"/>
  <c r="I55" i="6"/>
  <c r="AF55" i="6" l="1"/>
  <c r="L62" i="5"/>
  <c r="AE55" i="6"/>
  <c r="H55" i="6"/>
  <c r="D56" i="6" s="1"/>
  <c r="G56" i="6" l="1"/>
  <c r="E56" i="6"/>
  <c r="F56" i="6"/>
  <c r="I56" i="6"/>
  <c r="AF56" i="6" l="1"/>
  <c r="L63" i="5"/>
  <c r="H56" i="6"/>
  <c r="D57" i="6" s="1"/>
  <c r="AE56" i="6"/>
  <c r="F57" i="6" l="1"/>
  <c r="I57" i="6"/>
  <c r="G57" i="6"/>
  <c r="E57" i="6"/>
  <c r="AF57" i="6" l="1"/>
  <c r="L64" i="5"/>
  <c r="H57" i="6"/>
  <c r="G58" i="6" s="1"/>
  <c r="AE57" i="6"/>
  <c r="AF58" i="6" l="1"/>
  <c r="L65" i="5"/>
  <c r="D58" i="6"/>
  <c r="H58" i="6" s="1"/>
  <c r="E58" i="6"/>
  <c r="F58" i="6"/>
  <c r="AE58" i="6"/>
  <c r="I58" i="6"/>
  <c r="D59" i="6" l="1"/>
  <c r="I59" i="6"/>
  <c r="E59" i="6"/>
  <c r="F59" i="6"/>
  <c r="G59" i="6"/>
  <c r="AF59" i="6" l="1"/>
  <c r="L66" i="5"/>
  <c r="H59" i="6"/>
  <c r="E60" i="6" s="1"/>
  <c r="AE59" i="6"/>
  <c r="I60" i="6" l="1"/>
  <c r="D60" i="6"/>
  <c r="G60" i="6"/>
  <c r="F60" i="6"/>
  <c r="AF60" i="6" l="1"/>
  <c r="L67" i="5"/>
  <c r="AE60" i="6"/>
  <c r="H60" i="6"/>
  <c r="E61" i="6" s="1"/>
  <c r="I61" i="6" l="1"/>
  <c r="D61" i="6"/>
  <c r="F61" i="6"/>
  <c r="G61" i="6"/>
  <c r="AF61" i="6" l="1"/>
  <c r="L68" i="5"/>
  <c r="AE61" i="6"/>
  <c r="H61" i="6"/>
  <c r="D62" i="6" s="1"/>
  <c r="F62" i="6" l="1"/>
  <c r="E62" i="6"/>
  <c r="I62" i="6"/>
  <c r="G62" i="6"/>
  <c r="AF62" i="6" l="1"/>
  <c r="L69" i="5"/>
  <c r="H62" i="6"/>
  <c r="G63" i="6" s="1"/>
  <c r="AE62" i="6"/>
  <c r="AF63" i="6" l="1"/>
  <c r="L70" i="5"/>
  <c r="I63" i="6"/>
  <c r="E63" i="6"/>
  <c r="D63" i="6"/>
  <c r="H63" i="6" s="1"/>
  <c r="F63" i="6"/>
  <c r="AE63" i="6"/>
  <c r="D64" i="6" l="1"/>
  <c r="E64" i="6"/>
  <c r="I64" i="6"/>
  <c r="G64" i="6"/>
  <c r="L71" i="5" s="1"/>
  <c r="F64" i="6"/>
  <c r="H64" i="6" l="1"/>
  <c r="AF64" i="6"/>
  <c r="AE64" i="6"/>
  <c r="F65" i="6" l="1"/>
  <c r="I65" i="6"/>
  <c r="D65" i="6"/>
  <c r="G65" i="6"/>
  <c r="E65" i="6"/>
  <c r="AF65" i="6" l="1"/>
  <c r="L72" i="5"/>
  <c r="H65" i="6"/>
  <c r="E66" i="6" s="1"/>
  <c r="AE65" i="6"/>
  <c r="I66" i="6" l="1"/>
  <c r="D66" i="6"/>
  <c r="G66" i="6"/>
  <c r="F66" i="6"/>
  <c r="AF66" i="6" l="1"/>
  <c r="L73" i="5"/>
  <c r="H66" i="6"/>
  <c r="D67" i="6" s="1"/>
  <c r="AE66" i="6"/>
  <c r="F67" i="6" l="1"/>
  <c r="G67" i="6"/>
  <c r="I67" i="6"/>
  <c r="E67" i="6"/>
  <c r="AF67" i="6" l="1"/>
  <c r="L74" i="5"/>
  <c r="H67" i="6"/>
  <c r="D68" i="6" s="1"/>
  <c r="AE67" i="6"/>
  <c r="E68" i="6" l="1"/>
  <c r="I68" i="6"/>
  <c r="F68" i="6"/>
  <c r="G68" i="6"/>
  <c r="AF68" i="6" l="1"/>
  <c r="L75" i="5"/>
  <c r="AE68" i="6"/>
  <c r="H68" i="6"/>
  <c r="D69" i="6" s="1"/>
  <c r="G69" i="6" l="1"/>
  <c r="I69" i="6"/>
  <c r="F69" i="6"/>
  <c r="E69" i="6"/>
  <c r="AF69" i="6" l="1"/>
  <c r="L76" i="5"/>
  <c r="H69" i="6"/>
  <c r="D70" i="6" s="1"/>
  <c r="AE69" i="6"/>
  <c r="G70" i="6" l="1"/>
  <c r="L77" i="5" s="1"/>
  <c r="E70" i="6"/>
  <c r="I70" i="6"/>
  <c r="F70" i="6"/>
  <c r="AF70" i="6" l="1"/>
  <c r="AE70" i="6"/>
  <c r="H70" i="6"/>
  <c r="F71" i="6" l="1"/>
  <c r="E71" i="6"/>
  <c r="I71" i="6"/>
  <c r="D71" i="6"/>
  <c r="G71" i="6"/>
  <c r="AF71" i="6" l="1"/>
  <c r="L78" i="5"/>
  <c r="H71" i="6"/>
  <c r="G72" i="6" s="1"/>
  <c r="AE71" i="6"/>
  <c r="AF72" i="6" l="1"/>
  <c r="L79" i="5"/>
  <c r="F72" i="6"/>
  <c r="D72" i="6"/>
  <c r="H72" i="6" s="1"/>
  <c r="I72" i="6"/>
  <c r="AE72" i="6"/>
  <c r="E72" i="6"/>
  <c r="E73" i="6" l="1"/>
  <c r="G73" i="6"/>
  <c r="I73" i="6"/>
  <c r="F73" i="6"/>
  <c r="D73" i="6"/>
  <c r="AF73" i="6" l="1"/>
  <c r="L80" i="5"/>
  <c r="H73" i="6"/>
  <c r="F74" i="6" s="1"/>
  <c r="AE73" i="6"/>
  <c r="E74" i="6" l="1"/>
  <c r="D74" i="6"/>
  <c r="I74" i="6"/>
  <c r="G74" i="6"/>
  <c r="AF74" i="6" l="1"/>
  <c r="L81" i="5"/>
  <c r="AE74" i="6"/>
  <c r="H74" i="6"/>
  <c r="I75" i="6" l="1"/>
  <c r="E75" i="6"/>
  <c r="D75" i="6"/>
  <c r="G75" i="6"/>
  <c r="F75" i="6"/>
  <c r="AF75" i="6" l="1"/>
  <c r="L82" i="5"/>
  <c r="H75" i="6"/>
  <c r="G76" i="6" s="1"/>
  <c r="AE75" i="6"/>
  <c r="AF76" i="6" l="1"/>
  <c r="L83" i="5"/>
  <c r="D76" i="6"/>
  <c r="H76" i="6" s="1"/>
  <c r="D77" i="6" s="1"/>
  <c r="F76" i="6"/>
  <c r="I76" i="6"/>
  <c r="AE76" i="6"/>
  <c r="E76" i="6"/>
  <c r="F77" i="6" l="1"/>
  <c r="E77" i="6"/>
  <c r="I77" i="6"/>
  <c r="G77" i="6"/>
  <c r="AF77" i="6" l="1"/>
  <c r="L84" i="5"/>
  <c r="AE77" i="6"/>
  <c r="H77" i="6"/>
  <c r="F78" i="6" s="1"/>
  <c r="G78" i="6" l="1"/>
  <c r="I78" i="6"/>
  <c r="E78" i="6"/>
  <c r="D78" i="6"/>
  <c r="AF78" i="6" l="1"/>
  <c r="L85" i="5"/>
  <c r="H78" i="6"/>
  <c r="D79" i="6" s="1"/>
  <c r="AE78" i="6"/>
  <c r="E79" i="6" l="1"/>
  <c r="G79" i="6"/>
  <c r="F79" i="6"/>
  <c r="I79" i="6"/>
  <c r="AF79" i="6" l="1"/>
  <c r="L86" i="5"/>
  <c r="H79" i="6"/>
  <c r="D80" i="6" s="1"/>
  <c r="AE79" i="6"/>
  <c r="I80" i="6" l="1"/>
  <c r="G80" i="6"/>
  <c r="AF80" i="6" s="1"/>
  <c r="F80" i="6"/>
  <c r="E80" i="6"/>
  <c r="AE80" i="6" l="1"/>
  <c r="H80" i="6"/>
  <c r="F81" i="6" s="1"/>
  <c r="G81" i="6" l="1"/>
  <c r="AF81" i="6" s="1"/>
  <c r="E81" i="6"/>
  <c r="D81" i="6"/>
  <c r="I81" i="6"/>
  <c r="AE81" i="6" l="1"/>
  <c r="H81" i="6"/>
  <c r="I82" i="6" s="1"/>
  <c r="E82" i="6" l="1"/>
  <c r="G82" i="6"/>
  <c r="AF82" i="6" s="1"/>
  <c r="F82" i="6"/>
  <c r="D82" i="6"/>
  <c r="H82" i="6" l="1"/>
  <c r="E83" i="6" s="1"/>
  <c r="AE82" i="6"/>
  <c r="F83" i="6" l="1"/>
  <c r="D83" i="6"/>
  <c r="G83" i="6"/>
  <c r="AF83" i="6" s="1"/>
  <c r="I83" i="6"/>
  <c r="H83" i="6" l="1"/>
  <c r="F84" i="6" s="1"/>
  <c r="AE83" i="6"/>
  <c r="D84" i="6" l="1"/>
  <c r="I84" i="6"/>
  <c r="E84" i="6"/>
  <c r="G84" i="6"/>
  <c r="AE84" i="6" s="1"/>
  <c r="AF84" i="6" l="1"/>
  <c r="H84" i="6"/>
  <c r="D85" i="6" s="1"/>
  <c r="I85" i="6" l="1"/>
  <c r="G85" i="6"/>
  <c r="AF85" i="6" s="1"/>
  <c r="F85" i="6"/>
  <c r="E85" i="6"/>
  <c r="AE85" i="6" l="1"/>
  <c r="H85" i="6"/>
  <c r="I86" i="6" s="1"/>
  <c r="G86" i="6" l="1"/>
  <c r="AF86" i="6" s="1"/>
  <c r="E86" i="6"/>
  <c r="D86" i="6"/>
  <c r="F86" i="6"/>
  <c r="H86" i="6" l="1"/>
  <c r="I87" i="6" s="1"/>
  <c r="AE86" i="6"/>
  <c r="F87" i="6" l="1"/>
  <c r="E87" i="6"/>
  <c r="G87" i="6"/>
  <c r="AF87" i="6" s="1"/>
  <c r="D87" i="6"/>
  <c r="H87" i="6" l="1"/>
  <c r="I88" i="6" s="1"/>
  <c r="AE87" i="6"/>
  <c r="D88" i="6" l="1"/>
  <c r="E88" i="6"/>
  <c r="F88" i="6"/>
  <c r="G88" i="6"/>
  <c r="AF88" i="6" s="1"/>
  <c r="AE88" i="6" l="1"/>
  <c r="H88" i="6"/>
  <c r="I89" i="6" s="1"/>
  <c r="G89" i="6" l="1"/>
  <c r="AF89" i="6" s="1"/>
  <c r="D89" i="6"/>
  <c r="F89" i="6"/>
  <c r="E89" i="6"/>
  <c r="H89" i="6" l="1"/>
  <c r="E90" i="6" s="1"/>
  <c r="AE89" i="6"/>
  <c r="D90" i="6" l="1"/>
  <c r="F90" i="6"/>
  <c r="G90" i="6"/>
  <c r="AF90" i="6" s="1"/>
  <c r="I90" i="6"/>
  <c r="AE90" i="6" l="1"/>
  <c r="H90" i="6"/>
  <c r="G91" i="6" s="1"/>
  <c r="AF91" i="6" s="1"/>
  <c r="I91" i="6" l="1"/>
  <c r="D91" i="6"/>
  <c r="H91" i="6" s="1"/>
  <c r="AE91" i="6"/>
  <c r="F91" i="6"/>
  <c r="E91" i="6"/>
  <c r="D92" i="6" l="1"/>
  <c r="E92" i="6"/>
  <c r="I92" i="6"/>
  <c r="G92" i="6"/>
  <c r="AF92" i="6" s="1"/>
  <c r="F92" i="6"/>
  <c r="H92" i="6" l="1"/>
  <c r="E93" i="6" s="1"/>
  <c r="AE92" i="6"/>
  <c r="I93" i="6" l="1"/>
  <c r="F93" i="6"/>
  <c r="G93" i="6"/>
  <c r="AF93" i="6" s="1"/>
  <c r="D93" i="6"/>
  <c r="H93" i="6" l="1"/>
  <c r="G94" i="6" s="1"/>
  <c r="AF94" i="6" s="1"/>
  <c r="AE93" i="6"/>
  <c r="AE94" i="6" l="1"/>
  <c r="D94" i="6"/>
  <c r="H94" i="6" s="1"/>
  <c r="F95" i="6" s="1"/>
  <c r="E94" i="6"/>
  <c r="I94" i="6"/>
  <c r="F94" i="6"/>
  <c r="I95" i="6" l="1"/>
  <c r="D95" i="6"/>
  <c r="G95" i="6"/>
  <c r="AE95" i="6" s="1"/>
  <c r="E95" i="6"/>
  <c r="H95" i="6" l="1"/>
  <c r="F96" i="6" s="1"/>
  <c r="AF95" i="6"/>
  <c r="E96" i="6" l="1"/>
  <c r="D96" i="6"/>
  <c r="G96" i="6"/>
  <c r="I96" i="6"/>
  <c r="H96" i="6" l="1"/>
  <c r="D97" i="6" s="1"/>
  <c r="AF96" i="6"/>
  <c r="AE96" i="6"/>
  <c r="G97" i="6" l="1"/>
  <c r="H97" i="6" s="1"/>
  <c r="D98" i="6" s="1"/>
  <c r="F97" i="6"/>
  <c r="E97" i="6"/>
  <c r="I97" i="6"/>
  <c r="AF97" i="6" l="1"/>
  <c r="AE97" i="6"/>
  <c r="G98" i="6"/>
  <c r="AF98" i="6" s="1"/>
  <c r="F98" i="6"/>
  <c r="I98" i="6"/>
  <c r="E98" i="6"/>
  <c r="AE98" i="6" l="1"/>
  <c r="H98" i="6"/>
  <c r="D99" i="6" s="1"/>
  <c r="E99" i="6" l="1"/>
  <c r="G99" i="6"/>
  <c r="AF99" i="6" s="1"/>
  <c r="I99" i="6"/>
  <c r="F99" i="6"/>
  <c r="AE99" i="6" l="1"/>
  <c r="H99" i="6"/>
  <c r="F100" i="6" s="1"/>
  <c r="I100" i="6" l="1"/>
  <c r="E100" i="6"/>
  <c r="G100" i="6"/>
  <c r="AE100" i="6" s="1"/>
  <c r="D100" i="6"/>
  <c r="H100" i="6" l="1"/>
  <c r="G101" i="6" s="1"/>
  <c r="AF101" i="6" s="1"/>
  <c r="AF100" i="6"/>
  <c r="I101" i="6" l="1"/>
  <c r="F101" i="6"/>
  <c r="E101" i="6"/>
  <c r="D101" i="6"/>
  <c r="H101" i="6" s="1"/>
  <c r="AE101" i="6"/>
  <c r="F102" i="6" l="1"/>
  <c r="G102" i="6"/>
  <c r="AF102" i="6" s="1"/>
  <c r="E102" i="6"/>
  <c r="D102" i="6"/>
  <c r="I102" i="6"/>
  <c r="AE102" i="6" l="1"/>
  <c r="H102" i="6"/>
  <c r="G103" i="6" s="1"/>
  <c r="AF103" i="6" s="1"/>
  <c r="AE103" i="6" l="1"/>
  <c r="E103" i="6"/>
  <c r="D103" i="6"/>
  <c r="H103" i="6" s="1"/>
  <c r="I104" i="6" s="1"/>
  <c r="F103" i="6"/>
  <c r="I103" i="6"/>
  <c r="E104" i="6" l="1"/>
  <c r="F104" i="6"/>
  <c r="D104" i="6"/>
  <c r="G104" i="6"/>
  <c r="AF104" i="6" s="1"/>
  <c r="H104" i="6" l="1"/>
  <c r="F105" i="6" s="1"/>
  <c r="AE104" i="6"/>
  <c r="G105" i="6" l="1"/>
  <c r="AF105" i="6" s="1"/>
  <c r="I105" i="6"/>
  <c r="E105" i="6"/>
  <c r="D105" i="6"/>
  <c r="AE105" i="6" l="1"/>
  <c r="H105" i="6"/>
  <c r="E106" i="6" s="1"/>
  <c r="F106" i="6" l="1"/>
  <c r="I106" i="6"/>
  <c r="G106" i="6"/>
  <c r="AF106" i="6" s="1"/>
  <c r="D106" i="6"/>
  <c r="H106" i="6" l="1"/>
  <c r="E107" i="6" s="1"/>
  <c r="AE106" i="6"/>
  <c r="G107" i="6" l="1"/>
  <c r="AE107" i="6" s="1"/>
  <c r="F107" i="6"/>
  <c r="D107" i="6"/>
  <c r="I107" i="6"/>
  <c r="H107" i="6" l="1"/>
  <c r="G108" i="6" s="1"/>
  <c r="AF108" i="6" s="1"/>
  <c r="AF107" i="6"/>
  <c r="E108" i="6" l="1"/>
  <c r="D108" i="6"/>
  <c r="H108" i="6" s="1"/>
  <c r="G109" i="6" s="1"/>
  <c r="AF109" i="6" s="1"/>
  <c r="I108" i="6"/>
  <c r="F108" i="6"/>
  <c r="AE108" i="6"/>
  <c r="E109" i="6" l="1"/>
  <c r="I109" i="6"/>
  <c r="F109" i="6"/>
  <c r="D109" i="6"/>
  <c r="H109" i="6" s="1"/>
  <c r="D110" i="6" s="1"/>
  <c r="AE109" i="6"/>
  <c r="I110" i="6" l="1"/>
  <c r="F110" i="6"/>
  <c r="G110" i="6"/>
  <c r="AF110" i="6" s="1"/>
  <c r="E110" i="6"/>
  <c r="H110" i="6" l="1"/>
  <c r="F111" i="6" s="1"/>
  <c r="AE110" i="6"/>
  <c r="G111" i="6" l="1"/>
  <c r="AF111" i="6" s="1"/>
  <c r="D111" i="6"/>
  <c r="E111" i="6"/>
  <c r="I111" i="6"/>
  <c r="H111" i="6" l="1"/>
  <c r="I112" i="6" s="1"/>
  <c r="AE111" i="6"/>
  <c r="F112" i="6" l="1"/>
  <c r="E112" i="6"/>
  <c r="G112" i="6"/>
  <c r="AF112" i="6" s="1"/>
  <c r="D112" i="6"/>
  <c r="H112" i="6" l="1"/>
  <c r="I113" i="6" s="1"/>
  <c r="AE112" i="6"/>
  <c r="E113" i="6" l="1"/>
  <c r="D113" i="6"/>
  <c r="G113" i="6"/>
  <c r="AF113" i="6" s="1"/>
  <c r="F113" i="6"/>
  <c r="H113" i="6" l="1"/>
  <c r="F114" i="6" s="1"/>
  <c r="AE113" i="6"/>
  <c r="I114" i="6" l="1"/>
  <c r="E114" i="6"/>
  <c r="G114" i="6"/>
  <c r="AF114" i="6" s="1"/>
  <c r="D114" i="6"/>
  <c r="H114" i="6" l="1"/>
  <c r="E115" i="6" s="1"/>
  <c r="AE114" i="6"/>
  <c r="D115" i="6" l="1"/>
  <c r="I115" i="6"/>
  <c r="G115" i="6"/>
  <c r="AF115" i="6" s="1"/>
  <c r="F115" i="6"/>
  <c r="H115" i="6" l="1"/>
  <c r="D116" i="6" s="1"/>
  <c r="AE115" i="6"/>
  <c r="F116" i="6" l="1"/>
  <c r="I116" i="6"/>
  <c r="E116" i="6"/>
  <c r="G116" i="6"/>
  <c r="AF116" i="6" s="1"/>
  <c r="AE116" i="6" l="1"/>
  <c r="H116" i="6"/>
  <c r="D117" i="6" s="1"/>
  <c r="F117" i="6" l="1"/>
  <c r="G117" i="6"/>
  <c r="AF117" i="6" s="1"/>
  <c r="E117" i="6"/>
  <c r="I117" i="6"/>
  <c r="AE117" i="6" l="1"/>
  <c r="H117" i="6"/>
  <c r="F118" i="6" s="1"/>
  <c r="E118" i="6" l="1"/>
  <c r="G118" i="6"/>
  <c r="AF118" i="6" s="1"/>
  <c r="I118" i="6"/>
  <c r="D118" i="6"/>
  <c r="H118" i="6" l="1"/>
  <c r="I119" i="6" s="1"/>
  <c r="AE118" i="6"/>
  <c r="F119" i="6" l="1"/>
  <c r="E119" i="6"/>
  <c r="D119" i="6"/>
  <c r="G119" i="6"/>
  <c r="AF119" i="6" s="1"/>
  <c r="H119" i="6" l="1"/>
  <c r="F120" i="6" s="1"/>
  <c r="AE119" i="6"/>
  <c r="G120" i="6" l="1"/>
  <c r="AF120" i="6" s="1"/>
  <c r="D120" i="6"/>
  <c r="E120" i="6"/>
  <c r="I120" i="6"/>
  <c r="AE120" i="6" l="1"/>
  <c r="H120" i="6"/>
  <c r="F121" i="6" s="1"/>
  <c r="I121" i="6" l="1"/>
  <c r="D121" i="6"/>
  <c r="G121" i="6"/>
  <c r="AF121" i="6" s="1"/>
  <c r="E121" i="6"/>
  <c r="AE121" i="6" l="1"/>
  <c r="H121" i="6"/>
  <c r="G122" i="6" s="1"/>
  <c r="AF122" i="6" s="1"/>
  <c r="D122" i="6" l="1"/>
  <c r="H122" i="6" s="1"/>
  <c r="F123" i="6" s="1"/>
  <c r="I122" i="6"/>
  <c r="AE122" i="6"/>
  <c r="F122" i="6"/>
  <c r="E122" i="6"/>
  <c r="D123" i="6" l="1"/>
  <c r="G123" i="6"/>
  <c r="AF123" i="6" s="1"/>
  <c r="E123" i="6"/>
  <c r="I123" i="6"/>
  <c r="H123" i="6" l="1"/>
  <c r="G124" i="6" s="1"/>
  <c r="AF124" i="6" s="1"/>
  <c r="AE123" i="6"/>
  <c r="I124" i="6" l="1"/>
  <c r="F124" i="6"/>
  <c r="D124" i="6"/>
  <c r="H124" i="6" s="1"/>
  <c r="F125" i="6" s="1"/>
  <c r="E124" i="6"/>
  <c r="AE124" i="6"/>
  <c r="I125" i="6" l="1"/>
  <c r="E125" i="6"/>
  <c r="D125" i="6"/>
  <c r="G125" i="6"/>
  <c r="AF125" i="6" s="1"/>
  <c r="H125" i="6" l="1"/>
  <c r="AE125" i="6"/>
  <c r="E126" i="6" l="1"/>
  <c r="D126" i="6"/>
  <c r="I126" i="6"/>
  <c r="F126" i="6"/>
  <c r="G126" i="6"/>
  <c r="AF126" i="6" l="1"/>
  <c r="H126" i="6"/>
  <c r="AE126" i="6"/>
  <c r="E127" i="6" l="1"/>
  <c r="I127" i="6"/>
  <c r="F127" i="6"/>
  <c r="D127" i="6"/>
  <c r="G127" i="6"/>
  <c r="AF127" i="6" l="1"/>
  <c r="H127" i="6"/>
  <c r="AE127" i="6"/>
  <c r="G128" i="6" l="1"/>
  <c r="I128" i="6"/>
  <c r="F128" i="6"/>
  <c r="E128" i="6"/>
  <c r="D128" i="6"/>
  <c r="H128" i="6" l="1"/>
  <c r="I129" i="6" s="1"/>
  <c r="AF128" i="6"/>
  <c r="AE128" i="6"/>
  <c r="E129" i="6" l="1"/>
  <c r="D129" i="6"/>
  <c r="F129" i="6"/>
  <c r="G129" i="6"/>
  <c r="AF129" i="6" s="1"/>
  <c r="AE129" i="6" l="1"/>
  <c r="H129" i="6"/>
  <c r="D130" i="6" s="1"/>
  <c r="F130" i="6" l="1"/>
  <c r="E130" i="6"/>
  <c r="G130" i="6"/>
  <c r="AF130" i="6" s="1"/>
  <c r="I130" i="6"/>
  <c r="H130" i="6" l="1"/>
  <c r="I131" i="6" s="1"/>
  <c r="AE130" i="6"/>
  <c r="F131" i="6" l="1"/>
  <c r="D131" i="6"/>
  <c r="G131" i="6"/>
  <c r="AE131" i="6" s="1"/>
  <c r="E131" i="6"/>
  <c r="H131" i="6" l="1"/>
  <c r="E132" i="6" s="1"/>
  <c r="AF131" i="6"/>
  <c r="F132" i="6" l="1"/>
  <c r="I132" i="6"/>
  <c r="D132" i="6"/>
  <c r="G132" i="6"/>
  <c r="AF132" i="6" s="1"/>
  <c r="AE132" i="6" l="1"/>
  <c r="H132" i="6"/>
  <c r="G133" i="6" s="1"/>
  <c r="AF133" i="6" s="1"/>
  <c r="AE133" i="6" l="1"/>
  <c r="D133" i="6"/>
  <c r="H133" i="6" s="1"/>
  <c r="D134" i="6" s="1"/>
  <c r="F133" i="6"/>
  <c r="I133" i="6"/>
  <c r="E133" i="6"/>
  <c r="E134" i="6" l="1"/>
  <c r="I134" i="6"/>
  <c r="G134" i="6"/>
  <c r="AF134" i="6" s="1"/>
  <c r="F134" i="6"/>
  <c r="AE134" i="6" l="1"/>
  <c r="H134" i="6"/>
  <c r="D135" i="6" s="1"/>
  <c r="G135" i="6" l="1"/>
  <c r="AF135" i="6" s="1"/>
  <c r="E135" i="6"/>
  <c r="I135" i="6"/>
  <c r="F135" i="6"/>
  <c r="AE135" i="6" l="1"/>
  <c r="H135" i="6"/>
  <c r="F136" i="6" l="1"/>
  <c r="E136" i="6"/>
  <c r="G136" i="6"/>
  <c r="AF136" i="6" s="1"/>
  <c r="I136" i="6"/>
  <c r="D136" i="6"/>
  <c r="H136" i="6" l="1"/>
  <c r="AE136" i="6"/>
  <c r="E137" i="6" l="1"/>
  <c r="F137" i="6"/>
  <c r="D137" i="6"/>
  <c r="G137" i="6"/>
  <c r="AF137" i="6" s="1"/>
  <c r="I137" i="6"/>
  <c r="H137" i="6" l="1"/>
  <c r="AE137" i="6"/>
  <c r="I138" i="6" l="1"/>
  <c r="D138" i="6"/>
  <c r="E138" i="6"/>
  <c r="G138" i="6"/>
  <c r="AF138" i="6" s="1"/>
  <c r="F138" i="6"/>
  <c r="H138" i="6" l="1"/>
  <c r="F139" i="6" s="1"/>
  <c r="AE138" i="6"/>
  <c r="G139" i="6" l="1"/>
  <c r="AF139" i="6" s="1"/>
  <c r="I139" i="6"/>
  <c r="E139" i="6"/>
  <c r="D139" i="6"/>
  <c r="H139" i="6" l="1"/>
  <c r="G140" i="6" s="1"/>
  <c r="AF140" i="6" s="1"/>
  <c r="AE139" i="6"/>
  <c r="E140" i="6" l="1"/>
  <c r="F140" i="6"/>
  <c r="D140" i="6"/>
  <c r="H140" i="6" s="1"/>
  <c r="E141" i="6" s="1"/>
  <c r="I140" i="6"/>
  <c r="AE140" i="6"/>
  <c r="G141" i="6" l="1"/>
  <c r="AF141" i="6" s="1"/>
  <c r="I141" i="6"/>
  <c r="F141" i="6"/>
  <c r="D141" i="6"/>
  <c r="H141" i="6" l="1"/>
  <c r="G142" i="6" s="1"/>
  <c r="AF142" i="6" s="1"/>
  <c r="AE141" i="6"/>
  <c r="E142" i="6" l="1"/>
  <c r="I142" i="6"/>
  <c r="D142" i="6"/>
  <c r="H142" i="6" s="1"/>
  <c r="E143" i="6" s="1"/>
  <c r="F142" i="6"/>
  <c r="AE142" i="6"/>
  <c r="I143" i="6" l="1"/>
  <c r="D143" i="6"/>
  <c r="G143" i="6"/>
  <c r="AF143" i="6" s="1"/>
  <c r="F143" i="6"/>
  <c r="AE143" i="6" l="1"/>
  <c r="H143" i="6"/>
  <c r="G144" i="6" l="1"/>
  <c r="AF144" i="6" s="1"/>
  <c r="I144" i="6"/>
  <c r="F144" i="6"/>
  <c r="E144" i="6"/>
  <c r="D144" i="6"/>
  <c r="AE144" i="6" l="1"/>
  <c r="H144" i="6"/>
  <c r="E145" i="6" l="1"/>
  <c r="F145" i="6"/>
  <c r="D145" i="6"/>
  <c r="G145" i="6"/>
  <c r="AF145" i="6" s="1"/>
  <c r="I145" i="6"/>
  <c r="H145" i="6" l="1"/>
  <c r="I146" i="6" s="1"/>
  <c r="AE145" i="6"/>
  <c r="E146" i="6" l="1"/>
  <c r="F146" i="6"/>
  <c r="D146" i="6"/>
  <c r="G146" i="6"/>
  <c r="AF146" i="6" s="1"/>
  <c r="AE146" i="6" l="1"/>
  <c r="H146" i="6"/>
  <c r="D147" i="6" l="1"/>
  <c r="E147" i="6"/>
  <c r="G147" i="6"/>
  <c r="AF147" i="6" s="1"/>
  <c r="F147" i="6"/>
  <c r="I147" i="6"/>
  <c r="H147" i="6" l="1"/>
  <c r="AE147" i="6"/>
  <c r="F148" i="6" l="1"/>
  <c r="E148" i="6"/>
  <c r="I148" i="6"/>
  <c r="G148" i="6"/>
  <c r="AF148" i="6" s="1"/>
  <c r="D148" i="6"/>
  <c r="H148" i="6" l="1"/>
  <c r="I149" i="6" s="1"/>
  <c r="AE148" i="6"/>
  <c r="G149" i="6" l="1"/>
  <c r="AF149" i="6" s="1"/>
  <c r="D149" i="6"/>
  <c r="F149" i="6"/>
  <c r="E149" i="6"/>
  <c r="H149" i="6" l="1"/>
  <c r="D150" i="6" s="1"/>
  <c r="AE149" i="6"/>
  <c r="G150" i="6" l="1"/>
  <c r="AF150" i="6" s="1"/>
  <c r="E150" i="6"/>
  <c r="F150" i="6"/>
  <c r="I150" i="6"/>
  <c r="H150" i="6" l="1"/>
  <c r="D151" i="6" s="1"/>
  <c r="AE150" i="6"/>
  <c r="G151" i="6" l="1"/>
  <c r="AF151" i="6" s="1"/>
  <c r="E151" i="6"/>
  <c r="I151" i="6"/>
  <c r="F151" i="6"/>
  <c r="AE151" i="6" l="1"/>
  <c r="H151" i="6"/>
  <c r="E152" i="6" s="1"/>
  <c r="F152" i="6" l="1"/>
  <c r="G152" i="6"/>
  <c r="AF152" i="6" s="1"/>
  <c r="I152" i="6"/>
  <c r="D152" i="6"/>
  <c r="H152" i="6" l="1"/>
  <c r="I153" i="6" s="1"/>
  <c r="AE152" i="6"/>
  <c r="F153" i="6" l="1"/>
  <c r="G153" i="6"/>
  <c r="AF153" i="6" s="1"/>
  <c r="D153" i="6"/>
  <c r="E153" i="6"/>
  <c r="H153" i="6" l="1"/>
  <c r="G154" i="6" s="1"/>
  <c r="AF154" i="6" s="1"/>
  <c r="AE153" i="6"/>
  <c r="D154" i="6" l="1"/>
  <c r="H154" i="6" s="1"/>
  <c r="E155" i="6" s="1"/>
  <c r="F154" i="6"/>
  <c r="I154" i="6"/>
  <c r="E154" i="6"/>
  <c r="AE154" i="6"/>
  <c r="D155" i="6" l="1"/>
  <c r="F155" i="6"/>
  <c r="G155" i="6"/>
  <c r="AF155" i="6" s="1"/>
  <c r="I155" i="6"/>
  <c r="AE155" i="6" l="1"/>
  <c r="H155" i="6"/>
  <c r="E156" i="6" s="1"/>
  <c r="D156" i="6" l="1"/>
  <c r="G156" i="6"/>
  <c r="AF156" i="6" s="1"/>
  <c r="F156" i="6"/>
  <c r="I156" i="6"/>
  <c r="AE156" i="6" l="1"/>
  <c r="H156" i="6"/>
  <c r="I157" i="6" s="1"/>
  <c r="D157" i="6" l="1"/>
  <c r="E157" i="6"/>
  <c r="G157" i="6"/>
  <c r="AF157" i="6" s="1"/>
  <c r="F157" i="6"/>
  <c r="AE157" i="6" l="1"/>
  <c r="H157" i="6"/>
  <c r="F158" i="6" s="1"/>
  <c r="I158" i="6"/>
  <c r="G158" i="6" l="1"/>
  <c r="AF158" i="6" s="1"/>
  <c r="D158" i="6"/>
  <c r="H158" i="6" s="1"/>
  <c r="E159" i="6" s="1"/>
  <c r="E158" i="6"/>
  <c r="AE158" i="6" l="1"/>
  <c r="G159" i="6"/>
  <c r="AF159" i="6" s="1"/>
  <c r="I159" i="6"/>
  <c r="F159" i="6"/>
  <c r="D159" i="6"/>
  <c r="H159" i="6" l="1"/>
  <c r="D160" i="6" s="1"/>
  <c r="AE159" i="6"/>
  <c r="E160" i="6" l="1"/>
  <c r="G160" i="6"/>
  <c r="AE160" i="6" s="1"/>
  <c r="I160" i="6"/>
  <c r="F160" i="6"/>
  <c r="AF160" i="6" l="1"/>
  <c r="H160" i="6"/>
  <c r="G161" i="6" s="1"/>
  <c r="E161" i="6" l="1"/>
  <c r="F161" i="6"/>
  <c r="I161" i="6"/>
  <c r="D161" i="6"/>
  <c r="H161" i="6" s="1"/>
  <c r="I162" i="6" s="1"/>
  <c r="AF161" i="6"/>
  <c r="AE161" i="6"/>
  <c r="D162" i="6" l="1"/>
  <c r="G162" i="6"/>
  <c r="AF162" i="6" s="1"/>
  <c r="F162" i="6"/>
  <c r="E162" i="6"/>
  <c r="AE162" i="6" l="1"/>
  <c r="H162" i="6"/>
  <c r="D163" i="6" l="1"/>
  <c r="G163" i="6"/>
  <c r="AF163" i="6" s="1"/>
  <c r="E163" i="6"/>
  <c r="F163" i="6"/>
  <c r="I163" i="6"/>
  <c r="H163" i="6" l="1"/>
  <c r="AE163" i="6"/>
  <c r="E164" i="6" l="1"/>
  <c r="F164" i="6"/>
  <c r="D164" i="6"/>
  <c r="G164" i="6"/>
  <c r="AF164" i="6" s="1"/>
  <c r="I164" i="6"/>
  <c r="H164" i="6" l="1"/>
  <c r="AE164" i="6"/>
  <c r="F165" i="6" l="1"/>
  <c r="I165" i="6"/>
  <c r="D165" i="6"/>
  <c r="G165" i="6"/>
  <c r="AF165" i="6" s="1"/>
  <c r="E165" i="6"/>
  <c r="H165" i="6" l="1"/>
  <c r="D166" i="6" s="1"/>
  <c r="AE165" i="6"/>
  <c r="I166" i="6" l="1"/>
  <c r="E166" i="6"/>
  <c r="G166" i="6"/>
  <c r="AF166" i="6" s="1"/>
  <c r="F166" i="6"/>
  <c r="H166" i="6" l="1"/>
  <c r="F167" i="6" s="1"/>
  <c r="AE166" i="6"/>
  <c r="I167" i="6" l="1"/>
  <c r="D167" i="6"/>
  <c r="G167" i="6"/>
  <c r="AE167" i="6" s="1"/>
  <c r="E167" i="6"/>
  <c r="H167" i="6" l="1"/>
  <c r="D168" i="6" s="1"/>
  <c r="AF167" i="6"/>
  <c r="G168" i="6" l="1"/>
  <c r="AF168" i="6" s="1"/>
  <c r="F168" i="6"/>
  <c r="E168" i="6"/>
  <c r="I168" i="6"/>
  <c r="AE168" i="6" l="1"/>
  <c r="H168" i="6"/>
  <c r="G169" i="6" l="1"/>
  <c r="AF169" i="6" s="1"/>
  <c r="E169" i="6"/>
  <c r="F169" i="6"/>
  <c r="I169" i="6"/>
  <c r="D169" i="6"/>
  <c r="H169" i="6" l="1"/>
  <c r="AE169" i="6"/>
  <c r="E170" i="6"/>
  <c r="G170" i="6"/>
  <c r="AF170" i="6" s="1"/>
  <c r="F170" i="6"/>
  <c r="D170" i="6"/>
  <c r="I170" i="6"/>
  <c r="H170" i="6" l="1"/>
  <c r="G171" i="6" s="1"/>
  <c r="AF171" i="6" s="1"/>
  <c r="E171" i="6"/>
  <c r="AE170" i="6"/>
  <c r="D171" i="6" l="1"/>
  <c r="H171" i="6" s="1"/>
  <c r="D172" i="6" s="1"/>
  <c r="AE171" i="6"/>
  <c r="I171" i="6"/>
  <c r="F171" i="6"/>
  <c r="E172" i="6" l="1"/>
  <c r="F172" i="6"/>
  <c r="I172" i="6"/>
  <c r="G172" i="6"/>
  <c r="AF172" i="6" s="1"/>
  <c r="AE172" i="6" l="1"/>
  <c r="H172" i="6"/>
  <c r="E173" i="6"/>
  <c r="I173" i="6"/>
  <c r="F173" i="6"/>
  <c r="G173" i="6"/>
  <c r="AF173" i="6" s="1"/>
  <c r="D173" i="6"/>
  <c r="H173" i="6" s="1"/>
  <c r="E174" i="6" l="1"/>
  <c r="D174" i="6"/>
  <c r="G174" i="6"/>
  <c r="AF174" i="6" s="1"/>
  <c r="I174" i="6"/>
  <c r="F174" i="6"/>
  <c r="AE173" i="6"/>
  <c r="AE174" i="6" l="1"/>
  <c r="H174" i="6"/>
  <c r="E175" i="6" l="1"/>
  <c r="F175" i="6"/>
  <c r="D175" i="6"/>
  <c r="I175" i="6"/>
  <c r="G175" i="6"/>
  <c r="AF175" i="6" s="1"/>
  <c r="AE175" i="6" l="1"/>
  <c r="H175" i="6"/>
  <c r="F176" i="6" l="1"/>
  <c r="G176" i="6"/>
  <c r="AF176" i="6" s="1"/>
  <c r="D176" i="6"/>
  <c r="E176" i="6"/>
  <c r="I176" i="6"/>
  <c r="AE176" i="6" l="1"/>
  <c r="H176" i="6"/>
  <c r="I177" i="6" l="1"/>
  <c r="F177" i="6"/>
  <c r="E177" i="6"/>
  <c r="G177" i="6"/>
  <c r="AF177" i="6" s="1"/>
  <c r="D177" i="6"/>
  <c r="H177" i="6" l="1"/>
  <c r="G178" i="6" s="1"/>
  <c r="AF178" i="6" s="1"/>
  <c r="AE177" i="6"/>
  <c r="I178" i="6" l="1"/>
  <c r="D178" i="6"/>
  <c r="H178" i="6" s="1"/>
  <c r="E178" i="6"/>
  <c r="F178" i="6"/>
  <c r="AE178" i="6"/>
  <c r="F179" i="6" l="1"/>
  <c r="E179" i="6"/>
  <c r="G179" i="6"/>
  <c r="AF179" i="6" s="1"/>
  <c r="I179" i="6"/>
  <c r="D179" i="6"/>
  <c r="H179" i="6" l="1"/>
  <c r="D180" i="6" s="1"/>
  <c r="F180" i="6"/>
  <c r="I180" i="6"/>
  <c r="AE179" i="6"/>
  <c r="G180" i="6" l="1"/>
  <c r="AF180" i="6" s="1"/>
  <c r="E180" i="6"/>
  <c r="AE180" i="6" l="1"/>
  <c r="H180" i="6"/>
  <c r="E181" i="6"/>
  <c r="F181" i="6"/>
  <c r="I181" i="6"/>
  <c r="G181" i="6"/>
  <c r="AF181" i="6" s="1"/>
  <c r="D181" i="6"/>
  <c r="AE181" i="6" l="1"/>
  <c r="H181" i="6"/>
  <c r="D182" i="6" l="1"/>
  <c r="G182" i="6"/>
  <c r="AF182" i="6" s="1"/>
  <c r="I182" i="6"/>
  <c r="E182" i="6"/>
  <c r="F182" i="6"/>
  <c r="H182" i="6" l="1"/>
  <c r="E183" i="6" s="1"/>
  <c r="AE182" i="6"/>
  <c r="G183" i="6" l="1"/>
  <c r="AF183" i="6" s="1"/>
  <c r="D183" i="6"/>
  <c r="F183" i="6"/>
  <c r="I183" i="6"/>
  <c r="H183" i="6" l="1"/>
  <c r="D184" i="6" s="1"/>
  <c r="AE183" i="6"/>
  <c r="F184" i="6"/>
  <c r="E184" i="6"/>
  <c r="G184" i="6"/>
  <c r="AF184" i="6" s="1"/>
  <c r="I184" i="6" l="1"/>
  <c r="H184" i="6"/>
  <c r="AE184" i="6"/>
  <c r="G185" i="6" l="1"/>
  <c r="E185" i="6"/>
  <c r="D185" i="6"/>
  <c r="F185" i="6"/>
  <c r="I185" i="6"/>
  <c r="AP6" i="6" s="1"/>
  <c r="H185" i="6" l="1"/>
  <c r="AI6" i="3"/>
  <c r="F30" i="3"/>
  <c r="E34" i="3" s="1"/>
  <c r="AS6" i="6"/>
  <c r="AF185" i="6"/>
  <c r="AP4" i="6"/>
  <c r="AE185" i="6"/>
  <c r="AP9" i="6" s="1"/>
  <c r="AS7" i="6" s="1"/>
  <c r="G197" i="3" l="1"/>
  <c r="F45" i="3"/>
  <c r="C60" i="7"/>
  <c r="AE3" i="3"/>
  <c r="AS5" i="6"/>
  <c r="AP7" i="6"/>
  <c r="AE4" i="3"/>
  <c r="C59" i="7"/>
  <c r="G196" i="3"/>
  <c r="F44" i="3"/>
  <c r="F39" i="3"/>
  <c r="H34" i="3"/>
  <c r="C58" i="7" l="1"/>
  <c r="F43" i="3"/>
  <c r="C197" i="3"/>
  <c r="F34" i="3"/>
  <c r="F37" i="3"/>
  <c r="AS4" i="6"/>
  <c r="AE5" i="3"/>
  <c r="F38" i="3" s="1"/>
  <c r="C57" i="7" l="1"/>
  <c r="C196" i="3"/>
  <c r="F42" i="3"/>
</calcChain>
</file>

<file path=xl/sharedStrings.xml><?xml version="1.0" encoding="utf-8"?>
<sst xmlns="http://schemas.openxmlformats.org/spreadsheetml/2006/main" count="2008" uniqueCount="285">
  <si>
    <t>min</t>
  </si>
  <si>
    <t>tc8</t>
  </si>
  <si>
    <t>tc7</t>
  </si>
  <si>
    <t>S em m/km</t>
  </si>
  <si>
    <t>tc6</t>
  </si>
  <si>
    <t>L em km</t>
  </si>
  <si>
    <t>tc5</t>
  </si>
  <si>
    <t>tc4</t>
  </si>
  <si>
    <t>tc3</t>
  </si>
  <si>
    <t>tc2</t>
  </si>
  <si>
    <t>tc1</t>
  </si>
  <si>
    <t>[min]</t>
  </si>
  <si>
    <t>[m²]</t>
  </si>
  <si>
    <t>[m]</t>
  </si>
  <si>
    <t>CN-pós</t>
  </si>
  <si>
    <t>anos</t>
  </si>
  <si>
    <t>TR</t>
  </si>
  <si>
    <t>c</t>
  </si>
  <si>
    <t>b</t>
  </si>
  <si>
    <t>a</t>
  </si>
  <si>
    <t>K</t>
  </si>
  <si>
    <t>n</t>
  </si>
  <si>
    <t>m/m</t>
  </si>
  <si>
    <t>S</t>
  </si>
  <si>
    <t>m</t>
  </si>
  <si>
    <t>L</t>
  </si>
  <si>
    <r>
      <t>tc</t>
    </r>
    <r>
      <rPr>
        <vertAlign val="subscript"/>
        <sz val="11"/>
        <color theme="1"/>
        <rFont val="Verdana"/>
        <family val="2"/>
      </rPr>
      <t>min</t>
    </r>
  </si>
  <si>
    <r>
      <t>t</t>
    </r>
    <r>
      <rPr>
        <vertAlign val="subscript"/>
        <sz val="11"/>
        <color theme="1"/>
        <rFont val="Verdana"/>
        <family val="2"/>
      </rPr>
      <t xml:space="preserve">c </t>
    </r>
  </si>
  <si>
    <t>t</t>
  </si>
  <si>
    <t>tc</t>
  </si>
  <si>
    <t>C</t>
  </si>
  <si>
    <t>A</t>
  </si>
  <si>
    <t xml:space="preserve">ha </t>
  </si>
  <si>
    <t>m³/m³</t>
  </si>
  <si>
    <t>[L/s]</t>
  </si>
  <si>
    <t>m^(3- c)</t>
  </si>
  <si>
    <t xml:space="preserve">Cálculo de b e c conhecendo-se o intervalo de dados </t>
  </si>
  <si>
    <t>Altura</t>
  </si>
  <si>
    <t>i = (K . TR ^ a ) / [( tc + b ) ^ c]</t>
  </si>
  <si>
    <t>i</t>
  </si>
  <si>
    <t>mm/h</t>
  </si>
  <si>
    <t>Q</t>
  </si>
  <si>
    <t>L/s</t>
  </si>
  <si>
    <r>
      <t>Q</t>
    </r>
    <r>
      <rPr>
        <vertAlign val="subscript"/>
        <sz val="11"/>
        <color theme="1"/>
        <rFont val="Verdana"/>
        <family val="2"/>
      </rPr>
      <t>max</t>
    </r>
    <r>
      <rPr>
        <sz val="11"/>
        <color theme="1"/>
        <rFont val="Verdana"/>
        <family val="2"/>
      </rPr>
      <t xml:space="preserve"> = 2,78 x C . i . A </t>
    </r>
  </si>
  <si>
    <r>
      <t>Q</t>
    </r>
    <r>
      <rPr>
        <vertAlign val="subscript"/>
        <sz val="11"/>
        <color theme="1"/>
        <rFont val="Verdana"/>
        <family val="2"/>
      </rPr>
      <t>max</t>
    </r>
  </si>
  <si>
    <r>
      <t>q</t>
    </r>
    <r>
      <rPr>
        <vertAlign val="subscript"/>
        <sz val="11"/>
        <color theme="1"/>
        <rFont val="Verdana"/>
        <family val="2"/>
      </rPr>
      <t>max,i</t>
    </r>
    <r>
      <rPr>
        <sz val="11"/>
        <color theme="1"/>
        <rFont val="Verdana"/>
        <family val="2"/>
      </rPr>
      <t xml:space="preserve">  = Q</t>
    </r>
    <r>
      <rPr>
        <vertAlign val="subscript"/>
        <sz val="11"/>
        <color theme="1"/>
        <rFont val="Verdana"/>
        <family val="2"/>
      </rPr>
      <t>max,i</t>
    </r>
    <r>
      <rPr>
        <sz val="11"/>
        <color theme="1"/>
        <rFont val="Verdana"/>
        <family val="2"/>
      </rPr>
      <t xml:space="preserve"> / A</t>
    </r>
    <r>
      <rPr>
        <vertAlign val="subscript"/>
        <sz val="11"/>
        <color theme="1"/>
        <rFont val="Verdana"/>
        <family val="2"/>
      </rPr>
      <t>d,i</t>
    </r>
  </si>
  <si>
    <t>Ad,i</t>
  </si>
  <si>
    <t>m²</t>
  </si>
  <si>
    <t xml:space="preserve">L/s/ha </t>
  </si>
  <si>
    <t>Qref,i,máx</t>
  </si>
  <si>
    <r>
      <t>Q</t>
    </r>
    <r>
      <rPr>
        <vertAlign val="subscript"/>
        <sz val="11"/>
        <color theme="1"/>
        <rFont val="Verdana"/>
        <family val="2"/>
      </rPr>
      <t>ref,i,máx</t>
    </r>
  </si>
  <si>
    <r>
      <t>Q</t>
    </r>
    <r>
      <rPr>
        <vertAlign val="subscript"/>
        <sz val="11"/>
        <color theme="1"/>
        <rFont val="Verdana"/>
        <family val="2"/>
      </rPr>
      <t>ref,i,máx</t>
    </r>
    <r>
      <rPr>
        <sz val="11"/>
        <color theme="1"/>
        <rFont val="Verdana"/>
        <family val="2"/>
      </rPr>
      <t xml:space="preserve"> = q</t>
    </r>
    <r>
      <rPr>
        <vertAlign val="subscript"/>
        <sz val="11"/>
        <color theme="1"/>
        <rFont val="Verdana"/>
        <family val="2"/>
      </rPr>
      <t>imáx</t>
    </r>
    <r>
      <rPr>
        <sz val="11"/>
        <color theme="1"/>
        <rFont val="Verdana"/>
        <family val="2"/>
      </rPr>
      <t>.A</t>
    </r>
    <r>
      <rPr>
        <vertAlign val="subscript"/>
        <sz val="11"/>
        <color theme="1"/>
        <rFont val="Verdana"/>
        <family val="2"/>
      </rPr>
      <t>lot,i.</t>
    </r>
    <r>
      <rPr>
        <sz val="11"/>
        <color theme="1"/>
        <rFont val="Verdana"/>
        <family val="2"/>
      </rPr>
      <t>/10^4</t>
    </r>
  </si>
  <si>
    <t>Alot,i</t>
  </si>
  <si>
    <t>mm</t>
  </si>
  <si>
    <t>Ia</t>
  </si>
  <si>
    <t>Coef.Ia</t>
  </si>
  <si>
    <t>Determinação do hidrograma afluente</t>
  </si>
  <si>
    <r>
      <t>tc</t>
    </r>
    <r>
      <rPr>
        <vertAlign val="subscript"/>
        <sz val="12"/>
        <color theme="1"/>
        <rFont val="Times New Roman"/>
        <family val="1"/>
      </rPr>
      <t>i</t>
    </r>
  </si>
  <si>
    <t>Qmáx</t>
  </si>
  <si>
    <r>
      <t>t</t>
    </r>
    <r>
      <rPr>
        <vertAlign val="subscript"/>
        <sz val="12"/>
        <color theme="1"/>
        <rFont val="Times New Roman"/>
        <family val="1"/>
      </rPr>
      <t>c,lot,i</t>
    </r>
  </si>
  <si>
    <r>
      <t>Q</t>
    </r>
    <r>
      <rPr>
        <vertAlign val="subscript"/>
        <sz val="12"/>
        <color theme="1"/>
        <rFont val="Verdana"/>
        <family val="2"/>
      </rPr>
      <t>max,lot,i</t>
    </r>
  </si>
  <si>
    <t>L/s/min</t>
  </si>
  <si>
    <t xml:space="preserve">i </t>
  </si>
  <si>
    <t>Simulação hidráulica do reservatório</t>
  </si>
  <si>
    <r>
      <t>ϕ</t>
    </r>
    <r>
      <rPr>
        <vertAlign val="subscript"/>
        <sz val="11"/>
        <color theme="1"/>
        <rFont val="Verdana"/>
        <family val="2"/>
      </rPr>
      <t>h</t>
    </r>
  </si>
  <si>
    <r>
      <t>ϕ</t>
    </r>
    <r>
      <rPr>
        <vertAlign val="subscript"/>
        <sz val="11"/>
        <color theme="1"/>
        <rFont val="Verdana"/>
        <family val="2"/>
      </rPr>
      <t>s</t>
    </r>
  </si>
  <si>
    <t>Qlot,i(t)</t>
  </si>
  <si>
    <t>Qlot,i(t+1)</t>
  </si>
  <si>
    <r>
      <t>h</t>
    </r>
    <r>
      <rPr>
        <vertAlign val="subscript"/>
        <sz val="11"/>
        <color theme="1"/>
        <rFont val="Verdana"/>
        <family val="2"/>
      </rPr>
      <t>0</t>
    </r>
  </si>
  <si>
    <t>2S(t)/Δt</t>
  </si>
  <si>
    <t>Tabela Auxiliar</t>
  </si>
  <si>
    <t>h</t>
  </si>
  <si>
    <t>h-max</t>
  </si>
  <si>
    <t>cm</t>
  </si>
  <si>
    <t>[cm]</t>
  </si>
  <si>
    <t>[m³]</t>
  </si>
  <si>
    <t>Qhi</t>
  </si>
  <si>
    <t>Qsi</t>
  </si>
  <si>
    <t>Qout,i</t>
  </si>
  <si>
    <t>PROPAGAÇÃO DE VAZÃO- PULS</t>
  </si>
  <si>
    <t>Simul.</t>
  </si>
  <si>
    <t>Vol</t>
  </si>
  <si>
    <t>m³</t>
  </si>
  <si>
    <r>
      <t>Vol</t>
    </r>
    <r>
      <rPr>
        <vertAlign val="subscript"/>
        <sz val="12"/>
        <color theme="1"/>
        <rFont val="Times New Roman"/>
        <family val="1"/>
      </rPr>
      <t>p</t>
    </r>
  </si>
  <si>
    <t>Cálculo auxiliares</t>
  </si>
  <si>
    <t>ΔQi/Δt</t>
  </si>
  <si>
    <t>ΔQmax/Δt</t>
  </si>
  <si>
    <r>
      <t>Q</t>
    </r>
    <r>
      <rPr>
        <b/>
        <vertAlign val="subscript"/>
        <sz val="12"/>
        <color theme="1"/>
        <rFont val="Times New Roman"/>
        <family val="1"/>
      </rPr>
      <t>sis,i</t>
    </r>
  </si>
  <si>
    <t>Δqmax,i/Δt</t>
  </si>
  <si>
    <r>
      <t>Q</t>
    </r>
    <r>
      <rPr>
        <b/>
        <vertAlign val="subscript"/>
        <sz val="12"/>
        <color theme="1"/>
        <rFont val="Times New Roman"/>
        <family val="1"/>
      </rPr>
      <t>sis,exut</t>
    </r>
  </si>
  <si>
    <r>
      <t>q</t>
    </r>
    <r>
      <rPr>
        <vertAlign val="subscript"/>
        <sz val="12"/>
        <color theme="1"/>
        <rFont val="Times New Roman"/>
        <family val="1"/>
      </rPr>
      <t>sis,exut</t>
    </r>
  </si>
  <si>
    <r>
      <t>q</t>
    </r>
    <r>
      <rPr>
        <vertAlign val="subscript"/>
        <sz val="12"/>
        <color theme="1"/>
        <rFont val="Times New Roman"/>
        <family val="1"/>
      </rPr>
      <t>sis,i</t>
    </r>
  </si>
  <si>
    <t>[L/s]/(100m²)</t>
  </si>
  <si>
    <r>
      <t>Q</t>
    </r>
    <r>
      <rPr>
        <vertAlign val="subscript"/>
        <sz val="12"/>
        <color theme="1"/>
        <rFont val="Times New Roman"/>
        <family val="1"/>
      </rPr>
      <t>ref,lot,i</t>
    </r>
  </si>
  <si>
    <r>
      <t>Q</t>
    </r>
    <r>
      <rPr>
        <vertAlign val="subscript"/>
        <sz val="12"/>
        <color theme="1"/>
        <rFont val="Verdana"/>
        <family val="2"/>
      </rPr>
      <t>max,lot,i</t>
    </r>
    <r>
      <rPr>
        <sz val="12"/>
        <color theme="1"/>
        <rFont val="Verdana"/>
        <family val="2"/>
      </rPr>
      <t xml:space="preserve"> = C</t>
    </r>
    <r>
      <rPr>
        <vertAlign val="subscript"/>
        <sz val="12"/>
        <color theme="1"/>
        <rFont val="Verdana"/>
        <family val="2"/>
      </rPr>
      <t>i</t>
    </r>
    <r>
      <rPr>
        <sz val="12"/>
        <color theme="1"/>
        <rFont val="Verdana"/>
        <family val="2"/>
      </rPr>
      <t>.i.A</t>
    </r>
    <r>
      <rPr>
        <vertAlign val="subscript"/>
        <sz val="12"/>
        <color theme="1"/>
        <rFont val="Verdana"/>
        <family val="2"/>
      </rPr>
      <t xml:space="preserve">lot,i </t>
    </r>
    <r>
      <rPr>
        <sz val="12"/>
        <color theme="1"/>
        <rFont val="Verdana"/>
        <family val="2"/>
      </rPr>
      <t>/ 3600</t>
    </r>
  </si>
  <si>
    <t>hmáx</t>
  </si>
  <si>
    <t>Qmaxef</t>
  </si>
  <si>
    <t>Qmaxaf</t>
  </si>
  <si>
    <t>Tmaxef</t>
  </si>
  <si>
    <t>Tmaxaf</t>
  </si>
  <si>
    <t>Restrições</t>
  </si>
  <si>
    <t>&lt;=</t>
  </si>
  <si>
    <t>=</t>
  </si>
  <si>
    <t>&gt;=</t>
  </si>
  <si>
    <t>hmax</t>
  </si>
  <si>
    <t>Vol.ef</t>
  </si>
  <si>
    <r>
      <t>Q</t>
    </r>
    <r>
      <rPr>
        <vertAlign val="subscript"/>
        <sz val="11"/>
        <color theme="1"/>
        <rFont val="Times New Roman"/>
        <family val="1"/>
      </rPr>
      <t>hi</t>
    </r>
    <r>
      <rPr>
        <sz val="11"/>
        <color theme="1"/>
        <rFont val="Times New Roman"/>
        <family val="1"/>
      </rPr>
      <t>(t)</t>
    </r>
  </si>
  <si>
    <r>
      <t>Qs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>(t)</t>
    </r>
  </si>
  <si>
    <r>
      <t>Q</t>
    </r>
    <r>
      <rPr>
        <vertAlign val="subscript"/>
        <sz val="11"/>
        <color theme="1"/>
        <rFont val="Times New Roman"/>
        <family val="1"/>
      </rPr>
      <t>out</t>
    </r>
    <r>
      <rPr>
        <sz val="11"/>
        <color theme="1"/>
        <rFont val="Times New Roman"/>
        <family val="1"/>
      </rPr>
      <t>(t)</t>
    </r>
  </si>
  <si>
    <t>2S/Δt + Qout</t>
  </si>
  <si>
    <t>2S(t+1)/Δt + Qout(t+1)</t>
  </si>
  <si>
    <t xml:space="preserve">2S/Δt </t>
  </si>
  <si>
    <t>h(t)</t>
  </si>
  <si>
    <t>Qref</t>
  </si>
  <si>
    <t>Vol.prec</t>
  </si>
  <si>
    <t>Configuração do coeficiente de descarga</t>
  </si>
  <si>
    <t>Carga</t>
  </si>
  <si>
    <t>Diâmetro [mm]</t>
  </si>
  <si>
    <t>Diamtro comercial</t>
  </si>
  <si>
    <t>diametro</t>
  </si>
  <si>
    <t>volume</t>
  </si>
  <si>
    <t>Qmax</t>
  </si>
  <si>
    <t>lnh</t>
  </si>
  <si>
    <t>lnV</t>
  </si>
  <si>
    <t>lnh . lnV</t>
  </si>
  <si>
    <t>(lnh)^2</t>
  </si>
  <si>
    <t>Vcalc</t>
  </si>
  <si>
    <t>[m4]</t>
  </si>
  <si>
    <t>CURVA GEOMÉTRICA</t>
  </si>
  <si>
    <t>k1</t>
  </si>
  <si>
    <t>k2</t>
  </si>
  <si>
    <t>k3</t>
  </si>
  <si>
    <t>alfa1</t>
  </si>
  <si>
    <t>k4</t>
  </si>
  <si>
    <t>alfa2</t>
  </si>
  <si>
    <t>y = alfa1.(x^alfa2)</t>
  </si>
  <si>
    <r>
      <t>R</t>
    </r>
    <r>
      <rPr>
        <vertAlign val="superscript"/>
        <sz val="12"/>
        <color theme="1"/>
        <rFont val="Times New Roman"/>
        <family val="1"/>
      </rPr>
      <t>2</t>
    </r>
  </si>
  <si>
    <t>V&gt;0 =&gt; h &gt; 0</t>
  </si>
  <si>
    <t xml:space="preserve">Volume </t>
  </si>
  <si>
    <t>[m6]</t>
  </si>
  <si>
    <t>Indicadores</t>
  </si>
  <si>
    <t>Variáveis Definidoras</t>
  </si>
  <si>
    <t>Volep[m³]</t>
  </si>
  <si>
    <t>Volef [m³]</t>
  </si>
  <si>
    <t>Area</t>
  </si>
  <si>
    <t>Qsis-Qref</t>
  </si>
  <si>
    <t>Qsis,efl [L/s]</t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</si>
  <si>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1</t>
    </r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</si>
  <si>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2</t>
    </r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</si>
  <si>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3</t>
    </r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</si>
  <si>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4</t>
    </r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</si>
  <si>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5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</si>
  <si>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1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</si>
  <si>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2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</si>
  <si>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3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</si>
  <si>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4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</si>
  <si>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5</t>
    </r>
  </si>
  <si>
    <r>
      <t>tc</t>
    </r>
    <r>
      <rPr>
        <vertAlign val="subscript"/>
        <sz val="11"/>
        <color theme="1"/>
        <rFont val="Verdana"/>
        <family val="2"/>
      </rPr>
      <t>i</t>
    </r>
  </si>
  <si>
    <r>
      <t>t</t>
    </r>
    <r>
      <rPr>
        <vertAlign val="subscript"/>
        <sz val="11"/>
        <color theme="1"/>
        <rFont val="Verdana"/>
        <family val="2"/>
      </rPr>
      <t>ci</t>
    </r>
  </si>
  <si>
    <r>
      <t>q</t>
    </r>
    <r>
      <rPr>
        <vertAlign val="subscript"/>
        <sz val="11"/>
        <color theme="1"/>
        <rFont val="Verdana"/>
        <family val="2"/>
      </rPr>
      <t>max,i</t>
    </r>
  </si>
  <si>
    <r>
      <t>Q</t>
    </r>
    <r>
      <rPr>
        <vertAlign val="subscript"/>
        <sz val="11"/>
        <color theme="1"/>
        <rFont val="Verdana"/>
        <family val="2"/>
      </rPr>
      <t>max,i</t>
    </r>
  </si>
  <si>
    <r>
      <t>Q</t>
    </r>
    <r>
      <rPr>
        <vertAlign val="subscript"/>
        <sz val="11"/>
        <color theme="1"/>
        <rFont val="Verdana"/>
        <family val="2"/>
      </rPr>
      <t xml:space="preserve">max,i </t>
    </r>
    <r>
      <rPr>
        <sz val="11"/>
        <color theme="1"/>
        <rFont val="Verdana"/>
        <family val="2"/>
      </rPr>
      <t>= (t</t>
    </r>
    <r>
      <rPr>
        <vertAlign val="subscript"/>
        <sz val="11"/>
        <color theme="1"/>
        <rFont val="Verdana"/>
        <family val="2"/>
      </rPr>
      <t>ci</t>
    </r>
    <r>
      <rPr>
        <sz val="11"/>
        <color theme="1"/>
        <rFont val="Verdana"/>
        <family val="2"/>
      </rPr>
      <t xml:space="preserve"> / t</t>
    </r>
    <r>
      <rPr>
        <vertAlign val="subscript"/>
        <sz val="11"/>
        <color theme="1"/>
        <rFont val="Verdana"/>
        <family val="2"/>
      </rPr>
      <t>c</t>
    </r>
    <r>
      <rPr>
        <sz val="11"/>
        <color theme="1"/>
        <rFont val="Verdana"/>
        <family val="2"/>
      </rPr>
      <t>) . Qmax</t>
    </r>
  </si>
  <si>
    <r>
      <t>C</t>
    </r>
    <r>
      <rPr>
        <vertAlign val="subscript"/>
        <sz val="11"/>
        <color theme="1"/>
        <rFont val="Verdana"/>
        <family val="2"/>
      </rPr>
      <t>i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</si>
  <si>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Verdana"/>
        <family val="2"/>
      </rPr>
      <t>5</t>
    </r>
  </si>
  <si>
    <r>
      <t>t</t>
    </r>
    <r>
      <rPr>
        <b/>
        <vertAlign val="subscript"/>
        <sz val="10"/>
        <color theme="1"/>
        <rFont val="Garamond"/>
        <family val="1"/>
      </rPr>
      <t xml:space="preserve">c </t>
    </r>
  </si>
  <si>
    <r>
      <t>t</t>
    </r>
    <r>
      <rPr>
        <b/>
        <vertAlign val="subscript"/>
        <sz val="10"/>
        <color theme="1"/>
        <rFont val="Garamond"/>
        <family val="1"/>
      </rPr>
      <t>ci</t>
    </r>
  </si>
  <si>
    <r>
      <t>Q</t>
    </r>
    <r>
      <rPr>
        <b/>
        <vertAlign val="subscript"/>
        <sz val="10"/>
        <color theme="1"/>
        <rFont val="Garamond"/>
        <family val="1"/>
      </rPr>
      <t>max</t>
    </r>
  </si>
  <si>
    <r>
      <t>Q</t>
    </r>
    <r>
      <rPr>
        <b/>
        <vertAlign val="subscript"/>
        <sz val="10"/>
        <color theme="1"/>
        <rFont val="Garamond"/>
        <family val="1"/>
      </rPr>
      <t>max,i</t>
    </r>
  </si>
  <si>
    <r>
      <t>C</t>
    </r>
    <r>
      <rPr>
        <b/>
        <vertAlign val="subscript"/>
        <sz val="10"/>
        <color theme="1"/>
        <rFont val="Garamond"/>
        <family val="1"/>
      </rPr>
      <t>i</t>
    </r>
  </si>
  <si>
    <r>
      <t>q</t>
    </r>
    <r>
      <rPr>
        <b/>
        <vertAlign val="subscript"/>
        <sz val="10"/>
        <color theme="1"/>
        <rFont val="Garamond"/>
        <family val="1"/>
      </rPr>
      <t>max,i</t>
    </r>
  </si>
  <si>
    <r>
      <t>Q</t>
    </r>
    <r>
      <rPr>
        <b/>
        <vertAlign val="subscript"/>
        <sz val="10"/>
        <color theme="1"/>
        <rFont val="Garamond"/>
        <family val="1"/>
      </rPr>
      <t>max,lot,i</t>
    </r>
  </si>
  <si>
    <r>
      <t>Q</t>
    </r>
    <r>
      <rPr>
        <b/>
        <vertAlign val="subscript"/>
        <sz val="10"/>
        <color theme="1"/>
        <rFont val="Garamond"/>
        <family val="1"/>
      </rPr>
      <t>ref,i,máx</t>
    </r>
  </si>
  <si>
    <r>
      <t>η</t>
    </r>
    <r>
      <rPr>
        <b/>
        <vertAlign val="subscript"/>
        <sz val="10"/>
        <color theme="1"/>
        <rFont val="Garamond"/>
        <family val="1"/>
      </rPr>
      <t>5</t>
    </r>
  </si>
  <si>
    <t>Rótulo</t>
  </si>
  <si>
    <t>Reservatório 01</t>
  </si>
  <si>
    <r>
      <t>h</t>
    </r>
    <r>
      <rPr>
        <vertAlign val="subscript"/>
        <sz val="11"/>
        <color theme="1"/>
        <rFont val="Verdana"/>
        <family val="2"/>
      </rPr>
      <t>maxmax</t>
    </r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</si>
  <si>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1</t>
    </r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</si>
  <si>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2</t>
    </r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</si>
  <si>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3</t>
    </r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</si>
  <si>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4</t>
    </r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</si>
  <si>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5</t>
    </r>
  </si>
  <si>
    <t>Q1,3</t>
  </si>
  <si>
    <t/>
  </si>
  <si>
    <t>Q1,2</t>
  </si>
  <si>
    <t>H1</t>
  </si>
  <si>
    <t>H2</t>
  </si>
  <si>
    <t>Vertedor</t>
  </si>
  <si>
    <t>Circular</t>
  </si>
  <si>
    <t>Retangular</t>
  </si>
  <si>
    <r>
      <t>C</t>
    </r>
    <r>
      <rPr>
        <vertAlign val="subscript"/>
        <sz val="11"/>
        <color theme="1"/>
        <rFont val="Verdana"/>
        <family val="2"/>
      </rPr>
      <t>dsr</t>
    </r>
  </si>
  <si>
    <r>
      <t>L</t>
    </r>
    <r>
      <rPr>
        <vertAlign val="subscript"/>
        <sz val="11"/>
        <color theme="1"/>
        <rFont val="Verdana"/>
        <family val="2"/>
      </rPr>
      <t>ef</t>
    </r>
  </si>
  <si>
    <t>Espessura</t>
  </si>
  <si>
    <t>Diâmetro interno</t>
  </si>
  <si>
    <t>Diâmetro Nominal</t>
  </si>
  <si>
    <t>Qsis,sem res</t>
  </si>
  <si>
    <t>Li</t>
  </si>
  <si>
    <t>1.0 - Criar a cota-volume</t>
  </si>
  <si>
    <t>Cota</t>
  </si>
  <si>
    <t>Volume</t>
  </si>
  <si>
    <t>a + bxi - y</t>
  </si>
  <si>
    <t>(lnV - lnVmed)^2</t>
  </si>
  <si>
    <t>(lnVcalc - lnVmed)^2</t>
  </si>
  <si>
    <t>n_dados</t>
  </si>
  <si>
    <t>b e c calculados ou adotados</t>
  </si>
  <si>
    <t>Reservatório prismatico</t>
  </si>
  <si>
    <t>Reservatório variável</t>
  </si>
  <si>
    <t>Tipo de vertedor</t>
  </si>
  <si>
    <t>Tipo res</t>
  </si>
  <si>
    <t>2.0 - Colocar os dados de cota volume  e tipo do vertedor</t>
  </si>
  <si>
    <t>3.0 - Colocar os diametros dos orificios</t>
  </si>
  <si>
    <t>Linha orificio</t>
  </si>
  <si>
    <t>Linha vertedor</t>
  </si>
  <si>
    <t>Diam</t>
  </si>
  <si>
    <t>4.0 - Fazer o gráfico de otimização</t>
  </si>
  <si>
    <t>Diametros</t>
  </si>
  <si>
    <t>SIMULAÇÕES</t>
  </si>
  <si>
    <t>Vol.</t>
  </si>
  <si>
    <t>Vol - OK</t>
  </si>
  <si>
    <t>ÓTIMO</t>
  </si>
  <si>
    <t>Diametro</t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</si>
  <si>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Verdana"/>
        <family val="2"/>
      </rPr>
      <t xml:space="preserve">1 </t>
    </r>
    <r>
      <rPr>
        <sz val="12"/>
        <color theme="1"/>
        <rFont val="Verdana"/>
        <family val="2"/>
      </rPr>
      <t>=</t>
    </r>
    <r>
      <rPr>
        <vertAlign val="subscript"/>
        <sz val="12"/>
        <color theme="1"/>
        <rFont val="Verdana"/>
        <family val="2"/>
      </rPr>
      <t xml:space="preserve"> 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</si>
  <si>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Verdana"/>
        <family val="2"/>
      </rPr>
      <t xml:space="preserve">2 </t>
    </r>
    <r>
      <rPr>
        <sz val="12"/>
        <color theme="1"/>
        <rFont val="Verdana"/>
        <family val="2"/>
      </rPr>
      <t xml:space="preserve">= 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</si>
  <si>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Verdana"/>
        <family val="2"/>
      </rPr>
      <t xml:space="preserve">3 </t>
    </r>
    <r>
      <rPr>
        <sz val="12"/>
        <color theme="1"/>
        <rFont val="Verdana"/>
        <family val="2"/>
      </rPr>
      <t xml:space="preserve">= 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</si>
  <si>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Verdana"/>
        <family val="2"/>
      </rPr>
      <t xml:space="preserve">4 </t>
    </r>
    <r>
      <rPr>
        <sz val="12"/>
        <color theme="1"/>
        <rFont val="Verdana"/>
        <family val="2"/>
      </rPr>
      <t xml:space="preserve">= 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</si>
  <si>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Verdana"/>
        <family val="2"/>
      </rPr>
      <t xml:space="preserve">5 </t>
    </r>
    <r>
      <rPr>
        <sz val="12"/>
        <color theme="1"/>
        <rFont val="Verdana"/>
        <family val="2"/>
      </rPr>
      <t>=</t>
    </r>
    <r>
      <rPr>
        <vertAlign val="subscript"/>
        <sz val="12"/>
        <color theme="1"/>
        <rFont val="Verdana"/>
        <family val="2"/>
      </rPr>
      <t xml:space="preserve"> </t>
    </r>
  </si>
  <si>
    <t>Eng. Marcus Nóbrega - EESC-USP - PPGSHS</t>
  </si>
  <si>
    <t>Vol [m³]</t>
  </si>
  <si>
    <t>Qmaxef [L/s]</t>
  </si>
  <si>
    <t>Qmax [L/s]</t>
  </si>
  <si>
    <t>hmax [m]</t>
  </si>
  <si>
    <r>
      <t>Q</t>
    </r>
    <r>
      <rPr>
        <vertAlign val="subscript"/>
        <sz val="11"/>
        <color theme="1"/>
        <rFont val="Verdana"/>
        <family val="2"/>
      </rPr>
      <t>maxef</t>
    </r>
  </si>
  <si>
    <r>
      <rPr>
        <sz val="11"/>
        <color theme="1"/>
        <rFont val="Verdana"/>
        <family val="2"/>
      </rPr>
      <t>t</t>
    </r>
    <r>
      <rPr>
        <vertAlign val="subscript"/>
        <sz val="11"/>
        <color theme="1"/>
        <rFont val="Verdana"/>
        <family val="2"/>
      </rPr>
      <t>max</t>
    </r>
  </si>
  <si>
    <r>
      <t>h</t>
    </r>
    <r>
      <rPr>
        <vertAlign val="subscript"/>
        <sz val="11"/>
        <color theme="1"/>
        <rFont val="Verdana"/>
        <family val="2"/>
      </rPr>
      <t>max</t>
    </r>
  </si>
  <si>
    <r>
      <t>n</t>
    </r>
    <r>
      <rPr>
        <vertAlign val="subscript"/>
        <sz val="11"/>
        <color theme="1"/>
        <rFont val="Verdana"/>
        <family val="2"/>
      </rPr>
      <t>1</t>
    </r>
  </si>
  <si>
    <r>
      <t>n</t>
    </r>
    <r>
      <rPr>
        <vertAlign val="subscript"/>
        <sz val="11"/>
        <color theme="1"/>
        <rFont val="Verdana"/>
        <family val="2"/>
      </rPr>
      <t>2</t>
    </r>
  </si>
  <si>
    <r>
      <t>n</t>
    </r>
    <r>
      <rPr>
        <vertAlign val="subscript"/>
        <sz val="11"/>
        <color theme="1"/>
        <rFont val="Verdana"/>
        <family val="2"/>
      </rPr>
      <t>3</t>
    </r>
  </si>
  <si>
    <r>
      <t>n</t>
    </r>
    <r>
      <rPr>
        <vertAlign val="subscript"/>
        <sz val="11"/>
        <color theme="1"/>
        <rFont val="Verdana"/>
        <family val="2"/>
      </rPr>
      <t>4</t>
    </r>
  </si>
  <si>
    <r>
      <t>n</t>
    </r>
    <r>
      <rPr>
        <vertAlign val="subscript"/>
        <sz val="11"/>
        <color theme="1"/>
        <rFont val="Verdana"/>
        <family val="2"/>
      </rPr>
      <t>5</t>
    </r>
  </si>
  <si>
    <t>MELHOR SOLUÇÃO</t>
  </si>
  <si>
    <t>fis</t>
  </si>
  <si>
    <t>Rotulo</t>
  </si>
  <si>
    <t>--</t>
  </si>
  <si>
    <t>Posição</t>
  </si>
  <si>
    <t>médialnh</t>
  </si>
  <si>
    <t>Variable</t>
  </si>
  <si>
    <t>Value</t>
  </si>
  <si>
    <t>φh = 25 - h = 1.35m - OK</t>
  </si>
  <si>
    <t>φh = 25 - h = 1.33m - OK</t>
  </si>
  <si>
    <t>φh = 25 - h = 1.32m - OK</t>
  </si>
  <si>
    <t xml:space="preserve">Vol = 4.93m³ / Qmaxef = 2.51L/s / φs = 32 mm / φh = 25 mm /  h = 1.32m </t>
  </si>
  <si>
    <t>Vol = 5.06m³ / Qmaxef = 1.98L/s / φs = 20 mm / φh = 25 mm / h = 1.35m</t>
  </si>
  <si>
    <t xml:space="preserve">Vol = 4.98m³ / Qmaxef = 2.32L/s / φs = 25 mm / φh = 25 mm / h = 1.33m </t>
  </si>
  <si>
    <t>Qsem o res</t>
  </si>
  <si>
    <t>Qcom</t>
  </si>
  <si>
    <t xml:space="preserve">Lot scale micro reservoir </t>
  </si>
  <si>
    <t>Input data</t>
  </si>
  <si>
    <t>Watershed</t>
  </si>
  <si>
    <t>Rainfall</t>
  </si>
  <si>
    <t>Hydraulic Model</t>
  </si>
  <si>
    <r>
      <t>C</t>
    </r>
    <r>
      <rPr>
        <vertAlign val="subscript"/>
        <sz val="11"/>
        <color theme="1"/>
        <rFont val="Verdana"/>
        <family val="2"/>
      </rPr>
      <t>s</t>
    </r>
  </si>
  <si>
    <t>Spill</t>
  </si>
  <si>
    <t>Type</t>
  </si>
  <si>
    <t>Step</t>
  </si>
  <si>
    <t>tc-lot,i</t>
  </si>
  <si>
    <t>f</t>
  </si>
  <si>
    <t>Main results summary</t>
  </si>
  <si>
    <t>Verifications</t>
  </si>
  <si>
    <t>Indicators</t>
  </si>
  <si>
    <t>Project criterion and simplifications</t>
  </si>
  <si>
    <t xml:space="preserve">1. - Rainfall is considered constant in all watershed
2. - Lot's time of concentration are assumed
3. - The pre development runoff coefficient is the receptor system runoff project coefficient
4. - For rectangular spills, a constant discharge coefficient is assumed
5. - Time of concentration are calculated by kinematic wave and is assumed a constant mean manning coefficient </t>
  </si>
  <si>
    <t>01) Watershed time of concentration</t>
  </si>
  <si>
    <t>L  [km]</t>
  </si>
  <si>
    <t>S  [m/km]</t>
  </si>
  <si>
    <t>02) Lot catchment reference time of concentration</t>
  </si>
  <si>
    <t>Rounded for the nearest integer</t>
  </si>
  <si>
    <t>03) Rainfall rate</t>
  </si>
  <si>
    <t>04) Maximum outflow in the watershed</t>
  </si>
  <si>
    <t>06) Lot reference outflow</t>
  </si>
  <si>
    <t>05) Maximum catchment reference outflow and maximum specific outflow</t>
  </si>
  <si>
    <t>07) Lot's Runoff coefficient</t>
  </si>
  <si>
    <t>08) Maximum inflow</t>
  </si>
  <si>
    <t>09) Hydrographs</t>
  </si>
  <si>
    <t>n5 indicator aims to explain the resilience</t>
  </si>
  <si>
    <t>Summary</t>
  </si>
  <si>
    <t>Main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</si>
</sst>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%"/>
    <numFmt numFmtId="166" formatCode="0.000"/>
    <numFmt numFmtId="167" formatCode="0&quot;min&quot;"/>
    <numFmt numFmtId="168" formatCode="0.0&quot;L/s&quot;"/>
    <numFmt numFmtId="169" formatCode="0.0&quot;L/s/ha&quot;"/>
    <numFmt numFmtId="170" formatCode="0.00&quot;mm&quot;"/>
  </numFmts>
  <fonts count="37"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vertAlign val="subscript"/>
      <sz val="11"/>
      <color theme="1"/>
      <name val="Verdana"/>
      <family val="2"/>
    </font>
    <font>
      <u/>
      <sz val="11"/>
      <color theme="1"/>
      <name val="Verdana"/>
      <family val="2"/>
    </font>
    <font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vertAlign val="subscript"/>
      <sz val="12"/>
      <color theme="1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2"/>
      <color theme="1"/>
      <name val="Times New Roman"/>
      <family val="1"/>
    </font>
    <font>
      <b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Verdana"/>
      <family val="2"/>
    </font>
    <font>
      <b/>
      <sz val="9"/>
      <color theme="1"/>
      <name val="Garamond"/>
      <family val="1"/>
    </font>
    <font>
      <sz val="9"/>
      <color theme="1"/>
      <name val="Garamond"/>
      <family val="1"/>
    </font>
    <font>
      <sz val="10"/>
      <color theme="1"/>
      <name val="Garamond"/>
      <family val="1"/>
    </font>
    <font>
      <vertAlign val="superscript"/>
      <sz val="12"/>
      <color theme="1"/>
      <name val="Times New Roman"/>
      <family val="1"/>
    </font>
    <font>
      <sz val="8"/>
      <color theme="1"/>
      <name val="Verdana"/>
      <family val="2"/>
    </font>
    <font>
      <sz val="10"/>
      <color theme="1"/>
      <name val="Calibri"/>
      <family val="2"/>
    </font>
    <font>
      <sz val="10"/>
      <color theme="1"/>
      <name val="Garamond"/>
      <family val="2"/>
    </font>
    <font>
      <vertAlign val="subscript"/>
      <sz val="10"/>
      <color theme="1"/>
      <name val="Garamond"/>
      <family val="1"/>
    </font>
    <font>
      <sz val="12"/>
      <color theme="1"/>
      <name val="Calibri"/>
      <family val="2"/>
    </font>
    <font>
      <sz val="12"/>
      <color theme="1"/>
      <name val="Times New Roman"/>
      <family val="2"/>
    </font>
    <font>
      <b/>
      <sz val="10"/>
      <color theme="1"/>
      <name val="Garamond"/>
      <family val="1"/>
    </font>
    <font>
      <b/>
      <vertAlign val="subscript"/>
      <sz val="10"/>
      <color theme="1"/>
      <name val="Garamond"/>
      <family val="1"/>
    </font>
    <font>
      <b/>
      <sz val="10"/>
      <color theme="1"/>
      <name val="Garamond"/>
      <family val="2"/>
    </font>
    <font>
      <b/>
      <sz val="10"/>
      <color theme="1"/>
      <name val="Calibri"/>
      <family val="2"/>
    </font>
    <font>
      <sz val="9"/>
      <color theme="1"/>
      <name val="Verdana"/>
      <family val="2"/>
    </font>
    <font>
      <sz val="10"/>
      <color theme="1"/>
      <name val="Garamobd"/>
    </font>
    <font>
      <sz val="8"/>
      <color theme="1"/>
      <name val="Candara"/>
      <family val="2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dashDotDot">
        <color theme="0" tint="-0.499984740745262"/>
      </left>
      <right style="dashDotDot">
        <color theme="0" tint="-0.499984740745262"/>
      </right>
      <top/>
      <bottom/>
      <diagonal/>
    </border>
    <border>
      <left/>
      <right style="dashDotDot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dashDotDot">
        <color theme="0" tint="-0.499984740745262"/>
      </left>
      <right/>
      <top/>
      <bottom style="thin">
        <color theme="1"/>
      </bottom>
      <diagonal/>
    </border>
    <border>
      <left style="dashed">
        <color indexed="64"/>
      </left>
      <right/>
      <top style="thin">
        <color auto="1"/>
      </top>
      <bottom/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235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1" fillId="2" borderId="0" xfId="0" applyNumberFormat="1" applyFont="1" applyFill="1" applyBorder="1"/>
    <xf numFmtId="0" fontId="1" fillId="2" borderId="4" xfId="0" applyFont="1" applyFill="1" applyBorder="1"/>
    <xf numFmtId="0" fontId="2" fillId="2" borderId="0" xfId="0" applyFont="1" applyFill="1"/>
    <xf numFmtId="0" fontId="1" fillId="2" borderId="5" xfId="0" applyFont="1" applyFill="1" applyBorder="1"/>
    <xf numFmtId="2" fontId="1" fillId="2" borderId="6" xfId="0" applyNumberFormat="1" applyFont="1" applyFill="1" applyBorder="1"/>
    <xf numFmtId="0" fontId="1" fillId="2" borderId="7" xfId="0" applyFont="1" applyFill="1" applyBorder="1"/>
    <xf numFmtId="0" fontId="1" fillId="2" borderId="9" xfId="0" applyFont="1" applyFill="1" applyBorder="1"/>
    <xf numFmtId="0" fontId="4" fillId="2" borderId="0" xfId="0" applyFont="1" applyFill="1"/>
    <xf numFmtId="0" fontId="0" fillId="2" borderId="0" xfId="0" applyFill="1"/>
    <xf numFmtId="2" fontId="1" fillId="2" borderId="10" xfId="0" applyNumberFormat="1" applyFont="1" applyFill="1" applyBorder="1"/>
    <xf numFmtId="0" fontId="1" fillId="2" borderId="0" xfId="0" applyFont="1" applyFill="1" applyBorder="1"/>
    <xf numFmtId="2" fontId="1" fillId="2" borderId="0" xfId="0" applyNumberFormat="1" applyFont="1" applyFill="1"/>
    <xf numFmtId="0" fontId="5" fillId="2" borderId="0" xfId="0" applyFont="1" applyFill="1"/>
    <xf numFmtId="0" fontId="7" fillId="3" borderId="0" xfId="0" applyFont="1" applyFill="1"/>
    <xf numFmtId="0" fontId="8" fillId="3" borderId="0" xfId="0" applyFont="1" applyFill="1"/>
    <xf numFmtId="1" fontId="1" fillId="2" borderId="0" xfId="0" applyNumberFormat="1" applyFont="1" applyFill="1"/>
    <xf numFmtId="2" fontId="5" fillId="2" borderId="0" xfId="0" applyNumberFormat="1" applyFont="1" applyFill="1"/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1" fontId="7" fillId="2" borderId="6" xfId="0" applyNumberFormat="1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2" fontId="7" fillId="2" borderId="1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center" vertical="center"/>
    </xf>
    <xf numFmtId="164" fontId="7" fillId="2" borderId="0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/>
    <xf numFmtId="0" fontId="8" fillId="3" borderId="0" xfId="0" applyFont="1" applyFill="1" applyAlignment="1">
      <alignment horizontal="center"/>
    </xf>
    <xf numFmtId="2" fontId="7" fillId="3" borderId="0" xfId="0" applyNumberFormat="1" applyFont="1" applyFill="1" applyAlignment="1">
      <alignment horizontal="center"/>
    </xf>
    <xf numFmtId="1" fontId="7" fillId="3" borderId="0" xfId="0" applyNumberFormat="1" applyFont="1" applyFill="1" applyAlignment="1">
      <alignment horizontal="center"/>
    </xf>
    <xf numFmtId="2" fontId="7" fillId="2" borderId="0" xfId="0" applyNumberFormat="1" applyFont="1" applyFill="1" applyAlignment="1">
      <alignment horizontal="center"/>
    </xf>
    <xf numFmtId="164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1" fontId="7" fillId="3" borderId="0" xfId="0" applyNumberFormat="1" applyFont="1" applyFill="1"/>
    <xf numFmtId="2" fontId="7" fillId="3" borderId="0" xfId="0" applyNumberFormat="1" applyFont="1" applyFill="1"/>
    <xf numFmtId="0" fontId="7" fillId="3" borderId="0" xfId="0" applyFont="1" applyFill="1" applyAlignment="1">
      <alignment horizontal="left" vertical="center"/>
    </xf>
    <xf numFmtId="2" fontId="12" fillId="2" borderId="0" xfId="0" applyNumberFormat="1" applyFont="1" applyFill="1"/>
    <xf numFmtId="2" fontId="8" fillId="2" borderId="0" xfId="0" applyNumberFormat="1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2" fontId="14" fillId="2" borderId="0" xfId="0" applyNumberFormat="1" applyFont="1" applyFill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2" fontId="17" fillId="2" borderId="0" xfId="0" applyNumberFormat="1" applyFont="1" applyFill="1" applyAlignment="1">
      <alignment horizontal="center" vertical="center" wrapText="1"/>
    </xf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vertical="center"/>
    </xf>
    <xf numFmtId="10" fontId="7" fillId="3" borderId="0" xfId="1" applyNumberFormat="1" applyFont="1" applyFill="1"/>
    <xf numFmtId="0" fontId="5" fillId="3" borderId="0" xfId="0" applyFont="1" applyFill="1"/>
    <xf numFmtId="0" fontId="18" fillId="3" borderId="0" xfId="0" applyFont="1" applyFill="1"/>
    <xf numFmtId="0" fontId="5" fillId="3" borderId="0" xfId="0" applyFont="1" applyFill="1" applyAlignment="1"/>
    <xf numFmtId="0" fontId="5" fillId="3" borderId="11" xfId="0" applyFont="1" applyFill="1" applyBorder="1"/>
    <xf numFmtId="0" fontId="19" fillId="2" borderId="0" xfId="0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20" fillId="2" borderId="11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21" fillId="2" borderId="0" xfId="0" applyFont="1" applyFill="1"/>
    <xf numFmtId="0" fontId="7" fillId="3" borderId="0" xfId="0" applyFont="1" applyFill="1" applyAlignment="1">
      <alignment horizontal="left"/>
    </xf>
    <xf numFmtId="166" fontId="7" fillId="3" borderId="0" xfId="0" applyNumberFormat="1" applyFont="1" applyFill="1" applyAlignment="1">
      <alignment horizontal="center"/>
    </xf>
    <xf numFmtId="0" fontId="8" fillId="2" borderId="17" xfId="0" applyFont="1" applyFill="1" applyBorder="1" applyAlignment="1">
      <alignment horizontal="center"/>
    </xf>
    <xf numFmtId="165" fontId="7" fillId="3" borderId="0" xfId="1" applyNumberFormat="1" applyFont="1" applyFill="1" applyAlignment="1">
      <alignment horizontal="center" vertical="center"/>
    </xf>
    <xf numFmtId="0" fontId="7" fillId="5" borderId="19" xfId="0" applyFont="1" applyFill="1" applyBorder="1"/>
    <xf numFmtId="0" fontId="7" fillId="5" borderId="19" xfId="0" applyFont="1" applyFill="1" applyBorder="1" applyAlignment="1">
      <alignment horizontal="center" vertical="center"/>
    </xf>
    <xf numFmtId="0" fontId="7" fillId="6" borderId="22" xfId="0" applyFont="1" applyFill="1" applyBorder="1"/>
    <xf numFmtId="165" fontId="23" fillId="2" borderId="0" xfId="1" applyNumberFormat="1" applyFont="1" applyFill="1" applyAlignment="1">
      <alignment horizontal="left"/>
    </xf>
    <xf numFmtId="0" fontId="25" fillId="2" borderId="0" xfId="0" applyFont="1" applyFill="1" applyAlignment="1">
      <alignment vertical="center"/>
    </xf>
    <xf numFmtId="165" fontId="21" fillId="2" borderId="0" xfId="1" applyNumberFormat="1" applyFont="1" applyFill="1" applyAlignment="1">
      <alignment horizontal="center" vertical="center"/>
    </xf>
    <xf numFmtId="165" fontId="21" fillId="2" borderId="11" xfId="1" applyNumberFormat="1" applyFont="1" applyFill="1" applyBorder="1" applyAlignment="1">
      <alignment horizontal="center" vertical="center"/>
    </xf>
    <xf numFmtId="165" fontId="21" fillId="2" borderId="0" xfId="1" applyNumberFormat="1" applyFont="1" applyFill="1" applyAlignment="1">
      <alignment horizontal="left" vertical="center"/>
    </xf>
    <xf numFmtId="164" fontId="1" fillId="2" borderId="0" xfId="0" applyNumberFormat="1" applyFont="1" applyFill="1"/>
    <xf numFmtId="0" fontId="1" fillId="0" borderId="0" xfId="0" applyFont="1"/>
    <xf numFmtId="0" fontId="28" fillId="3" borderId="0" xfId="0" applyFont="1" applyFill="1" applyAlignment="1">
      <alignment horizontal="center" vertical="center"/>
    </xf>
    <xf numFmtId="0" fontId="5" fillId="3" borderId="8" xfId="0" applyFont="1" applyFill="1" applyBorder="1" applyAlignment="1">
      <alignment horizontal="center"/>
    </xf>
    <xf numFmtId="0" fontId="29" fillId="2" borderId="12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right"/>
    </xf>
    <xf numFmtId="2" fontId="21" fillId="2" borderId="13" xfId="0" applyNumberFormat="1" applyFont="1" applyFill="1" applyBorder="1" applyAlignment="1">
      <alignment horizontal="right"/>
    </xf>
    <xf numFmtId="0" fontId="21" fillId="2" borderId="14" xfId="0" applyFont="1" applyFill="1" applyBorder="1" applyAlignment="1"/>
    <xf numFmtId="0" fontId="21" fillId="2" borderId="14" xfId="0" applyFont="1" applyFill="1" applyBorder="1" applyAlignment="1">
      <alignment horizontal="left"/>
    </xf>
    <xf numFmtId="0" fontId="29" fillId="0" borderId="12" xfId="0" applyFont="1" applyBorder="1" applyAlignment="1">
      <alignment horizontal="center"/>
    </xf>
    <xf numFmtId="165" fontId="25" fillId="2" borderId="11" xfId="1" applyNumberFormat="1" applyFont="1" applyFill="1" applyBorder="1" applyAlignment="1">
      <alignment horizontal="left" vertical="center"/>
    </xf>
    <xf numFmtId="0" fontId="31" fillId="2" borderId="0" xfId="0" applyFont="1" applyFill="1" applyAlignment="1">
      <alignment vertical="center"/>
    </xf>
    <xf numFmtId="165" fontId="29" fillId="2" borderId="0" xfId="1" applyNumberFormat="1" applyFont="1" applyFill="1" applyAlignment="1">
      <alignment horizontal="left" vertical="center"/>
    </xf>
    <xf numFmtId="165" fontId="31" fillId="2" borderId="11" xfId="1" applyNumberFormat="1" applyFont="1" applyFill="1" applyBorder="1" applyAlignment="1">
      <alignment horizontal="left" vertical="center"/>
    </xf>
    <xf numFmtId="164" fontId="21" fillId="2" borderId="13" xfId="0" applyNumberFormat="1" applyFont="1" applyFill="1" applyBorder="1" applyAlignment="1">
      <alignment horizontal="right"/>
    </xf>
    <xf numFmtId="9" fontId="21" fillId="2" borderId="13" xfId="1" applyFont="1" applyFill="1" applyBorder="1" applyAlignment="1">
      <alignment horizontal="right"/>
    </xf>
    <xf numFmtId="0" fontId="29" fillId="2" borderId="12" xfId="0" applyFont="1" applyFill="1" applyBorder="1" applyAlignment="1">
      <alignment horizontal="center" vertical="center"/>
    </xf>
    <xf numFmtId="165" fontId="1" fillId="2" borderId="0" xfId="1" applyNumberFormat="1" applyFont="1" applyFill="1"/>
    <xf numFmtId="2" fontId="5" fillId="3" borderId="8" xfId="0" applyNumberFormat="1" applyFont="1" applyFill="1" applyBorder="1" applyAlignment="1">
      <alignment horizontal="center"/>
    </xf>
    <xf numFmtId="164" fontId="5" fillId="3" borderId="8" xfId="0" applyNumberFormat="1" applyFont="1" applyFill="1" applyBorder="1" applyAlignment="1">
      <alignment horizontal="center"/>
    </xf>
    <xf numFmtId="1" fontId="5" fillId="3" borderId="8" xfId="0" applyNumberFormat="1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34" fillId="3" borderId="0" xfId="0" applyFont="1" applyFill="1" applyBorder="1" applyAlignment="1">
      <alignment horizontal="center"/>
    </xf>
    <xf numFmtId="2" fontId="1" fillId="6" borderId="6" xfId="0" applyNumberFormat="1" applyFont="1" applyFill="1" applyBorder="1"/>
    <xf numFmtId="0" fontId="1" fillId="6" borderId="6" xfId="0" applyFont="1" applyFill="1" applyBorder="1" applyAlignment="1">
      <alignment horizontal="center"/>
    </xf>
    <xf numFmtId="0" fontId="1" fillId="6" borderId="6" xfId="0" applyFont="1" applyFill="1" applyBorder="1"/>
    <xf numFmtId="2" fontId="1" fillId="6" borderId="0" xfId="0" applyNumberFormat="1" applyFont="1" applyFill="1" applyBorder="1"/>
    <xf numFmtId="0" fontId="1" fillId="6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6" borderId="23" xfId="0" applyFont="1" applyFill="1" applyBorder="1"/>
    <xf numFmtId="0" fontId="1" fillId="6" borderId="24" xfId="0" applyFont="1" applyFill="1" applyBorder="1"/>
    <xf numFmtId="0" fontId="1" fillId="6" borderId="25" xfId="0" applyFont="1" applyFill="1" applyBorder="1"/>
    <xf numFmtId="0" fontId="1" fillId="6" borderId="26" xfId="0" applyFont="1" applyFill="1" applyBorder="1"/>
    <xf numFmtId="0" fontId="1" fillId="6" borderId="27" xfId="0" applyFont="1" applyFill="1" applyBorder="1"/>
    <xf numFmtId="0" fontId="1" fillId="6" borderId="28" xfId="0" applyFont="1" applyFill="1" applyBorder="1"/>
    <xf numFmtId="0" fontId="1" fillId="6" borderId="28" xfId="0" applyFont="1" applyFill="1" applyBorder="1" applyAlignment="1">
      <alignment horizontal="center"/>
    </xf>
    <xf numFmtId="2" fontId="1" fillId="6" borderId="28" xfId="0" applyNumberFormat="1" applyFont="1" applyFill="1" applyBorder="1"/>
    <xf numFmtId="0" fontId="1" fillId="6" borderId="29" xfId="0" applyFont="1" applyFill="1" applyBorder="1"/>
    <xf numFmtId="0" fontId="7" fillId="3" borderId="0" xfId="0" applyFont="1" applyFill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7" borderId="0" xfId="0" applyFont="1" applyFill="1"/>
    <xf numFmtId="0" fontId="7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164" fontId="7" fillId="3" borderId="0" xfId="0" applyNumberFormat="1" applyFont="1" applyFill="1" applyAlignment="1">
      <alignment horizontal="center" vertical="center"/>
    </xf>
    <xf numFmtId="164" fontId="7" fillId="4" borderId="0" xfId="0" applyNumberFormat="1" applyFont="1" applyFill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1" fillId="2" borderId="0" xfId="0" applyFont="1" applyFill="1" applyAlignment="1">
      <alignment vertical="center" wrapText="1"/>
    </xf>
    <xf numFmtId="165" fontId="1" fillId="2" borderId="0" xfId="1" applyNumberFormat="1" applyFont="1" applyFill="1" applyAlignment="1">
      <alignment horizontal="left"/>
    </xf>
    <xf numFmtId="0" fontId="5" fillId="2" borderId="0" xfId="0" applyFont="1" applyFill="1" applyAlignment="1">
      <alignment horizontal="right"/>
    </xf>
    <xf numFmtId="9" fontId="1" fillId="2" borderId="0" xfId="1" applyFont="1" applyFill="1" applyAlignment="1">
      <alignment horizontal="left"/>
    </xf>
    <xf numFmtId="0" fontId="6" fillId="2" borderId="0" xfId="0" applyFont="1" applyFill="1"/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2" fontId="5" fillId="2" borderId="0" xfId="0" applyNumberFormat="1" applyFont="1" applyFill="1" applyBorder="1" applyAlignment="1">
      <alignment horizontal="center"/>
    </xf>
    <xf numFmtId="9" fontId="5" fillId="2" borderId="0" xfId="0" applyNumberFormat="1" applyFont="1" applyFill="1" applyBorder="1"/>
    <xf numFmtId="0" fontId="1" fillId="2" borderId="11" xfId="0" applyFont="1" applyFill="1" applyBorder="1"/>
    <xf numFmtId="0" fontId="5" fillId="2" borderId="1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5" fillId="2" borderId="15" xfId="0" applyFont="1" applyFill="1" applyBorder="1"/>
    <xf numFmtId="0" fontId="0" fillId="2" borderId="11" xfId="0" applyFill="1" applyBorder="1"/>
    <xf numFmtId="0" fontId="35" fillId="2" borderId="11" xfId="0" applyFont="1" applyFill="1" applyBorder="1" applyAlignment="1">
      <alignment horizontal="center"/>
    </xf>
    <xf numFmtId="0" fontId="1" fillId="2" borderId="13" xfId="0" applyFont="1" applyFill="1" applyBorder="1"/>
    <xf numFmtId="0" fontId="3" fillId="2" borderId="0" xfId="0" applyFont="1" applyFill="1" applyBorder="1" applyAlignment="1">
      <alignment horizontal="center"/>
    </xf>
    <xf numFmtId="9" fontId="1" fillId="2" borderId="0" xfId="1" applyFont="1" applyFill="1" applyBorder="1" applyAlignment="1">
      <alignment horizontal="center"/>
    </xf>
    <xf numFmtId="9" fontId="1" fillId="2" borderId="11" xfId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Border="1"/>
    <xf numFmtId="0" fontId="1" fillId="2" borderId="9" xfId="0" applyFont="1" applyFill="1" applyBorder="1" applyProtection="1">
      <protection locked="0"/>
    </xf>
    <xf numFmtId="0" fontId="1" fillId="2" borderId="9" xfId="0" applyNumberFormat="1" applyFont="1" applyFill="1" applyBorder="1" applyAlignment="1" applyProtection="1">
      <alignment horizontal="right"/>
      <protection locked="0"/>
    </xf>
    <xf numFmtId="0" fontId="1" fillId="2" borderId="9" xfId="0" applyFont="1" applyFill="1" applyBorder="1" applyAlignment="1" applyProtection="1">
      <alignment horizontal="right"/>
      <protection locked="0"/>
    </xf>
    <xf numFmtId="0" fontId="33" fillId="2" borderId="9" xfId="0" applyFont="1" applyFill="1" applyBorder="1" applyAlignment="1" applyProtection="1">
      <alignment horizontal="right"/>
      <protection locked="0"/>
    </xf>
    <xf numFmtId="2" fontId="0" fillId="2" borderId="13" xfId="0" applyNumberFormat="1" applyFill="1" applyBorder="1" applyAlignment="1" applyProtection="1">
      <alignment horizontal="center"/>
      <protection locked="0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36" fillId="2" borderId="0" xfId="0" applyFont="1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169" fontId="5" fillId="2" borderId="0" xfId="0" applyNumberFormat="1" applyFont="1" applyFill="1" applyBorder="1" applyAlignment="1">
      <alignment horizontal="center"/>
    </xf>
    <xf numFmtId="169" fontId="5" fillId="2" borderId="3" xfId="0" applyNumberFormat="1" applyFont="1" applyFill="1" applyBorder="1" applyAlignment="1">
      <alignment horizontal="center"/>
    </xf>
    <xf numFmtId="168" fontId="5" fillId="2" borderId="0" xfId="0" applyNumberFormat="1" applyFont="1" applyFill="1" applyBorder="1" applyAlignment="1">
      <alignment horizontal="center"/>
    </xf>
    <xf numFmtId="168" fontId="5" fillId="2" borderId="3" xfId="0" applyNumberFormat="1" applyFont="1" applyFill="1" applyBorder="1" applyAlignment="1">
      <alignment horizontal="center"/>
    </xf>
    <xf numFmtId="168" fontId="5" fillId="2" borderId="11" xfId="0" applyNumberFormat="1" applyFont="1" applyFill="1" applyBorder="1" applyAlignment="1">
      <alignment horizontal="center"/>
    </xf>
    <xf numFmtId="168" fontId="5" fillId="2" borderId="1" xfId="0" applyNumberFormat="1" applyFont="1" applyFill="1" applyBorder="1" applyAlignment="1">
      <alignment horizontal="center"/>
    </xf>
    <xf numFmtId="9" fontId="5" fillId="2" borderId="11" xfId="0" applyNumberFormat="1" applyFont="1" applyFill="1" applyBorder="1" applyAlignment="1">
      <alignment horizontal="center"/>
    </xf>
    <xf numFmtId="9" fontId="5" fillId="2" borderId="1" xfId="0" applyNumberFormat="1" applyFont="1" applyFill="1" applyBorder="1" applyAlignment="1">
      <alignment horizontal="center"/>
    </xf>
    <xf numFmtId="170" fontId="5" fillId="2" borderId="0" xfId="0" applyNumberFormat="1" applyFont="1" applyFill="1" applyBorder="1" applyAlignment="1">
      <alignment horizontal="center"/>
    </xf>
    <xf numFmtId="170" fontId="5" fillId="2" borderId="3" xfId="0" applyNumberFormat="1" applyFont="1" applyFill="1" applyBorder="1" applyAlignment="1">
      <alignment horizontal="center"/>
    </xf>
    <xf numFmtId="2" fontId="5" fillId="2" borderId="0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167" fontId="5" fillId="2" borderId="0" xfId="0" applyNumberFormat="1" applyFont="1" applyFill="1" applyBorder="1" applyAlignment="1">
      <alignment horizontal="center"/>
    </xf>
    <xf numFmtId="167" fontId="5" fillId="2" borderId="3" xfId="0" applyNumberFormat="1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167" fontId="5" fillId="2" borderId="6" xfId="0" applyNumberFormat="1" applyFont="1" applyFill="1" applyBorder="1" applyAlignment="1">
      <alignment horizontal="center"/>
    </xf>
    <xf numFmtId="167" fontId="5" fillId="2" borderId="5" xfId="0" applyNumberFormat="1" applyFont="1" applyFill="1" applyBorder="1" applyAlignment="1">
      <alignment horizontal="center"/>
    </xf>
    <xf numFmtId="170" fontId="5" fillId="2" borderId="6" xfId="0" applyNumberFormat="1" applyFont="1" applyFill="1" applyBorder="1" applyAlignment="1">
      <alignment horizontal="center"/>
    </xf>
    <xf numFmtId="170" fontId="5" fillId="2" borderId="5" xfId="0" applyNumberFormat="1" applyFont="1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1" fillId="2" borderId="0" xfId="0" applyFont="1" applyFill="1" applyAlignment="1">
      <alignment horizontal="left"/>
    </xf>
    <xf numFmtId="0" fontId="1" fillId="2" borderId="11" xfId="0" applyFont="1" applyFill="1" applyBorder="1" applyAlignment="1">
      <alignment horizontal="center"/>
    </xf>
    <xf numFmtId="0" fontId="1" fillId="2" borderId="0" xfId="0" applyFont="1" applyFill="1" applyAlignment="1">
      <alignment horizontal="left" vertical="center" wrapText="1"/>
    </xf>
    <xf numFmtId="0" fontId="1" fillId="2" borderId="0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left" vertical="center" wrapText="1"/>
    </xf>
    <xf numFmtId="0" fontId="6" fillId="2" borderId="0" xfId="0" applyFont="1" applyFill="1" applyBorder="1" applyAlignment="1">
      <alignment horizontal="left" vertical="center" wrapText="1"/>
    </xf>
    <xf numFmtId="1" fontId="7" fillId="2" borderId="6" xfId="0" applyNumberFormat="1" applyFont="1" applyFill="1" applyBorder="1" applyAlignment="1">
      <alignment horizontal="center" vertical="center"/>
    </xf>
    <xf numFmtId="1" fontId="7" fillId="2" borderId="5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7" fillId="3" borderId="16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8" fillId="6" borderId="21" xfId="0" applyFont="1" applyFill="1" applyBorder="1" applyAlignment="1">
      <alignment horizontal="center"/>
    </xf>
    <xf numFmtId="0" fontId="8" fillId="6" borderId="20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8" fillId="6" borderId="13" xfId="0" applyFont="1" applyFill="1" applyBorder="1" applyAlignment="1">
      <alignment horizontal="center"/>
    </xf>
    <xf numFmtId="0" fontId="5" fillId="3" borderId="0" xfId="0" applyFont="1" applyFill="1" applyAlignment="1">
      <alignment horizontal="left"/>
    </xf>
    <xf numFmtId="0" fontId="5" fillId="3" borderId="8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29" fillId="2" borderId="13" xfId="0" applyFont="1" applyFill="1" applyBorder="1" applyAlignment="1">
      <alignment horizontal="center" vertical="center"/>
    </xf>
    <xf numFmtId="0" fontId="29" fillId="2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 vertical="center"/>
    </xf>
    <xf numFmtId="0" fontId="21" fillId="2" borderId="13" xfId="0" applyFont="1" applyFill="1" applyBorder="1" applyAlignment="1">
      <alignment horizontal="center"/>
    </xf>
    <xf numFmtId="0" fontId="21" fillId="2" borderId="11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 vertical="center"/>
    </xf>
    <xf numFmtId="0" fontId="21" fillId="2" borderId="6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</cellXfs>
  <cellStyles count="2">
    <cellStyle name="Normal" xfId="0" builtinId="0"/>
    <cellStyle name="Porcentagem" xfId="1" builtinId="5"/>
  </cellStyles>
  <dxfs count="57"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Dados_de_entrada!$N$66</c:f>
          <c:strCache>
            <c:ptCount val="1"/>
            <c:pt idx="0">
              <c:v>Simulation : Reservoir type (Prismático) - Spill (Circular) - Elevation = 1,2 m ; φs = 40mm</c:v>
            </c:pt>
          </c:strCache>
        </c:strRef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5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34235931727828E-2"/>
          <c:y val="0.10620032722456718"/>
          <c:w val="0.7636884589094578"/>
          <c:h val="0.51356820521807711"/>
        </c:manualLayout>
      </c:layout>
      <c:barChart>
        <c:barDir val="col"/>
        <c:grouping val="clustered"/>
        <c:varyColors val="0"/>
        <c:ser>
          <c:idx val="0"/>
          <c:order val="0"/>
          <c:tx>
            <c:v>Volume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B8-4E07-A4AF-AC65AB6F385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B8-4E07-A4AF-AC65AB6F385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B8-4E07-A4AF-AC65AB6F385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B8-4E07-A4AF-AC65AB6F385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4B8-4E07-A4AF-AC65AB6F385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4B8-4E07-A4AF-AC65AB6F3859}"/>
              </c:ext>
            </c:extLst>
          </c:dPt>
          <c:cat>
            <c:strRef>
              <c:f>'Base de dados'!$P$28:$R$40</c:f>
              <c:strCache>
                <c:ptCount val="13"/>
                <c:pt idx="0">
                  <c:v>φh = 15 - h = 1,58m - N-OK</c:v>
                </c:pt>
                <c:pt idx="1">
                  <c:v>φh = 20 - h = 1,47m - OK</c:v>
                </c:pt>
                <c:pt idx="2">
                  <c:v>φh = 25 - h = 1,3m - OK</c:v>
                </c:pt>
                <c:pt idx="3">
                  <c:v>φh = 32 - h = 1,04m - OK</c:v>
                </c:pt>
                <c:pt idx="4">
                  <c:v>φh = 40 - h = 0,7m - N-OK</c:v>
                </c:pt>
                <c:pt idx="5">
                  <c:v>φh = 50 - h = 0,43m - N-OK</c:v>
                </c:pt>
                <c:pt idx="6">
                  <c:v>φh = 60 - h = 0,21m - N-OK</c:v>
                </c:pt>
                <c:pt idx="7">
                  <c:v>φh = 75 - h = 0,14m - N-OK</c:v>
                </c:pt>
                <c:pt idx="8">
                  <c:v>φh = 100 - h = 0,09m - N-OK</c:v>
                </c:pt>
                <c:pt idx="9">
                  <c:v>φh = 110 - h = 0,08m - N-OK</c:v>
                </c:pt>
                <c:pt idx="10">
                  <c:v>φh = 125 - h = 0,08m - N-OK</c:v>
                </c:pt>
                <c:pt idx="11">
                  <c:v>φh = 150 - h = 0,09m - N-OK</c:v>
                </c:pt>
                <c:pt idx="12">
                  <c:v>φh = 180 - h = 0,1m - N-OK</c:v>
                </c:pt>
              </c:strCache>
            </c:strRef>
          </c:cat>
          <c:val>
            <c:numRef>
              <c:f>'Base de dados'!$L$28:$L$40</c:f>
              <c:numCache>
                <c:formatCode>0</c:formatCode>
                <c:ptCount val="13"/>
                <c:pt idx="0">
                  <c:v>5.90625</c:v>
                </c:pt>
                <c:pt idx="1">
                  <c:v>5.5031249999999998</c:v>
                </c:pt>
                <c:pt idx="2">
                  <c:v>4.8656250000000005</c:v>
                </c:pt>
                <c:pt idx="3">
                  <c:v>3.8812499999999996</c:v>
                </c:pt>
                <c:pt idx="4">
                  <c:v>2.6343749999999999</c:v>
                </c:pt>
                <c:pt idx="5">
                  <c:v>1.6031249999999999</c:v>
                </c:pt>
                <c:pt idx="6" formatCode="General">
                  <c:v>0.77812499999999996</c:v>
                </c:pt>
                <c:pt idx="7" formatCode="General">
                  <c:v>0.53437499999999993</c:v>
                </c:pt>
                <c:pt idx="8" formatCode="General">
                  <c:v>0.328125</c:v>
                </c:pt>
                <c:pt idx="9" formatCode="General">
                  <c:v>0.29062500000000002</c:v>
                </c:pt>
                <c:pt idx="10" formatCode="General">
                  <c:v>0.29062500000000002</c:v>
                </c:pt>
                <c:pt idx="11" formatCode="General">
                  <c:v>0.328125</c:v>
                </c:pt>
                <c:pt idx="12" formatCode="General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B8-4E07-A4AF-AC65AB6F3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05083632"/>
        <c:axId val="805084192"/>
      </c:barChart>
      <c:lineChart>
        <c:grouping val="standard"/>
        <c:varyColors val="0"/>
        <c:ser>
          <c:idx val="1"/>
          <c:order val="1"/>
          <c:tx>
            <c:v>Maximum outflow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tar"/>
            <c:size val="9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'Base de dados'!$K$28:$K$40</c:f>
              <c:numCache>
                <c:formatCode>General</c:formatCode>
                <c:ptCount val="13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32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75</c:v>
                </c:pt>
                <c:pt idx="8">
                  <c:v>100</c:v>
                </c:pt>
                <c:pt idx="9">
                  <c:v>110</c:v>
                </c:pt>
                <c:pt idx="10">
                  <c:v>125</c:v>
                </c:pt>
                <c:pt idx="11">
                  <c:v>150</c:v>
                </c:pt>
                <c:pt idx="12">
                  <c:v>180</c:v>
                </c:pt>
              </c:numCache>
            </c:numRef>
          </c:cat>
          <c:val>
            <c:numRef>
              <c:f>'Base de dados'!$M$28:$M$40</c:f>
              <c:numCache>
                <c:formatCode>0.0</c:formatCode>
                <c:ptCount val="13"/>
                <c:pt idx="0">
                  <c:v>2.4006437921470285</c:v>
                </c:pt>
                <c:pt idx="1">
                  <c:v>2.5901231202581045</c:v>
                </c:pt>
                <c:pt idx="2">
                  <c:v>2.7012694587810291</c:v>
                </c:pt>
                <c:pt idx="3">
                  <c:v>2.7043379408169734</c:v>
                </c:pt>
                <c:pt idx="4">
                  <c:v>3.3891331827509354</c:v>
                </c:pt>
                <c:pt idx="5">
                  <c:v>3.8121891806374619</c:v>
                </c:pt>
                <c:pt idx="6" formatCode="General">
                  <c:v>3.9093144756460481</c:v>
                </c:pt>
                <c:pt idx="7" formatCode="General">
                  <c:v>3.9052155128212367</c:v>
                </c:pt>
                <c:pt idx="8" formatCode="General">
                  <c:v>3.968253754954354</c:v>
                </c:pt>
                <c:pt idx="9" formatCode="General">
                  <c:v>3.9029006916637665</c:v>
                </c:pt>
                <c:pt idx="10" formatCode="General">
                  <c:v>3.7185680604395479</c:v>
                </c:pt>
                <c:pt idx="11" formatCode="General">
                  <c:v>4.3712112216476084</c:v>
                </c:pt>
                <c:pt idx="12" formatCode="General">
                  <c:v>5.8168004780625768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4B8-4E07-A4AF-AC65AB6F3859}"/>
            </c:ext>
          </c:extLst>
        </c:ser>
        <c:ser>
          <c:idx val="2"/>
          <c:order val="2"/>
          <c:tx>
            <c:v>Reference outflow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FF0000"/>
                </a:solidFill>
                <a:prstDash val="dash"/>
              </a:ln>
              <a:effectLst/>
            </c:spPr>
          </c:marker>
          <c:cat>
            <c:numRef>
              <c:f>'Base de dados'!$K$28:$K$40</c:f>
              <c:numCache>
                <c:formatCode>General</c:formatCode>
                <c:ptCount val="13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32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75</c:v>
                </c:pt>
                <c:pt idx="8">
                  <c:v>100</c:v>
                </c:pt>
                <c:pt idx="9">
                  <c:v>110</c:v>
                </c:pt>
                <c:pt idx="10">
                  <c:v>125</c:v>
                </c:pt>
                <c:pt idx="11">
                  <c:v>150</c:v>
                </c:pt>
                <c:pt idx="12">
                  <c:v>180</c:v>
                </c:pt>
              </c:numCache>
            </c:numRef>
          </c:cat>
          <c:val>
            <c:numRef>
              <c:f>'Base de dados'!$N$28:$N$40</c:f>
              <c:numCache>
                <c:formatCode>0.0</c:formatCode>
                <c:ptCount val="13"/>
                <c:pt idx="0">
                  <c:v>3.0784242293765245</c:v>
                </c:pt>
                <c:pt idx="1">
                  <c:v>3.0784242293765245</c:v>
                </c:pt>
                <c:pt idx="2">
                  <c:v>3.0784242293765245</c:v>
                </c:pt>
                <c:pt idx="3">
                  <c:v>3.0784242293765245</c:v>
                </c:pt>
                <c:pt idx="4">
                  <c:v>3.0784242293765245</c:v>
                </c:pt>
                <c:pt idx="5">
                  <c:v>3.0784242293765245</c:v>
                </c:pt>
                <c:pt idx="6" formatCode="General">
                  <c:v>3.0784242293765245</c:v>
                </c:pt>
                <c:pt idx="7" formatCode="General">
                  <c:v>3.0784242293765245</c:v>
                </c:pt>
                <c:pt idx="8" formatCode="General">
                  <c:v>3.0784242293765245</c:v>
                </c:pt>
                <c:pt idx="9" formatCode="General">
                  <c:v>3.0784242293765245</c:v>
                </c:pt>
                <c:pt idx="10" formatCode="General">
                  <c:v>3.0784242293765245</c:v>
                </c:pt>
                <c:pt idx="11" formatCode="General">
                  <c:v>3.0784242293765245</c:v>
                </c:pt>
                <c:pt idx="12" formatCode="General">
                  <c:v>3.0784242293765245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4B8-4E07-A4AF-AC65AB6F3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85312"/>
        <c:axId val="805084752"/>
      </c:lineChart>
      <c:catAx>
        <c:axId val="805083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 b="1">
                    <a:solidFill>
                      <a:sysClr val="windowText" lastClr="000000"/>
                    </a:solidFill>
                  </a:rPr>
                  <a:t>Orifice</a:t>
                </a:r>
                <a:r>
                  <a:rPr lang="pt-BR" sz="2000" b="1" baseline="0">
                    <a:solidFill>
                      <a:sysClr val="windowText" lastClr="000000"/>
                    </a:solidFill>
                  </a:rPr>
                  <a:t> diameter [mm]</a:t>
                </a:r>
                <a:endParaRPr lang="pt-BR" sz="20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470738557088473"/>
              <c:y val="0.821142257588702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alpha val="96000"/>
              </a:schemeClr>
            </a:solidFill>
            <a:round/>
          </a:ln>
          <a:effectLst/>
        </c:spPr>
        <c:txPr>
          <a:bodyPr rot="1440000" spcFirstLastPara="1" vertOverflow="ellipsis" wrap="square" anchor="t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84192"/>
        <c:crosses val="autoZero"/>
        <c:auto val="1"/>
        <c:lblAlgn val="ctr"/>
        <c:lblOffset val="100"/>
        <c:noMultiLvlLbl val="0"/>
      </c:catAx>
      <c:valAx>
        <c:axId val="8050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 b="1">
                    <a:solidFill>
                      <a:sysClr val="windowText" lastClr="000000"/>
                    </a:solidFill>
                  </a:rPr>
                  <a:t>Volume [m³]</a:t>
                </a:r>
              </a:p>
            </c:rich>
          </c:tx>
          <c:layout>
            <c:manualLayout>
              <c:xMode val="edge"/>
              <c:yMode val="edge"/>
              <c:x val="6.6774019297872831E-3"/>
              <c:y val="0.221090321438220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83632"/>
        <c:crosses val="autoZero"/>
        <c:crossBetween val="between"/>
      </c:valAx>
      <c:valAx>
        <c:axId val="805084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 b="1">
                    <a:solidFill>
                      <a:sysClr val="windowText" lastClr="000000"/>
                    </a:solidFill>
                  </a:rPr>
                  <a:t>Outflow [L/s]</a:t>
                </a:r>
              </a:p>
            </c:rich>
          </c:tx>
          <c:layout>
            <c:manualLayout>
              <c:xMode val="edge"/>
              <c:yMode val="edge"/>
              <c:x val="0.88122648247754176"/>
              <c:y val="0.1870625588731407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085312"/>
        <c:crosses val="max"/>
        <c:crossBetween val="between"/>
      </c:valAx>
      <c:catAx>
        <c:axId val="80508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084752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6.5686088276631846E-2"/>
          <c:y val="0.89984629090085944"/>
          <c:w val="0.77889194676060458"/>
          <c:h val="5.9692643517586165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Lot</a:t>
            </a:r>
            <a:r>
              <a:rPr lang="pt-BR" sz="1600" b="1" baseline="0">
                <a:solidFill>
                  <a:sysClr val="windowText" lastClr="000000"/>
                </a:solidFill>
              </a:rPr>
              <a:t> scale reservoir simulation</a:t>
            </a:r>
            <a:endParaRPr lang="pt-BR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39937168684003"/>
          <c:y val="0.11613887693518571"/>
          <c:w val="0.77098695642113335"/>
          <c:h val="0.57407650722462211"/>
        </c:manualLayout>
      </c:layout>
      <c:scatterChart>
        <c:scatterStyle val="lineMarker"/>
        <c:varyColors val="0"/>
        <c:ser>
          <c:idx val="0"/>
          <c:order val="0"/>
          <c:tx>
            <c:v>Outflow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[0]!Outflow</c:f>
              <c:numCache>
                <c:formatCode>0.00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0.26805401985969635</c:v>
                </c:pt>
                <c:pt idx="4">
                  <c:v>0.46584380170727718</c:v>
                </c:pt>
                <c:pt idx="5">
                  <c:v>0.64544712903152668</c:v>
                </c:pt>
                <c:pt idx="6">
                  <c:v>0.80776414730261969</c:v>
                </c:pt>
                <c:pt idx="7">
                  <c:v>0.96158889940896941</c:v>
                </c:pt>
                <c:pt idx="8">
                  <c:v>1.1104561575191136</c:v>
                </c:pt>
                <c:pt idx="9">
                  <c:v>1.2488863960869074</c:v>
                </c:pt>
                <c:pt idx="10">
                  <c:v>1.3668126779615799</c:v>
                </c:pt>
                <c:pt idx="11">
                  <c:v>1.4691806821112228</c:v>
                </c:pt>
                <c:pt idx="12">
                  <c:v>1.5648664022021466</c:v>
                </c:pt>
                <c:pt idx="13">
                  <c:v>1.6495384659170929</c:v>
                </c:pt>
                <c:pt idx="14">
                  <c:v>1.7300715142268368</c:v>
                </c:pt>
                <c:pt idx="15">
                  <c:v>1.8019914128221859</c:v>
                </c:pt>
                <c:pt idx="16">
                  <c:v>1.8711490211713906</c:v>
                </c:pt>
                <c:pt idx="17">
                  <c:v>1.9331527566964648</c:v>
                </c:pt>
                <c:pt idx="18">
                  <c:v>1.9932286627518752</c:v>
                </c:pt>
                <c:pt idx="19">
                  <c:v>2.0515461055769912</c:v>
                </c:pt>
                <c:pt idx="20">
                  <c:v>2.0972107403618585</c:v>
                </c:pt>
                <c:pt idx="21">
                  <c:v>2.1481708130973085</c:v>
                </c:pt>
                <c:pt idx="22">
                  <c:v>2.1979496798146148</c:v>
                </c:pt>
                <c:pt idx="23">
                  <c:v>2.2426098639059688</c:v>
                </c:pt>
                <c:pt idx="24">
                  <c:v>2.2863978674717851</c:v>
                </c:pt>
                <c:pt idx="25">
                  <c:v>2.329362877499062</c:v>
                </c:pt>
                <c:pt idx="26">
                  <c:v>2.371549624562364</c:v>
                </c:pt>
                <c:pt idx="27">
                  <c:v>2.4053930855565979</c:v>
                </c:pt>
                <c:pt idx="28">
                  <c:v>2.4424629064187595</c:v>
                </c:pt>
                <c:pt idx="29">
                  <c:v>2.4789784594505164</c:v>
                </c:pt>
                <c:pt idx="30">
                  <c:v>2.514963887535512</c:v>
                </c:pt>
                <c:pt idx="31">
                  <c:v>2.546916094706893</c:v>
                </c:pt>
                <c:pt idx="32">
                  <c:v>2.5784723832816754</c:v>
                </c:pt>
                <c:pt idx="33">
                  <c:v>2.609647115840676</c:v>
                </c:pt>
                <c:pt idx="34">
                  <c:v>2.64045380703485</c:v>
                </c:pt>
                <c:pt idx="35">
                  <c:v>2.670905192056451</c:v>
                </c:pt>
                <c:pt idx="36">
                  <c:v>2.6943516756700054</c:v>
                </c:pt>
                <c:pt idx="37">
                  <c:v>2.7043379408169734</c:v>
                </c:pt>
                <c:pt idx="38">
                  <c:v>2.7043379408169734</c:v>
                </c:pt>
                <c:pt idx="39">
                  <c:v>2.6943516756700054</c:v>
                </c:pt>
                <c:pt idx="40">
                  <c:v>2.6742672753995462</c:v>
                </c:pt>
                <c:pt idx="41">
                  <c:v>2.6438546144604169</c:v>
                </c:pt>
                <c:pt idx="42">
                  <c:v>2.6027516667131234</c:v>
                </c:pt>
                <c:pt idx="43">
                  <c:v>2.5504416301487511</c:v>
                </c:pt>
                <c:pt idx="44">
                  <c:v>2.4898286986007854</c:v>
                </c:pt>
                <c:pt idx="45">
                  <c:v>2.4314013044487632</c:v>
                </c:pt>
                <c:pt idx="46">
                  <c:v>2.3715348739106106</c:v>
                </c:pt>
                <c:pt idx="47">
                  <c:v>2.3138315476324918</c:v>
                </c:pt>
                <c:pt idx="48">
                  <c:v>2.2546363875083828</c:v>
                </c:pt>
                <c:pt idx="49">
                  <c:v>2.1938445817637886</c:v>
                </c:pt>
                <c:pt idx="50">
                  <c:v>2.1355448026334281</c:v>
                </c:pt>
                <c:pt idx="51">
                  <c:v>2.0756081420092189</c:v>
                </c:pt>
                <c:pt idx="52">
                  <c:v>2.020353587750233</c:v>
                </c:pt>
                <c:pt idx="53">
                  <c:v>1.9611087930665019</c:v>
                </c:pt>
                <c:pt idx="54">
                  <c:v>1.9000175728003841</c:v>
                </c:pt>
                <c:pt idx="55">
                  <c:v>1.841828043523891</c:v>
                </c:pt>
                <c:pt idx="56">
                  <c:v>1.7817391242468195</c:v>
                </c:pt>
                <c:pt idx="57">
                  <c:v>1.7195517066469983</c:v>
                </c:pt>
                <c:pt idx="58">
                  <c:v>1.6605018889018621</c:v>
                </c:pt>
                <c:pt idx="59">
                  <c:v>1.5992732644112766</c:v>
                </c:pt>
                <c:pt idx="60">
                  <c:v>1.5356052310000607</c:v>
                </c:pt>
                <c:pt idx="61">
                  <c:v>1.4753428628430976</c:v>
                </c:pt>
                <c:pt idx="62">
                  <c:v>1.4125118408032491</c:v>
                </c:pt>
                <c:pt idx="63">
                  <c:v>1.3534723950380254</c:v>
                </c:pt>
                <c:pt idx="64">
                  <c:v>1.2917373370196257</c:v>
                </c:pt>
                <c:pt idx="65">
                  <c:v>1.2268998213265576</c:v>
                </c:pt>
                <c:pt idx="66">
                  <c:v>1.1662442632420502</c:v>
                </c:pt>
                <c:pt idx="67">
                  <c:v>1.102255955537935</c:v>
                </c:pt>
                <c:pt idx="68">
                  <c:v>1.0430509995901294</c:v>
                </c:pt>
                <c:pt idx="69">
                  <c:v>0.98027678946973418</c:v>
                </c:pt>
                <c:pt idx="70">
                  <c:v>0.91319755814402581</c:v>
                </c:pt>
                <c:pt idx="71">
                  <c:v>0.85150552709926763</c:v>
                </c:pt>
                <c:pt idx="72">
                  <c:v>0.78497996481502108</c:v>
                </c:pt>
                <c:pt idx="73">
                  <c:v>0.72489317412612619</c:v>
                </c:pt>
                <c:pt idx="74">
                  <c:v>0.65935323054362049</c:v>
                </c:pt>
                <c:pt idx="75">
                  <c:v>0.58653495323123517</c:v>
                </c:pt>
                <c:pt idx="76">
                  <c:v>0.52100336500726552</c:v>
                </c:pt>
                <c:pt idx="77">
                  <c:v>0.44594367507098998</c:v>
                </c:pt>
                <c:pt idx="78">
                  <c:v>0.38004171162652095</c:v>
                </c:pt>
                <c:pt idx="79">
                  <c:v>0.29999607300131581</c:v>
                </c:pt>
                <c:pt idx="80">
                  <c:v>0.23175045050587106</c:v>
                </c:pt>
                <c:pt idx="81">
                  <c:v>0.13198067587013479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1-4D9A-8C10-B374439E94A0}"/>
            </c:ext>
          </c:extLst>
        </c:ser>
        <c:ser>
          <c:idx val="2"/>
          <c:order val="2"/>
          <c:tx>
            <c:v>Inflow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15"/>
                <c:pt idx="0">
                  <c:v>0</c:v>
                </c:pt>
                <c:pt idx="1">
                  <c:v>0.50921264606914685</c:v>
                </c:pt>
                <c:pt idx="2">
                  <c:v>1.0184252921382937</c:v>
                </c:pt>
                <c:pt idx="3">
                  <c:v>1.5276379382074405</c:v>
                </c:pt>
                <c:pt idx="4">
                  <c:v>2.0368505842765874</c:v>
                </c:pt>
                <c:pt idx="5">
                  <c:v>2.5460632303457342</c:v>
                </c:pt>
                <c:pt idx="6">
                  <c:v>3.0552758764148811</c:v>
                </c:pt>
                <c:pt idx="7">
                  <c:v>3.5644885224840279</c:v>
                </c:pt>
                <c:pt idx="8">
                  <c:v>4.0737011685531748</c:v>
                </c:pt>
                <c:pt idx="9">
                  <c:v>4.0737011685531748</c:v>
                </c:pt>
                <c:pt idx="10">
                  <c:v>4.0737011685531748</c:v>
                </c:pt>
                <c:pt idx="11">
                  <c:v>4.0737011685531748</c:v>
                </c:pt>
                <c:pt idx="12">
                  <c:v>4.0737011685531748</c:v>
                </c:pt>
                <c:pt idx="13">
                  <c:v>4.0737011685531748</c:v>
                </c:pt>
                <c:pt idx="14">
                  <c:v>4.0737011685531748</c:v>
                </c:pt>
                <c:pt idx="15">
                  <c:v>4.0737011685531748</c:v>
                </c:pt>
                <c:pt idx="16">
                  <c:v>4.0737011685531748</c:v>
                </c:pt>
                <c:pt idx="17">
                  <c:v>4.0737011685531748</c:v>
                </c:pt>
                <c:pt idx="18">
                  <c:v>4.0737011685531748</c:v>
                </c:pt>
                <c:pt idx="19">
                  <c:v>4.0737011685531748</c:v>
                </c:pt>
                <c:pt idx="20">
                  <c:v>4.0737011685531748</c:v>
                </c:pt>
                <c:pt idx="21">
                  <c:v>4.0737011685531748</c:v>
                </c:pt>
                <c:pt idx="22">
                  <c:v>4.0737011685531748</c:v>
                </c:pt>
                <c:pt idx="23">
                  <c:v>4.0737011685531748</c:v>
                </c:pt>
                <c:pt idx="24">
                  <c:v>4.0737011685531748</c:v>
                </c:pt>
                <c:pt idx="25">
                  <c:v>4.0737011685531748</c:v>
                </c:pt>
                <c:pt idx="26">
                  <c:v>4.0737011685531748</c:v>
                </c:pt>
                <c:pt idx="27">
                  <c:v>4.0737011685531748</c:v>
                </c:pt>
                <c:pt idx="28">
                  <c:v>4.0737011685531748</c:v>
                </c:pt>
                <c:pt idx="29">
                  <c:v>4.0737011685531748</c:v>
                </c:pt>
                <c:pt idx="30">
                  <c:v>4.0737011685531748</c:v>
                </c:pt>
                <c:pt idx="31">
                  <c:v>4.0737011685531748</c:v>
                </c:pt>
                <c:pt idx="32">
                  <c:v>4.0737011685531748</c:v>
                </c:pt>
                <c:pt idx="33">
                  <c:v>4.0737011685531748</c:v>
                </c:pt>
                <c:pt idx="34">
                  <c:v>4.0737011685531748</c:v>
                </c:pt>
                <c:pt idx="35">
                  <c:v>4.0737011685531748</c:v>
                </c:pt>
                <c:pt idx="36">
                  <c:v>3.5644885224840279</c:v>
                </c:pt>
                <c:pt idx="37">
                  <c:v>3.0552758764148811</c:v>
                </c:pt>
                <c:pt idx="38">
                  <c:v>2.5460632303457342</c:v>
                </c:pt>
                <c:pt idx="39">
                  <c:v>2.0368505842765874</c:v>
                </c:pt>
                <c:pt idx="40">
                  <c:v>1.5276379382074405</c:v>
                </c:pt>
                <c:pt idx="41">
                  <c:v>1.0184252921382937</c:v>
                </c:pt>
                <c:pt idx="42">
                  <c:v>0.50921264606914685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61-4D9A-8C10-B374439E94A0}"/>
            </c:ext>
          </c:extLst>
        </c:ser>
        <c:ser>
          <c:idx val="3"/>
          <c:order val="3"/>
          <c:tx>
            <c:v>Lot reference hydrograph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47"/>
                <c:pt idx="0">
                  <c:v>0</c:v>
                </c:pt>
                <c:pt idx="1">
                  <c:v>0.27985674812513855</c:v>
                </c:pt>
                <c:pt idx="2">
                  <c:v>0.55971349625027711</c:v>
                </c:pt>
                <c:pt idx="3">
                  <c:v>0.83957024437541561</c:v>
                </c:pt>
                <c:pt idx="4">
                  <c:v>1.1194269925005542</c:v>
                </c:pt>
                <c:pt idx="5">
                  <c:v>1.3992837406256931</c:v>
                </c:pt>
                <c:pt idx="6">
                  <c:v>1.6791404887508312</c:v>
                </c:pt>
                <c:pt idx="7">
                  <c:v>1.95899723687597</c:v>
                </c:pt>
                <c:pt idx="8">
                  <c:v>2.2388539850011084</c:v>
                </c:pt>
                <c:pt idx="9">
                  <c:v>2.5187107331262468</c:v>
                </c:pt>
                <c:pt idx="10">
                  <c:v>2.7985674812513861</c:v>
                </c:pt>
                <c:pt idx="11">
                  <c:v>3.0784242293765245</c:v>
                </c:pt>
                <c:pt idx="12">
                  <c:v>3.0784242293765245</c:v>
                </c:pt>
                <c:pt idx="13">
                  <c:v>3.0784242293765245</c:v>
                </c:pt>
                <c:pt idx="14">
                  <c:v>3.0784242293765245</c:v>
                </c:pt>
                <c:pt idx="15">
                  <c:v>3.0784242293765245</c:v>
                </c:pt>
                <c:pt idx="16">
                  <c:v>3.0784242293765245</c:v>
                </c:pt>
                <c:pt idx="17">
                  <c:v>3.0784242293765245</c:v>
                </c:pt>
                <c:pt idx="18">
                  <c:v>3.0784242293765245</c:v>
                </c:pt>
                <c:pt idx="19">
                  <c:v>3.0784242293765245</c:v>
                </c:pt>
                <c:pt idx="20">
                  <c:v>3.0784242293765245</c:v>
                </c:pt>
                <c:pt idx="21">
                  <c:v>3.0784242293765245</c:v>
                </c:pt>
                <c:pt idx="22">
                  <c:v>3.0784242293765245</c:v>
                </c:pt>
                <c:pt idx="23">
                  <c:v>3.0784242293765245</c:v>
                </c:pt>
                <c:pt idx="24">
                  <c:v>3.0784242293765245</c:v>
                </c:pt>
                <c:pt idx="25">
                  <c:v>3.0784242293765245</c:v>
                </c:pt>
                <c:pt idx="26">
                  <c:v>3.0784242293765245</c:v>
                </c:pt>
                <c:pt idx="27">
                  <c:v>3.0784242293765245</c:v>
                </c:pt>
                <c:pt idx="28">
                  <c:v>3.0784242293765245</c:v>
                </c:pt>
                <c:pt idx="29">
                  <c:v>3.0784242293765245</c:v>
                </c:pt>
                <c:pt idx="30">
                  <c:v>3.0784242293765245</c:v>
                </c:pt>
                <c:pt idx="31">
                  <c:v>3.0784242293765245</c:v>
                </c:pt>
                <c:pt idx="32">
                  <c:v>3.0784242293765245</c:v>
                </c:pt>
                <c:pt idx="33">
                  <c:v>3.0784242293765245</c:v>
                </c:pt>
                <c:pt idx="34">
                  <c:v>3.0784242293765245</c:v>
                </c:pt>
                <c:pt idx="35">
                  <c:v>3.0784242293765245</c:v>
                </c:pt>
                <c:pt idx="36">
                  <c:v>2.7985674812513861</c:v>
                </c:pt>
                <c:pt idx="37">
                  <c:v>2.5187107331262468</c:v>
                </c:pt>
                <c:pt idx="38">
                  <c:v>2.2388539850011084</c:v>
                </c:pt>
                <c:pt idx="39">
                  <c:v>1.9589972368759698</c:v>
                </c:pt>
                <c:pt idx="40">
                  <c:v>1.6791404887508312</c:v>
                </c:pt>
                <c:pt idx="41">
                  <c:v>1.3992837406256931</c:v>
                </c:pt>
                <c:pt idx="42">
                  <c:v>1.1194269925005542</c:v>
                </c:pt>
                <c:pt idx="43">
                  <c:v>0.83957024437541561</c:v>
                </c:pt>
                <c:pt idx="44">
                  <c:v>0.55971349625027722</c:v>
                </c:pt>
                <c:pt idx="45">
                  <c:v>0.27985674812513844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61-4D9A-8C10-B374439E9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7824"/>
        <c:axId val="805278384"/>
      </c:scatterChart>
      <c:scatterChart>
        <c:scatterStyle val="lineMarker"/>
        <c:varyColors val="0"/>
        <c:ser>
          <c:idx val="1"/>
          <c:order val="1"/>
          <c:tx>
            <c:v>Water level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4.75</c:v>
                </c:pt>
                <c:pt idx="5">
                  <c:v>7.5</c:v>
                </c:pt>
                <c:pt idx="6">
                  <c:v>10.75</c:v>
                </c:pt>
                <c:pt idx="7">
                  <c:v>14.5</c:v>
                </c:pt>
                <c:pt idx="8">
                  <c:v>18.75</c:v>
                </c:pt>
                <c:pt idx="9">
                  <c:v>23.25</c:v>
                </c:pt>
                <c:pt idx="10">
                  <c:v>27.5</c:v>
                </c:pt>
                <c:pt idx="11">
                  <c:v>31.5</c:v>
                </c:pt>
                <c:pt idx="12">
                  <c:v>35.5</c:v>
                </c:pt>
                <c:pt idx="13">
                  <c:v>39.25</c:v>
                </c:pt>
                <c:pt idx="14">
                  <c:v>43</c:v>
                </c:pt>
                <c:pt idx="15">
                  <c:v>46.5</c:v>
                </c:pt>
                <c:pt idx="16">
                  <c:v>50</c:v>
                </c:pt>
                <c:pt idx="17">
                  <c:v>53.25</c:v>
                </c:pt>
                <c:pt idx="18">
                  <c:v>56.5</c:v>
                </c:pt>
                <c:pt idx="19">
                  <c:v>59.75</c:v>
                </c:pt>
                <c:pt idx="20">
                  <c:v>62.75</c:v>
                </c:pt>
                <c:pt idx="21">
                  <c:v>65.75</c:v>
                </c:pt>
                <c:pt idx="22">
                  <c:v>68.75</c:v>
                </c:pt>
                <c:pt idx="23">
                  <c:v>71.5</c:v>
                </c:pt>
                <c:pt idx="24">
                  <c:v>74.25</c:v>
                </c:pt>
                <c:pt idx="25">
                  <c:v>77</c:v>
                </c:pt>
                <c:pt idx="26">
                  <c:v>79.75</c:v>
                </c:pt>
                <c:pt idx="27">
                  <c:v>82.25</c:v>
                </c:pt>
                <c:pt idx="28">
                  <c:v>84.75</c:v>
                </c:pt>
                <c:pt idx="29">
                  <c:v>87.25</c:v>
                </c:pt>
                <c:pt idx="30">
                  <c:v>89.75</c:v>
                </c:pt>
                <c:pt idx="31">
                  <c:v>92</c:v>
                </c:pt>
                <c:pt idx="32">
                  <c:v>94.25</c:v>
                </c:pt>
                <c:pt idx="33">
                  <c:v>96.5</c:v>
                </c:pt>
                <c:pt idx="34">
                  <c:v>98.75</c:v>
                </c:pt>
                <c:pt idx="35">
                  <c:v>101</c:v>
                </c:pt>
                <c:pt idx="36">
                  <c:v>102.75</c:v>
                </c:pt>
                <c:pt idx="37">
                  <c:v>103.5</c:v>
                </c:pt>
                <c:pt idx="38">
                  <c:v>103.5</c:v>
                </c:pt>
                <c:pt idx="39">
                  <c:v>102.75</c:v>
                </c:pt>
                <c:pt idx="40">
                  <c:v>101.25</c:v>
                </c:pt>
                <c:pt idx="41">
                  <c:v>99</c:v>
                </c:pt>
                <c:pt idx="42">
                  <c:v>96</c:v>
                </c:pt>
                <c:pt idx="43">
                  <c:v>92.25</c:v>
                </c:pt>
                <c:pt idx="44">
                  <c:v>88</c:v>
                </c:pt>
                <c:pt idx="45">
                  <c:v>84</c:v>
                </c:pt>
                <c:pt idx="46">
                  <c:v>80</c:v>
                </c:pt>
                <c:pt idx="47">
                  <c:v>76</c:v>
                </c:pt>
                <c:pt idx="48">
                  <c:v>72.25</c:v>
                </c:pt>
                <c:pt idx="49">
                  <c:v>68.5</c:v>
                </c:pt>
                <c:pt idx="50">
                  <c:v>65</c:v>
                </c:pt>
                <c:pt idx="51">
                  <c:v>61.5</c:v>
                </c:pt>
                <c:pt idx="52">
                  <c:v>58</c:v>
                </c:pt>
                <c:pt idx="53">
                  <c:v>54.75</c:v>
                </c:pt>
                <c:pt idx="54">
                  <c:v>51.5</c:v>
                </c:pt>
                <c:pt idx="55">
                  <c:v>48.5</c:v>
                </c:pt>
                <c:pt idx="56">
                  <c:v>45.5</c:v>
                </c:pt>
                <c:pt idx="57">
                  <c:v>42.5</c:v>
                </c:pt>
                <c:pt idx="58">
                  <c:v>39.75</c:v>
                </c:pt>
                <c:pt idx="59">
                  <c:v>37</c:v>
                </c:pt>
                <c:pt idx="60">
                  <c:v>34.25</c:v>
                </c:pt>
                <c:pt idx="61">
                  <c:v>31.75</c:v>
                </c:pt>
                <c:pt idx="62">
                  <c:v>29.25</c:v>
                </c:pt>
                <c:pt idx="63">
                  <c:v>27</c:v>
                </c:pt>
                <c:pt idx="64">
                  <c:v>24.75</c:v>
                </c:pt>
                <c:pt idx="65">
                  <c:v>22.5</c:v>
                </c:pt>
                <c:pt idx="66">
                  <c:v>20.5</c:v>
                </c:pt>
                <c:pt idx="67">
                  <c:v>18.5</c:v>
                </c:pt>
                <c:pt idx="68">
                  <c:v>16.75</c:v>
                </c:pt>
                <c:pt idx="69">
                  <c:v>15</c:v>
                </c:pt>
                <c:pt idx="70">
                  <c:v>13.25</c:v>
                </c:pt>
                <c:pt idx="71">
                  <c:v>11.75</c:v>
                </c:pt>
                <c:pt idx="72">
                  <c:v>10.25</c:v>
                </c:pt>
                <c:pt idx="73">
                  <c:v>9</c:v>
                </c:pt>
                <c:pt idx="74">
                  <c:v>7.75</c:v>
                </c:pt>
                <c:pt idx="75">
                  <c:v>6.5</c:v>
                </c:pt>
                <c:pt idx="76">
                  <c:v>5.5</c:v>
                </c:pt>
                <c:pt idx="77">
                  <c:v>4.5</c:v>
                </c:pt>
                <c:pt idx="78">
                  <c:v>3.75</c:v>
                </c:pt>
                <c:pt idx="79">
                  <c:v>3</c:v>
                </c:pt>
                <c:pt idx="80">
                  <c:v>2.5</c:v>
                </c:pt>
                <c:pt idx="81">
                  <c:v>2</c:v>
                </c:pt>
                <c:pt idx="82">
                  <c:v>1.75</c:v>
                </c:pt>
                <c:pt idx="83">
                  <c:v>1.75</c:v>
                </c:pt>
                <c:pt idx="84">
                  <c:v>1.75</c:v>
                </c:pt>
                <c:pt idx="85">
                  <c:v>1.75</c:v>
                </c:pt>
                <c:pt idx="86">
                  <c:v>1.75</c:v>
                </c:pt>
                <c:pt idx="87">
                  <c:v>1.75</c:v>
                </c:pt>
                <c:pt idx="88">
                  <c:v>1.75</c:v>
                </c:pt>
                <c:pt idx="89">
                  <c:v>1.75</c:v>
                </c:pt>
                <c:pt idx="90">
                  <c:v>1.75</c:v>
                </c:pt>
                <c:pt idx="91">
                  <c:v>1.75</c:v>
                </c:pt>
                <c:pt idx="92">
                  <c:v>1.75</c:v>
                </c:pt>
                <c:pt idx="93">
                  <c:v>1.75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1.75</c:v>
                </c:pt>
                <c:pt idx="105">
                  <c:v>1.75</c:v>
                </c:pt>
                <c:pt idx="106">
                  <c:v>1.75</c:v>
                </c:pt>
                <c:pt idx="107">
                  <c:v>1.75</c:v>
                </c:pt>
                <c:pt idx="108">
                  <c:v>1.75</c:v>
                </c:pt>
                <c:pt idx="109">
                  <c:v>1.75</c:v>
                </c:pt>
                <c:pt idx="110">
                  <c:v>1.75</c:v>
                </c:pt>
                <c:pt idx="111">
                  <c:v>1.75</c:v>
                </c:pt>
                <c:pt idx="112">
                  <c:v>1.75</c:v>
                </c:pt>
                <c:pt idx="113">
                  <c:v>1.75</c:v>
                </c:pt>
                <c:pt idx="114">
                  <c:v>1.75</c:v>
                </c:pt>
                <c:pt idx="115">
                  <c:v>1.75</c:v>
                </c:pt>
                <c:pt idx="116">
                  <c:v>1.75</c:v>
                </c:pt>
                <c:pt idx="117">
                  <c:v>1.75</c:v>
                </c:pt>
                <c:pt idx="118">
                  <c:v>1.75</c:v>
                </c:pt>
                <c:pt idx="119">
                  <c:v>1.75</c:v>
                </c:pt>
                <c:pt idx="120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1-4D9A-8C10-B374439E9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9504"/>
        <c:axId val="805278944"/>
      </c:scatterChart>
      <c:valAx>
        <c:axId val="805277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3207296500625758"/>
              <c:y val="0.7621315384289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8384"/>
        <c:crosses val="autoZero"/>
        <c:crossBetween val="midCat"/>
        <c:majorUnit val="10"/>
      </c:valAx>
      <c:valAx>
        <c:axId val="8052783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7824"/>
        <c:crosses val="autoZero"/>
        <c:crossBetween val="midCat"/>
      </c:valAx>
      <c:valAx>
        <c:axId val="805278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Water level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9504"/>
        <c:crosses val="max"/>
        <c:crossBetween val="midCat"/>
      </c:valAx>
      <c:valAx>
        <c:axId val="805279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278944"/>
        <c:crosses val="autoZero"/>
        <c:crossBetween val="midCat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1.9715235733131574E-2"/>
          <c:y val="0.86856215890865451"/>
          <c:w val="0.94791887239713257"/>
          <c:h val="0.11289017913833031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System's hydrographs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2952306770498"/>
          <c:y val="0.14435473865154633"/>
          <c:w val="0.84424821472915113"/>
          <c:h val="0.56896143567230684"/>
        </c:manualLayout>
      </c:layout>
      <c:scatterChart>
        <c:scatterStyle val="lineMarker"/>
        <c:varyColors val="0"/>
        <c:ser>
          <c:idx val="1"/>
          <c:order val="0"/>
          <c:tx>
            <c:v>Outlet hydrograph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[0]!Tempo_exutório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[0]!Vazao_exutorio</c:f>
              <c:numCache>
                <c:formatCode>#,#00</c:formatCode>
                <c:ptCount val="71"/>
                <c:pt idx="0">
                  <c:v>0</c:v>
                </c:pt>
                <c:pt idx="1">
                  <c:v>20.522828195843498</c:v>
                </c:pt>
                <c:pt idx="2">
                  <c:v>41.045656391686997</c:v>
                </c:pt>
                <c:pt idx="3">
                  <c:v>61.568484587530492</c:v>
                </c:pt>
                <c:pt idx="4">
                  <c:v>82.091312783373994</c:v>
                </c:pt>
                <c:pt idx="5">
                  <c:v>102.6141409792175</c:v>
                </c:pt>
                <c:pt idx="6">
                  <c:v>123.13696917506098</c:v>
                </c:pt>
                <c:pt idx="7">
                  <c:v>143.6597973709045</c:v>
                </c:pt>
                <c:pt idx="8">
                  <c:v>164.18262556674799</c:v>
                </c:pt>
                <c:pt idx="9">
                  <c:v>184.70545376259147</c:v>
                </c:pt>
                <c:pt idx="10">
                  <c:v>205.22828195843499</c:v>
                </c:pt>
                <c:pt idx="11">
                  <c:v>225.75111015427848</c:v>
                </c:pt>
                <c:pt idx="12">
                  <c:v>246.27393835012197</c:v>
                </c:pt>
                <c:pt idx="13">
                  <c:v>266.79676654596545</c:v>
                </c:pt>
                <c:pt idx="14">
                  <c:v>287.319594741809</c:v>
                </c:pt>
                <c:pt idx="15">
                  <c:v>307.84242293765249</c:v>
                </c:pt>
                <c:pt idx="16">
                  <c:v>328.36525113349597</c:v>
                </c:pt>
                <c:pt idx="17">
                  <c:v>348.88807932933946</c:v>
                </c:pt>
                <c:pt idx="18">
                  <c:v>369.41090752518295</c:v>
                </c:pt>
                <c:pt idx="19">
                  <c:v>389.93373572102649</c:v>
                </c:pt>
                <c:pt idx="20">
                  <c:v>410.45656391686998</c:v>
                </c:pt>
                <c:pt idx="21">
                  <c:v>430.97939211271347</c:v>
                </c:pt>
                <c:pt idx="22">
                  <c:v>451.50222030855696</c:v>
                </c:pt>
                <c:pt idx="23">
                  <c:v>472.02504850440044</c:v>
                </c:pt>
                <c:pt idx="24">
                  <c:v>492.54787670024393</c:v>
                </c:pt>
                <c:pt idx="25">
                  <c:v>513.07070489608748</c:v>
                </c:pt>
                <c:pt idx="26">
                  <c:v>533.59353309193091</c:v>
                </c:pt>
                <c:pt idx="27">
                  <c:v>554.11636128777445</c:v>
                </c:pt>
                <c:pt idx="28">
                  <c:v>574.639189483618</c:v>
                </c:pt>
                <c:pt idx="29">
                  <c:v>595.16201767946143</c:v>
                </c:pt>
                <c:pt idx="30">
                  <c:v>615.68484587530497</c:v>
                </c:pt>
                <c:pt idx="31">
                  <c:v>636.2076740711484</c:v>
                </c:pt>
                <c:pt idx="32">
                  <c:v>656.73050226699195</c:v>
                </c:pt>
                <c:pt idx="33">
                  <c:v>677.25333046283549</c:v>
                </c:pt>
                <c:pt idx="34">
                  <c:v>697.77615865867892</c:v>
                </c:pt>
                <c:pt idx="35">
                  <c:v>718.29898685452247</c:v>
                </c:pt>
                <c:pt idx="36">
                  <c:v>697.77615865867892</c:v>
                </c:pt>
                <c:pt idx="37">
                  <c:v>677.25333046283549</c:v>
                </c:pt>
                <c:pt idx="38">
                  <c:v>656.73050226699195</c:v>
                </c:pt>
                <c:pt idx="39">
                  <c:v>636.20767407114852</c:v>
                </c:pt>
                <c:pt idx="40">
                  <c:v>615.68484587530497</c:v>
                </c:pt>
                <c:pt idx="41">
                  <c:v>595.16201767946154</c:v>
                </c:pt>
                <c:pt idx="42">
                  <c:v>574.639189483618</c:v>
                </c:pt>
                <c:pt idx="43">
                  <c:v>554.11636128777445</c:v>
                </c:pt>
                <c:pt idx="44">
                  <c:v>533.59353309193102</c:v>
                </c:pt>
                <c:pt idx="45">
                  <c:v>513.07070489608748</c:v>
                </c:pt>
                <c:pt idx="46">
                  <c:v>492.54787670024399</c:v>
                </c:pt>
                <c:pt idx="47">
                  <c:v>472.0250485044005</c:v>
                </c:pt>
                <c:pt idx="48">
                  <c:v>451.50222030855701</c:v>
                </c:pt>
                <c:pt idx="49">
                  <c:v>430.97939211271347</c:v>
                </c:pt>
                <c:pt idx="50">
                  <c:v>410.45656391686998</c:v>
                </c:pt>
                <c:pt idx="51">
                  <c:v>389.93373572102649</c:v>
                </c:pt>
                <c:pt idx="52">
                  <c:v>369.41090752518301</c:v>
                </c:pt>
                <c:pt idx="53">
                  <c:v>348.88807932933952</c:v>
                </c:pt>
                <c:pt idx="54">
                  <c:v>328.36525113349597</c:v>
                </c:pt>
                <c:pt idx="55">
                  <c:v>307.84242293765249</c:v>
                </c:pt>
                <c:pt idx="56">
                  <c:v>287.319594741809</c:v>
                </c:pt>
                <c:pt idx="57">
                  <c:v>266.79676654596551</c:v>
                </c:pt>
                <c:pt idx="58">
                  <c:v>246.27393835012202</c:v>
                </c:pt>
                <c:pt idx="59">
                  <c:v>225.75111015427854</c:v>
                </c:pt>
                <c:pt idx="60">
                  <c:v>205.22828195843499</c:v>
                </c:pt>
                <c:pt idx="61">
                  <c:v>184.70545376259156</c:v>
                </c:pt>
                <c:pt idx="62">
                  <c:v>164.18262556674802</c:v>
                </c:pt>
                <c:pt idx="63">
                  <c:v>143.65979737090447</c:v>
                </c:pt>
                <c:pt idx="64">
                  <c:v>123.13696917506104</c:v>
                </c:pt>
                <c:pt idx="65">
                  <c:v>102.6141409792175</c:v>
                </c:pt>
                <c:pt idx="66">
                  <c:v>82.091312783374065</c:v>
                </c:pt>
                <c:pt idx="67">
                  <c:v>61.56848458753052</c:v>
                </c:pt>
                <c:pt idx="68">
                  <c:v>41.045656391686975</c:v>
                </c:pt>
                <c:pt idx="69">
                  <c:v>20.522828195843545</c:v>
                </c:pt>
                <c:pt idx="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9-48DC-B970-1898441CD6CA}"/>
            </c:ext>
          </c:extLst>
        </c:ser>
        <c:ser>
          <c:idx val="0"/>
          <c:order val="1"/>
          <c:tx>
            <c:v>Lot reference hydrograph</c:v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[0]!Vazao_secao_i</c:f>
              <c:numCache>
                <c:formatCode>#,#00</c:formatCode>
                <c:ptCount val="47"/>
                <c:pt idx="0">
                  <c:v>0</c:v>
                </c:pt>
                <c:pt idx="1">
                  <c:v>20.522828195843498</c:v>
                </c:pt>
                <c:pt idx="2">
                  <c:v>41.045656391686997</c:v>
                </c:pt>
                <c:pt idx="3">
                  <c:v>61.568484587530492</c:v>
                </c:pt>
                <c:pt idx="4">
                  <c:v>82.091312783373994</c:v>
                </c:pt>
                <c:pt idx="5">
                  <c:v>102.6141409792175</c:v>
                </c:pt>
                <c:pt idx="6">
                  <c:v>123.13696917506098</c:v>
                </c:pt>
                <c:pt idx="7">
                  <c:v>143.6597973709045</c:v>
                </c:pt>
                <c:pt idx="8">
                  <c:v>164.18262556674799</c:v>
                </c:pt>
                <c:pt idx="9">
                  <c:v>184.70545376259147</c:v>
                </c:pt>
                <c:pt idx="10">
                  <c:v>205.22828195843499</c:v>
                </c:pt>
                <c:pt idx="11">
                  <c:v>225.75111015427848</c:v>
                </c:pt>
                <c:pt idx="12">
                  <c:v>225.75111015427848</c:v>
                </c:pt>
                <c:pt idx="13">
                  <c:v>225.75111015427848</c:v>
                </c:pt>
                <c:pt idx="14">
                  <c:v>225.75111015427848</c:v>
                </c:pt>
                <c:pt idx="15">
                  <c:v>225.75111015427848</c:v>
                </c:pt>
                <c:pt idx="16">
                  <c:v>225.75111015427848</c:v>
                </c:pt>
                <c:pt idx="17">
                  <c:v>225.75111015427848</c:v>
                </c:pt>
                <c:pt idx="18">
                  <c:v>225.75111015427848</c:v>
                </c:pt>
                <c:pt idx="19">
                  <c:v>225.75111015427848</c:v>
                </c:pt>
                <c:pt idx="20">
                  <c:v>225.75111015427848</c:v>
                </c:pt>
                <c:pt idx="21">
                  <c:v>225.75111015427848</c:v>
                </c:pt>
                <c:pt idx="22">
                  <c:v>225.75111015427848</c:v>
                </c:pt>
                <c:pt idx="23">
                  <c:v>225.75111015427848</c:v>
                </c:pt>
                <c:pt idx="24">
                  <c:v>225.75111015427848</c:v>
                </c:pt>
                <c:pt idx="25">
                  <c:v>225.75111015427848</c:v>
                </c:pt>
                <c:pt idx="26">
                  <c:v>225.75111015427848</c:v>
                </c:pt>
                <c:pt idx="27">
                  <c:v>225.75111015427848</c:v>
                </c:pt>
                <c:pt idx="28">
                  <c:v>225.75111015427848</c:v>
                </c:pt>
                <c:pt idx="29">
                  <c:v>225.75111015427848</c:v>
                </c:pt>
                <c:pt idx="30">
                  <c:v>225.75111015427848</c:v>
                </c:pt>
                <c:pt idx="31">
                  <c:v>225.75111015427848</c:v>
                </c:pt>
                <c:pt idx="32">
                  <c:v>225.75111015427848</c:v>
                </c:pt>
                <c:pt idx="33">
                  <c:v>225.75111015427848</c:v>
                </c:pt>
                <c:pt idx="34">
                  <c:v>225.75111015427848</c:v>
                </c:pt>
                <c:pt idx="35">
                  <c:v>225.75111015427848</c:v>
                </c:pt>
                <c:pt idx="36">
                  <c:v>205.22828195843499</c:v>
                </c:pt>
                <c:pt idx="37">
                  <c:v>184.70545376259147</c:v>
                </c:pt>
                <c:pt idx="38">
                  <c:v>164.18262556674799</c:v>
                </c:pt>
                <c:pt idx="39">
                  <c:v>143.65979737090447</c:v>
                </c:pt>
                <c:pt idx="40">
                  <c:v>123.13696917506098</c:v>
                </c:pt>
                <c:pt idx="41">
                  <c:v>102.6141409792175</c:v>
                </c:pt>
                <c:pt idx="42">
                  <c:v>82.091312783373979</c:v>
                </c:pt>
                <c:pt idx="43">
                  <c:v>61.568484587530492</c:v>
                </c:pt>
                <c:pt idx="44">
                  <c:v>41.045656391687004</c:v>
                </c:pt>
                <c:pt idx="45">
                  <c:v>20.522828195843488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9-48DC-B970-1898441CD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59216"/>
        <c:axId val="805259776"/>
      </c:scatterChart>
      <c:valAx>
        <c:axId val="80525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8467470821857522"/>
              <c:y val="0.8094047592156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59776"/>
        <c:crosses val="autoZero"/>
        <c:crossBetween val="midCat"/>
        <c:majorUnit val="10"/>
      </c:valAx>
      <c:valAx>
        <c:axId val="805259776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Flow</a:t>
                </a:r>
                <a:r>
                  <a:rPr lang="pt-BR" sz="1200" b="1" baseline="0">
                    <a:solidFill>
                      <a:sysClr val="windowText" lastClr="000000"/>
                    </a:solidFill>
                  </a:rPr>
                  <a:t> rate</a:t>
                </a:r>
                <a:r>
                  <a:rPr lang="pt-BR" sz="1200" b="1">
                    <a:solidFill>
                      <a:sysClr val="windowText" lastClr="000000"/>
                    </a:solidFill>
                  </a:rPr>
                  <a:t>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59216"/>
        <c:crosses val="autoZero"/>
        <c:crossBetween val="midCat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Specifc discharge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31740770744962"/>
          <c:y val="0.13037490802060339"/>
          <c:w val="0.79646039733474305"/>
          <c:h val="0.57372111846946283"/>
        </c:manualLayout>
      </c:layout>
      <c:scatterChart>
        <c:scatterStyle val="lineMarker"/>
        <c:varyColors val="0"/>
        <c:ser>
          <c:idx val="1"/>
          <c:order val="0"/>
          <c:tx>
            <c:v>Outlet specific discharge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[0]!Tempo_exutório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[0]!qsis_exut</c:f>
              <c:numCache>
                <c:formatCode>#,#00</c:formatCode>
                <c:ptCount val="71"/>
                <c:pt idx="0">
                  <c:v>0</c:v>
                </c:pt>
                <c:pt idx="1">
                  <c:v>6.8409427319478328E-2</c:v>
                </c:pt>
                <c:pt idx="2">
                  <c:v>0.13681885463895666</c:v>
                </c:pt>
                <c:pt idx="3">
                  <c:v>0.20522828195843498</c:v>
                </c:pt>
                <c:pt idx="4">
                  <c:v>0.27363770927791331</c:v>
                </c:pt>
                <c:pt idx="5">
                  <c:v>0.34204713659739167</c:v>
                </c:pt>
                <c:pt idx="6">
                  <c:v>0.41045656391686997</c:v>
                </c:pt>
                <c:pt idx="7">
                  <c:v>0.47886599123634832</c:v>
                </c:pt>
                <c:pt idx="8">
                  <c:v>0.54727541855582662</c:v>
                </c:pt>
                <c:pt idx="9">
                  <c:v>0.61568484587530492</c:v>
                </c:pt>
                <c:pt idx="10">
                  <c:v>0.68409427319478333</c:v>
                </c:pt>
                <c:pt idx="11">
                  <c:v>0.75250370051426163</c:v>
                </c:pt>
                <c:pt idx="12">
                  <c:v>0.82091312783373993</c:v>
                </c:pt>
                <c:pt idx="13">
                  <c:v>0.88932255515321823</c:v>
                </c:pt>
                <c:pt idx="14">
                  <c:v>0.95773198247269664</c:v>
                </c:pt>
                <c:pt idx="15">
                  <c:v>1.0261414097921751</c:v>
                </c:pt>
                <c:pt idx="16">
                  <c:v>1.0945508371116532</c:v>
                </c:pt>
                <c:pt idx="17">
                  <c:v>1.1629602644311314</c:v>
                </c:pt>
                <c:pt idx="18">
                  <c:v>1.2313696917506098</c:v>
                </c:pt>
                <c:pt idx="19">
                  <c:v>1.2997791190700883</c:v>
                </c:pt>
                <c:pt idx="20">
                  <c:v>1.3681885463895667</c:v>
                </c:pt>
                <c:pt idx="21">
                  <c:v>1.4365979737090449</c:v>
                </c:pt>
                <c:pt idx="22">
                  <c:v>1.5050074010285233</c:v>
                </c:pt>
                <c:pt idx="23">
                  <c:v>1.5734168283480015</c:v>
                </c:pt>
                <c:pt idx="24">
                  <c:v>1.6418262556674799</c:v>
                </c:pt>
                <c:pt idx="25">
                  <c:v>1.7102356829869583</c:v>
                </c:pt>
                <c:pt idx="26">
                  <c:v>1.7786451103064365</c:v>
                </c:pt>
                <c:pt idx="27">
                  <c:v>1.8470545376259149</c:v>
                </c:pt>
                <c:pt idx="28">
                  <c:v>1.9154639649453933</c:v>
                </c:pt>
                <c:pt idx="29">
                  <c:v>1.9838733922648715</c:v>
                </c:pt>
                <c:pt idx="30">
                  <c:v>2.0522828195843501</c:v>
                </c:pt>
                <c:pt idx="31">
                  <c:v>2.1206922469038281</c:v>
                </c:pt>
                <c:pt idx="32">
                  <c:v>2.1891016742233065</c:v>
                </c:pt>
                <c:pt idx="33">
                  <c:v>2.2575111015427849</c:v>
                </c:pt>
                <c:pt idx="34">
                  <c:v>2.3259205288622629</c:v>
                </c:pt>
                <c:pt idx="35">
                  <c:v>2.3943299561817417</c:v>
                </c:pt>
                <c:pt idx="36">
                  <c:v>2.3259205288622629</c:v>
                </c:pt>
                <c:pt idx="37">
                  <c:v>2.2575111015427849</c:v>
                </c:pt>
                <c:pt idx="38">
                  <c:v>2.1891016742233065</c:v>
                </c:pt>
                <c:pt idx="39">
                  <c:v>2.1206922469038285</c:v>
                </c:pt>
                <c:pt idx="40">
                  <c:v>2.0522828195843501</c:v>
                </c:pt>
                <c:pt idx="41">
                  <c:v>1.9838733922648719</c:v>
                </c:pt>
                <c:pt idx="42">
                  <c:v>1.9154639649453933</c:v>
                </c:pt>
                <c:pt idx="43">
                  <c:v>1.8470545376259149</c:v>
                </c:pt>
                <c:pt idx="44">
                  <c:v>1.7786451103064367</c:v>
                </c:pt>
                <c:pt idx="45">
                  <c:v>1.7102356829869583</c:v>
                </c:pt>
                <c:pt idx="46">
                  <c:v>1.6418262556674799</c:v>
                </c:pt>
                <c:pt idx="47">
                  <c:v>1.5734168283480017</c:v>
                </c:pt>
                <c:pt idx="48">
                  <c:v>1.5050074010285235</c:v>
                </c:pt>
                <c:pt idx="49">
                  <c:v>1.4365979737090449</c:v>
                </c:pt>
                <c:pt idx="50">
                  <c:v>1.3681885463895667</c:v>
                </c:pt>
                <c:pt idx="51">
                  <c:v>1.2997791190700883</c:v>
                </c:pt>
                <c:pt idx="52">
                  <c:v>1.2313696917506101</c:v>
                </c:pt>
                <c:pt idx="53">
                  <c:v>1.1629602644311317</c:v>
                </c:pt>
                <c:pt idx="54">
                  <c:v>1.0945508371116532</c:v>
                </c:pt>
                <c:pt idx="55">
                  <c:v>1.0261414097921751</c:v>
                </c:pt>
                <c:pt idx="56">
                  <c:v>0.95773198247269664</c:v>
                </c:pt>
                <c:pt idx="57">
                  <c:v>0.88932255515321834</c:v>
                </c:pt>
                <c:pt idx="58">
                  <c:v>0.82091312783374004</c:v>
                </c:pt>
                <c:pt idx="59">
                  <c:v>0.75250370051426174</c:v>
                </c:pt>
                <c:pt idx="60">
                  <c:v>0.68409427319478333</c:v>
                </c:pt>
                <c:pt idx="61">
                  <c:v>0.61568484587530525</c:v>
                </c:pt>
                <c:pt idx="62">
                  <c:v>0.54727541855582673</c:v>
                </c:pt>
                <c:pt idx="63">
                  <c:v>0.47886599123634821</c:v>
                </c:pt>
                <c:pt idx="64">
                  <c:v>0.41045656391687013</c:v>
                </c:pt>
                <c:pt idx="65">
                  <c:v>0.34204713659739167</c:v>
                </c:pt>
                <c:pt idx="66">
                  <c:v>0.27363770927791353</c:v>
                </c:pt>
                <c:pt idx="67">
                  <c:v>0.20522828195843507</c:v>
                </c:pt>
                <c:pt idx="68">
                  <c:v>0.13681885463895657</c:v>
                </c:pt>
                <c:pt idx="69">
                  <c:v>6.840942731947848E-2</c:v>
                </c:pt>
                <c:pt idx="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6-4360-B3B1-943E9C31E117}"/>
            </c:ext>
          </c:extLst>
        </c:ser>
        <c:ser>
          <c:idx val="0"/>
          <c:order val="1"/>
          <c:tx>
            <c:v>Lot reference specific discharge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[0]!qsis_i</c:f>
              <c:numCache>
                <c:formatCode>#,#00</c:formatCode>
                <c:ptCount val="47"/>
                <c:pt idx="0">
                  <c:v>0</c:v>
                </c:pt>
                <c:pt idx="1">
                  <c:v>0.18657116541675905</c:v>
                </c:pt>
                <c:pt idx="2">
                  <c:v>0.37314233083351811</c:v>
                </c:pt>
                <c:pt idx="3">
                  <c:v>0.55971349625027711</c:v>
                </c:pt>
                <c:pt idx="4">
                  <c:v>0.74628466166703622</c:v>
                </c:pt>
                <c:pt idx="5">
                  <c:v>0.93285582708379533</c:v>
                </c:pt>
                <c:pt idx="6">
                  <c:v>1.1194269925005542</c:v>
                </c:pt>
                <c:pt idx="7">
                  <c:v>1.3059981579173134</c:v>
                </c:pt>
                <c:pt idx="8">
                  <c:v>1.4925693233340724</c:v>
                </c:pt>
                <c:pt idx="9">
                  <c:v>1.6791404887508314</c:v>
                </c:pt>
                <c:pt idx="10">
                  <c:v>1.8657116541675907</c:v>
                </c:pt>
                <c:pt idx="11">
                  <c:v>2.0522828195843497</c:v>
                </c:pt>
                <c:pt idx="12">
                  <c:v>2.0522828195843497</c:v>
                </c:pt>
                <c:pt idx="13">
                  <c:v>2.0522828195843497</c:v>
                </c:pt>
                <c:pt idx="14">
                  <c:v>2.0522828195843497</c:v>
                </c:pt>
                <c:pt idx="15">
                  <c:v>2.0522828195843497</c:v>
                </c:pt>
                <c:pt idx="16">
                  <c:v>2.0522828195843497</c:v>
                </c:pt>
                <c:pt idx="17">
                  <c:v>2.0522828195843497</c:v>
                </c:pt>
                <c:pt idx="18">
                  <c:v>2.0522828195843497</c:v>
                </c:pt>
                <c:pt idx="19">
                  <c:v>2.0522828195843497</c:v>
                </c:pt>
                <c:pt idx="20">
                  <c:v>2.0522828195843497</c:v>
                </c:pt>
                <c:pt idx="21">
                  <c:v>2.0522828195843497</c:v>
                </c:pt>
                <c:pt idx="22">
                  <c:v>2.0522828195843497</c:v>
                </c:pt>
                <c:pt idx="23">
                  <c:v>2.0522828195843497</c:v>
                </c:pt>
                <c:pt idx="24">
                  <c:v>2.0522828195843497</c:v>
                </c:pt>
                <c:pt idx="25">
                  <c:v>2.0522828195843497</c:v>
                </c:pt>
                <c:pt idx="26">
                  <c:v>2.0522828195843497</c:v>
                </c:pt>
                <c:pt idx="27">
                  <c:v>2.0522828195843497</c:v>
                </c:pt>
                <c:pt idx="28">
                  <c:v>2.0522828195843497</c:v>
                </c:pt>
                <c:pt idx="29">
                  <c:v>2.0522828195843497</c:v>
                </c:pt>
                <c:pt idx="30">
                  <c:v>2.0522828195843497</c:v>
                </c:pt>
                <c:pt idx="31">
                  <c:v>2.0522828195843497</c:v>
                </c:pt>
                <c:pt idx="32">
                  <c:v>2.0522828195843497</c:v>
                </c:pt>
                <c:pt idx="33">
                  <c:v>2.0522828195843497</c:v>
                </c:pt>
                <c:pt idx="34">
                  <c:v>2.0522828195843497</c:v>
                </c:pt>
                <c:pt idx="35">
                  <c:v>2.0522828195843497</c:v>
                </c:pt>
                <c:pt idx="36">
                  <c:v>1.8657116541675907</c:v>
                </c:pt>
                <c:pt idx="37">
                  <c:v>1.6791404887508314</c:v>
                </c:pt>
                <c:pt idx="38">
                  <c:v>1.4925693233340724</c:v>
                </c:pt>
                <c:pt idx="39">
                  <c:v>1.3059981579173132</c:v>
                </c:pt>
                <c:pt idx="40">
                  <c:v>1.1194269925005542</c:v>
                </c:pt>
                <c:pt idx="41">
                  <c:v>0.93285582708379533</c:v>
                </c:pt>
                <c:pt idx="42">
                  <c:v>0.74628466166703611</c:v>
                </c:pt>
                <c:pt idx="43">
                  <c:v>0.55971349625027711</c:v>
                </c:pt>
                <c:pt idx="44">
                  <c:v>0.37314233083351817</c:v>
                </c:pt>
                <c:pt idx="45">
                  <c:v>0.18657116541675894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56-4360-B3B1-943E9C31E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427920"/>
        <c:axId val="805428480"/>
      </c:scatterChart>
      <c:valAx>
        <c:axId val="8054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7398902647394736"/>
              <c:y val="0.80499734277087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428480"/>
        <c:crosses val="autoZero"/>
        <c:crossBetween val="midCat"/>
        <c:majorUnit val="10"/>
      </c:valAx>
      <c:valAx>
        <c:axId val="80542848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q   [L/s/100m²]</a:t>
                </a:r>
              </a:p>
            </c:rich>
          </c:tx>
          <c:layout>
            <c:manualLayout>
              <c:xMode val="edge"/>
              <c:yMode val="edge"/>
              <c:x val="3.5828925789050101E-2"/>
              <c:y val="0.242302353897151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42792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Inflow hydrographs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11136249371543"/>
          <c:y val="0.14906512141280354"/>
          <c:w val="0.83066634346046109"/>
          <c:h val="0.53648896247240618"/>
        </c:manualLayout>
      </c:layout>
      <c:scatterChart>
        <c:scatterStyle val="lineMarker"/>
        <c:varyColors val="0"/>
        <c:ser>
          <c:idx val="0"/>
          <c:order val="0"/>
          <c:tx>
            <c:v>Inflow 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15"/>
                <c:pt idx="0">
                  <c:v>0</c:v>
                </c:pt>
                <c:pt idx="1">
                  <c:v>0.50921264606914685</c:v>
                </c:pt>
                <c:pt idx="2">
                  <c:v>1.0184252921382937</c:v>
                </c:pt>
                <c:pt idx="3">
                  <c:v>1.5276379382074405</c:v>
                </c:pt>
                <c:pt idx="4">
                  <c:v>2.0368505842765874</c:v>
                </c:pt>
                <c:pt idx="5">
                  <c:v>2.5460632303457342</c:v>
                </c:pt>
                <c:pt idx="6">
                  <c:v>3.0552758764148811</c:v>
                </c:pt>
                <c:pt idx="7">
                  <c:v>3.5644885224840279</c:v>
                </c:pt>
                <c:pt idx="8">
                  <c:v>4.0737011685531748</c:v>
                </c:pt>
                <c:pt idx="9">
                  <c:v>4.0737011685531748</c:v>
                </c:pt>
                <c:pt idx="10">
                  <c:v>4.0737011685531748</c:v>
                </c:pt>
                <c:pt idx="11">
                  <c:v>4.0737011685531748</c:v>
                </c:pt>
                <c:pt idx="12">
                  <c:v>4.0737011685531748</c:v>
                </c:pt>
                <c:pt idx="13">
                  <c:v>4.0737011685531748</c:v>
                </c:pt>
                <c:pt idx="14">
                  <c:v>4.0737011685531748</c:v>
                </c:pt>
                <c:pt idx="15">
                  <c:v>4.0737011685531748</c:v>
                </c:pt>
                <c:pt idx="16">
                  <c:v>4.0737011685531748</c:v>
                </c:pt>
                <c:pt idx="17">
                  <c:v>4.0737011685531748</c:v>
                </c:pt>
                <c:pt idx="18">
                  <c:v>4.0737011685531748</c:v>
                </c:pt>
                <c:pt idx="19">
                  <c:v>4.0737011685531748</c:v>
                </c:pt>
                <c:pt idx="20">
                  <c:v>4.0737011685531748</c:v>
                </c:pt>
                <c:pt idx="21">
                  <c:v>4.0737011685531748</c:v>
                </c:pt>
                <c:pt idx="22">
                  <c:v>4.0737011685531748</c:v>
                </c:pt>
                <c:pt idx="23">
                  <c:v>4.0737011685531748</c:v>
                </c:pt>
                <c:pt idx="24">
                  <c:v>4.0737011685531748</c:v>
                </c:pt>
                <c:pt idx="25">
                  <c:v>4.0737011685531748</c:v>
                </c:pt>
                <c:pt idx="26">
                  <c:v>4.0737011685531748</c:v>
                </c:pt>
                <c:pt idx="27">
                  <c:v>4.0737011685531748</c:v>
                </c:pt>
                <c:pt idx="28">
                  <c:v>4.0737011685531748</c:v>
                </c:pt>
                <c:pt idx="29">
                  <c:v>4.0737011685531748</c:v>
                </c:pt>
                <c:pt idx="30">
                  <c:v>4.0737011685531748</c:v>
                </c:pt>
                <c:pt idx="31">
                  <c:v>4.0737011685531748</c:v>
                </c:pt>
                <c:pt idx="32">
                  <c:v>4.0737011685531748</c:v>
                </c:pt>
                <c:pt idx="33">
                  <c:v>4.0737011685531748</c:v>
                </c:pt>
                <c:pt idx="34">
                  <c:v>4.0737011685531748</c:v>
                </c:pt>
                <c:pt idx="35">
                  <c:v>4.0737011685531748</c:v>
                </c:pt>
                <c:pt idx="36">
                  <c:v>3.5644885224840279</c:v>
                </c:pt>
                <c:pt idx="37">
                  <c:v>3.0552758764148811</c:v>
                </c:pt>
                <c:pt idx="38">
                  <c:v>2.5460632303457342</c:v>
                </c:pt>
                <c:pt idx="39">
                  <c:v>2.0368505842765874</c:v>
                </c:pt>
                <c:pt idx="40">
                  <c:v>1.5276379382074405</c:v>
                </c:pt>
                <c:pt idx="41">
                  <c:v>1.0184252921382937</c:v>
                </c:pt>
                <c:pt idx="42">
                  <c:v>0.50921264606914685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9-49D9-973C-56F2C041084D}"/>
            </c:ext>
          </c:extLst>
        </c:ser>
        <c:ser>
          <c:idx val="1"/>
          <c:order val="1"/>
          <c:tx>
            <c:v>Lot reference hydrograph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47"/>
                <c:pt idx="0">
                  <c:v>0</c:v>
                </c:pt>
                <c:pt idx="1">
                  <c:v>0.27985674812513855</c:v>
                </c:pt>
                <c:pt idx="2">
                  <c:v>0.55971349625027711</c:v>
                </c:pt>
                <c:pt idx="3">
                  <c:v>0.83957024437541561</c:v>
                </c:pt>
                <c:pt idx="4">
                  <c:v>1.1194269925005542</c:v>
                </c:pt>
                <c:pt idx="5">
                  <c:v>1.3992837406256931</c:v>
                </c:pt>
                <c:pt idx="6">
                  <c:v>1.6791404887508312</c:v>
                </c:pt>
                <c:pt idx="7">
                  <c:v>1.95899723687597</c:v>
                </c:pt>
                <c:pt idx="8">
                  <c:v>2.2388539850011084</c:v>
                </c:pt>
                <c:pt idx="9">
                  <c:v>2.5187107331262468</c:v>
                </c:pt>
                <c:pt idx="10">
                  <c:v>2.7985674812513861</c:v>
                </c:pt>
                <c:pt idx="11">
                  <c:v>3.0784242293765245</c:v>
                </c:pt>
                <c:pt idx="12">
                  <c:v>3.0784242293765245</c:v>
                </c:pt>
                <c:pt idx="13">
                  <c:v>3.0784242293765245</c:v>
                </c:pt>
                <c:pt idx="14">
                  <c:v>3.0784242293765245</c:v>
                </c:pt>
                <c:pt idx="15">
                  <c:v>3.0784242293765245</c:v>
                </c:pt>
                <c:pt idx="16">
                  <c:v>3.0784242293765245</c:v>
                </c:pt>
                <c:pt idx="17">
                  <c:v>3.0784242293765245</c:v>
                </c:pt>
                <c:pt idx="18">
                  <c:v>3.0784242293765245</c:v>
                </c:pt>
                <c:pt idx="19">
                  <c:v>3.0784242293765245</c:v>
                </c:pt>
                <c:pt idx="20">
                  <c:v>3.0784242293765245</c:v>
                </c:pt>
                <c:pt idx="21">
                  <c:v>3.0784242293765245</c:v>
                </c:pt>
                <c:pt idx="22">
                  <c:v>3.0784242293765245</c:v>
                </c:pt>
                <c:pt idx="23">
                  <c:v>3.0784242293765245</c:v>
                </c:pt>
                <c:pt idx="24">
                  <c:v>3.0784242293765245</c:v>
                </c:pt>
                <c:pt idx="25">
                  <c:v>3.0784242293765245</c:v>
                </c:pt>
                <c:pt idx="26">
                  <c:v>3.0784242293765245</c:v>
                </c:pt>
                <c:pt idx="27">
                  <c:v>3.0784242293765245</c:v>
                </c:pt>
                <c:pt idx="28">
                  <c:v>3.0784242293765245</c:v>
                </c:pt>
                <c:pt idx="29">
                  <c:v>3.0784242293765245</c:v>
                </c:pt>
                <c:pt idx="30">
                  <c:v>3.0784242293765245</c:v>
                </c:pt>
                <c:pt idx="31">
                  <c:v>3.0784242293765245</c:v>
                </c:pt>
                <c:pt idx="32">
                  <c:v>3.0784242293765245</c:v>
                </c:pt>
                <c:pt idx="33">
                  <c:v>3.0784242293765245</c:v>
                </c:pt>
                <c:pt idx="34">
                  <c:v>3.0784242293765245</c:v>
                </c:pt>
                <c:pt idx="35">
                  <c:v>3.0784242293765245</c:v>
                </c:pt>
                <c:pt idx="36">
                  <c:v>2.7985674812513861</c:v>
                </c:pt>
                <c:pt idx="37">
                  <c:v>2.5187107331262468</c:v>
                </c:pt>
                <c:pt idx="38">
                  <c:v>2.2388539850011084</c:v>
                </c:pt>
                <c:pt idx="39">
                  <c:v>1.9589972368759698</c:v>
                </c:pt>
                <c:pt idx="40">
                  <c:v>1.6791404887508312</c:v>
                </c:pt>
                <c:pt idx="41">
                  <c:v>1.3992837406256931</c:v>
                </c:pt>
                <c:pt idx="42">
                  <c:v>1.1194269925005542</c:v>
                </c:pt>
                <c:pt idx="43">
                  <c:v>0.83957024437541561</c:v>
                </c:pt>
                <c:pt idx="44">
                  <c:v>0.55971349625027722</c:v>
                </c:pt>
                <c:pt idx="45">
                  <c:v>0.27985674812513844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59-49D9-973C-56F2C0410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3280"/>
        <c:axId val="805593840"/>
      </c:scatterChart>
      <c:valAx>
        <c:axId val="805593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8275353731236081"/>
              <c:y val="0.777915378955114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3840"/>
        <c:crosses val="autoZero"/>
        <c:crossBetween val="midCat"/>
      </c:valAx>
      <c:valAx>
        <c:axId val="80559384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Flow rate</a:t>
                </a:r>
                <a:r>
                  <a:rPr lang="pt-BR" sz="1200" b="1" baseline="0">
                    <a:solidFill>
                      <a:sysClr val="windowText" lastClr="000000"/>
                    </a:solidFill>
                  </a:rPr>
                  <a:t> [L/s]</a:t>
                </a:r>
                <a:endParaRPr lang="pt-BR" sz="12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3280"/>
        <c:crosses val="autoZero"/>
        <c:crossBetween val="midCat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Hole hydrograph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58067401828198"/>
          <c:y val="0.13923097033789089"/>
          <c:w val="0.73087173786290049"/>
          <c:h val="0.57527883474052066"/>
        </c:manualLayout>
      </c:layout>
      <c:scatterChart>
        <c:scatterStyle val="lineMarker"/>
        <c:varyColors val="0"/>
        <c:ser>
          <c:idx val="0"/>
          <c:order val="0"/>
          <c:tx>
            <c:v>Hidrograma do orifício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[0]!Orificio</c:f>
              <c:numCache>
                <c:formatCode>0.00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0.26805401985969635</c:v>
                </c:pt>
                <c:pt idx="4">
                  <c:v>0.46584380170727718</c:v>
                </c:pt>
                <c:pt idx="5">
                  <c:v>0.64544712903152668</c:v>
                </c:pt>
                <c:pt idx="6">
                  <c:v>0.80776414730261969</c:v>
                </c:pt>
                <c:pt idx="7">
                  <c:v>0.96158889940896941</c:v>
                </c:pt>
                <c:pt idx="8">
                  <c:v>1.1104561575191136</c:v>
                </c:pt>
                <c:pt idx="9">
                  <c:v>1.2488863960869074</c:v>
                </c:pt>
                <c:pt idx="10">
                  <c:v>1.3668126779615799</c:v>
                </c:pt>
                <c:pt idx="11">
                  <c:v>1.4691806821112228</c:v>
                </c:pt>
                <c:pt idx="12">
                  <c:v>1.5648664022021466</c:v>
                </c:pt>
                <c:pt idx="13">
                  <c:v>1.6495384659170929</c:v>
                </c:pt>
                <c:pt idx="14">
                  <c:v>1.7300715142268368</c:v>
                </c:pt>
                <c:pt idx="15">
                  <c:v>1.8019914128221859</c:v>
                </c:pt>
                <c:pt idx="16">
                  <c:v>1.8711490211713906</c:v>
                </c:pt>
                <c:pt idx="17">
                  <c:v>1.9331527566964648</c:v>
                </c:pt>
                <c:pt idx="18">
                  <c:v>1.9932286627518752</c:v>
                </c:pt>
                <c:pt idx="19">
                  <c:v>2.0515461055769912</c:v>
                </c:pt>
                <c:pt idx="20">
                  <c:v>2.0972107403618585</c:v>
                </c:pt>
                <c:pt idx="21">
                  <c:v>2.1481708130973085</c:v>
                </c:pt>
                <c:pt idx="22">
                  <c:v>2.1979496798146148</c:v>
                </c:pt>
                <c:pt idx="23">
                  <c:v>2.2426098639059688</c:v>
                </c:pt>
                <c:pt idx="24">
                  <c:v>2.2863978674717851</c:v>
                </c:pt>
                <c:pt idx="25">
                  <c:v>2.329362877499062</c:v>
                </c:pt>
                <c:pt idx="26">
                  <c:v>2.371549624562364</c:v>
                </c:pt>
                <c:pt idx="27">
                  <c:v>2.4053930855565979</c:v>
                </c:pt>
                <c:pt idx="28">
                  <c:v>2.4424629064187595</c:v>
                </c:pt>
                <c:pt idx="29">
                  <c:v>2.4789784594505164</c:v>
                </c:pt>
                <c:pt idx="30">
                  <c:v>2.514963887535512</c:v>
                </c:pt>
                <c:pt idx="31">
                  <c:v>2.546916094706893</c:v>
                </c:pt>
                <c:pt idx="32">
                  <c:v>2.5784723832816754</c:v>
                </c:pt>
                <c:pt idx="33">
                  <c:v>2.609647115840676</c:v>
                </c:pt>
                <c:pt idx="34">
                  <c:v>2.64045380703485</c:v>
                </c:pt>
                <c:pt idx="35">
                  <c:v>2.670905192056451</c:v>
                </c:pt>
                <c:pt idx="36">
                  <c:v>2.6943516756700054</c:v>
                </c:pt>
                <c:pt idx="37">
                  <c:v>2.7043379408169734</c:v>
                </c:pt>
                <c:pt idx="38">
                  <c:v>2.7043379408169734</c:v>
                </c:pt>
                <c:pt idx="39">
                  <c:v>2.6943516756700054</c:v>
                </c:pt>
                <c:pt idx="40">
                  <c:v>2.6742672753995462</c:v>
                </c:pt>
                <c:pt idx="41">
                  <c:v>2.6438546144604169</c:v>
                </c:pt>
                <c:pt idx="42">
                  <c:v>2.6027516667131234</c:v>
                </c:pt>
                <c:pt idx="43">
                  <c:v>2.5504416301487511</c:v>
                </c:pt>
                <c:pt idx="44">
                  <c:v>2.4898286986007854</c:v>
                </c:pt>
                <c:pt idx="45">
                  <c:v>2.4314013044487632</c:v>
                </c:pt>
                <c:pt idx="46">
                  <c:v>2.3715348739106106</c:v>
                </c:pt>
                <c:pt idx="47">
                  <c:v>2.3138315476324918</c:v>
                </c:pt>
                <c:pt idx="48">
                  <c:v>2.2546363875083828</c:v>
                </c:pt>
                <c:pt idx="49">
                  <c:v>2.1938445817637886</c:v>
                </c:pt>
                <c:pt idx="50">
                  <c:v>2.1355448026334281</c:v>
                </c:pt>
                <c:pt idx="51">
                  <c:v>2.0756081420092189</c:v>
                </c:pt>
                <c:pt idx="52">
                  <c:v>2.020353587750233</c:v>
                </c:pt>
                <c:pt idx="53">
                  <c:v>1.9611087930665019</c:v>
                </c:pt>
                <c:pt idx="54">
                  <c:v>1.9000175728003841</c:v>
                </c:pt>
                <c:pt idx="55">
                  <c:v>1.841828043523891</c:v>
                </c:pt>
                <c:pt idx="56">
                  <c:v>1.7817391242468195</c:v>
                </c:pt>
                <c:pt idx="57">
                  <c:v>1.7195517066469983</c:v>
                </c:pt>
                <c:pt idx="58">
                  <c:v>1.6605018889018621</c:v>
                </c:pt>
                <c:pt idx="59">
                  <c:v>1.5992732644112766</c:v>
                </c:pt>
                <c:pt idx="60">
                  <c:v>1.5356052310000607</c:v>
                </c:pt>
                <c:pt idx="61">
                  <c:v>1.4753428628430976</c:v>
                </c:pt>
                <c:pt idx="62">
                  <c:v>1.4125118408032491</c:v>
                </c:pt>
                <c:pt idx="63">
                  <c:v>1.3534723950380254</c:v>
                </c:pt>
                <c:pt idx="64">
                  <c:v>1.2917373370196257</c:v>
                </c:pt>
                <c:pt idx="65">
                  <c:v>1.2268998213265576</c:v>
                </c:pt>
                <c:pt idx="66">
                  <c:v>1.1662442632420502</c:v>
                </c:pt>
                <c:pt idx="67">
                  <c:v>1.102255955537935</c:v>
                </c:pt>
                <c:pt idx="68">
                  <c:v>1.0430509995901294</c:v>
                </c:pt>
                <c:pt idx="69">
                  <c:v>0.98027678946973418</c:v>
                </c:pt>
                <c:pt idx="70">
                  <c:v>0.91319755814402581</c:v>
                </c:pt>
                <c:pt idx="71">
                  <c:v>0.85150552709926763</c:v>
                </c:pt>
                <c:pt idx="72">
                  <c:v>0.78497996481502108</c:v>
                </c:pt>
                <c:pt idx="73">
                  <c:v>0.72489317412612619</c:v>
                </c:pt>
                <c:pt idx="74">
                  <c:v>0.65935323054362049</c:v>
                </c:pt>
                <c:pt idx="75">
                  <c:v>0.58653495323123517</c:v>
                </c:pt>
                <c:pt idx="76">
                  <c:v>0.52100336500726552</c:v>
                </c:pt>
                <c:pt idx="77">
                  <c:v>0.44594367507098998</c:v>
                </c:pt>
                <c:pt idx="78">
                  <c:v>0.38004171162652095</c:v>
                </c:pt>
                <c:pt idx="79">
                  <c:v>0.29999607300131581</c:v>
                </c:pt>
                <c:pt idx="80">
                  <c:v>0.23175045050587106</c:v>
                </c:pt>
                <c:pt idx="81">
                  <c:v>0.13198067587013479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7-4E40-BCF8-59E5E350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6640"/>
        <c:axId val="805597200"/>
      </c:scatterChart>
      <c:scatterChart>
        <c:scatterStyle val="lineMarker"/>
        <c:varyColors val="0"/>
        <c:ser>
          <c:idx val="1"/>
          <c:order val="1"/>
          <c:tx>
            <c:v>Nível d'água no reservatório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4.75</c:v>
                </c:pt>
                <c:pt idx="5">
                  <c:v>7.5</c:v>
                </c:pt>
                <c:pt idx="6">
                  <c:v>10.75</c:v>
                </c:pt>
                <c:pt idx="7">
                  <c:v>14.5</c:v>
                </c:pt>
                <c:pt idx="8">
                  <c:v>18.75</c:v>
                </c:pt>
                <c:pt idx="9">
                  <c:v>23.25</c:v>
                </c:pt>
                <c:pt idx="10">
                  <c:v>27.5</c:v>
                </c:pt>
                <c:pt idx="11">
                  <c:v>31.5</c:v>
                </c:pt>
                <c:pt idx="12">
                  <c:v>35.5</c:v>
                </c:pt>
                <c:pt idx="13">
                  <c:v>39.25</c:v>
                </c:pt>
                <c:pt idx="14">
                  <c:v>43</c:v>
                </c:pt>
                <c:pt idx="15">
                  <c:v>46.5</c:v>
                </c:pt>
                <c:pt idx="16">
                  <c:v>50</c:v>
                </c:pt>
                <c:pt idx="17">
                  <c:v>53.25</c:v>
                </c:pt>
                <c:pt idx="18">
                  <c:v>56.5</c:v>
                </c:pt>
                <c:pt idx="19">
                  <c:v>59.75</c:v>
                </c:pt>
                <c:pt idx="20">
                  <c:v>62.75</c:v>
                </c:pt>
                <c:pt idx="21">
                  <c:v>65.75</c:v>
                </c:pt>
                <c:pt idx="22">
                  <c:v>68.75</c:v>
                </c:pt>
                <c:pt idx="23">
                  <c:v>71.5</c:v>
                </c:pt>
                <c:pt idx="24">
                  <c:v>74.25</c:v>
                </c:pt>
                <c:pt idx="25">
                  <c:v>77</c:v>
                </c:pt>
                <c:pt idx="26">
                  <c:v>79.75</c:v>
                </c:pt>
                <c:pt idx="27">
                  <c:v>82.25</c:v>
                </c:pt>
                <c:pt idx="28">
                  <c:v>84.75</c:v>
                </c:pt>
                <c:pt idx="29">
                  <c:v>87.25</c:v>
                </c:pt>
                <c:pt idx="30">
                  <c:v>89.75</c:v>
                </c:pt>
                <c:pt idx="31">
                  <c:v>92</c:v>
                </c:pt>
                <c:pt idx="32">
                  <c:v>94.25</c:v>
                </c:pt>
                <c:pt idx="33">
                  <c:v>96.5</c:v>
                </c:pt>
                <c:pt idx="34">
                  <c:v>98.75</c:v>
                </c:pt>
                <c:pt idx="35">
                  <c:v>101</c:v>
                </c:pt>
                <c:pt idx="36">
                  <c:v>102.75</c:v>
                </c:pt>
                <c:pt idx="37">
                  <c:v>103.5</c:v>
                </c:pt>
                <c:pt idx="38">
                  <c:v>103.5</c:v>
                </c:pt>
                <c:pt idx="39">
                  <c:v>102.75</c:v>
                </c:pt>
                <c:pt idx="40">
                  <c:v>101.25</c:v>
                </c:pt>
                <c:pt idx="41">
                  <c:v>99</c:v>
                </c:pt>
                <c:pt idx="42">
                  <c:v>96</c:v>
                </c:pt>
                <c:pt idx="43">
                  <c:v>92.25</c:v>
                </c:pt>
                <c:pt idx="44">
                  <c:v>88</c:v>
                </c:pt>
                <c:pt idx="45">
                  <c:v>84</c:v>
                </c:pt>
                <c:pt idx="46">
                  <c:v>80</c:v>
                </c:pt>
                <c:pt idx="47">
                  <c:v>76</c:v>
                </c:pt>
                <c:pt idx="48">
                  <c:v>72.25</c:v>
                </c:pt>
                <c:pt idx="49">
                  <c:v>68.5</c:v>
                </c:pt>
                <c:pt idx="50">
                  <c:v>65</c:v>
                </c:pt>
                <c:pt idx="51">
                  <c:v>61.5</c:v>
                </c:pt>
                <c:pt idx="52">
                  <c:v>58</c:v>
                </c:pt>
                <c:pt idx="53">
                  <c:v>54.75</c:v>
                </c:pt>
                <c:pt idx="54">
                  <c:v>51.5</c:v>
                </c:pt>
                <c:pt idx="55">
                  <c:v>48.5</c:v>
                </c:pt>
                <c:pt idx="56">
                  <c:v>45.5</c:v>
                </c:pt>
                <c:pt idx="57">
                  <c:v>42.5</c:v>
                </c:pt>
                <c:pt idx="58">
                  <c:v>39.75</c:v>
                </c:pt>
                <c:pt idx="59">
                  <c:v>37</c:v>
                </c:pt>
                <c:pt idx="60">
                  <c:v>34.25</c:v>
                </c:pt>
                <c:pt idx="61">
                  <c:v>31.75</c:v>
                </c:pt>
                <c:pt idx="62">
                  <c:v>29.25</c:v>
                </c:pt>
                <c:pt idx="63">
                  <c:v>27</c:v>
                </c:pt>
                <c:pt idx="64">
                  <c:v>24.75</c:v>
                </c:pt>
                <c:pt idx="65">
                  <c:v>22.5</c:v>
                </c:pt>
                <c:pt idx="66">
                  <c:v>20.5</c:v>
                </c:pt>
                <c:pt idx="67">
                  <c:v>18.5</c:v>
                </c:pt>
                <c:pt idx="68">
                  <c:v>16.75</c:v>
                </c:pt>
                <c:pt idx="69">
                  <c:v>15</c:v>
                </c:pt>
                <c:pt idx="70">
                  <c:v>13.25</c:v>
                </c:pt>
                <c:pt idx="71">
                  <c:v>11.75</c:v>
                </c:pt>
                <c:pt idx="72">
                  <c:v>10.25</c:v>
                </c:pt>
                <c:pt idx="73">
                  <c:v>9</c:v>
                </c:pt>
                <c:pt idx="74">
                  <c:v>7.75</c:v>
                </c:pt>
                <c:pt idx="75">
                  <c:v>6.5</c:v>
                </c:pt>
                <c:pt idx="76">
                  <c:v>5.5</c:v>
                </c:pt>
                <c:pt idx="77">
                  <c:v>4.5</c:v>
                </c:pt>
                <c:pt idx="78">
                  <c:v>3.75</c:v>
                </c:pt>
                <c:pt idx="79">
                  <c:v>3</c:v>
                </c:pt>
                <c:pt idx="80">
                  <c:v>2.5</c:v>
                </c:pt>
                <c:pt idx="81">
                  <c:v>2</c:v>
                </c:pt>
                <c:pt idx="82">
                  <c:v>1.75</c:v>
                </c:pt>
                <c:pt idx="83">
                  <c:v>1.75</c:v>
                </c:pt>
                <c:pt idx="84">
                  <c:v>1.75</c:v>
                </c:pt>
                <c:pt idx="85">
                  <c:v>1.75</c:v>
                </c:pt>
                <c:pt idx="86">
                  <c:v>1.75</c:v>
                </c:pt>
                <c:pt idx="87">
                  <c:v>1.75</c:v>
                </c:pt>
                <c:pt idx="88">
                  <c:v>1.75</c:v>
                </c:pt>
                <c:pt idx="89">
                  <c:v>1.75</c:v>
                </c:pt>
                <c:pt idx="90">
                  <c:v>1.75</c:v>
                </c:pt>
                <c:pt idx="91">
                  <c:v>1.75</c:v>
                </c:pt>
                <c:pt idx="92">
                  <c:v>1.75</c:v>
                </c:pt>
                <c:pt idx="93">
                  <c:v>1.75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1.75</c:v>
                </c:pt>
                <c:pt idx="105">
                  <c:v>1.75</c:v>
                </c:pt>
                <c:pt idx="106">
                  <c:v>1.75</c:v>
                </c:pt>
                <c:pt idx="107">
                  <c:v>1.75</c:v>
                </c:pt>
                <c:pt idx="108">
                  <c:v>1.75</c:v>
                </c:pt>
                <c:pt idx="109">
                  <c:v>1.75</c:v>
                </c:pt>
                <c:pt idx="110">
                  <c:v>1.75</c:v>
                </c:pt>
                <c:pt idx="111">
                  <c:v>1.75</c:v>
                </c:pt>
                <c:pt idx="112">
                  <c:v>1.75</c:v>
                </c:pt>
                <c:pt idx="113">
                  <c:v>1.75</c:v>
                </c:pt>
                <c:pt idx="114">
                  <c:v>1.75</c:v>
                </c:pt>
                <c:pt idx="115">
                  <c:v>1.75</c:v>
                </c:pt>
                <c:pt idx="116">
                  <c:v>1.75</c:v>
                </c:pt>
                <c:pt idx="117">
                  <c:v>1.75</c:v>
                </c:pt>
                <c:pt idx="118">
                  <c:v>1.75</c:v>
                </c:pt>
                <c:pt idx="119">
                  <c:v>1.75</c:v>
                </c:pt>
                <c:pt idx="120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7-4E40-BCF8-59E5E350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8320"/>
        <c:axId val="805597760"/>
      </c:scatterChart>
      <c:valAx>
        <c:axId val="80559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4176145061695637"/>
              <c:y val="0.807373103320868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7200"/>
        <c:crosses val="autoZero"/>
        <c:crossBetween val="midCat"/>
        <c:majorUnit val="10"/>
      </c:valAx>
      <c:valAx>
        <c:axId val="80559720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6640"/>
        <c:crosses val="autoZero"/>
        <c:crossBetween val="midCat"/>
      </c:valAx>
      <c:valAx>
        <c:axId val="8055977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Water level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8320"/>
        <c:crosses val="max"/>
        <c:crossBetween val="midCat"/>
      </c:valAx>
      <c:valAx>
        <c:axId val="805598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59776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Weir hydrograph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83603164294693"/>
          <c:y val="0.11153789551140544"/>
          <c:w val="0.73255556941239297"/>
          <c:h val="0.63024908020603387"/>
        </c:manualLayout>
      </c:layout>
      <c:scatterChart>
        <c:scatterStyle val="lineMarker"/>
        <c:varyColors val="0"/>
        <c:ser>
          <c:idx val="0"/>
          <c:order val="0"/>
          <c:tx>
            <c:v>Weir hydrograph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[0]!Vertedor</c:f>
              <c:numCache>
                <c:formatCode>0.00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63-4A1D-A7C2-C164C37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49712"/>
        <c:axId val="805850272"/>
      </c:scatterChart>
      <c:scatterChart>
        <c:scatterStyle val="lineMarker"/>
        <c:varyColors val="0"/>
        <c:ser>
          <c:idx val="1"/>
          <c:order val="1"/>
          <c:tx>
            <c:v>Water level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4.75</c:v>
                </c:pt>
                <c:pt idx="5">
                  <c:v>7.5</c:v>
                </c:pt>
                <c:pt idx="6">
                  <c:v>10.75</c:v>
                </c:pt>
                <c:pt idx="7">
                  <c:v>14.5</c:v>
                </c:pt>
                <c:pt idx="8">
                  <c:v>18.75</c:v>
                </c:pt>
                <c:pt idx="9">
                  <c:v>23.25</c:v>
                </c:pt>
                <c:pt idx="10">
                  <c:v>27.5</c:v>
                </c:pt>
                <c:pt idx="11">
                  <c:v>31.5</c:v>
                </c:pt>
                <c:pt idx="12">
                  <c:v>35.5</c:v>
                </c:pt>
                <c:pt idx="13">
                  <c:v>39.25</c:v>
                </c:pt>
                <c:pt idx="14">
                  <c:v>43</c:v>
                </c:pt>
                <c:pt idx="15">
                  <c:v>46.5</c:v>
                </c:pt>
                <c:pt idx="16">
                  <c:v>50</c:v>
                </c:pt>
                <c:pt idx="17">
                  <c:v>53.25</c:v>
                </c:pt>
                <c:pt idx="18">
                  <c:v>56.5</c:v>
                </c:pt>
                <c:pt idx="19">
                  <c:v>59.75</c:v>
                </c:pt>
                <c:pt idx="20">
                  <c:v>62.75</c:v>
                </c:pt>
                <c:pt idx="21">
                  <c:v>65.75</c:v>
                </c:pt>
                <c:pt idx="22">
                  <c:v>68.75</c:v>
                </c:pt>
                <c:pt idx="23">
                  <c:v>71.5</c:v>
                </c:pt>
                <c:pt idx="24">
                  <c:v>74.25</c:v>
                </c:pt>
                <c:pt idx="25">
                  <c:v>77</c:v>
                </c:pt>
                <c:pt idx="26">
                  <c:v>79.75</c:v>
                </c:pt>
                <c:pt idx="27">
                  <c:v>82.25</c:v>
                </c:pt>
                <c:pt idx="28">
                  <c:v>84.75</c:v>
                </c:pt>
                <c:pt idx="29">
                  <c:v>87.25</c:v>
                </c:pt>
                <c:pt idx="30">
                  <c:v>89.75</c:v>
                </c:pt>
                <c:pt idx="31">
                  <c:v>92</c:v>
                </c:pt>
                <c:pt idx="32">
                  <c:v>94.25</c:v>
                </c:pt>
                <c:pt idx="33">
                  <c:v>96.5</c:v>
                </c:pt>
                <c:pt idx="34">
                  <c:v>98.75</c:v>
                </c:pt>
                <c:pt idx="35">
                  <c:v>101</c:v>
                </c:pt>
                <c:pt idx="36">
                  <c:v>102.75</c:v>
                </c:pt>
                <c:pt idx="37">
                  <c:v>103.5</c:v>
                </c:pt>
                <c:pt idx="38">
                  <c:v>103.5</c:v>
                </c:pt>
                <c:pt idx="39">
                  <c:v>102.75</c:v>
                </c:pt>
                <c:pt idx="40">
                  <c:v>101.25</c:v>
                </c:pt>
                <c:pt idx="41">
                  <c:v>99</c:v>
                </c:pt>
                <c:pt idx="42">
                  <c:v>96</c:v>
                </c:pt>
                <c:pt idx="43">
                  <c:v>92.25</c:v>
                </c:pt>
                <c:pt idx="44">
                  <c:v>88</c:v>
                </c:pt>
                <c:pt idx="45">
                  <c:v>84</c:v>
                </c:pt>
                <c:pt idx="46">
                  <c:v>80</c:v>
                </c:pt>
                <c:pt idx="47">
                  <c:v>76</c:v>
                </c:pt>
                <c:pt idx="48">
                  <c:v>72.25</c:v>
                </c:pt>
                <c:pt idx="49">
                  <c:v>68.5</c:v>
                </c:pt>
                <c:pt idx="50">
                  <c:v>65</c:v>
                </c:pt>
                <c:pt idx="51">
                  <c:v>61.5</c:v>
                </c:pt>
                <c:pt idx="52">
                  <c:v>58</c:v>
                </c:pt>
                <c:pt idx="53">
                  <c:v>54.75</c:v>
                </c:pt>
                <c:pt idx="54">
                  <c:v>51.5</c:v>
                </c:pt>
                <c:pt idx="55">
                  <c:v>48.5</c:v>
                </c:pt>
                <c:pt idx="56">
                  <c:v>45.5</c:v>
                </c:pt>
                <c:pt idx="57">
                  <c:v>42.5</c:v>
                </c:pt>
                <c:pt idx="58">
                  <c:v>39.75</c:v>
                </c:pt>
                <c:pt idx="59">
                  <c:v>37</c:v>
                </c:pt>
                <c:pt idx="60">
                  <c:v>34.25</c:v>
                </c:pt>
                <c:pt idx="61">
                  <c:v>31.75</c:v>
                </c:pt>
                <c:pt idx="62">
                  <c:v>29.25</c:v>
                </c:pt>
                <c:pt idx="63">
                  <c:v>27</c:v>
                </c:pt>
                <c:pt idx="64">
                  <c:v>24.75</c:v>
                </c:pt>
                <c:pt idx="65">
                  <c:v>22.5</c:v>
                </c:pt>
                <c:pt idx="66">
                  <c:v>20.5</c:v>
                </c:pt>
                <c:pt idx="67">
                  <c:v>18.5</c:v>
                </c:pt>
                <c:pt idx="68">
                  <c:v>16.75</c:v>
                </c:pt>
                <c:pt idx="69">
                  <c:v>15</c:v>
                </c:pt>
                <c:pt idx="70">
                  <c:v>13.25</c:v>
                </c:pt>
                <c:pt idx="71">
                  <c:v>11.75</c:v>
                </c:pt>
                <c:pt idx="72">
                  <c:v>10.25</c:v>
                </c:pt>
                <c:pt idx="73">
                  <c:v>9</c:v>
                </c:pt>
                <c:pt idx="74">
                  <c:v>7.75</c:v>
                </c:pt>
                <c:pt idx="75">
                  <c:v>6.5</c:v>
                </c:pt>
                <c:pt idx="76">
                  <c:v>5.5</c:v>
                </c:pt>
                <c:pt idx="77">
                  <c:v>4.5</c:v>
                </c:pt>
                <c:pt idx="78">
                  <c:v>3.75</c:v>
                </c:pt>
                <c:pt idx="79">
                  <c:v>3</c:v>
                </c:pt>
                <c:pt idx="80">
                  <c:v>2.5</c:v>
                </c:pt>
                <c:pt idx="81">
                  <c:v>2</c:v>
                </c:pt>
                <c:pt idx="82">
                  <c:v>1.75</c:v>
                </c:pt>
                <c:pt idx="83">
                  <c:v>1.75</c:v>
                </c:pt>
                <c:pt idx="84">
                  <c:v>1.75</c:v>
                </c:pt>
                <c:pt idx="85">
                  <c:v>1.75</c:v>
                </c:pt>
                <c:pt idx="86">
                  <c:v>1.75</c:v>
                </c:pt>
                <c:pt idx="87">
                  <c:v>1.75</c:v>
                </c:pt>
                <c:pt idx="88">
                  <c:v>1.75</c:v>
                </c:pt>
                <c:pt idx="89">
                  <c:v>1.75</c:v>
                </c:pt>
                <c:pt idx="90">
                  <c:v>1.75</c:v>
                </c:pt>
                <c:pt idx="91">
                  <c:v>1.75</c:v>
                </c:pt>
                <c:pt idx="92">
                  <c:v>1.75</c:v>
                </c:pt>
                <c:pt idx="93">
                  <c:v>1.75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1.75</c:v>
                </c:pt>
                <c:pt idx="105">
                  <c:v>1.75</c:v>
                </c:pt>
                <c:pt idx="106">
                  <c:v>1.75</c:v>
                </c:pt>
                <c:pt idx="107">
                  <c:v>1.75</c:v>
                </c:pt>
                <c:pt idx="108">
                  <c:v>1.75</c:v>
                </c:pt>
                <c:pt idx="109">
                  <c:v>1.75</c:v>
                </c:pt>
                <c:pt idx="110">
                  <c:v>1.75</c:v>
                </c:pt>
                <c:pt idx="111">
                  <c:v>1.75</c:v>
                </c:pt>
                <c:pt idx="112">
                  <c:v>1.75</c:v>
                </c:pt>
                <c:pt idx="113">
                  <c:v>1.75</c:v>
                </c:pt>
                <c:pt idx="114">
                  <c:v>1.75</c:v>
                </c:pt>
                <c:pt idx="115">
                  <c:v>1.75</c:v>
                </c:pt>
                <c:pt idx="116">
                  <c:v>1.75</c:v>
                </c:pt>
                <c:pt idx="117">
                  <c:v>1.75</c:v>
                </c:pt>
                <c:pt idx="118">
                  <c:v>1.75</c:v>
                </c:pt>
                <c:pt idx="119">
                  <c:v>1.75</c:v>
                </c:pt>
                <c:pt idx="120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63-4A1D-A7C2-C164C37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1392"/>
        <c:axId val="805850832"/>
      </c:scatterChart>
      <c:valAx>
        <c:axId val="80584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3581468330822754"/>
              <c:y val="0.823996320824135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0272"/>
        <c:crosses val="autoZero"/>
        <c:crossBetween val="midCat"/>
        <c:majorUnit val="10"/>
      </c:valAx>
      <c:valAx>
        <c:axId val="80585027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Vazão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49712"/>
        <c:crosses val="autoZero"/>
        <c:crossBetween val="midCat"/>
      </c:valAx>
      <c:valAx>
        <c:axId val="8058508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Altura</a:t>
                </a:r>
                <a:r>
                  <a:rPr lang="pt-BR" sz="1400" b="1" baseline="0">
                    <a:solidFill>
                      <a:sysClr val="windowText" lastClr="000000"/>
                    </a:solidFill>
                  </a:rPr>
                  <a:t> [cm]</a:t>
                </a:r>
                <a:endParaRPr lang="pt-BR" sz="1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1392"/>
        <c:crosses val="max"/>
        <c:crossBetween val="midCat"/>
      </c:valAx>
      <c:valAx>
        <c:axId val="805851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85083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5.8976579872319058E-2"/>
          <c:y val="0.89823196955826623"/>
          <c:w val="0.87663833297467897"/>
          <c:h val="7.8345842531273011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Auxiliary</a:t>
            </a:r>
            <a:r>
              <a:rPr lang="pt-BR" sz="1600" b="1" baseline="0">
                <a:solidFill>
                  <a:sysClr val="windowText" lastClr="000000"/>
                </a:solidFill>
              </a:rPr>
              <a:t> Curve</a:t>
            </a:r>
            <a:endParaRPr lang="pt-BR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8178326262401"/>
          <c:y val="0.10894963714279109"/>
          <c:w val="0.79454737186497792"/>
          <c:h val="0.695173263888889"/>
        </c:manualLayout>
      </c:layout>
      <c:scatterChart>
        <c:scatterStyle val="lineMarker"/>
        <c:varyColors val="0"/>
        <c:ser>
          <c:idx val="0"/>
          <c:order val="0"/>
          <c:tx>
            <c:v>Curva auxiliar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[0]!Vazão_de_saida</c:f>
              <c:numCache>
                <c:formatCode>0.00</c:formatCode>
                <c:ptCount val="34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0.13198067587013479</c:v>
                </c:pt>
                <c:pt idx="5">
                  <c:v>0.18858309854386707</c:v>
                </c:pt>
                <c:pt idx="6">
                  <c:v>0.23175045050587106</c:v>
                </c:pt>
                <c:pt idx="7">
                  <c:v>0.26805401985969635</c:v>
                </c:pt>
                <c:pt idx="8">
                  <c:v>0.29999607300131581</c:v>
                </c:pt>
                <c:pt idx="9">
                  <c:v>0.32885001150901477</c:v>
                </c:pt>
                <c:pt idx="10">
                  <c:v>0.35536884545883796</c:v>
                </c:pt>
                <c:pt idx="11">
                  <c:v>0.38004171162652095</c:v>
                </c:pt>
                <c:pt idx="12">
                  <c:v>0.40320762496421625</c:v>
                </c:pt>
                <c:pt idx="13">
                  <c:v>0.42511301448268124</c:v>
                </c:pt>
                <c:pt idx="14">
                  <c:v>0.44594367507098998</c:v>
                </c:pt>
                <c:pt idx="15">
                  <c:v>0.46584380170727718</c:v>
                </c:pt>
                <c:pt idx="16">
                  <c:v>0.48492796768422969</c:v>
                </c:pt>
                <c:pt idx="17">
                  <c:v>0.5032890025578004</c:v>
                </c:pt>
                <c:pt idx="18">
                  <c:v>0.52100336500726552</c:v>
                </c:pt>
                <c:pt idx="19">
                  <c:v>0.53813492044482891</c:v>
                </c:pt>
                <c:pt idx="20">
                  <c:v>0.55473766669970281</c:v>
                </c:pt>
                <c:pt idx="21">
                  <c:v>0.57085774507200904</c:v>
                </c:pt>
                <c:pt idx="22">
                  <c:v>0.58653495323123517</c:v>
                </c:pt>
                <c:pt idx="23">
                  <c:v>0.60180390295779529</c:v>
                </c:pt>
                <c:pt idx="24">
                  <c:v>0.61669491960652945</c:v>
                </c:pt>
                <c:pt idx="25">
                  <c:v>0.63123475040730448</c:v>
                </c:pt>
                <c:pt idx="26">
                  <c:v>0.64544712903152668</c:v>
                </c:pt>
                <c:pt idx="27">
                  <c:v>0.65935323054362049</c:v>
                </c:pt>
                <c:pt idx="28">
                  <c:v>0.67297204167898161</c:v>
                </c:pt>
                <c:pt idx="29">
                  <c:v>0.68632066494813138</c:v>
                </c:pt>
                <c:pt idx="30">
                  <c:v>0.69941457047170064</c:v>
                </c:pt>
                <c:pt idx="31">
                  <c:v>0.71226780612448137</c:v>
                </c:pt>
                <c:pt idx="32">
                  <c:v>0.72489317412612619</c:v>
                </c:pt>
                <c:pt idx="33">
                  <c:v>0.73730238040299223</c:v>
                </c:pt>
                <c:pt idx="34">
                  <c:v>0.74950616168326922</c:v>
                </c:pt>
                <c:pt idx="35">
                  <c:v>0.76151439425296163</c:v>
                </c:pt>
                <c:pt idx="36">
                  <c:v>0.77333618750691047</c:v>
                </c:pt>
                <c:pt idx="37">
                  <c:v>0.78497996481502108</c:v>
                </c:pt>
                <c:pt idx="38">
                  <c:v>0.7964535337445996</c:v>
                </c:pt>
                <c:pt idx="39">
                  <c:v>0.80776414730261969</c:v>
                </c:pt>
                <c:pt idx="40">
                  <c:v>0.81891855756283649</c:v>
                </c:pt>
                <c:pt idx="41">
                  <c:v>0.82992306280405592</c:v>
                </c:pt>
                <c:pt idx="42">
                  <c:v>0.84078354909413711</c:v>
                </c:pt>
                <c:pt idx="43">
                  <c:v>0.85150552709926763</c:v>
                </c:pt>
                <c:pt idx="44">
                  <c:v>0.86209416477196388</c:v>
                </c:pt>
                <c:pt idx="45">
                  <c:v>0.87255431646811443</c:v>
                </c:pt>
                <c:pt idx="46">
                  <c:v>0.88289054895859342</c:v>
                </c:pt>
                <c:pt idx="47">
                  <c:v>0.89310716473090446</c:v>
                </c:pt>
                <c:pt idx="48">
                  <c:v>0.90320822291813929</c:v>
                </c:pt>
                <c:pt idx="49">
                  <c:v>0.91319755814402581</c:v>
                </c:pt>
                <c:pt idx="50">
                  <c:v>0.92307879753219335</c:v>
                </c:pt>
                <c:pt idx="51">
                  <c:v>0.93285537609360869</c:v>
                </c:pt>
                <c:pt idx="52">
                  <c:v>0.94253055067727998</c:v>
                </c:pt>
                <c:pt idx="53">
                  <c:v>0.95210741264485743</c:v>
                </c:pt>
                <c:pt idx="54">
                  <c:v>0.96158889940896941</c:v>
                </c:pt>
                <c:pt idx="55">
                  <c:v>0.97097780495736441</c:v>
                </c:pt>
                <c:pt idx="56">
                  <c:v>0.98027678946973418</c:v>
                </c:pt>
                <c:pt idx="57">
                  <c:v>0.98948838812103201</c:v>
                </c:pt>
                <c:pt idx="58">
                  <c:v>0.9986150191538411</c:v>
                </c:pt>
                <c:pt idx="59">
                  <c:v>1.007658991292637</c:v>
                </c:pt>
                <c:pt idx="60">
                  <c:v>1.0166225105643505</c:v>
                </c:pt>
                <c:pt idx="61">
                  <c:v>1.0255076865823245</c:v>
                </c:pt>
                <c:pt idx="62">
                  <c:v>1.0343165383443791</c:v>
                </c:pt>
                <c:pt idx="63">
                  <c:v>1.0430509995901294</c:v>
                </c:pt>
                <c:pt idx="64">
                  <c:v>1.0517129237578267</c:v>
                </c:pt>
                <c:pt idx="65">
                  <c:v>1.0603040885767181</c:v>
                </c:pt>
                <c:pt idx="66">
                  <c:v>1.0688262003271498</c:v>
                </c:pt>
                <c:pt idx="67">
                  <c:v>1.0772808977973392</c:v>
                </c:pt>
                <c:pt idx="68">
                  <c:v>1.0856697559627924</c:v>
                </c:pt>
                <c:pt idx="69">
                  <c:v>1.0939942894117765</c:v>
                </c:pt>
                <c:pt idx="70">
                  <c:v>1.102255955537935</c:v>
                </c:pt>
                <c:pt idx="71">
                  <c:v>1.1104561575191136</c:v>
                </c:pt>
                <c:pt idx="72">
                  <c:v>1.1185962470996327</c:v>
                </c:pt>
                <c:pt idx="73">
                  <c:v>1.1266775271916321</c:v>
                </c:pt>
                <c:pt idx="74">
                  <c:v>1.1347012543096615</c:v>
                </c:pt>
                <c:pt idx="75">
                  <c:v>1.1426686408514009</c:v>
                </c:pt>
                <c:pt idx="76">
                  <c:v>1.150580857236229</c:v>
                </c:pt>
                <c:pt idx="77">
                  <c:v>1.1584390339123263</c:v>
                </c:pt>
                <c:pt idx="78">
                  <c:v>1.1662442632420502</c:v>
                </c:pt>
                <c:pt idx="79">
                  <c:v>1.1739976012744917</c:v>
                </c:pt>
                <c:pt idx="80">
                  <c:v>1.1817000694133555</c:v>
                </c:pt>
                <c:pt idx="81">
                  <c:v>1.1893526559876164</c:v>
                </c:pt>
                <c:pt idx="82">
                  <c:v>1.1969563177317983</c:v>
                </c:pt>
                <c:pt idx="83">
                  <c:v>1.2045119811821443</c:v>
                </c:pt>
                <c:pt idx="84">
                  <c:v>1.21202054399445</c:v>
                </c:pt>
                <c:pt idx="85">
                  <c:v>1.2194828761888667</c:v>
                </c:pt>
                <c:pt idx="86">
                  <c:v>1.2268998213265576</c:v>
                </c:pt>
                <c:pt idx="87">
                  <c:v>1.2342721976227153</c:v>
                </c:pt>
                <c:pt idx="88">
                  <c:v>1.2416007990000955</c:v>
                </c:pt>
                <c:pt idx="89">
                  <c:v>1.2488863960869074</c:v>
                </c:pt>
                <c:pt idx="90">
                  <c:v>1.2561297371626117</c:v>
                </c:pt>
                <c:pt idx="91">
                  <c:v>1.2633315490549106</c:v>
                </c:pt>
                <c:pt idx="92">
                  <c:v>1.2704925379909748</c:v>
                </c:pt>
                <c:pt idx="93">
                  <c:v>1.2776133904057272</c:v>
                </c:pt>
                <c:pt idx="94">
                  <c:v>1.2846947737098044</c:v>
                </c:pt>
                <c:pt idx="95">
                  <c:v>1.2917373370196257</c:v>
                </c:pt>
                <c:pt idx="96">
                  <c:v>1.2987417118518301</c:v>
                </c:pt>
                <c:pt idx="97">
                  <c:v>1.3057085127841859</c:v>
                </c:pt>
                <c:pt idx="98">
                  <c:v>1.3126383380849267</c:v>
                </c:pt>
                <c:pt idx="99">
                  <c:v>1.3195317703123435</c:v>
                </c:pt>
                <c:pt idx="100">
                  <c:v>1.3263893768863255</c:v>
                </c:pt>
                <c:pt idx="101">
                  <c:v>1.3332117106334476</c:v>
                </c:pt>
                <c:pt idx="102">
                  <c:v>1.3399993103070731</c:v>
                </c:pt>
                <c:pt idx="103">
                  <c:v>1.34675270108387</c:v>
                </c:pt>
                <c:pt idx="104">
                  <c:v>1.3534723950380254</c:v>
                </c:pt>
                <c:pt idx="105">
                  <c:v>1.3601588915943745</c:v>
                </c:pt>
                <c:pt idx="106">
                  <c:v>1.3668126779615799</c:v>
                </c:pt>
                <c:pt idx="107">
                  <c:v>1.3734342295464217</c:v>
                </c:pt>
                <c:pt idx="108">
                  <c:v>1.3800240103501975</c:v>
                </c:pt>
                <c:pt idx="109">
                  <c:v>1.3865824733481633</c:v>
                </c:pt>
                <c:pt idx="110">
                  <c:v>1.3931100608529028</c:v>
                </c:pt>
                <c:pt idx="111">
                  <c:v>1.3996072048624382</c:v>
                </c:pt>
                <c:pt idx="112">
                  <c:v>1.4060743273938667</c:v>
                </c:pt>
                <c:pt idx="113">
                  <c:v>1.4125118408032491</c:v>
                </c:pt>
                <c:pt idx="114">
                  <c:v>1.4189201480924327</c:v>
                </c:pt>
                <c:pt idx="115">
                  <c:v>1.4252996432034635</c:v>
                </c:pt>
                <c:pt idx="116">
                  <c:v>1.4316507113011847</c:v>
                </c:pt>
                <c:pt idx="117">
                  <c:v>1.4379737290446082</c:v>
                </c:pt>
                <c:pt idx="118">
                  <c:v>1.4442690648475873</c:v>
                </c:pt>
                <c:pt idx="119">
                  <c:v>1.4505370791293111</c:v>
                </c:pt>
                <c:pt idx="120">
                  <c:v>1.4567781245550955</c:v>
                </c:pt>
                <c:pt idx="121">
                  <c:v>1.462992546267933</c:v>
                </c:pt>
                <c:pt idx="122">
                  <c:v>1.4691806821112228</c:v>
                </c:pt>
                <c:pt idx="123">
                  <c:v>1.4753428628430976</c:v>
                </c:pt>
                <c:pt idx="124">
                  <c:v>1.4814794123427215</c:v>
                </c:pt>
                <c:pt idx="125">
                  <c:v>1.4875906478089336</c:v>
                </c:pt>
                <c:pt idx="126">
                  <c:v>1.4936768799515749</c:v>
                </c:pt>
                <c:pt idx="127">
                  <c:v>1.4997384131758245</c:v>
                </c:pt>
                <c:pt idx="128">
                  <c:v>1.5057755457598614</c:v>
                </c:pt>
                <c:pt idx="129">
                  <c:v>1.5117885700261384</c:v>
                </c:pt>
                <c:pt idx="130">
                  <c:v>1.5177777725065502</c:v>
                </c:pt>
                <c:pt idx="131">
                  <c:v>1.5237434341017562</c:v>
                </c:pt>
                <c:pt idx="132">
                  <c:v>1.5296858302349152</c:v>
                </c:pt>
                <c:pt idx="133">
                  <c:v>1.5356052310000607</c:v>
                </c:pt>
                <c:pt idx="134">
                  <c:v>1.5415019013053528</c:v>
                </c:pt>
                <c:pt idx="135">
                  <c:v>1.5473761010114142</c:v>
                </c:pt>
                <c:pt idx="136">
                  <c:v>1.5532280850649574</c:v>
                </c:pt>
                <c:pt idx="137">
                  <c:v>1.5590581036278996</c:v>
                </c:pt>
                <c:pt idx="138">
                  <c:v>1.5648664022021466</c:v>
                </c:pt>
                <c:pt idx="139">
                  <c:v>1.5706532217502243</c:v>
                </c:pt>
                <c:pt idx="140">
                  <c:v>1.5764187988119236</c:v>
                </c:pt>
                <c:pt idx="141">
                  <c:v>1.582163365617121</c:v>
                </c:pt>
                <c:pt idx="142">
                  <c:v>1.5878871501949263</c:v>
                </c:pt>
                <c:pt idx="143">
                  <c:v>1.5935903764792987</c:v>
                </c:pt>
                <c:pt idx="144">
                  <c:v>1.5992732644112766</c:v>
                </c:pt>
                <c:pt idx="145">
                  <c:v>1.6049360300379483</c:v>
                </c:pt>
                <c:pt idx="146">
                  <c:v>1.610578885608289</c:v>
                </c:pt>
                <c:pt idx="147">
                  <c:v>1.61620203966599</c:v>
                </c:pt>
                <c:pt idx="148">
                  <c:v>1.6218056971393873</c:v>
                </c:pt>
                <c:pt idx="149">
                  <c:v>1.6273900594286064</c:v>
                </c:pt>
                <c:pt idx="150">
                  <c:v>1.6329553244900215</c:v>
                </c:pt>
                <c:pt idx="151">
                  <c:v>1.6385016869181364</c:v>
                </c:pt>
                <c:pt idx="152">
                  <c:v>1.644029338024978</c:v>
                </c:pt>
                <c:pt idx="153">
                  <c:v>1.6495384659170929</c:v>
                </c:pt>
                <c:pt idx="154">
                  <c:v>1.6550292555702402</c:v>
                </c:pt>
                <c:pt idx="155">
                  <c:v>1.6605018889018621</c:v>
                </c:pt>
                <c:pt idx="156">
                  <c:v>1.6659565448414078</c:v>
                </c:pt>
                <c:pt idx="157">
                  <c:v>1.6713933993985943</c:v>
                </c:pt>
                <c:pt idx="158">
                  <c:v>1.676812625729678</c:v>
                </c:pt>
                <c:pt idx="159">
                  <c:v>1.6822143942017991</c:v>
                </c:pt>
                <c:pt idx="160">
                  <c:v>1.687598872455476</c:v>
                </c:pt>
                <c:pt idx="161">
                  <c:v>1.6929662254653111</c:v>
                </c:pt>
                <c:pt idx="162">
                  <c:v>1.6983166155989675</c:v>
                </c:pt>
                <c:pt idx="163">
                  <c:v>1.7036502026744806</c:v>
                </c:pt>
                <c:pt idx="164">
                  <c:v>1.7089671440159602</c:v>
                </c:pt>
                <c:pt idx="165">
                  <c:v>1.7142675945077348</c:v>
                </c:pt>
                <c:pt idx="166">
                  <c:v>1.7195517066469983</c:v>
                </c:pt>
                <c:pt idx="167">
                  <c:v>1.7248196305949999</c:v>
                </c:pt>
                <c:pt idx="168">
                  <c:v>1.7300715142268368</c:v>
                </c:pt>
                <c:pt idx="169">
                  <c:v>1.7353075031798855</c:v>
                </c:pt>
                <c:pt idx="170">
                  <c:v>1.7405277409009248</c:v>
                </c:pt>
                <c:pt idx="171">
                  <c:v>1.7457323686919897</c:v>
                </c:pt>
                <c:pt idx="172">
                  <c:v>1.750921525754999</c:v>
                </c:pt>
                <c:pt idx="173">
                  <c:v>1.7560953492351952</c:v>
                </c:pt>
                <c:pt idx="174">
                  <c:v>1.7612539742634366</c:v>
                </c:pt>
                <c:pt idx="175">
                  <c:v>1.7663975339973781</c:v>
                </c:pt>
                <c:pt idx="176">
                  <c:v>1.7715261596615746</c:v>
                </c:pt>
                <c:pt idx="177">
                  <c:v>1.776639980586544</c:v>
                </c:pt>
                <c:pt idx="178">
                  <c:v>1.7817391242468195</c:v>
                </c:pt>
                <c:pt idx="179">
                  <c:v>1.7868237162980272</c:v>
                </c:pt>
                <c:pt idx="180">
                  <c:v>1.791893880613012</c:v>
                </c:pt>
                <c:pt idx="181">
                  <c:v>1.7969497393170539</c:v>
                </c:pt>
                <c:pt idx="182">
                  <c:v>1.8019914128221859</c:v>
                </c:pt>
                <c:pt idx="183">
                  <c:v>1.8070190198606559</c:v>
                </c:pt>
                <c:pt idx="184">
                  <c:v>1.8120326775175533</c:v>
                </c:pt>
                <c:pt idx="185">
                  <c:v>1.8170325012626225</c:v>
                </c:pt>
                <c:pt idx="186">
                  <c:v>1.8220186049812912</c:v>
                </c:pt>
                <c:pt idx="187">
                  <c:v>1.8269911010049387</c:v>
                </c:pt>
                <c:pt idx="188">
                  <c:v>1.8319501001404233</c:v>
                </c:pt>
                <c:pt idx="189">
                  <c:v>1.8368957116988911</c:v>
                </c:pt>
                <c:pt idx="190">
                  <c:v>1.841828043523891</c:v>
                </c:pt>
                <c:pt idx="191">
                  <c:v>1.8467472020188123</c:v>
                </c:pt>
                <c:pt idx="192">
                  <c:v>1.8516532921736673</c:v>
                </c:pt>
                <c:pt idx="193">
                  <c:v>1.856546417591235</c:v>
                </c:pt>
                <c:pt idx="194">
                  <c:v>1.8614266805125892</c:v>
                </c:pt>
                <c:pt idx="195">
                  <c:v>1.8662941818420227</c:v>
                </c:pt>
                <c:pt idx="196">
                  <c:v>1.8711490211713906</c:v>
                </c:pt>
                <c:pt idx="197">
                  <c:v>1.8759912968038848</c:v>
                </c:pt>
                <c:pt idx="198">
                  <c:v>1.8808211057772586</c:v>
                </c:pt>
                <c:pt idx="199">
                  <c:v>1.8856385438865153</c:v>
                </c:pt>
                <c:pt idx="200">
                  <c:v>1.8904437057060774</c:v>
                </c:pt>
                <c:pt idx="201">
                  <c:v>1.8952366846114481</c:v>
                </c:pt>
                <c:pt idx="202">
                  <c:v>1.9000175728003841</c:v>
                </c:pt>
                <c:pt idx="203">
                  <c:v>1.9047864613135854</c:v>
                </c:pt>
                <c:pt idx="204">
                  <c:v>1.909543440054926</c:v>
                </c:pt>
                <c:pt idx="205">
                  <c:v>1.9142885978112256</c:v>
                </c:pt>
                <c:pt idx="206">
                  <c:v>1.9190220222715884</c:v>
                </c:pt>
                <c:pt idx="207">
                  <c:v>1.923743800046307</c:v>
                </c:pt>
                <c:pt idx="208">
                  <c:v>1.9284540166853534</c:v>
                </c:pt>
                <c:pt idx="209">
                  <c:v>1.9331527566964648</c:v>
                </c:pt>
                <c:pt idx="210">
                  <c:v>1.9378401035628328</c:v>
                </c:pt>
                <c:pt idx="211">
                  <c:v>1.9425161397604083</c:v>
                </c:pt>
                <c:pt idx="212">
                  <c:v>1.947180946774836</c:v>
                </c:pt>
                <c:pt idx="213">
                  <c:v>1.9518346051180195</c:v>
                </c:pt>
                <c:pt idx="214">
                  <c:v>1.9564771943443355</c:v>
                </c:pt>
                <c:pt idx="215">
                  <c:v>1.9611087930665019</c:v>
                </c:pt>
                <c:pt idx="216">
                  <c:v>1.9657294789711071</c:v>
                </c:pt>
                <c:pt idx="217">
                  <c:v>1.9703393288338149</c:v>
                </c:pt>
                <c:pt idx="218">
                  <c:v>1.974938418534248</c:v>
                </c:pt>
                <c:pt idx="219">
                  <c:v>1.9795268230705603</c:v>
                </c:pt>
                <c:pt idx="220">
                  <c:v>1.9841046165737062</c:v>
                </c:pt>
                <c:pt idx="221">
                  <c:v>1.9886718723214147</c:v>
                </c:pt>
                <c:pt idx="222">
                  <c:v>1.9932286627518752</c:v>
                </c:pt>
                <c:pt idx="223">
                  <c:v>1.9977750594771417</c:v>
                </c:pt>
                <c:pt idx="224">
                  <c:v>2.0023111332962635</c:v>
                </c:pt>
                <c:pt idx="225">
                  <c:v>2.0068369542081474</c:v>
                </c:pt>
                <c:pt idx="226">
                  <c:v>2.0113525914241648</c:v>
                </c:pt>
                <c:pt idx="227">
                  <c:v>2.0158581133804958</c:v>
                </c:pt>
                <c:pt idx="228">
                  <c:v>2.020353587750233</c:v>
                </c:pt>
                <c:pt idx="229">
                  <c:v>2.0248390814552417</c:v>
                </c:pt>
                <c:pt idx="230">
                  <c:v>2.0293146606777808</c:v>
                </c:pt>
                <c:pt idx="231">
                  <c:v>2.0337803908718968</c:v>
                </c:pt>
                <c:pt idx="232">
                  <c:v>2.038236336774593</c:v>
                </c:pt>
                <c:pt idx="233">
                  <c:v>2.0426825624167799</c:v>
                </c:pt>
                <c:pt idx="234">
                  <c:v>2.0471191311340062</c:v>
                </c:pt>
                <c:pt idx="235">
                  <c:v>2.0515461055769912</c:v>
                </c:pt>
                <c:pt idx="236">
                  <c:v>2.0493844643692296</c:v>
                </c:pt>
                <c:pt idx="237">
                  <c:v>2.0537783300202554</c:v>
                </c:pt>
                <c:pt idx="238">
                  <c:v>2.058162815455479</c:v>
                </c:pt>
                <c:pt idx="239">
                  <c:v>2.0625379804955011</c:v>
                </c:pt>
                <c:pt idx="240">
                  <c:v>2.0669038843277869</c:v>
                </c:pt>
                <c:pt idx="241">
                  <c:v>2.0712605855160109</c:v>
                </c:pt>
                <c:pt idx="242">
                  <c:v>2.0756081420092189</c:v>
                </c:pt>
                <c:pt idx="243">
                  <c:v>2.0799466111508238</c:v>
                </c:pt>
                <c:pt idx="244">
                  <c:v>2.084276049687428</c:v>
                </c:pt>
                <c:pt idx="245">
                  <c:v>2.0885965137774858</c:v>
                </c:pt>
                <c:pt idx="246">
                  <c:v>2.0929080589997979</c:v>
                </c:pt>
                <c:pt idx="247">
                  <c:v>2.0972107403618585</c:v>
                </c:pt>
                <c:pt idx="248">
                  <c:v>2.1015046123080414</c:v>
                </c:pt>
                <c:pt idx="249">
                  <c:v>2.1057897287276344</c:v>
                </c:pt>
                <c:pt idx="250">
                  <c:v>2.1100661429627365</c:v>
                </c:pt>
                <c:pt idx="251">
                  <c:v>2.1143339078159991</c:v>
                </c:pt>
                <c:pt idx="252">
                  <c:v>2.1185930755582367</c:v>
                </c:pt>
                <c:pt idx="253">
                  <c:v>2.1228436979358944</c:v>
                </c:pt>
                <c:pt idx="254">
                  <c:v>2.127085826178384</c:v>
                </c:pt>
                <c:pt idx="255">
                  <c:v>2.1313195110052865</c:v>
                </c:pt>
                <c:pt idx="256">
                  <c:v>2.1355448026334281</c:v>
                </c:pt>
                <c:pt idx="257">
                  <c:v>2.1397617507838302</c:v>
                </c:pt>
                <c:pt idx="258">
                  <c:v>2.1439704046885342</c:v>
                </c:pt>
                <c:pt idx="259">
                  <c:v>2.1481708130973085</c:v>
                </c:pt>
                <c:pt idx="260">
                  <c:v>2.1523630242842371</c:v>
                </c:pt>
                <c:pt idx="261">
                  <c:v>2.1565470860541902</c:v>
                </c:pt>
                <c:pt idx="262">
                  <c:v>2.1607230457491897</c:v>
                </c:pt>
                <c:pt idx="263">
                  <c:v>2.1648909502546521</c:v>
                </c:pt>
                <c:pt idx="264">
                  <c:v>2.1690508460055344</c:v>
                </c:pt>
                <c:pt idx="265">
                  <c:v>2.1732027789923696</c:v>
                </c:pt>
                <c:pt idx="266">
                  <c:v>2.1773467947671987</c:v>
                </c:pt>
                <c:pt idx="267">
                  <c:v>2.1814829384493999</c:v>
                </c:pt>
                <c:pt idx="268">
                  <c:v>2.1856112547314228</c:v>
                </c:pt>
                <c:pt idx="269">
                  <c:v>2.1897317878844196</c:v>
                </c:pt>
                <c:pt idx="270">
                  <c:v>2.1938445817637886</c:v>
                </c:pt>
                <c:pt idx="271">
                  <c:v>2.1979496798146148</c:v>
                </c:pt>
                <c:pt idx="272">
                  <c:v>2.2020471250770273</c:v>
                </c:pt>
                <c:pt idx="273">
                  <c:v>2.2061369601914644</c:v>
                </c:pt>
                <c:pt idx="274">
                  <c:v>2.2102192274038499</c:v>
                </c:pt>
                <c:pt idx="275">
                  <c:v>2.2142939685706833</c:v>
                </c:pt>
                <c:pt idx="276">
                  <c:v>2.2183612251640485</c:v>
                </c:pt>
                <c:pt idx="277">
                  <c:v>2.2224210382765399</c:v>
                </c:pt>
                <c:pt idx="278">
                  <c:v>2.226473448626102</c:v>
                </c:pt>
                <c:pt idx="279">
                  <c:v>2.2305184965607978</c:v>
                </c:pt>
                <c:pt idx="280">
                  <c:v>2.2345562220634947</c:v>
                </c:pt>
                <c:pt idx="281">
                  <c:v>2.2385866647564736</c:v>
                </c:pt>
                <c:pt idx="282">
                  <c:v>2.2426098639059688</c:v>
                </c:pt>
                <c:pt idx="283">
                  <c:v>2.2466258584266279</c:v>
                </c:pt>
                <c:pt idx="284">
                  <c:v>2.2506346868859048</c:v>
                </c:pt>
                <c:pt idx="285">
                  <c:v>2.2546363875083828</c:v>
                </c:pt>
                <c:pt idx="286">
                  <c:v>2.2586309981800228</c:v>
                </c:pt>
                <c:pt idx="287">
                  <c:v>2.2626185564523507</c:v>
                </c:pt>
                <c:pt idx="288">
                  <c:v>2.2665990995465775</c:v>
                </c:pt>
                <c:pt idx="289">
                  <c:v>2.2705726643576485</c:v>
                </c:pt>
                <c:pt idx="290">
                  <c:v>2.2745392874582366</c:v>
                </c:pt>
                <c:pt idx="291">
                  <c:v>2.2784990051026703</c:v>
                </c:pt>
                <c:pt idx="292">
                  <c:v>2.2824518532307954</c:v>
                </c:pt>
                <c:pt idx="293">
                  <c:v>2.2863978674717851</c:v>
                </c:pt>
                <c:pt idx="294">
                  <c:v>2.2903370831478851</c:v>
                </c:pt>
                <c:pt idx="295">
                  <c:v>2.2942695352781017</c:v>
                </c:pt>
                <c:pt idx="296">
                  <c:v>2.2981952585818357</c:v>
                </c:pt>
                <c:pt idx="297">
                  <c:v>2.3021142874824583</c:v>
                </c:pt>
                <c:pt idx="298">
                  <c:v>2.3060266561108311</c:v>
                </c:pt>
                <c:pt idx="299">
                  <c:v>2.3099323983087765</c:v>
                </c:pt>
                <c:pt idx="300">
                  <c:v>2.3138315476324918</c:v>
                </c:pt>
                <c:pt idx="301">
                  <c:v>2.3177241373559117</c:v>
                </c:pt>
                <c:pt idx="302">
                  <c:v>2.3216102004740247</c:v>
                </c:pt>
                <c:pt idx="303">
                  <c:v>2.3254897697061314</c:v>
                </c:pt>
                <c:pt idx="304">
                  <c:v>2.329362877499062</c:v>
                </c:pt>
                <c:pt idx="305">
                  <c:v>2.3332295560303411</c:v>
                </c:pt>
                <c:pt idx="306">
                  <c:v>2.337089837211308</c:v>
                </c:pt>
                <c:pt idx="307">
                  <c:v>2.3409437526901864</c:v>
                </c:pt>
                <c:pt idx="308">
                  <c:v>2.3447913338551145</c:v>
                </c:pt>
                <c:pt idx="309">
                  <c:v>2.3486326118371261</c:v>
                </c:pt>
                <c:pt idx="310">
                  <c:v>2.3524676175130907</c:v>
                </c:pt>
                <c:pt idx="311">
                  <c:v>2.3562963815086064</c:v>
                </c:pt>
                <c:pt idx="312">
                  <c:v>2.3601189342008566</c:v>
                </c:pt>
                <c:pt idx="313">
                  <c:v>2.3639353057214199</c:v>
                </c:pt>
                <c:pt idx="314">
                  <c:v>2.367745525959041</c:v>
                </c:pt>
                <c:pt idx="315">
                  <c:v>2.371549624562364</c:v>
                </c:pt>
                <c:pt idx="316">
                  <c:v>2.3715348739106106</c:v>
                </c:pt>
                <c:pt idx="317">
                  <c:v>2.3753207306578674</c:v>
                </c:pt>
                <c:pt idx="318">
                  <c:v>2.3791005629884237</c:v>
                </c:pt>
                <c:pt idx="319">
                  <c:v>2.3828743995709556</c:v>
                </c:pt>
                <c:pt idx="320">
                  <c:v>2.3866422688474809</c:v>
                </c:pt>
                <c:pt idx="321">
                  <c:v>2.3904041990358573</c:v>
                </c:pt>
                <c:pt idx="322">
                  <c:v>2.3941602181322508</c:v>
                </c:pt>
                <c:pt idx="323">
                  <c:v>2.3979103539135642</c:v>
                </c:pt>
                <c:pt idx="324">
                  <c:v>2.4016546339398346</c:v>
                </c:pt>
                <c:pt idx="325">
                  <c:v>2.4053930855565979</c:v>
                </c:pt>
                <c:pt idx="326">
                  <c:v>2.4091257358972151</c:v>
                </c:pt>
                <c:pt idx="327">
                  <c:v>2.4128526118851741</c:v>
                </c:pt>
                <c:pt idx="328">
                  <c:v>2.4165737402363527</c:v>
                </c:pt>
                <c:pt idx="329">
                  <c:v>2.4202891474612542</c:v>
                </c:pt>
                <c:pt idx="330">
                  <c:v>2.4239988598672095</c:v>
                </c:pt>
                <c:pt idx="331">
                  <c:v>2.4277029035605526</c:v>
                </c:pt>
                <c:pt idx="332">
                  <c:v>2.4314013044487632</c:v>
                </c:pt>
                <c:pt idx="333">
                  <c:v>2.4350940882425789</c:v>
                </c:pt>
                <c:pt idx="334">
                  <c:v>2.4387812804580826</c:v>
                </c:pt>
                <c:pt idx="335">
                  <c:v>2.4424629064187595</c:v>
                </c:pt>
                <c:pt idx="336">
                  <c:v>2.4461389912575249</c:v>
                </c:pt>
                <c:pt idx="337">
                  <c:v>2.4498095599187271</c:v>
                </c:pt>
                <c:pt idx="338">
                  <c:v>2.4534746371601228</c:v>
                </c:pt>
                <c:pt idx="339">
                  <c:v>2.4571342475548232</c:v>
                </c:pt>
                <c:pt idx="340">
                  <c:v>2.4607884154932163</c:v>
                </c:pt>
                <c:pt idx="341">
                  <c:v>2.4644371651848664</c:v>
                </c:pt>
                <c:pt idx="342">
                  <c:v>2.4680805206603833</c:v>
                </c:pt>
                <c:pt idx="343">
                  <c:v>2.4717185057732687</c:v>
                </c:pt>
                <c:pt idx="344">
                  <c:v>2.4753511442017366</c:v>
                </c:pt>
                <c:pt idx="345">
                  <c:v>2.4789784594505164</c:v>
                </c:pt>
                <c:pt idx="346">
                  <c:v>2.4826004748526218</c:v>
                </c:pt>
                <c:pt idx="347">
                  <c:v>2.4862172135711056</c:v>
                </c:pt>
                <c:pt idx="348">
                  <c:v>2.4898286986007854</c:v>
                </c:pt>
                <c:pt idx="349">
                  <c:v>2.4934349527699511</c:v>
                </c:pt>
                <c:pt idx="350">
                  <c:v>2.4970359987420476</c:v>
                </c:pt>
                <c:pt idx="351">
                  <c:v>2.5006318590173371</c:v>
                </c:pt>
                <c:pt idx="352">
                  <c:v>2.5042225559345384</c:v>
                </c:pt>
                <c:pt idx="353">
                  <c:v>2.5078081116724462</c:v>
                </c:pt>
                <c:pt idx="354">
                  <c:v>2.5113885482515306</c:v>
                </c:pt>
                <c:pt idx="355">
                  <c:v>2.514963887535512</c:v>
                </c:pt>
                <c:pt idx="356">
                  <c:v>2.5185341512329238</c:v>
                </c:pt>
                <c:pt idx="357">
                  <c:v>2.5220993608986451</c:v>
                </c:pt>
                <c:pt idx="358">
                  <c:v>2.5256595379354212</c:v>
                </c:pt>
                <c:pt idx="359">
                  <c:v>2.5292147035953607</c:v>
                </c:pt>
                <c:pt idx="360">
                  <c:v>2.5327648789814221</c:v>
                </c:pt>
                <c:pt idx="361">
                  <c:v>2.5363100850488665</c:v>
                </c:pt>
                <c:pt idx="362">
                  <c:v>2.5398503426067043</c:v>
                </c:pt>
                <c:pt idx="363">
                  <c:v>2.5433856723191242</c:v>
                </c:pt>
                <c:pt idx="364">
                  <c:v>2.546916094706893</c:v>
                </c:pt>
                <c:pt idx="365">
                  <c:v>2.5504416301487511</c:v>
                </c:pt>
                <c:pt idx="366">
                  <c:v>2.5539622988827824</c:v>
                </c:pt>
                <c:pt idx="367">
                  <c:v>2.5574781210077706</c:v>
                </c:pt>
                <c:pt idx="368">
                  <c:v>2.560989116484536</c:v>
                </c:pt>
                <c:pt idx="369">
                  <c:v>2.5644953051372608</c:v>
                </c:pt>
                <c:pt idx="370">
                  <c:v>2.5679967066547924</c:v>
                </c:pt>
                <c:pt idx="371">
                  <c:v>2.5714933405919345</c:v>
                </c:pt>
                <c:pt idx="372">
                  <c:v>2.5749852263707216</c:v>
                </c:pt>
                <c:pt idx="373">
                  <c:v>2.5784723832816754</c:v>
                </c:pt>
                <c:pt idx="374">
                  <c:v>2.5819548304850519</c:v>
                </c:pt>
                <c:pt idx="375">
                  <c:v>2.5854325870120651</c:v>
                </c:pt>
                <c:pt idx="376">
                  <c:v>2.588905671766105</c:v>
                </c:pt>
                <c:pt idx="377">
                  <c:v>2.5923741035239334</c:v>
                </c:pt>
                <c:pt idx="378">
                  <c:v>2.5958379009368682</c:v>
                </c:pt>
                <c:pt idx="379">
                  <c:v>2.599297082531955</c:v>
                </c:pt>
                <c:pt idx="380">
                  <c:v>2.6027516667131234</c:v>
                </c:pt>
                <c:pt idx="381">
                  <c:v>2.6062016717623275</c:v>
                </c:pt>
                <c:pt idx="382">
                  <c:v>2.609647115840676</c:v>
                </c:pt>
                <c:pt idx="383">
                  <c:v>2.6130880169895478</c:v>
                </c:pt>
                <c:pt idx="384">
                  <c:v>2.6165243931316935</c:v>
                </c:pt>
                <c:pt idx="385">
                  <c:v>2.619956262072324</c:v>
                </c:pt>
                <c:pt idx="386">
                  <c:v>2.623383641500189</c:v>
                </c:pt>
                <c:pt idx="387">
                  <c:v>2.6268065489886383</c:v>
                </c:pt>
                <c:pt idx="388">
                  <c:v>2.6302250019966746</c:v>
                </c:pt>
                <c:pt idx="389">
                  <c:v>2.6336390178699922</c:v>
                </c:pt>
                <c:pt idx="390">
                  <c:v>2.6370486138420017</c:v>
                </c:pt>
                <c:pt idx="391">
                  <c:v>2.64045380703485</c:v>
                </c:pt>
                <c:pt idx="392">
                  <c:v>2.6438546144604169</c:v>
                </c:pt>
                <c:pt idx="393">
                  <c:v>2.6472510530213129</c:v>
                </c:pt>
                <c:pt idx="394">
                  <c:v>2.6506431395118537</c:v>
                </c:pt>
                <c:pt idx="395">
                  <c:v>2.6540308906190346</c:v>
                </c:pt>
                <c:pt idx="396">
                  <c:v>2.6574143229234828</c:v>
                </c:pt>
                <c:pt idx="397">
                  <c:v>2.6607934529004087</c:v>
                </c:pt>
                <c:pt idx="398">
                  <c:v>2.6641682969205394</c:v>
                </c:pt>
                <c:pt idx="399">
                  <c:v>2.6675388712510451</c:v>
                </c:pt>
                <c:pt idx="400">
                  <c:v>2.670905192056451</c:v>
                </c:pt>
                <c:pt idx="401">
                  <c:v>2.6742672753995462</c:v>
                </c:pt>
                <c:pt idx="402">
                  <c:v>2.677625137242277</c:v>
                </c:pt>
                <c:pt idx="403">
                  <c:v>2.6809787934466272</c:v>
                </c:pt>
                <c:pt idx="404">
                  <c:v>2.6843282597754956</c:v>
                </c:pt>
                <c:pt idx="405">
                  <c:v>2.6876735518935604</c:v>
                </c:pt>
                <c:pt idx="406">
                  <c:v>2.6910146853681334</c:v>
                </c:pt>
                <c:pt idx="407">
                  <c:v>2.6943516756700054</c:v>
                </c:pt>
                <c:pt idx="408">
                  <c:v>2.6976845381742787</c:v>
                </c:pt>
                <c:pt idx="409">
                  <c:v>2.7010132881612003</c:v>
                </c:pt>
                <c:pt idx="410">
                  <c:v>2.7043379408169734</c:v>
                </c:pt>
                <c:pt idx="411">
                  <c:v>2.7076585112345675</c:v>
                </c:pt>
                <c:pt idx="412">
                  <c:v>2.7109750144145202</c:v>
                </c:pt>
                <c:pt idx="413">
                  <c:v>2.7142874652657212</c:v>
                </c:pt>
                <c:pt idx="414">
                  <c:v>2.7175958786062027</c:v>
                </c:pt>
                <c:pt idx="415">
                  <c:v>2.7209002691639084</c:v>
                </c:pt>
                <c:pt idx="416">
                  <c:v>2.7242006515774566</c:v>
                </c:pt>
                <c:pt idx="417">
                  <c:v>2.7274970403968992</c:v>
                </c:pt>
                <c:pt idx="418">
                  <c:v>2.730789450084472</c:v>
                </c:pt>
                <c:pt idx="419">
                  <c:v>2.7340778950153308</c:v>
                </c:pt>
                <c:pt idx="420">
                  <c:v>2.7373623894782857</c:v>
                </c:pt>
                <c:pt idx="421">
                  <c:v>2.7406429476765264</c:v>
                </c:pt>
                <c:pt idx="422">
                  <c:v>2.7439195837283363</c:v>
                </c:pt>
                <c:pt idx="423">
                  <c:v>2.7471923116678041</c:v>
                </c:pt>
                <c:pt idx="424">
                  <c:v>2.7504611454455237</c:v>
                </c:pt>
                <c:pt idx="425">
                  <c:v>2.7537260989292873</c:v>
                </c:pt>
                <c:pt idx="426">
                  <c:v>2.756987185904773</c:v>
                </c:pt>
                <c:pt idx="427">
                  <c:v>2.7602444200762237</c:v>
                </c:pt>
                <c:pt idx="428">
                  <c:v>2.7634978150671188</c:v>
                </c:pt>
                <c:pt idx="429">
                  <c:v>2.766747384420837</c:v>
                </c:pt>
                <c:pt idx="430">
                  <c:v>2.7699931416013204</c:v>
                </c:pt>
                <c:pt idx="431">
                  <c:v>2.7732350999937165</c:v>
                </c:pt>
                <c:pt idx="432">
                  <c:v>2.7764732729050294</c:v>
                </c:pt>
                <c:pt idx="433">
                  <c:v>2.7797076735647539</c:v>
                </c:pt>
                <c:pt idx="434">
                  <c:v>2.7829383151255049</c:v>
                </c:pt>
                <c:pt idx="435">
                  <c:v>2.7861652106636452</c:v>
                </c:pt>
                <c:pt idx="436">
                  <c:v>2.7893883731798983</c:v>
                </c:pt>
                <c:pt idx="437">
                  <c:v>2.7926078155999652</c:v>
                </c:pt>
                <c:pt idx="438">
                  <c:v>2.7958235507751228</c:v>
                </c:pt>
                <c:pt idx="439">
                  <c:v>2.799035591482828</c:v>
                </c:pt>
                <c:pt idx="440">
                  <c:v>2.802243950427306</c:v>
                </c:pt>
                <c:pt idx="441">
                  <c:v>2.8054486402401384</c:v>
                </c:pt>
                <c:pt idx="442">
                  <c:v>2.8086496734808435</c:v>
                </c:pt>
                <c:pt idx="443">
                  <c:v>2.8118470626374505</c:v>
                </c:pt>
                <c:pt idx="444">
                  <c:v>2.8150408201270665</c:v>
                </c:pt>
                <c:pt idx="445">
                  <c:v>2.8182309582964407</c:v>
                </c:pt>
                <c:pt idx="446">
                  <c:v>2.8214174894225215</c:v>
                </c:pt>
                <c:pt idx="447">
                  <c:v>2.8246004257130051</c:v>
                </c:pt>
                <c:pt idx="448">
                  <c:v>2.8277797793068853</c:v>
                </c:pt>
                <c:pt idx="449">
                  <c:v>2.8309555622749905</c:v>
                </c:pt>
                <c:pt idx="450">
                  <c:v>2.8341277866205181</c:v>
                </c:pt>
                <c:pt idx="451">
                  <c:v>2.8372964642795653</c:v>
                </c:pt>
                <c:pt idx="452">
                  <c:v>2.8404616071216546</c:v>
                </c:pt>
                <c:pt idx="453">
                  <c:v>2.8436232269502479</c:v>
                </c:pt>
                <c:pt idx="454">
                  <c:v>2.8467813355032643</c:v>
                </c:pt>
                <c:pt idx="455">
                  <c:v>2.8499359444535863</c:v>
                </c:pt>
                <c:pt idx="456">
                  <c:v>2.8530870654095652</c:v>
                </c:pt>
                <c:pt idx="457">
                  <c:v>2.8562347099155163</c:v>
                </c:pt>
                <c:pt idx="458">
                  <c:v>2.859378889452215</c:v>
                </c:pt>
                <c:pt idx="459">
                  <c:v>2.862519615437384</c:v>
                </c:pt>
                <c:pt idx="460">
                  <c:v>2.8656568992261788</c:v>
                </c:pt>
                <c:pt idx="461">
                  <c:v>2.8687907521116642</c:v>
                </c:pt>
                <c:pt idx="462">
                  <c:v>2.8719211853252893</c:v>
                </c:pt>
                <c:pt idx="463">
                  <c:v>2.8750482100373591</c:v>
                </c:pt>
                <c:pt idx="464">
                  <c:v>2.8781718373574967</c:v>
                </c:pt>
                <c:pt idx="465">
                  <c:v>2.881292078335107</c:v>
                </c:pt>
                <c:pt idx="466">
                  <c:v>2.8844089439598277</c:v>
                </c:pt>
                <c:pt idx="467">
                  <c:v>2.8875224451619861</c:v>
                </c:pt>
                <c:pt idx="468">
                  <c:v>2.8906325928130441</c:v>
                </c:pt>
                <c:pt idx="469">
                  <c:v>2.8937393977260415</c:v>
                </c:pt>
                <c:pt idx="470">
                  <c:v>2.8968428706560316</c:v>
                </c:pt>
                <c:pt idx="471">
                  <c:v>2.8999430223005223</c:v>
                </c:pt>
                <c:pt idx="472">
                  <c:v>2.9030398632998993</c:v>
                </c:pt>
                <c:pt idx="473">
                  <c:v>2.9061334042378548</c:v>
                </c:pt>
                <c:pt idx="474">
                  <c:v>2.9092236556418127</c:v>
                </c:pt>
                <c:pt idx="475">
                  <c:v>2.9123106279833411</c:v>
                </c:pt>
                <c:pt idx="476">
                  <c:v>2.9153943316785687</c:v>
                </c:pt>
                <c:pt idx="477">
                  <c:v>2.9184747770885973</c:v>
                </c:pt>
                <c:pt idx="478">
                  <c:v>2.9215519745199039</c:v>
                </c:pt>
                <c:pt idx="479">
                  <c:v>2.9246259342247436</c:v>
                </c:pt>
                <c:pt idx="480">
                  <c:v>2.9276966664015527</c:v>
                </c:pt>
                <c:pt idx="481">
                  <c:v>2.9307641811953369</c:v>
                </c:pt>
                <c:pt idx="482">
                  <c:v>2.9338284886980661</c:v>
                </c:pt>
                <c:pt idx="483">
                  <c:v>2.9368895989490631</c:v>
                </c:pt>
                <c:pt idx="484">
                  <c:v>3.0712946905613405</c:v>
                </c:pt>
                <c:pt idx="485">
                  <c:v>3.1306801672630513</c:v>
                </c:pt>
                <c:pt idx="486">
                  <c:v>3.1766918941466082</c:v>
                </c:pt>
                <c:pt idx="487">
                  <c:v>3.2158696269651856</c:v>
                </c:pt>
                <c:pt idx="488">
                  <c:v>3.2507036310178172</c:v>
                </c:pt>
                <c:pt idx="489">
                  <c:v>3.2824612052865754</c:v>
                </c:pt>
                <c:pt idx="490">
                  <c:v>3.3118917550804654</c:v>
                </c:pt>
                <c:pt idx="491">
                  <c:v>3.3394820789503412</c:v>
                </c:pt>
                <c:pt idx="492">
                  <c:v>3.3655695741589122</c:v>
                </c:pt>
                <c:pt idx="493">
                  <c:v>3.3903994963910415</c:v>
                </c:pt>
                <c:pt idx="494">
                  <c:v>3.4141567582050749</c:v>
                </c:pt>
                <c:pt idx="495">
                  <c:v>3.436984871879714</c:v>
                </c:pt>
                <c:pt idx="496">
                  <c:v>3.4589978701443793</c:v>
                </c:pt>
                <c:pt idx="497">
                  <c:v>3.4802881463141015</c:v>
                </c:pt>
                <c:pt idx="498">
                  <c:v>3.500931801360192</c:v>
                </c:pt>
                <c:pt idx="499">
                  <c:v>3.5209924033876563</c:v>
                </c:pt>
                <c:pt idx="500">
                  <c:v>3.5405237002363115</c:v>
                </c:pt>
                <c:pt idx="501">
                  <c:v>3.559571620881973</c:v>
                </c:pt>
                <c:pt idx="502">
                  <c:v>3.5781757810733099</c:v>
                </c:pt>
                <c:pt idx="503">
                  <c:v>3.5963706355165783</c:v>
                </c:pt>
                <c:pt idx="504">
                  <c:v>3.6141863730220036</c:v>
                </c:pt>
                <c:pt idx="505">
                  <c:v>3.6316496214048639</c:v>
                </c:pt>
                <c:pt idx="506">
                  <c:v>3.6487840093423975</c:v>
                </c:pt>
                <c:pt idx="507">
                  <c:v>3.665610619141817</c:v>
                </c:pt>
                <c:pt idx="508">
                  <c:v>3.6821483552412424</c:v>
                </c:pt>
                <c:pt idx="509">
                  <c:v>3.6984142468544605</c:v>
                </c:pt>
                <c:pt idx="510">
                  <c:v>3.7144236985974</c:v>
                </c:pt>
                <c:pt idx="511">
                  <c:v>3.7301906996237961</c:v>
                </c:pt>
                <c:pt idx="512">
                  <c:v>3.7457279993685439</c:v>
                </c:pt>
                <c:pt idx="513">
                  <c:v>3.7610472561929096</c:v>
                </c:pt>
                <c:pt idx="514">
                  <c:v>3.7761591638698895</c:v>
                </c:pt>
                <c:pt idx="515">
                  <c:v>3.7910735598184488</c:v>
                </c:pt>
                <c:pt idx="516">
                  <c:v>3.8057995182057907</c:v>
                </c:pt>
                <c:pt idx="517">
                  <c:v>3.820345430425709</c:v>
                </c:pt>
                <c:pt idx="518">
                  <c:v>3.8347190749841378</c:v>
                </c:pt>
                <c:pt idx="519">
                  <c:v>3.8489276784477391</c:v>
                </c:pt>
                <c:pt idx="520">
                  <c:v>3.862977968813873</c:v>
                </c:pt>
                <c:pt idx="521">
                  <c:v>3.876876222422891</c:v>
                </c:pt>
                <c:pt idx="522">
                  <c:v>3.8906283053427986</c:v>
                </c:pt>
                <c:pt idx="523">
                  <c:v>3.9042397100021193</c:v>
                </c:pt>
                <c:pt idx="524">
                  <c:v>3.9177155877212582</c:v>
                </c:pt>
                <c:pt idx="525">
                  <c:v>3.9310607776900461</c:v>
                </c:pt>
                <c:pt idx="526">
                  <c:v>3.944279832854769</c:v>
                </c:pt>
                <c:pt idx="527">
                  <c:v>3.957377043108214</c:v>
                </c:pt>
                <c:pt idx="528">
                  <c:v>3.9703564561184348</c:v>
                </c:pt>
                <c:pt idx="529">
                  <c:v>3.983221896083593</c:v>
                </c:pt>
                <c:pt idx="530">
                  <c:v>3.9959769806598402</c:v>
                </c:pt>
                <c:pt idx="531">
                  <c:v>4.0086251362751391</c:v>
                </c:pt>
                <c:pt idx="532">
                  <c:v>4.0211696120132618</c:v>
                </c:pt>
                <c:pt idx="533">
                  <c:v>4.0336134922277873</c:v>
                </c:pt>
                <c:pt idx="534">
                  <c:v>4.0459597080253138</c:v>
                </c:pt>
                <c:pt idx="535">
                  <c:v>4.0582110477393147</c:v>
                </c:pt>
                <c:pt idx="536">
                  <c:v>4.0703701665010543</c:v>
                </c:pt>
                <c:pt idx="537">
                  <c:v>4.0824395950008778</c:v>
                </c:pt>
                <c:pt idx="538">
                  <c:v>4.0944217475220768</c:v>
                </c:pt>
                <c:pt idx="539">
                  <c:v>4.1063189293197979</c:v>
                </c:pt>
                <c:pt idx="540">
                  <c:v>4.1181333434090979</c:v>
                </c:pt>
                <c:pt idx="541">
                  <c:v>4.1298670968189679</c:v>
                </c:pt>
                <c:pt idx="542">
                  <c:v>4.1415222063628008</c:v>
                </c:pt>
                <c:pt idx="543">
                  <c:v>4.1531006039702199</c:v>
                </c:pt>
                <c:pt idx="544">
                  <c:v>4.1646041416203516</c:v>
                </c:pt>
                <c:pt idx="545">
                  <c:v>4.1760345959123644</c:v>
                </c:pt>
                <c:pt idx="546">
                  <c:v>4.1873936723053475</c:v>
                </c:pt>
                <c:pt idx="547">
                  <c:v>4.198683009056313</c:v>
                </c:pt>
                <c:pt idx="548">
                  <c:v>4.2099041808821633</c:v>
                </c:pt>
                <c:pt idx="549">
                  <c:v>4.2210587023689428</c:v>
                </c:pt>
                <c:pt idx="550">
                  <c:v>4.2321480311493413</c:v>
                </c:pt>
                <c:pt idx="551">
                  <c:v>4.2431735708674374</c:v>
                </c:pt>
                <c:pt idx="552">
                  <c:v>4.2541366739478184</c:v>
                </c:pt>
                <c:pt idx="553">
                  <c:v>4.2650386441846599</c:v>
                </c:pt>
                <c:pt idx="554">
                  <c:v>4.2758807391648288</c:v>
                </c:pt>
                <c:pt idx="555">
                  <c:v>4.2866641725378649</c:v>
                </c:pt>
                <c:pt idx="556">
                  <c:v>4.2973901161444896</c:v>
                </c:pt>
                <c:pt idx="557">
                  <c:v>4.308059702014277</c:v>
                </c:pt>
                <c:pt idx="558">
                  <c:v>4.3186740242421777</c:v>
                </c:pt>
                <c:pt idx="559">
                  <c:v>4.3292341407527672</c:v>
                </c:pt>
                <c:pt idx="560">
                  <c:v>4.3397410749603242</c:v>
                </c:pt>
                <c:pt idx="561">
                  <c:v>4.3501958173321338</c:v>
                </c:pt>
                <c:pt idx="562">
                  <c:v>4.3605993268618608</c:v>
                </c:pt>
                <c:pt idx="563">
                  <c:v>4.3709525324592136</c:v>
                </c:pt>
                <c:pt idx="564">
                  <c:v>4.3812563342616375</c:v>
                </c:pt>
                <c:pt idx="565">
                  <c:v>4.3915116048733385</c:v>
                </c:pt>
                <c:pt idx="566">
                  <c:v>4.4017191905364745</c:v>
                </c:pt>
                <c:pt idx="567">
                  <c:v>4.4118799122390193</c:v>
                </c:pt>
                <c:pt idx="568">
                  <c:v>4.4219945667634279</c:v>
                </c:pt>
                <c:pt idx="569">
                  <c:v>4.4320639276799172</c:v>
                </c:pt>
                <c:pt idx="570">
                  <c:v>4.4420887462879026</c:v>
                </c:pt>
                <c:pt idx="571">
                  <c:v>4.4520697525088755</c:v>
                </c:pt>
                <c:pt idx="572">
                  <c:v>4.4620076557337116</c:v>
                </c:pt>
                <c:pt idx="573">
                  <c:v>4.471903145627258</c:v>
                </c:pt>
                <c:pt idx="574">
                  <c:v>4.481756892892788</c:v>
                </c:pt>
                <c:pt idx="575">
                  <c:v>4.4915695499987338</c:v>
                </c:pt>
                <c:pt idx="576">
                  <c:v>4.5013417518699717</c:v>
                </c:pt>
                <c:pt idx="577">
                  <c:v>4.5110741165457284</c:v>
                </c:pt>
                <c:pt idx="578">
                  <c:v>4.5207672458060655</c:v>
                </c:pt>
                <c:pt idx="579">
                  <c:v>4.5304217257687647</c:v>
                </c:pt>
                <c:pt idx="580">
                  <c:v>4.540038127458299</c:v>
                </c:pt>
                <c:pt idx="581">
                  <c:v>4.549617007348461</c:v>
                </c:pt>
                <c:pt idx="582">
                  <c:v>4.5591589078801471</c:v>
                </c:pt>
                <c:pt idx="583">
                  <c:v>4.5686643579556385</c:v>
                </c:pt>
                <c:pt idx="584">
                  <c:v>4.5781338734107226</c:v>
                </c:pt>
                <c:pt idx="585">
                  <c:v>4.5875679574657928</c:v>
                </c:pt>
                <c:pt idx="586">
                  <c:v>4.5969671011571211</c:v>
                </c:pt>
                <c:pt idx="587">
                  <c:v>4.6063317837493081</c:v>
                </c:pt>
                <c:pt idx="588">
                  <c:v>4.6156624731299463</c:v>
                </c:pt>
                <c:pt idx="589">
                  <c:v>4.6249596261873975</c:v>
                </c:pt>
                <c:pt idx="590">
                  <c:v>4.6342236891725701</c:v>
                </c:pt>
                <c:pt idx="591">
                  <c:v>4.6434550980455116</c:v>
                </c:pt>
                <c:pt idx="592">
                  <c:v>4.6526542788076029</c:v>
                </c:pt>
                <c:pt idx="593">
                  <c:v>4.6618216478200623</c:v>
                </c:pt>
                <c:pt idx="594">
                  <c:v>4.6709576121094454</c:v>
                </c:pt>
                <c:pt idx="595">
                  <c:v>4.6800625696607909</c:v>
                </c:pt>
                <c:pt idx="596">
                  <c:v>4.6891369096990232</c:v>
                </c:pt>
                <c:pt idx="597">
                  <c:v>4.6981810129591528</c:v>
                </c:pt>
                <c:pt idx="598">
                  <c:v>4.7071952519458593</c:v>
                </c:pt>
                <c:pt idx="599">
                  <c:v>4.7161799911829192</c:v>
                </c:pt>
                <c:pt idx="600">
                  <c:v>4.7251355874529892</c:v>
                </c:pt>
                <c:pt idx="601">
                  <c:v>4.73406239002819</c:v>
                </c:pt>
                <c:pt idx="602">
                  <c:v>4.7429607408919052</c:v>
                </c:pt>
                <c:pt idx="603">
                  <c:v>4.7518309749522221</c:v>
                </c:pt>
                <c:pt idx="604">
                  <c:v>4.7606734202473815</c:v>
                </c:pt>
                <c:pt idx="605">
                  <c:v>4.7694883981436069</c:v>
                </c:pt>
                <c:pt idx="606">
                  <c:v>4.778276223525646</c:v>
                </c:pt>
                <c:pt idx="607">
                  <c:v>4.7870372049803684</c:v>
                </c:pt>
                <c:pt idx="608">
                  <c:v>4.7957716449736996</c:v>
                </c:pt>
                <c:pt idx="609">
                  <c:v>4.8044798400212159</c:v>
                </c:pt>
                <c:pt idx="610">
                  <c:v>4.8131620808526492</c:v>
                </c:pt>
                <c:pt idx="611">
                  <c:v>4.8218186525705882</c:v>
                </c:pt>
                <c:pt idx="612">
                  <c:v>4.830449834803586</c:v>
                </c:pt>
                <c:pt idx="613">
                  <c:v>4.8390559018539783</c:v>
                </c:pt>
                <c:pt idx="614">
                  <c:v>4.8476371228405615</c:v>
                </c:pt>
                <c:pt idx="615">
                  <c:v>4.8561937618364013</c:v>
                </c:pt>
                <c:pt idx="616">
                  <c:v>4.8647260780019437</c:v>
                </c:pt>
                <c:pt idx="617">
                  <c:v>4.8732343257136383</c:v>
                </c:pt>
                <c:pt idx="618">
                  <c:v>4.8817187546882499</c:v>
                </c:pt>
                <c:pt idx="619">
                  <c:v>4.8901796101030364</c:v>
                </c:pt>
                <c:pt idx="620">
                  <c:v>4.898617132711955</c:v>
                </c:pt>
                <c:pt idx="621">
                  <c:v>4.9070315589580744</c:v>
                </c:pt>
                <c:pt idx="622">
                  <c:v>4.9154231210823065</c:v>
                </c:pt>
                <c:pt idx="623">
                  <c:v>4.9237920472286509</c:v>
                </c:pt>
                <c:pt idx="624">
                  <c:v>4.9321385615460498</c:v>
                </c:pt>
                <c:pt idx="625">
                  <c:v>4.9404628842869975</c:v>
                </c:pt>
                <c:pt idx="626">
                  <c:v>4.9487652319030477</c:v>
                </c:pt>
                <c:pt idx="627">
                  <c:v>4.9570458171373106</c:v>
                </c:pt>
                <c:pt idx="628">
                  <c:v>4.9653048491140632</c:v>
                </c:pt>
                <c:pt idx="629">
                  <c:v>4.9735425334255963</c:v>
                </c:pt>
                <c:pt idx="630">
                  <c:v>4.981759072216386</c:v>
                </c:pt>
                <c:pt idx="631">
                  <c:v>4.9899546642646939</c:v>
                </c:pt>
                <c:pt idx="632">
                  <c:v>4.9981295050616934</c:v>
                </c:pt>
                <c:pt idx="633">
                  <c:v>5.0062837868882069</c:v>
                </c:pt>
                <c:pt idx="634">
                  <c:v>5.0144176988891633</c:v>
                </c:pt>
                <c:pt idx="635">
                  <c:v>5.0225314271458199</c:v>
                </c:pt>
                <c:pt idx="636">
                  <c:v>5.0306251547458674</c:v>
                </c:pt>
                <c:pt idx="637">
                  <c:v>5.03869906185147</c:v>
                </c:pt>
                <c:pt idx="638">
                  <c:v>5.0467533257653274</c:v>
                </c:pt>
                <c:pt idx="639">
                  <c:v>5.0547881209948242</c:v>
                </c:pt>
                <c:pt idx="640">
                  <c:v>5.0628036193143267</c:v>
                </c:pt>
                <c:pt idx="641">
                  <c:v>5.0707999898257032</c:v>
                </c:pt>
                <c:pt idx="642">
                  <c:v>5.0787773990171319</c:v>
                </c:pt>
                <c:pt idx="643">
                  <c:v>5.0867360108202329</c:v>
                </c:pt>
                <c:pt idx="644">
                  <c:v>5.0946759866656155</c:v>
                </c:pt>
                <c:pt idx="645">
                  <c:v>5.1025974855368625</c:v>
                </c:pt>
                <c:pt idx="646">
                  <c:v>5.1105006640230286</c:v>
                </c:pt>
                <c:pt idx="647">
                  <c:v>5.1183856763696873</c:v>
                </c:pt>
                <c:pt idx="648">
                  <c:v>5.1262526745285868</c:v>
                </c:pt>
                <c:pt idx="649">
                  <c:v>5.1341018082059495</c:v>
                </c:pt>
                <c:pt idx="650">
                  <c:v>5.1419332249094678</c:v>
                </c:pt>
                <c:pt idx="651">
                  <c:v>5.1497470699940404</c:v>
                </c:pt>
                <c:pt idx="652">
                  <c:v>5.1575434867062864</c:v>
                </c:pt>
                <c:pt idx="653">
                  <c:v>5.1653226162278649</c:v>
                </c:pt>
                <c:pt idx="654">
                  <c:v>5.1730845977176765</c:v>
                </c:pt>
                <c:pt idx="655">
                  <c:v>5.180829568352932</c:v>
                </c:pt>
                <c:pt idx="656">
                  <c:v>5.1885576633691626</c:v>
                </c:pt>
                <c:pt idx="657">
                  <c:v>5.1962690160991976</c:v>
                </c:pt>
                <c:pt idx="658">
                  <c:v>5.2039637580111169</c:v>
                </c:pt>
                <c:pt idx="659">
                  <c:v>5.2116420187452555</c:v>
                </c:pt>
                <c:pt idx="660">
                  <c:v>5.2193039261502463</c:v>
                </c:pt>
                <c:pt idx="661">
                  <c:v>5.2269496063181595</c:v>
                </c:pt>
                <c:pt idx="662">
                  <c:v>5.2345791836187452</c:v>
                </c:pt>
                <c:pt idx="663">
                  <c:v>5.2421927807328368</c:v>
                </c:pt>
                <c:pt idx="664">
                  <c:v>5.2497905186848994</c:v>
                </c:pt>
                <c:pt idx="665">
                  <c:v>5.257372516874792</c:v>
                </c:pt>
                <c:pt idx="666">
                  <c:v>5.2649388931087273</c:v>
                </c:pt>
                <c:pt idx="667">
                  <c:v>5.2724897636294923</c:v>
                </c:pt>
                <c:pt idx="668">
                  <c:v>5.2800252431459178</c:v>
                </c:pt>
                <c:pt idx="669">
                  <c:v>5.2875454448616406</c:v>
                </c:pt>
                <c:pt idx="670">
                  <c:v>5.2950504805031642</c:v>
                </c:pt>
                <c:pt idx="671">
                  <c:v>5.302540460347263</c:v>
                </c:pt>
                <c:pt idx="672">
                  <c:v>5.3100154932477093</c:v>
                </c:pt>
                <c:pt idx="673">
                  <c:v>5.3174756866613881</c:v>
                </c:pt>
                <c:pt idx="674">
                  <c:v>5.3249211466737858</c:v>
                </c:pt>
                <c:pt idx="675">
                  <c:v>5.3323519780238708</c:v>
                </c:pt>
                <c:pt idx="676">
                  <c:v>5.339768284128418</c:v>
                </c:pt>
                <c:pt idx="677">
                  <c:v>5.347170167105741</c:v>
                </c:pt>
                <c:pt idx="678">
                  <c:v>5.3545577277988938</c:v>
                </c:pt>
                <c:pt idx="679">
                  <c:v>5.3619310657983315</c:v>
                </c:pt>
                <c:pt idx="680">
                  <c:v>5.3692902794640549</c:v>
                </c:pt>
                <c:pt idx="681">
                  <c:v>5.3766354659472499</c:v>
                </c:pt>
                <c:pt idx="682">
                  <c:v>5.3839667212114417</c:v>
                </c:pt>
                <c:pt idx="683">
                  <c:v>5.3912841400531564</c:v>
                </c:pt>
                <c:pt idx="684">
                  <c:v>5.3985878161221477</c:v>
                </c:pt>
                <c:pt idx="685">
                  <c:v>5.4058778419411411</c:v>
                </c:pt>
                <c:pt idx="686">
                  <c:v>5.4131543089251677</c:v>
                </c:pt>
                <c:pt idx="687">
                  <c:v>5.420417307400446</c:v>
                </c:pt>
                <c:pt idx="688">
                  <c:v>5.427666926622873</c:v>
                </c:pt>
                <c:pt idx="689">
                  <c:v>5.4349032547960885</c:v>
                </c:pt>
                <c:pt idx="690">
                  <c:v>5.4421263790891645</c:v>
                </c:pt>
                <c:pt idx="691">
                  <c:v>5.4493363856539023</c:v>
                </c:pt>
                <c:pt idx="692">
                  <c:v>5.4565333596417549</c:v>
                </c:pt>
                <c:pt idx="693">
                  <c:v>5.463717385220396</c:v>
                </c:pt>
                <c:pt idx="694">
                  <c:v>5.4708885455899257</c:v>
                </c:pt>
                <c:pt idx="695">
                  <c:v>5.4780469229987396</c:v>
                </c:pt>
                <c:pt idx="696">
                  <c:v>5.4851925987590526</c:v>
                </c:pt>
                <c:pt idx="697">
                  <c:v>5.4923256532621085</c:v>
                </c:pt>
                <c:pt idx="698">
                  <c:v>5.4994461659930671</c:v>
                </c:pt>
                <c:pt idx="699">
                  <c:v>5.5065542155455702</c:v>
                </c:pt>
                <c:pt idx="700">
                  <c:v>5.5136498796360174</c:v>
                </c:pt>
                <c:pt idx="701">
                  <c:v>5.5207332351175546</c:v>
                </c:pt>
                <c:pt idx="702">
                  <c:v>5.5278043579937473</c:v>
                </c:pt>
                <c:pt idx="703">
                  <c:v>5.5348633234320053</c:v>
                </c:pt>
                <c:pt idx="704">
                  <c:v>5.5419102057767127</c:v>
                </c:pt>
                <c:pt idx="705">
                  <c:v>5.5489450785621006</c:v>
                </c:pt>
                <c:pt idx="706">
                  <c:v>5.555968014524864</c:v>
                </c:pt>
                <c:pt idx="707">
                  <c:v>5.5629790856165098</c:v>
                </c:pt>
                <c:pt idx="708">
                  <c:v>5.5699783630154789</c:v>
                </c:pt>
                <c:pt idx="709">
                  <c:v>5.5769659171390078</c:v>
                </c:pt>
                <c:pt idx="710">
                  <c:v>5.5839418176547682</c:v>
                </c:pt>
                <c:pt idx="711">
                  <c:v>5.5909061334922736</c:v>
                </c:pt>
                <c:pt idx="712">
                  <c:v>5.5978589328540522</c:v>
                </c:pt>
                <c:pt idx="713">
                  <c:v>5.6048002832266235</c:v>
                </c:pt>
                <c:pt idx="714">
                  <c:v>5.6117302513912328</c:v>
                </c:pt>
                <c:pt idx="715">
                  <c:v>5.6186489034344032</c:v>
                </c:pt>
                <c:pt idx="716">
                  <c:v>5.6255563047582688</c:v>
                </c:pt>
                <c:pt idx="717">
                  <c:v>5.6324525200907107</c:v>
                </c:pt>
                <c:pt idx="718">
                  <c:v>5.639337613495309</c:v>
                </c:pt>
                <c:pt idx="719">
                  <c:v>5.6462116483810938</c:v>
                </c:pt>
                <c:pt idx="720">
                  <c:v>5.6530746875121114</c:v>
                </c:pt>
                <c:pt idx="721">
                  <c:v>5.6599267930168224</c:v>
                </c:pt>
                <c:pt idx="722">
                  <c:v>5.6667680263973139</c:v>
                </c:pt>
                <c:pt idx="723">
                  <c:v>5.673598448538332</c:v>
                </c:pt>
                <c:pt idx="724">
                  <c:v>5.6804181197161618</c:v>
                </c:pt>
                <c:pt idx="725">
                  <c:v>5.6872270996073304</c:v>
                </c:pt>
                <c:pt idx="726">
                  <c:v>5.6940254472971557</c:v>
                </c:pt>
                <c:pt idx="727">
                  <c:v>5.7008132212881328</c:v>
                </c:pt>
                <c:pt idx="728">
                  <c:v>5.7075904795081716</c:v>
                </c:pt>
                <c:pt idx="729">
                  <c:v>5.7143572793186781</c:v>
                </c:pt>
                <c:pt idx="730">
                  <c:v>5.721113677522494</c:v>
                </c:pt>
                <c:pt idx="731">
                  <c:v>5.7278597303716916</c:v>
                </c:pt>
                <c:pt idx="732">
                  <c:v>5.7345954935752257</c:v>
                </c:pt>
                <c:pt idx="733">
                  <c:v>5.7413210223064475</c:v>
                </c:pt>
                <c:pt idx="734">
                  <c:v>5.7480363712104863</c:v>
                </c:pt>
                <c:pt idx="735">
                  <c:v>5.7547415944115041</c:v>
                </c:pt>
                <c:pt idx="736">
                  <c:v>5.7614367455198092</c:v>
                </c:pt>
                <c:pt idx="737">
                  <c:v>5.7681218776388565</c:v>
                </c:pt>
                <c:pt idx="738">
                  <c:v>5.7747970433721152</c:v>
                </c:pt>
                <c:pt idx="739">
                  <c:v>5.7814622948298258</c:v>
                </c:pt>
                <c:pt idx="740">
                  <c:v>5.7881176836356296</c:v>
                </c:pt>
                <c:pt idx="741">
                  <c:v>5.7947632609330846</c:v>
                </c:pt>
                <c:pt idx="742">
                  <c:v>5.8013990773920741</c:v>
                </c:pt>
                <c:pt idx="743">
                  <c:v>5.808025183215106</c:v>
                </c:pt>
                <c:pt idx="744">
                  <c:v>5.8146416281434856</c:v>
                </c:pt>
                <c:pt idx="745">
                  <c:v>5.8212484614634086</c:v>
                </c:pt>
                <c:pt idx="746">
                  <c:v>5.8278457320119301</c:v>
                </c:pt>
                <c:pt idx="747">
                  <c:v>5.8344334881828459</c:v>
                </c:pt>
                <c:pt idx="748">
                  <c:v>5.841011777932458</c:v>
                </c:pt>
                <c:pt idx="749">
                  <c:v>5.8475806487852653</c:v>
                </c:pt>
                <c:pt idx="750">
                  <c:v>5.8541401478395372</c:v>
                </c:pt>
                <c:pt idx="751">
                  <c:v>5.860690321772803</c:v>
                </c:pt>
                <c:pt idx="752">
                  <c:v>5.8672312168472569</c:v>
                </c:pt>
                <c:pt idx="753">
                  <c:v>5.8737628789150564</c:v>
                </c:pt>
                <c:pt idx="754">
                  <c:v>5.8802853534235497</c:v>
                </c:pt>
                <c:pt idx="755">
                  <c:v>5.8867986854204046</c:v>
                </c:pt>
                <c:pt idx="756">
                  <c:v>5.8933029195586641</c:v>
                </c:pt>
                <c:pt idx="757">
                  <c:v>5.8997981001017088</c:v>
                </c:pt>
                <c:pt idx="758">
                  <c:v>5.9062842709281416</c:v>
                </c:pt>
                <c:pt idx="759">
                  <c:v>5.9127614755366</c:v>
                </c:pt>
                <c:pt idx="760">
                  <c:v>5.9192297570504824</c:v>
                </c:pt>
                <c:pt idx="761">
                  <c:v>5.9256891582225988</c:v>
                </c:pt>
                <c:pt idx="762">
                  <c:v>5.9321397214397482</c:v>
                </c:pt>
                <c:pt idx="763">
                  <c:v>5.938581488727233</c:v>
                </c:pt>
                <c:pt idx="764">
                  <c:v>5.9450145017532758</c:v>
                </c:pt>
                <c:pt idx="765">
                  <c:v>5.9514388018333939</c:v>
                </c:pt>
                <c:pt idx="766">
                  <c:v>5.9578544299346881</c:v>
                </c:pt>
                <c:pt idx="767">
                  <c:v>5.9642614266800686</c:v>
                </c:pt>
                <c:pt idx="768">
                  <c:v>5.9706598323524158</c:v>
                </c:pt>
                <c:pt idx="769">
                  <c:v>5.9770496868986722</c:v>
                </c:pt>
                <c:pt idx="770">
                  <c:v>5.98343102993387</c:v>
                </c:pt>
                <c:pt idx="771">
                  <c:v>5.9898039007451036</c:v>
                </c:pt>
                <c:pt idx="772">
                  <c:v>5.9961683382954352</c:v>
                </c:pt>
                <c:pt idx="773">
                  <c:v>6.0025243812277331</c:v>
                </c:pt>
                <c:pt idx="774">
                  <c:v>6.0088720678684684</c:v>
                </c:pt>
                <c:pt idx="775">
                  <c:v>6.0152114362314348</c:v>
                </c:pt>
                <c:pt idx="776">
                  <c:v>6.0215425240214255</c:v>
                </c:pt>
                <c:pt idx="777">
                  <c:v>6.0278653686378423</c:v>
                </c:pt>
                <c:pt idx="778">
                  <c:v>6.0341800071782652</c:v>
                </c:pt>
                <c:pt idx="779">
                  <c:v>6.0404864764419486</c:v>
                </c:pt>
                <c:pt idx="780">
                  <c:v>6.0467848129332813</c:v>
                </c:pt>
                <c:pt idx="781">
                  <c:v>6.0530750528651911</c:v>
                </c:pt>
                <c:pt idx="782">
                  <c:v>6.0593572321624869</c:v>
                </c:pt>
                <c:pt idx="783">
                  <c:v>6.065631386465169</c:v>
                </c:pt>
                <c:pt idx="784">
                  <c:v>6.0718975511316735</c:v>
                </c:pt>
                <c:pt idx="785">
                  <c:v>6.0781557612420798</c:v>
                </c:pt>
                <c:pt idx="786">
                  <c:v>6.0844060516012668</c:v>
                </c:pt>
                <c:pt idx="787">
                  <c:v>6.0906484567420218</c:v>
                </c:pt>
                <c:pt idx="788">
                  <c:v>6.0968830109281056</c:v>
                </c:pt>
                <c:pt idx="789">
                  <c:v>6.103109748157272</c:v>
                </c:pt>
                <c:pt idx="790">
                  <c:v>6.1093287021642428</c:v>
                </c:pt>
                <c:pt idx="791">
                  <c:v>6.1155399064236402</c:v>
                </c:pt>
                <c:pt idx="792">
                  <c:v>6.1217433941528752</c:v>
                </c:pt>
                <c:pt idx="793">
                  <c:v>6.1279391983150004</c:v>
                </c:pt>
                <c:pt idx="794">
                  <c:v>6.13412735162151</c:v>
                </c:pt>
                <c:pt idx="795">
                  <c:v>6.1403078865351155</c:v>
                </c:pt>
                <c:pt idx="796">
                  <c:v>6.1404117903185043</c:v>
                </c:pt>
                <c:pt idx="797">
                  <c:v>6.1465733592294214</c:v>
                </c:pt>
                <c:pt idx="798">
                  <c:v>6.1527274080783592</c:v>
                </c:pt>
                <c:pt idx="799">
                  <c:v>6.158873968355226</c:v>
                </c:pt>
                <c:pt idx="800">
                  <c:v>6.1650130713144087</c:v>
                </c:pt>
                <c:pt idx="801">
                  <c:v>6.1711447479773156</c:v>
                </c:pt>
                <c:pt idx="802">
                  <c:v>6.1772690291348802</c:v>
                </c:pt>
                <c:pt idx="803">
                  <c:v>6.1833859453500359</c:v>
                </c:pt>
                <c:pt idx="804">
                  <c:v>6.1894955269601422</c:v>
                </c:pt>
                <c:pt idx="805">
                  <c:v>6.1955978040793926</c:v>
                </c:pt>
                <c:pt idx="806">
                  <c:v>6.2016928066011765</c:v>
                </c:pt>
                <c:pt idx="807">
                  <c:v>6.2077805642004229</c:v>
                </c:pt>
                <c:pt idx="808">
                  <c:v>6.2138611063358926</c:v>
                </c:pt>
                <c:pt idx="809">
                  <c:v>6.2199344622524597</c:v>
                </c:pt>
                <c:pt idx="810">
                  <c:v>6.2260006609833454</c:v>
                </c:pt>
                <c:pt idx="811">
                  <c:v>6.2320597313523294</c:v>
                </c:pt>
                <c:pt idx="812">
                  <c:v>6.238111701975936</c:v>
                </c:pt>
                <c:pt idx="813">
                  <c:v>6.2441566012655745</c:v>
                </c:pt>
                <c:pt idx="814">
                  <c:v>6.2501944574296679</c:v>
                </c:pt>
                <c:pt idx="815">
                  <c:v>6.2562252984757443</c:v>
                </c:pt>
                <c:pt idx="816">
                  <c:v>6.2622491522124974</c:v>
                </c:pt>
                <c:pt idx="817">
                  <c:v>6.2682660462518331</c:v>
                </c:pt>
                <c:pt idx="818">
                  <c:v>6.2742760080108688</c:v>
                </c:pt>
                <c:pt idx="819">
                  <c:v>6.2802790647139268</c:v>
                </c:pt>
                <c:pt idx="820">
                  <c:v>6.2862752433944813</c:v>
                </c:pt>
                <c:pt idx="821">
                  <c:v>6.2922645708971014</c:v>
                </c:pt>
                <c:pt idx="822">
                  <c:v>6.298247073879347</c:v>
                </c:pt>
                <c:pt idx="823">
                  <c:v>6.3042227788136529</c:v>
                </c:pt>
                <c:pt idx="824">
                  <c:v>6.3101917119891882</c:v>
                </c:pt>
                <c:pt idx="825">
                  <c:v>6.316153899513683</c:v>
                </c:pt>
                <c:pt idx="826">
                  <c:v>6.3221093673152424</c:v>
                </c:pt>
                <c:pt idx="827">
                  <c:v>6.3280581411441243</c:v>
                </c:pt>
                <c:pt idx="828">
                  <c:v>6.334000246574508</c:v>
                </c:pt>
                <c:pt idx="829">
                  <c:v>6.3399357090062303</c:v>
                </c:pt>
                <c:pt idx="830">
                  <c:v>6.345864553666499</c:v>
                </c:pt>
                <c:pt idx="831">
                  <c:v>6.351786805611594</c:v>
                </c:pt>
                <c:pt idx="832">
                  <c:v>6.3577024897285357</c:v>
                </c:pt>
                <c:pt idx="833">
                  <c:v>6.3636116307367363</c:v>
                </c:pt>
                <c:pt idx="834">
                  <c:v>6.3695142531896352</c:v>
                </c:pt>
                <c:pt idx="835">
                  <c:v>6.3754103814762999</c:v>
                </c:pt>
                <c:pt idx="836">
                  <c:v>6.381300039823028</c:v>
                </c:pt>
                <c:pt idx="837">
                  <c:v>6.3871832522949061</c:v>
                </c:pt>
                <c:pt idx="838">
                  <c:v>6.3930600427973685</c:v>
                </c:pt>
                <c:pt idx="839">
                  <c:v>6.3989304350777161</c:v>
                </c:pt>
                <c:pt idx="840">
                  <c:v>6.4047944527266427</c:v>
                </c:pt>
                <c:pt idx="841">
                  <c:v>6.4106521191797157</c:v>
                </c:pt>
                <c:pt idx="842">
                  <c:v>6.4165034577188562</c:v>
                </c:pt>
                <c:pt idx="843">
                  <c:v>6.4223484914737909</c:v>
                </c:pt>
                <c:pt idx="844">
                  <c:v>6.4281872434234959</c:v>
                </c:pt>
                <c:pt idx="845">
                  <c:v>6.4340197363976097</c:v>
                </c:pt>
                <c:pt idx="846">
                  <c:v>6.4398459930778422</c:v>
                </c:pt>
                <c:pt idx="847">
                  <c:v>6.4456660359993574</c:v>
                </c:pt>
                <c:pt idx="848">
                  <c:v>6.4514798875521393</c:v>
                </c:pt>
                <c:pt idx="849">
                  <c:v>6.4572875699823502</c:v>
                </c:pt>
                <c:pt idx="850">
                  <c:v>6.4630891053936654</c:v>
                </c:pt>
                <c:pt idx="851">
                  <c:v>6.4688845157485835</c:v>
                </c:pt>
                <c:pt idx="852">
                  <c:v>6.4746738228697414</c:v>
                </c:pt>
                <c:pt idx="853">
                  <c:v>6.4804570484411981</c:v>
                </c:pt>
                <c:pt idx="854">
                  <c:v>6.4862342140097056</c:v>
                </c:pt>
                <c:pt idx="855">
                  <c:v>6.4920053409859655</c:v>
                </c:pt>
                <c:pt idx="856">
                  <c:v>6.4977704506458762</c:v>
                </c:pt>
                <c:pt idx="857">
                  <c:v>6.5035295641317532</c:v>
                </c:pt>
                <c:pt idx="858">
                  <c:v>6.509282702453552</c:v>
                </c:pt>
                <c:pt idx="859">
                  <c:v>6.5150298864900513</c:v>
                </c:pt>
                <c:pt idx="860">
                  <c:v>6.5207711369900512</c:v>
                </c:pt>
                <c:pt idx="861">
                  <c:v>6.5265064745735426</c:v>
                </c:pt>
                <c:pt idx="862">
                  <c:v>6.5322359197328517</c:v>
                </c:pt>
                <c:pt idx="863">
                  <c:v>6.5379594928337994</c:v>
                </c:pt>
                <c:pt idx="864">
                  <c:v>6.5436772141168156</c:v>
                </c:pt>
                <c:pt idx="865">
                  <c:v>6.5493891036980685</c:v>
                </c:pt>
                <c:pt idx="866">
                  <c:v>6.5550951815705627</c:v>
                </c:pt>
                <c:pt idx="867">
                  <c:v>6.5607954676052298</c:v>
                </c:pt>
                <c:pt idx="868">
                  <c:v>6.5664899815520039</c:v>
                </c:pt>
                <c:pt idx="869">
                  <c:v>6.5721787430408938</c:v>
                </c:pt>
                <c:pt idx="870">
                  <c:v>6.5778617715830361</c:v>
                </c:pt>
                <c:pt idx="871">
                  <c:v>6.5835390865717294</c:v>
                </c:pt>
                <c:pt idx="872">
                  <c:v>6.5892107072834722</c:v>
                </c:pt>
                <c:pt idx="873">
                  <c:v>6.5948766528789768</c:v>
                </c:pt>
                <c:pt idx="874">
                  <c:v>6.6005369424041742</c:v>
                </c:pt>
                <c:pt idx="875">
                  <c:v>6.6061915947912127</c:v>
                </c:pt>
                <c:pt idx="876">
                  <c:v>6.6118406288594418</c:v>
                </c:pt>
                <c:pt idx="877">
                  <c:v>6.6174840633163781</c:v>
                </c:pt>
                <c:pt idx="878">
                  <c:v>6.6231219167586737</c:v>
                </c:pt>
                <c:pt idx="879">
                  <c:v>6.628754207673067</c:v>
                </c:pt>
                <c:pt idx="880">
                  <c:v>6.6343809544373196</c:v>
                </c:pt>
                <c:pt idx="881">
                  <c:v>6.6400021753211469</c:v>
                </c:pt>
                <c:pt idx="882">
                  <c:v>6.6456178884871377</c:v>
                </c:pt>
                <c:pt idx="883">
                  <c:v>6.6512281119916636</c:v>
                </c:pt>
                <c:pt idx="884">
                  <c:v>6.6568328637857803</c:v>
                </c:pt>
                <c:pt idx="885">
                  <c:v>6.6624321617161097</c:v>
                </c:pt>
                <c:pt idx="886">
                  <c:v>6.6680260235257283</c:v>
                </c:pt>
                <c:pt idx="887">
                  <c:v>6.6736144668550308</c:v>
                </c:pt>
                <c:pt idx="888">
                  <c:v>6.6791975092425906</c:v>
                </c:pt>
                <c:pt idx="889">
                  <c:v>6.6847751681260137</c:v>
                </c:pt>
                <c:pt idx="890">
                  <c:v>6.69034746084278</c:v>
                </c:pt>
                <c:pt idx="891">
                  <c:v>6.6959144046310701</c:v>
                </c:pt>
                <c:pt idx="892">
                  <c:v>6.7014760166305978</c:v>
                </c:pt>
                <c:pt idx="893">
                  <c:v>6.7070323138834107</c:v>
                </c:pt>
                <c:pt idx="894">
                  <c:v>6.7125833133347115</c:v>
                </c:pt>
                <c:pt idx="895">
                  <c:v>6.7181290318336462</c:v>
                </c:pt>
                <c:pt idx="896">
                  <c:v>6.7236694861340931</c:v>
                </c:pt>
                <c:pt idx="897">
                  <c:v>6.7292046928954417</c:v>
                </c:pt>
                <c:pt idx="898">
                  <c:v>6.7347346686833696</c:v>
                </c:pt>
                <c:pt idx="899">
                  <c:v>6.7402594299705978</c:v>
                </c:pt>
                <c:pt idx="900">
                  <c:v>6.7457789931376553</c:v>
                </c:pt>
                <c:pt idx="901">
                  <c:v>6.7512933744736188</c:v>
                </c:pt>
                <c:pt idx="902">
                  <c:v>6.75680259017685</c:v>
                </c:pt>
                <c:pt idx="903">
                  <c:v>6.7623066563557419</c:v>
                </c:pt>
                <c:pt idx="904">
                  <c:v>6.7678055890294218</c:v>
                </c:pt>
                <c:pt idx="905">
                  <c:v>6.7732994041284842</c:v>
                </c:pt>
                <c:pt idx="906">
                  <c:v>6.7787881174956901</c:v>
                </c:pt>
                <c:pt idx="907">
                  <c:v>6.7842717448866736</c:v>
                </c:pt>
                <c:pt idx="908">
                  <c:v>6.7897503019706305</c:v>
                </c:pt>
                <c:pt idx="909">
                  <c:v>6.7952238043310116</c:v>
                </c:pt>
                <c:pt idx="910">
                  <c:v>6.8006922674661965</c:v>
                </c:pt>
                <c:pt idx="911">
                  <c:v>6.8061557067901663</c:v>
                </c:pt>
                <c:pt idx="912">
                  <c:v>6.8116141376331774</c:v>
                </c:pt>
                <c:pt idx="913">
                  <c:v>6.8170675752424081</c:v>
                </c:pt>
                <c:pt idx="914">
                  <c:v>6.8225160347826188</c:v>
                </c:pt>
                <c:pt idx="915">
                  <c:v>6.8279595313367976</c:v>
                </c:pt>
                <c:pt idx="916">
                  <c:v>6.8333980799067904</c:v>
                </c:pt>
                <c:pt idx="917">
                  <c:v>6.8388316954139459</c:v>
                </c:pt>
                <c:pt idx="918">
                  <c:v>6.8442603926997299</c:v>
                </c:pt>
                <c:pt idx="919">
                  <c:v>6.8496841865263498</c:v>
                </c:pt>
                <c:pt idx="920">
                  <c:v>6.8551030915773694</c:v>
                </c:pt>
                <c:pt idx="921">
                  <c:v>6.8605171224583117</c:v>
                </c:pt>
                <c:pt idx="922">
                  <c:v>6.8659262936972638</c:v>
                </c:pt>
                <c:pt idx="923">
                  <c:v>6.871330619745466</c:v>
                </c:pt>
                <c:pt idx="924">
                  <c:v>6.8767301149779083</c:v>
                </c:pt>
                <c:pt idx="925">
                  <c:v>6.8821247936939027</c:v>
                </c:pt>
                <c:pt idx="926">
                  <c:v>6.8875146701176746</c:v>
                </c:pt>
                <c:pt idx="927">
                  <c:v>6.8928997583989187</c:v>
                </c:pt>
                <c:pt idx="928">
                  <c:v>6.8982800726133755</c:v>
                </c:pt>
                <c:pt idx="929">
                  <c:v>6.9036556267633893</c:v>
                </c:pt>
                <c:pt idx="930">
                  <c:v>6.909026434778454</c:v>
                </c:pt>
                <c:pt idx="931">
                  <c:v>6.9143925105157775</c:v>
                </c:pt>
                <c:pt idx="932">
                  <c:v>6.9197538677608126</c:v>
                </c:pt>
                <c:pt idx="933">
                  <c:v>6.9251105202277987</c:v>
                </c:pt>
                <c:pt idx="934">
                  <c:v>6.9304624815602978</c:v>
                </c:pt>
                <c:pt idx="935">
                  <c:v>6.935809765331717</c:v>
                </c:pt>
                <c:pt idx="936">
                  <c:v>6.9411523850458394</c:v>
                </c:pt>
                <c:pt idx="937">
                  <c:v>6.94649035413733</c:v>
                </c:pt>
                <c:pt idx="938">
                  <c:v>6.9518236859722595</c:v>
                </c:pt>
                <c:pt idx="939">
                  <c:v>6.9571523938486006</c:v>
                </c:pt>
                <c:pt idx="940">
                  <c:v>6.9624764909967443</c:v>
                </c:pt>
                <c:pt idx="941">
                  <c:v>6.9677959905799813</c:v>
                </c:pt>
                <c:pt idx="942">
                  <c:v>6.9731109056950125</c:v>
                </c:pt>
                <c:pt idx="943">
                  <c:v>6.9784212493724205</c:v>
                </c:pt>
                <c:pt idx="944">
                  <c:v>6.9837270345771669</c:v>
                </c:pt>
                <c:pt idx="945">
                  <c:v>6.9890282742090601</c:v>
                </c:pt>
                <c:pt idx="946">
                  <c:v>6.9943249811032366</c:v>
                </c:pt>
                <c:pt idx="947">
                  <c:v>6.9996171680306318</c:v>
                </c:pt>
                <c:pt idx="948">
                  <c:v>7.0049048476984375</c:v>
                </c:pt>
                <c:pt idx="949">
                  <c:v>7.0101880327505697</c:v>
                </c:pt>
                <c:pt idx="950">
                  <c:v>7.0154667357681255</c:v>
                </c:pt>
                <c:pt idx="951">
                  <c:v>7.0207409692698315</c:v>
                </c:pt>
                <c:pt idx="952">
                  <c:v>7.0260107457124885</c:v>
                </c:pt>
                <c:pt idx="953">
                  <c:v>7.0312760774914249</c:v>
                </c:pt>
                <c:pt idx="954">
                  <c:v>7.0365369769409343</c:v>
                </c:pt>
                <c:pt idx="955">
                  <c:v>7.0417934563347035</c:v>
                </c:pt>
                <c:pt idx="956">
                  <c:v>7.0470455278862474</c:v>
                </c:pt>
                <c:pt idx="957">
                  <c:v>7.0522932037493415</c:v>
                </c:pt>
                <c:pt idx="958">
                  <c:v>7.0575364960184404</c:v>
                </c:pt>
                <c:pt idx="959">
                  <c:v>7.0627754167290995</c:v>
                </c:pt>
                <c:pt idx="960">
                  <c:v>7.0680099778583845</c:v>
                </c:pt>
                <c:pt idx="961">
                  <c:v>7.0732401913252954</c:v>
                </c:pt>
                <c:pt idx="962">
                  <c:v>7.0784660689911609</c:v>
                </c:pt>
                <c:pt idx="963">
                  <c:v>7.0836876226600527</c:v>
                </c:pt>
                <c:pt idx="964">
                  <c:v>7.0889048640791827</c:v>
                </c:pt>
                <c:pt idx="965">
                  <c:v>7.0941178049392972</c:v>
                </c:pt>
                <c:pt idx="966">
                  <c:v>7.099326456875076</c:v>
                </c:pt>
                <c:pt idx="967">
                  <c:v>7.1045308314655147</c:v>
                </c:pt>
                <c:pt idx="968">
                  <c:v>7.109730940234317</c:v>
                </c:pt>
                <c:pt idx="969">
                  <c:v>7.114926794650275</c:v>
                </c:pt>
                <c:pt idx="970">
                  <c:v>7.1201184061276486</c:v>
                </c:pt>
                <c:pt idx="971">
                  <c:v>7.1253057860265399</c:v>
                </c:pt>
                <c:pt idx="972">
                  <c:v>7.1304889456532656</c:v>
                </c:pt>
                <c:pt idx="973">
                  <c:v>7.1356678962607329</c:v>
                </c:pt>
                <c:pt idx="974">
                  <c:v>7.1408426490487908</c:v>
                </c:pt>
                <c:pt idx="975">
                  <c:v>7.1460132151646087</c:v>
                </c:pt>
                <c:pt idx="976">
                  <c:v>7.1511796057030246</c:v>
                </c:pt>
                <c:pt idx="977">
                  <c:v>7.1563418317069001</c:v>
                </c:pt>
                <c:pt idx="978">
                  <c:v>7.1614999041674832</c:v>
                </c:pt>
                <c:pt idx="979">
                  <c:v>7.1666538340247516</c:v>
                </c:pt>
                <c:pt idx="980">
                  <c:v>7.1718036321677587</c:v>
                </c:pt>
                <c:pt idx="981">
                  <c:v>7.1769493094349759</c:v>
                </c:pt>
                <c:pt idx="982">
                  <c:v>7.1820908766146392</c:v>
                </c:pt>
                <c:pt idx="983">
                  <c:v>7.1872283444450797</c:v>
                </c:pt>
                <c:pt idx="984">
                  <c:v>7.1923617236150639</c:v>
                </c:pt>
                <c:pt idx="985">
                  <c:v>7.1974910247641173</c:v>
                </c:pt>
                <c:pt idx="986">
                  <c:v>7.2026162584828652</c:v>
                </c:pt>
                <c:pt idx="987">
                  <c:v>7.2077374353133443</c:v>
                </c:pt>
                <c:pt idx="988">
                  <c:v>7.2128545657493373</c:v>
                </c:pt>
                <c:pt idx="989">
                  <c:v>7.2179676602366873</c:v>
                </c:pt>
                <c:pt idx="990">
                  <c:v>7.2230767291736164</c:v>
                </c:pt>
                <c:pt idx="991">
                  <c:v>7.2281817829110384</c:v>
                </c:pt>
                <c:pt idx="992">
                  <c:v>7.2332828317528746</c:v>
                </c:pt>
                <c:pt idx="993">
                  <c:v>7.2383798859563591</c:v>
                </c:pt>
                <c:pt idx="994">
                  <c:v>7.243472955732349</c:v>
                </c:pt>
                <c:pt idx="995">
                  <c:v>7.2485620512456217</c:v>
                </c:pt>
                <c:pt idx="996">
                  <c:v>7.2536471826151869</c:v>
                </c:pt>
                <c:pt idx="997">
                  <c:v>7.2587283599145742</c:v>
                </c:pt>
                <c:pt idx="998">
                  <c:v>7.263805593172135</c:v>
                </c:pt>
                <c:pt idx="999">
                  <c:v>7.2688788923713359</c:v>
                </c:pt>
                <c:pt idx="1000">
                  <c:v>7.2739482674510505</c:v>
                </c:pt>
                <c:pt idx="1001">
                  <c:v>7.2790137283058414</c:v>
                </c:pt>
                <c:pt idx="1002">
                  <c:v>7.2840752847862564</c:v>
                </c:pt>
                <c:pt idx="1003">
                  <c:v>7.2891329466991044</c:v>
                </c:pt>
                <c:pt idx="1004">
                  <c:v>7.2941867238077442</c:v>
                </c:pt>
                <c:pt idx="1005">
                  <c:v>7.2992366258323509</c:v>
                </c:pt>
                <c:pt idx="1006">
                  <c:v>7.3042826624502091</c:v>
                </c:pt>
                <c:pt idx="1007">
                  <c:v>7.3093248432959754</c:v>
                </c:pt>
                <c:pt idx="1008">
                  <c:v>7.3143631779619502</c:v>
                </c:pt>
                <c:pt idx="1009">
                  <c:v>7.3193976759983572</c:v>
                </c:pt>
                <c:pt idx="1010">
                  <c:v>7.3244283469135976</c:v>
                </c:pt>
                <c:pt idx="1011">
                  <c:v>7.3294552001745288</c:v>
                </c:pt>
                <c:pt idx="1012">
                  <c:v>7.3344782452067214</c:v>
                </c:pt>
                <c:pt idx="1013">
                  <c:v>7.3394974913947122</c:v>
                </c:pt>
                <c:pt idx="1014">
                  <c:v>7.3445129480822775</c:v>
                </c:pt>
                <c:pt idx="1015">
                  <c:v>7.3495246245726804</c:v>
                </c:pt>
                <c:pt idx="1016">
                  <c:v>7.3545325301289282</c:v>
                </c:pt>
                <c:pt idx="1017">
                  <c:v>7.3595366739740236</c:v>
                </c:pt>
                <c:pt idx="1018">
                  <c:v>7.3645370652912137</c:v>
                </c:pt>
                <c:pt idx="1019">
                  <c:v>7.3695337132242429</c:v>
                </c:pt>
                <c:pt idx="1020">
                  <c:v>7.3745266268775946</c:v>
                </c:pt>
                <c:pt idx="1021">
                  <c:v>7.3795158153167391</c:v>
                </c:pt>
                <c:pt idx="1022">
                  <c:v>7.3845012875683693</c:v>
                </c:pt>
                <c:pt idx="1023">
                  <c:v>7.3894830526206494</c:v>
                </c:pt>
                <c:pt idx="1024">
                  <c:v>7.3944611194234486</c:v>
                </c:pt>
                <c:pt idx="1025">
                  <c:v>7.3994354968885778</c:v>
                </c:pt>
                <c:pt idx="1026">
                  <c:v>7.4044061938900239</c:v>
                </c:pt>
                <c:pt idx="1027">
                  <c:v>7.4093732192641806</c:v>
                </c:pt>
                <c:pt idx="1028">
                  <c:v>7.414336581810085</c:v>
                </c:pt>
                <c:pt idx="1029">
                  <c:v>7.4192962902896413</c:v>
                </c:pt>
                <c:pt idx="1030">
                  <c:v>7.4242523534278471</c:v>
                </c:pt>
                <c:pt idx="1031">
                  <c:v>7.4292047799130252</c:v>
                </c:pt>
                <c:pt idx="1032">
                  <c:v>7.4341535783970354</c:v>
                </c:pt>
                <c:pt idx="1033">
                  <c:v>7.4390987574955094</c:v>
                </c:pt>
                <c:pt idx="1034">
                  <c:v>7.4440403257880625</c:v>
                </c:pt>
                <c:pt idx="1035">
                  <c:v>7.448978291818511</c:v>
                </c:pt>
                <c:pt idx="1036">
                  <c:v>7.4539126640950943</c:v>
                </c:pt>
                <c:pt idx="1037">
                  <c:v>7.458843451090682</c:v>
                </c:pt>
                <c:pt idx="1038">
                  <c:v>7.4637706612429966</c:v>
                </c:pt>
                <c:pt idx="1039">
                  <c:v>7.4686943029548143</c:v>
                </c:pt>
                <c:pt idx="1040">
                  <c:v>7.4736143845941818</c:v>
                </c:pt>
                <c:pt idx="1041">
                  <c:v>7.4785309144946215</c:v>
                </c:pt>
                <c:pt idx="1042">
                  <c:v>7.4834439009553382</c:v>
                </c:pt>
                <c:pt idx="1043">
                  <c:v>7.4883533522414227</c:v>
                </c:pt>
                <c:pt idx="1044">
                  <c:v>7.493259276584058</c:v>
                </c:pt>
                <c:pt idx="1045">
                  <c:v>7.4981616821807151</c:v>
                </c:pt>
                <c:pt idx="1046">
                  <c:v>7.5030605771953622</c:v>
                </c:pt>
                <c:pt idx="1047">
                  <c:v>7.5079559697586529</c:v>
                </c:pt>
                <c:pt idx="1048">
                  <c:v>7.5128478679681265</c:v>
                </c:pt>
                <c:pt idx="1049">
                  <c:v>7.5177362798884113</c:v>
                </c:pt>
                <c:pt idx="1050">
                  <c:v>7.5226212135514032</c:v>
                </c:pt>
                <c:pt idx="1051">
                  <c:v>7.5275026769564732</c:v>
                </c:pt>
                <c:pt idx="1052">
                  <c:v>7.5323806780706457</c:v>
                </c:pt>
                <c:pt idx="1053">
                  <c:v>7.5372552248287974</c:v>
                </c:pt>
                <c:pt idx="1054">
                  <c:v>7.5421263251338395</c:v>
                </c:pt>
                <c:pt idx="1055">
                  <c:v>7.546993986856906</c:v>
                </c:pt>
                <c:pt idx="1056">
                  <c:v>7.5518582178375393</c:v>
                </c:pt>
                <c:pt idx="1057">
                  <c:v>7.5567190258838739</c:v>
                </c:pt>
                <c:pt idx="1058">
                  <c:v>7.5615764187728143</c:v>
                </c:pt>
                <c:pt idx="1059">
                  <c:v>7.5664304042502248</c:v>
                </c:pt>
                <c:pt idx="1060">
                  <c:v>7.5712809900310987</c:v>
                </c:pt>
                <c:pt idx="1061">
                  <c:v>7.5761281837997458</c:v>
                </c:pt>
                <c:pt idx="1062">
                  <c:v>7.5809719932099613</c:v>
                </c:pt>
                <c:pt idx="1063">
                  <c:v>7.5858124258852051</c:v>
                </c:pt>
                <c:pt idx="1064">
                  <c:v>7.5906494894187766</c:v>
                </c:pt>
                <c:pt idx="1065">
                  <c:v>7.5954831913739849</c:v>
                </c:pt>
                <c:pt idx="1066">
                  <c:v>7.6003135392843255</c:v>
                </c:pt>
                <c:pt idx="1067">
                  <c:v>7.6051405406536396</c:v>
                </c:pt>
                <c:pt idx="1068">
                  <c:v>7.6099642029562968</c:v>
                </c:pt>
                <c:pt idx="1069">
                  <c:v>7.6147845336373514</c:v>
                </c:pt>
                <c:pt idx="1070">
                  <c:v>7.6196015401127184</c:v>
                </c:pt>
                <c:pt idx="1071">
                  <c:v>7.624415229769328</c:v>
                </c:pt>
                <c:pt idx="1072">
                  <c:v>7.6292256099652995</c:v>
                </c:pt>
                <c:pt idx="1073">
                  <c:v>7.6340326880300999</c:v>
                </c:pt>
                <c:pt idx="1074">
                  <c:v>7.6388364712647014</c:v>
                </c:pt>
                <c:pt idx="1075">
                  <c:v>7.6436369669417505</c:v>
                </c:pt>
                <c:pt idx="1076">
                  <c:v>7.6484341823057189</c:v>
                </c:pt>
                <c:pt idx="1077">
                  <c:v>7.6532281245730669</c:v>
                </c:pt>
                <c:pt idx="1078">
                  <c:v>7.6580188009323971</c:v>
                </c:pt>
                <c:pt idx="1079">
                  <c:v>7.6628062185446106</c:v>
                </c:pt>
                <c:pt idx="1080">
                  <c:v>7.6675903845430664</c:v>
                </c:pt>
                <c:pt idx="1081">
                  <c:v>7.6723713060337246</c:v>
                </c:pt>
                <c:pt idx="1082">
                  <c:v>7.6771489900953096</c:v>
                </c:pt>
                <c:pt idx="1083">
                  <c:v>7.6819234437794535</c:v>
                </c:pt>
                <c:pt idx="1084">
                  <c:v>7.6866946741108482</c:v>
                </c:pt>
                <c:pt idx="1085">
                  <c:v>7.6914626880873955</c:v>
                </c:pt>
                <c:pt idx="1086">
                  <c:v>7.6962274926803573</c:v>
                </c:pt>
                <c:pt idx="1087">
                  <c:v>7.7009890948344992</c:v>
                </c:pt>
                <c:pt idx="1088">
                  <c:v>7.7057475014682328</c:v>
                </c:pt>
                <c:pt idx="1089">
                  <c:v>7.7105027194737685</c:v>
                </c:pt>
                <c:pt idx="1090">
                  <c:v>7.7152547557172522</c:v>
                </c:pt>
                <c:pt idx="1091">
                  <c:v>7.7200036170389144</c:v>
                </c:pt>
                <c:pt idx="1092">
                  <c:v>7.7247493102532037</c:v>
                </c:pt>
                <c:pt idx="1093">
                  <c:v>7.7294918421489349</c:v>
                </c:pt>
                <c:pt idx="1094">
                  <c:v>7.7342312194894252</c:v>
                </c:pt>
                <c:pt idx="1095">
                  <c:v>7.7389674490126312</c:v>
                </c:pt>
                <c:pt idx="1096">
                  <c:v>7.7437005374312911</c:v>
                </c:pt>
                <c:pt idx="1097">
                  <c:v>7.7484304914330568</c:v>
                </c:pt>
                <c:pt idx="1098">
                  <c:v>7.7531573176806337</c:v>
                </c:pt>
                <c:pt idx="1099">
                  <c:v>7.7578810228119082</c:v>
                </c:pt>
                <c:pt idx="1100">
                  <c:v>7.7626016134400926</c:v>
                </c:pt>
                <c:pt idx="1101">
                  <c:v>7.7673190961538499</c:v>
                </c:pt>
                <c:pt idx="1102">
                  <c:v>7.7720334775174225</c:v>
                </c:pt>
                <c:pt idx="1103">
                  <c:v>7.7767447640707719</c:v>
                </c:pt>
                <c:pt idx="1104">
                  <c:v>7.7814529623297073</c:v>
                </c:pt>
                <c:pt idx="1105">
                  <c:v>7.7861580787860065</c:v>
                </c:pt>
                <c:pt idx="1106">
                  <c:v>7.7908601199075544</c:v>
                </c:pt>
                <c:pt idx="1107">
                  <c:v>7.7955590921384648</c:v>
                </c:pt>
                <c:pt idx="1108">
                  <c:v>7.8002550018992043</c:v>
                </c:pt>
                <c:pt idx="1109">
                  <c:v>7.8049478555867262</c:v>
                </c:pt>
                <c:pt idx="1110">
                  <c:v>7.8096376595745856</c:v>
                </c:pt>
                <c:pt idx="1111">
                  <c:v>7.8143244202130706</c:v>
                </c:pt>
                <c:pt idx="1112">
                  <c:v>7.8190081438293202</c:v>
                </c:pt>
                <c:pt idx="1113">
                  <c:v>7.8236888367274524</c:v>
                </c:pt>
                <c:pt idx="1114">
                  <c:v>7.8283665051886775</c:v>
                </c:pt>
                <c:pt idx="1115">
                  <c:v>7.8330411554714221</c:v>
                </c:pt>
                <c:pt idx="1116">
                  <c:v>7.8377127938114519</c:v>
                </c:pt>
                <c:pt idx="1117">
                  <c:v>7.842381426421988</c:v>
                </c:pt>
                <c:pt idx="1118">
                  <c:v>7.8470470594938195</c:v>
                </c:pt>
                <c:pt idx="1119">
                  <c:v>7.85170969919543</c:v>
                </c:pt>
                <c:pt idx="1120">
                  <c:v>7.8563693516731092</c:v>
                </c:pt>
                <c:pt idx="1121">
                  <c:v>7.8610260230510658</c:v>
                </c:pt>
                <c:pt idx="1122">
                  <c:v>7.8656797194315473</c:v>
                </c:pt>
                <c:pt idx="1123">
                  <c:v>7.8703304468949504</c:v>
                </c:pt>
                <c:pt idx="1124">
                  <c:v>7.8749782114999363</c:v>
                </c:pt>
                <c:pt idx="1125">
                  <c:v>7.8796230192835406</c:v>
                </c:pt>
                <c:pt idx="1126">
                  <c:v>7.8842648762612901</c:v>
                </c:pt>
                <c:pt idx="1127">
                  <c:v>7.8889037884273048</c:v>
                </c:pt>
                <c:pt idx="1128">
                  <c:v>7.8935397617544183</c:v>
                </c:pt>
                <c:pt idx="1129">
                  <c:v>7.8981728021942796</c:v>
                </c:pt>
                <c:pt idx="1130">
                  <c:v>7.9028029156774622</c:v>
                </c:pt>
                <c:pt idx="1131">
                  <c:v>7.9074301081135792</c:v>
                </c:pt>
                <c:pt idx="1132">
                  <c:v>7.9120543853913823</c:v>
                </c:pt>
                <c:pt idx="1133">
                  <c:v>7.9166757533788727</c:v>
                </c:pt>
                <c:pt idx="1134">
                  <c:v>7.9212942179234034</c:v>
                </c:pt>
                <c:pt idx="1135">
                  <c:v>7.9259097848517879</c:v>
                </c:pt>
                <c:pt idx="1136">
                  <c:v>7.9305224599704029</c:v>
                </c:pt>
                <c:pt idx="1137">
                  <c:v>7.9351322490652931</c:v>
                </c:pt>
                <c:pt idx="1138">
                  <c:v>7.9397391579022685</c:v>
                </c:pt>
                <c:pt idx="1139">
                  <c:v>7.94434319222702</c:v>
                </c:pt>
                <c:pt idx="1140">
                  <c:v>7.9489443577652033</c:v>
                </c:pt>
                <c:pt idx="1141">
                  <c:v>7.9535426602225536</c:v>
                </c:pt>
                <c:pt idx="1142">
                  <c:v>7.9581381052849816</c:v>
                </c:pt>
                <c:pt idx="1143">
                  <c:v>7.9627306986186692</c:v>
                </c:pt>
                <c:pt idx="1144">
                  <c:v>7.9673204458701736</c:v>
                </c:pt>
                <c:pt idx="1145">
                  <c:v>7.9719073526665252</c:v>
                </c:pt>
                <c:pt idx="1146">
                  <c:v>7.9764914246153218</c:v>
                </c:pt>
                <c:pt idx="1147">
                  <c:v>7.9810726673048293</c:v>
                </c:pt>
                <c:pt idx="1148">
                  <c:v>7.9856510863040739</c:v>
                </c:pt>
                <c:pt idx="1149">
                  <c:v>7.990226687162945</c:v>
                </c:pt>
                <c:pt idx="1150">
                  <c:v>7.9947994754122789</c:v>
                </c:pt>
                <c:pt idx="1151">
                  <c:v>7.9993694565639659</c:v>
                </c:pt>
                <c:pt idx="1152">
                  <c:v>8.0039366361110353</c:v>
                </c:pt>
                <c:pt idx="1153">
                  <c:v>8.0085010195277526</c:v>
                </c:pt>
                <c:pt idx="1154">
                  <c:v>8.0130626122697119</c:v>
                </c:pt>
                <c:pt idx="1155">
                  <c:v>8.0176214197739277</c:v>
                </c:pt>
                <c:pt idx="1156">
                  <c:v>8.0221774474589207</c:v>
                </c:pt>
                <c:pt idx="1157">
                  <c:v>8.0267307007248228</c:v>
                </c:pt>
                <c:pt idx="1158">
                  <c:v>8.0312811849534498</c:v>
                </c:pt>
                <c:pt idx="1159">
                  <c:v>8.0358289055084065</c:v>
                </c:pt>
                <c:pt idx="1160">
                  <c:v>8.0403738677351662</c:v>
                </c:pt>
                <c:pt idx="1161">
                  <c:v>8.0449160769611634</c:v>
                </c:pt>
                <c:pt idx="1162">
                  <c:v>8.0494555384958772</c:v>
                </c:pt>
                <c:pt idx="1163">
                  <c:v>8.0539922576309237</c:v>
                </c:pt>
                <c:pt idx="1164">
                  <c:v>8.0585262396401465</c:v>
                </c:pt>
                <c:pt idx="1165">
                  <c:v>8.0630574897796894</c:v>
                </c:pt>
                <c:pt idx="1166">
                  <c:v>8.0675860132880963</c:v>
                </c:pt>
                <c:pt idx="1167">
                  <c:v>8.0721118153863927</c:v>
                </c:pt>
                <c:pt idx="1168">
                  <c:v>8.0766349012781582</c:v>
                </c:pt>
                <c:pt idx="1169">
                  <c:v>8.0811552761496301</c:v>
                </c:pt>
                <c:pt idx="1170">
                  <c:v>8.085672945169776</c:v>
                </c:pt>
                <c:pt idx="1171">
                  <c:v>8.0901879134903769</c:v>
                </c:pt>
                <c:pt idx="1172">
                  <c:v>8.0947001862461114</c:v>
                </c:pt>
                <c:pt idx="1173">
                  <c:v>8.0992097685546369</c:v>
                </c:pt>
                <c:pt idx="1174">
                  <c:v>8.103716665516675</c:v>
                </c:pt>
                <c:pt idx="1175">
                  <c:v>8.1082208822160897</c:v>
                </c:pt>
                <c:pt idx="1176">
                  <c:v>8.1127224237199638</c:v>
                </c:pt>
                <c:pt idx="1177">
                  <c:v>8.117221295078684</c:v>
                </c:pt>
                <c:pt idx="1178">
                  <c:v>8.121717501326021</c:v>
                </c:pt>
                <c:pt idx="1179">
                  <c:v>8.126211047479206</c:v>
                </c:pt>
                <c:pt idx="1180">
                  <c:v>8.1307019385390085</c:v>
                </c:pt>
                <c:pt idx="1181">
                  <c:v>8.1351901794898183</c:v>
                </c:pt>
                <c:pt idx="1182">
                  <c:v>8.1396757752997182</c:v>
                </c:pt>
                <c:pt idx="1183">
                  <c:v>8.1441587309205605</c:v>
                </c:pt>
                <c:pt idx="1184">
                  <c:v>8.148639051288054</c:v>
                </c:pt>
                <c:pt idx="1185">
                  <c:v>8.1531167413218277</c:v>
                </c:pt>
                <c:pt idx="1186">
                  <c:v>8.1575918059255095</c:v>
                </c:pt>
                <c:pt idx="1187">
                  <c:v>8.1620642499868019</c:v>
                </c:pt>
                <c:pt idx="1188">
                  <c:v>8.1665340783775662</c:v>
                </c:pt>
                <c:pt idx="1189">
                  <c:v>8.1710012959538822</c:v>
                </c:pt>
                <c:pt idx="1190">
                  <c:v>8.1754659075561236</c:v>
                </c:pt>
                <c:pt idx="1191">
                  <c:v>8.1799279180090476</c:v>
                </c:pt>
                <c:pt idx="1192">
                  <c:v>8.1843873321218457</c:v>
                </c:pt>
                <c:pt idx="1193">
                  <c:v>8.1888441546882298</c:v>
                </c:pt>
                <c:pt idx="1194">
                  <c:v>8.1932983904865004</c:v>
                </c:pt>
                <c:pt idx="1195">
                  <c:v>8.1977500442796192</c:v>
                </c:pt>
                <c:pt idx="1196">
                  <c:v>8.1964443597508705</c:v>
                </c:pt>
                <c:pt idx="1197">
                  <c:v>8.2008868293525108</c:v>
                </c:pt>
                <c:pt idx="1198">
                  <c:v>8.2053267339709439</c:v>
                </c:pt>
                <c:pt idx="1199">
                  <c:v>8.2097640783025554</c:v>
                </c:pt>
                <c:pt idx="1200">
                  <c:v>8.2141988670287684</c:v>
                </c:pt>
                <c:pt idx="1201">
                  <c:v>8.2186311048161027</c:v>
                </c:pt>
                <c:pt idx="1202">
                  <c:v>8.223060796316247</c:v>
                </c:pt>
                <c:pt idx="1203">
                  <c:v>8.2274879461661286</c:v>
                </c:pt>
                <c:pt idx="1204">
                  <c:v>8.2319125589879842</c:v>
                </c:pt>
                <c:pt idx="1205">
                  <c:v>8.2363346393894208</c:v>
                </c:pt>
                <c:pt idx="1206">
                  <c:v>8.2407541919634841</c:v>
                </c:pt>
                <c:pt idx="1207">
                  <c:v>8.2451712212887251</c:v>
                </c:pt>
                <c:pt idx="1208">
                  <c:v>8.2495857319292689</c:v>
                </c:pt>
                <c:pt idx="1209">
                  <c:v>8.2539977284348804</c:v>
                </c:pt>
                <c:pt idx="1210">
                  <c:v>8.2584072153410215</c:v>
                </c:pt>
                <c:pt idx="1211">
                  <c:v>8.2628141971689253</c:v>
                </c:pt>
                <c:pt idx="1212">
                  <c:v>8.2672186784256567</c:v>
                </c:pt>
                <c:pt idx="1213">
                  <c:v>8.2716206636041782</c:v>
                </c:pt>
                <c:pt idx="1214">
                  <c:v>8.276020157183412</c:v>
                </c:pt>
                <c:pt idx="1215">
                  <c:v>8.2804171636282984</c:v>
                </c:pt>
                <c:pt idx="1216">
                  <c:v>8.2848116873898761</c:v>
                </c:pt>
                <c:pt idx="1217">
                  <c:v>8.2892037329053174</c:v>
                </c:pt>
                <c:pt idx="1218">
                  <c:v>8.2935933045980192</c:v>
                </c:pt>
                <c:pt idx="1219">
                  <c:v>8.2979804068776417</c:v>
                </c:pt>
                <c:pt idx="1220">
                  <c:v>8.3023650441401866</c:v>
                </c:pt>
                <c:pt idx="1221">
                  <c:v>8.3067472207680471</c:v>
                </c:pt>
                <c:pt idx="1222">
                  <c:v>8.3111269411300714</c:v>
                </c:pt>
                <c:pt idx="1223">
                  <c:v>8.3155042095816292</c:v>
                </c:pt>
                <c:pt idx="1224">
                  <c:v>8.3198790304646657</c:v>
                </c:pt>
                <c:pt idx="1225">
                  <c:v>8.3242514081077594</c:v>
                </c:pt>
                <c:pt idx="1226">
                  <c:v>8.3286213468261856</c:v>
                </c:pt>
                <c:pt idx="1227">
                  <c:v>8.3329888509219803</c:v>
                </c:pt>
                <c:pt idx="1228">
                  <c:v>8.337353924683983</c:v>
                </c:pt>
                <c:pt idx="1229">
                  <c:v>8.341716572387913</c:v>
                </c:pt>
                <c:pt idx="1230">
                  <c:v>8.3460767982964157</c:v>
                </c:pt>
                <c:pt idx="1231">
                  <c:v>8.3504346066591264</c:v>
                </c:pt>
                <c:pt idx="1232">
                  <c:v>8.3547900017127219</c:v>
                </c:pt>
                <c:pt idx="1233">
                  <c:v>8.3591429876809862</c:v>
                </c:pt>
                <c:pt idx="1234">
                  <c:v>8.3634935687748566</c:v>
                </c:pt>
                <c:pt idx="1235">
                  <c:v>8.3678417491924844</c:v>
                </c:pt>
                <c:pt idx="1236">
                  <c:v>8.3721875331192983</c:v>
                </c:pt>
                <c:pt idx="1237">
                  <c:v>8.3765309247280459</c:v>
                </c:pt>
                <c:pt idx="1238">
                  <c:v>8.3808719281788608</c:v>
                </c:pt>
                <c:pt idx="1239">
                  <c:v>8.3852105476193124</c:v>
                </c:pt>
                <c:pt idx="1240">
                  <c:v>8.3895467871844627</c:v>
                </c:pt>
                <c:pt idx="1241">
                  <c:v>8.3938806509969197</c:v>
                </c:pt>
                <c:pt idx="1242">
                  <c:v>8.3982121431668908</c:v>
                </c:pt>
                <c:pt idx="1243">
                  <c:v>8.4025412677922358</c:v>
                </c:pt>
                <c:pt idx="1244">
                  <c:v>8.406868028958522</c:v>
                </c:pt>
                <c:pt idx="1245">
                  <c:v>8.4111924307390815</c:v>
                </c:pt>
                <c:pt idx="1246">
                  <c:v>8.4155144771950567</c:v>
                </c:pt>
                <c:pt idx="1247">
                  <c:v>8.4198341723754542</c:v>
                </c:pt>
                <c:pt idx="1248">
                  <c:v>8.4241515203172028</c:v>
                </c:pt>
                <c:pt idx="1249">
                  <c:v>8.4284665250452004</c:v>
                </c:pt>
                <c:pt idx="1250">
                  <c:v>8.432779190572365</c:v>
                </c:pt>
                <c:pt idx="1251">
                  <c:v>8.4370895208996917</c:v>
                </c:pt>
                <c:pt idx="1252">
                  <c:v>8.4413975200162952</c:v>
                </c:pt>
                <c:pt idx="1253">
                  <c:v>8.4457031918994687</c:v>
                </c:pt>
                <c:pt idx="1254">
                  <c:v>8.4500065405147353</c:v>
                </c:pt>
                <c:pt idx="1255">
                  <c:v>8.4543075698158852</c:v>
                </c:pt>
                <c:pt idx="1256">
                  <c:v>8.4586062837450413</c:v>
                </c:pt>
                <c:pt idx="1257">
                  <c:v>8.4629026862327006</c:v>
                </c:pt>
                <c:pt idx="1258">
                  <c:v>8.4671967811977851</c:v>
                </c:pt>
                <c:pt idx="1259">
                  <c:v>8.4714885725476954</c:v>
                </c:pt>
                <c:pt idx="1260">
                  <c:v>8.4757780641783445</c:v>
                </c:pt>
                <c:pt idx="1261">
                  <c:v>8.4800652599742321</c:v>
                </c:pt>
                <c:pt idx="1262">
                  <c:v>8.4843501638084646</c:v>
                </c:pt>
                <c:pt idx="1263">
                  <c:v>8.4886327795428258</c:v>
                </c:pt>
                <c:pt idx="1264">
                  <c:v>8.4929131110278142</c:v>
                </c:pt>
                <c:pt idx="1265">
                  <c:v>8.4971911621026841</c:v>
                </c:pt>
                <c:pt idx="1266">
                  <c:v>8.5014669365955147</c:v>
                </c:pt>
                <c:pt idx="1267">
                  <c:v>8.5057404383232296</c:v>
                </c:pt>
                <c:pt idx="1268">
                  <c:v>8.5100116710916662</c:v>
                </c:pt>
                <c:pt idx="1269">
                  <c:v>8.5142806386956078</c:v>
                </c:pt>
                <c:pt idx="1270">
                  <c:v>8.5185473449188365</c:v>
                </c:pt>
                <c:pt idx="1271">
                  <c:v>8.5228117935341814</c:v>
                </c:pt>
                <c:pt idx="1272">
                  <c:v>8.527073988303556</c:v>
                </c:pt>
                <c:pt idx="1273">
                  <c:v>8.5313339329780078</c:v>
                </c:pt>
                <c:pt idx="1274">
                  <c:v>8.5355916312977698</c:v>
                </c:pt>
                <c:pt idx="1275">
                  <c:v>8.539847086992296</c:v>
                </c:pt>
                <c:pt idx="1276">
                  <c:v>8.5441003037803078</c:v>
                </c:pt>
                <c:pt idx="1277">
                  <c:v>8.5483512853698471</c:v>
                </c:pt>
                <c:pt idx="1278">
                  <c:v>8.5526000354583047</c:v>
                </c:pt>
                <c:pt idx="1279">
                  <c:v>8.5568465577324844</c:v>
                </c:pt>
                <c:pt idx="1280">
                  <c:v>8.5610908558686294</c:v>
                </c:pt>
                <c:pt idx="1281">
                  <c:v>8.5653329335324742</c:v>
                </c:pt>
                <c:pt idx="1282">
                  <c:v>8.569572794379285</c:v>
                </c:pt>
                <c:pt idx="1283">
                  <c:v>8.5738104420539063</c:v>
                </c:pt>
                <c:pt idx="1284">
                  <c:v>8.5780458801908015</c:v>
                </c:pt>
                <c:pt idx="1285">
                  <c:v>8.582279112414092</c:v>
                </c:pt>
                <c:pt idx="1286">
                  <c:v>8.5865101423376053</c:v>
                </c:pt>
                <c:pt idx="1287">
                  <c:v>8.5907389735649176</c:v>
                </c:pt>
                <c:pt idx="1288">
                  <c:v>8.5949656096893889</c:v>
                </c:pt>
                <c:pt idx="1289">
                  <c:v>8.5991900542942084</c:v>
                </c:pt>
                <c:pt idx="1290">
                  <c:v>8.6034123109524394</c:v>
                </c:pt>
                <c:pt idx="1291">
                  <c:v>8.607632383227056</c:v>
                </c:pt>
                <c:pt idx="1292">
                  <c:v>8.6118502746709886</c:v>
                </c:pt>
                <c:pt idx="1293">
                  <c:v>8.6160659888271542</c:v>
                </c:pt>
                <c:pt idx="1294">
                  <c:v>8.6202795292285099</c:v>
                </c:pt>
                <c:pt idx="1295">
                  <c:v>8.6244908993980918</c:v>
                </c:pt>
                <c:pt idx="1296">
                  <c:v>8.6287001028490433</c:v>
                </c:pt>
                <c:pt idx="1297">
                  <c:v>8.6329071430846671</c:v>
                </c:pt>
                <c:pt idx="1298">
                  <c:v>8.637112023598462</c:v>
                </c:pt>
                <c:pt idx="1299">
                  <c:v>8.6413147478741568</c:v>
                </c:pt>
                <c:pt idx="1300">
                  <c:v>8.6455153193857583</c:v>
                </c:pt>
                <c:pt idx="1301">
                  <c:v>8.6497137415975871</c:v>
                </c:pt>
                <c:pt idx="1302">
                  <c:v>8.6539100179643107</c:v>
                </c:pt>
                <c:pt idx="1303">
                  <c:v>8.6581041519309885</c:v>
                </c:pt>
                <c:pt idx="1304">
                  <c:v>8.6622961469331141</c:v>
                </c:pt>
                <c:pt idx="1305">
                  <c:v>8.6664860063966422</c:v>
                </c:pt>
                <c:pt idx="1306">
                  <c:v>8.6706737337380382</c:v>
                </c:pt>
                <c:pt idx="1307">
                  <c:v>8.6748593323643046</c:v>
                </c:pt>
                <c:pt idx="1308">
                  <c:v>8.6790428056730295</c:v>
                </c:pt>
                <c:pt idx="1309">
                  <c:v>8.68322415705242</c:v>
                </c:pt>
                <c:pt idx="1310">
                  <c:v>8.6874033898813359</c:v>
                </c:pt>
                <c:pt idx="1311">
                  <c:v>8.6915805075293306</c:v>
                </c:pt>
                <c:pt idx="1312">
                  <c:v>8.6957555133566871</c:v>
                </c:pt>
                <c:pt idx="1313">
                  <c:v>8.6999284107144597</c:v>
                </c:pt>
                <c:pt idx="1314">
                  <c:v>8.7040992029444997</c:v>
                </c:pt>
                <c:pt idx="1315">
                  <c:v>8.7082678933794995</c:v>
                </c:pt>
                <c:pt idx="1316">
                  <c:v>8.712434485343028</c:v>
                </c:pt>
                <c:pt idx="1317">
                  <c:v>8.7165989821495664</c:v>
                </c:pt>
                <c:pt idx="1318">
                  <c:v>8.7207613871045435</c:v>
                </c:pt>
                <c:pt idx="1319">
                  <c:v>8.7249217035043678</c:v>
                </c:pt>
                <c:pt idx="1320">
                  <c:v>8.7290799346364683</c:v>
                </c:pt>
                <c:pt idx="1321">
                  <c:v>8.7332360837793246</c:v>
                </c:pt>
                <c:pt idx="1322">
                  <c:v>8.7373901542025134</c:v>
                </c:pt>
                <c:pt idx="1323">
                  <c:v>8.7415421491667242</c:v>
                </c:pt>
                <c:pt idx="1324">
                  <c:v>8.7456920719238127</c:v>
                </c:pt>
                <c:pt idx="1325">
                  <c:v>8.7498399257168238</c:v>
                </c:pt>
                <c:pt idx="1326">
                  <c:v>8.7539857137800272</c:v>
                </c:pt>
                <c:pt idx="1327">
                  <c:v>8.7581294393389584</c:v>
                </c:pt>
                <c:pt idx="1328">
                  <c:v>8.7622711056104485</c:v>
                </c:pt>
                <c:pt idx="1329">
                  <c:v>8.7664107158026514</c:v>
                </c:pt>
                <c:pt idx="1330">
                  <c:v>8.7705482731150894</c:v>
                </c:pt>
                <c:pt idx="1331">
                  <c:v>8.7746837807386751</c:v>
                </c:pt>
                <c:pt idx="1332">
                  <c:v>8.7788172418557604</c:v>
                </c:pt>
                <c:pt idx="1333">
                  <c:v>8.782948659640148</c:v>
                </c:pt>
                <c:pt idx="1334">
                  <c:v>8.787078037257146</c:v>
                </c:pt>
                <c:pt idx="1335">
                  <c:v>8.7912053778635855</c:v>
                </c:pt>
                <c:pt idx="1336">
                  <c:v>8.7953306846078565</c:v>
                </c:pt>
                <c:pt idx="1337">
                  <c:v>8.7994539606299469</c:v>
                </c:pt>
                <c:pt idx="1338">
                  <c:v>8.8035752090614707</c:v>
                </c:pt>
                <c:pt idx="1339">
                  <c:v>8.807694433025695</c:v>
                </c:pt>
                <c:pt idx="1340">
                  <c:v>8.8118116356375786</c:v>
                </c:pt>
                <c:pt idx="1341">
                  <c:v>8.8159268200038081</c:v>
                </c:pt>
                <c:pt idx="1342">
                  <c:v>8.8200399892228134</c:v>
                </c:pt>
                <c:pt idx="1343">
                  <c:v>8.8241511463848106</c:v>
                </c:pt>
                <c:pt idx="1344">
                  <c:v>8.8282602945718427</c:v>
                </c:pt>
                <c:pt idx="1345">
                  <c:v>8.8323674368577851</c:v>
                </c:pt>
                <c:pt idx="1346">
                  <c:v>8.8364725763084024</c:v>
                </c:pt>
                <c:pt idx="1347">
                  <c:v>8.840575715981366</c:v>
                </c:pt>
                <c:pt idx="1348">
                  <c:v>8.844676858926281</c:v>
                </c:pt>
                <c:pt idx="1349">
                  <c:v>8.848776008184732</c:v>
                </c:pt>
                <c:pt idx="1350">
                  <c:v>8.852873166790296</c:v>
                </c:pt>
                <c:pt idx="1351">
                  <c:v>8.8569683377685902</c:v>
                </c:pt>
                <c:pt idx="1352">
                  <c:v>8.8610615241372841</c:v>
                </c:pt>
                <c:pt idx="1353">
                  <c:v>8.8651527289061445</c:v>
                </c:pt>
                <c:pt idx="1354">
                  <c:v>8.8692419550770545</c:v>
                </c:pt>
                <c:pt idx="1355">
                  <c:v>8.8733292056440511</c:v>
                </c:pt>
                <c:pt idx="1356">
                  <c:v>8.8774144835933555</c:v>
                </c:pt>
                <c:pt idx="1357">
                  <c:v>8.8814977919033886</c:v>
                </c:pt>
                <c:pt idx="1358">
                  <c:v>8.8855791335448178</c:v>
                </c:pt>
                <c:pt idx="1359">
                  <c:v>8.889658511480576</c:v>
                </c:pt>
                <c:pt idx="1360">
                  <c:v>8.8937359286658904</c:v>
                </c:pt>
                <c:pt idx="1361">
                  <c:v>8.8978113880483196</c:v>
                </c:pt>
                <c:pt idx="1362">
                  <c:v>8.9018848925677698</c:v>
                </c:pt>
                <c:pt idx="1363">
                  <c:v>8.9059564451565354</c:v>
                </c:pt>
                <c:pt idx="1364">
                  <c:v>8.9100260487393204</c:v>
                </c:pt>
                <c:pt idx="1365">
                  <c:v>8.9140937062332668</c:v>
                </c:pt>
                <c:pt idx="1366">
                  <c:v>8.9181594205479886</c:v>
                </c:pt>
                <c:pt idx="1367">
                  <c:v>8.9222231945855874</c:v>
                </c:pt>
                <c:pt idx="1368">
                  <c:v>8.9262850312406936</c:v>
                </c:pt>
                <c:pt idx="1369">
                  <c:v>8.9303449334004856</c:v>
                </c:pt>
                <c:pt idx="1370">
                  <c:v>8.9344029039447292</c:v>
                </c:pt>
                <c:pt idx="1371">
                  <c:v>8.9384589457457828</c:v>
                </c:pt>
                <c:pt idx="1372">
                  <c:v>8.9425130616686506</c:v>
                </c:pt>
                <c:pt idx="1373">
                  <c:v>8.9465652545709862</c:v>
                </c:pt>
                <c:pt idx="1374">
                  <c:v>8.9506155273031389</c:v>
                </c:pt>
                <c:pt idx="1375">
                  <c:v>8.9546638827081662</c:v>
                </c:pt>
                <c:pt idx="1376">
                  <c:v>8.9587103236218759</c:v>
                </c:pt>
                <c:pt idx="1377">
                  <c:v>8.9627548528728322</c:v>
                </c:pt>
                <c:pt idx="1378">
                  <c:v>8.9667974732824014</c:v>
                </c:pt>
                <c:pt idx="1379">
                  <c:v>8.9708381876647714</c:v>
                </c:pt>
                <c:pt idx="1380">
                  <c:v>8.9748769988269714</c:v>
                </c:pt>
                <c:pt idx="1381">
                  <c:v>8.9789139095689023</c:v>
                </c:pt>
                <c:pt idx="1382">
                  <c:v>8.9829489226833736</c:v>
                </c:pt>
                <c:pt idx="1383">
                  <c:v>8.9869820409561143</c:v>
                </c:pt>
                <c:pt idx="1384">
                  <c:v>8.9910132671658047</c:v>
                </c:pt>
                <c:pt idx="1385">
                  <c:v>8.9950426040840945</c:v>
                </c:pt>
                <c:pt idx="1386">
                  <c:v>8.9990700544756521</c:v>
                </c:pt>
                <c:pt idx="1387">
                  <c:v>9.0030956210981543</c:v>
                </c:pt>
                <c:pt idx="1388">
                  <c:v>9.007119306702343</c:v>
                </c:pt>
                <c:pt idx="1389">
                  <c:v>9.0111411140320339</c:v>
                </c:pt>
                <c:pt idx="1390">
                  <c:v>9.0151610458241471</c:v>
                </c:pt>
                <c:pt idx="1391">
                  <c:v>9.0191791048087246</c:v>
                </c:pt>
                <c:pt idx="1392">
                  <c:v>9.023195293708973</c:v>
                </c:pt>
                <c:pt idx="1393">
                  <c:v>9.0272096152412598</c:v>
                </c:pt>
                <c:pt idx="1394">
                  <c:v>9.0312220721151668</c:v>
                </c:pt>
                <c:pt idx="1395">
                  <c:v>9.0352326670334975</c:v>
                </c:pt>
                <c:pt idx="1396">
                  <c:v>9.0392414026923067</c:v>
                </c:pt>
                <c:pt idx="1397">
                  <c:v>9.0432482817809241</c:v>
                </c:pt>
                <c:pt idx="1398">
                  <c:v>9.0472533069819754</c:v>
                </c:pt>
                <c:pt idx="1399">
                  <c:v>9.051256480971416</c:v>
                </c:pt>
                <c:pt idx="1400">
                  <c:v>9.0552578064185383</c:v>
                </c:pt>
                <c:pt idx="1401">
                  <c:v>9.0592572859860123</c:v>
                </c:pt>
                <c:pt idx="1402">
                  <c:v>9.0632549223299019</c:v>
                </c:pt>
                <c:pt idx="1403">
                  <c:v>9.0672507180996824</c:v>
                </c:pt>
                <c:pt idx="1404">
                  <c:v>9.0712446759382814</c:v>
                </c:pt>
                <c:pt idx="1405">
                  <c:v>9.0752367984820772</c:v>
                </c:pt>
                <c:pt idx="1406">
                  <c:v>9.07922708836095</c:v>
                </c:pt>
                <c:pt idx="1407">
                  <c:v>9.083215548198277</c:v>
                </c:pt>
                <c:pt idx="1408">
                  <c:v>9.08720218061098</c:v>
                </c:pt>
                <c:pt idx="1409">
                  <c:v>9.0911869882095324</c:v>
                </c:pt>
                <c:pt idx="1410">
                  <c:v>9.095169973597983</c:v>
                </c:pt>
                <c:pt idx="1411">
                  <c:v>9.0991511393739959</c:v>
                </c:pt>
                <c:pt idx="1412">
                  <c:v>9.103130488128846</c:v>
                </c:pt>
                <c:pt idx="1413">
                  <c:v>9.1071080224474628</c:v>
                </c:pt>
                <c:pt idx="1414">
                  <c:v>9.1110837449084379</c:v>
                </c:pt>
                <c:pt idx="1415">
                  <c:v>9.1150576580840692</c:v>
                </c:pt>
                <c:pt idx="1416">
                  <c:v>9.119029764540354</c:v>
                </c:pt>
                <c:pt idx="1417">
                  <c:v>9.123000066837033</c:v>
                </c:pt>
                <c:pt idx="1418">
                  <c:v>9.1269685675276051</c:v>
                </c:pt>
                <c:pt idx="1419">
                  <c:v>9.1309352691593411</c:v>
                </c:pt>
                <c:pt idx="1420">
                  <c:v>9.1349001742733229</c:v>
                </c:pt>
                <c:pt idx="1421">
                  <c:v>9.1388632854044509</c:v>
                </c:pt>
                <c:pt idx="1422">
                  <c:v>9.1428246050814739</c:v>
                </c:pt>
                <c:pt idx="1423">
                  <c:v>9.146784135827005</c:v>
                </c:pt>
                <c:pt idx="1424">
                  <c:v>9.1507418801575398</c:v>
                </c:pt>
                <c:pt idx="1425">
                  <c:v>9.1546978405834913</c:v>
                </c:pt>
                <c:pt idx="1426">
                  <c:v>9.1586520196091961</c:v>
                </c:pt>
                <c:pt idx="1427">
                  <c:v>9.1626044197329506</c:v>
                </c:pt>
                <c:pt idx="1428">
                  <c:v>9.1665550434470084</c:v>
                </c:pt>
                <c:pt idx="1429">
                  <c:v>9.1705038932376333</c:v>
                </c:pt>
                <c:pt idx="1430">
                  <c:v>9.1744509715850882</c:v>
                </c:pt>
                <c:pt idx="1431">
                  <c:v>9.1783962809636819</c:v>
                </c:pt>
                <c:pt idx="1432">
                  <c:v>9.1823398238417688</c:v>
                </c:pt>
                <c:pt idx="1433">
                  <c:v>9.1862816026817882</c:v>
                </c:pt>
                <c:pt idx="1434">
                  <c:v>9.1902216199402673</c:v>
                </c:pt>
                <c:pt idx="1435">
                  <c:v>9.1941598780678557</c:v>
                </c:pt>
                <c:pt idx="1436">
                  <c:v>9.1980963795093338</c:v>
                </c:pt>
                <c:pt idx="1437">
                  <c:v>9.2020311267036412</c:v>
                </c:pt>
                <c:pt idx="1438">
                  <c:v>9.2059641220838984</c:v>
                </c:pt>
                <c:pt idx="1439">
                  <c:v>9.2098953680774152</c:v>
                </c:pt>
                <c:pt idx="1440">
                  <c:v>9.213824867105723</c:v>
                </c:pt>
                <c:pt idx="1441">
                  <c:v>9.2177526215845891</c:v>
                </c:pt>
                <c:pt idx="1442">
                  <c:v>9.2216786339240358</c:v>
                </c:pt>
                <c:pt idx="1443">
                  <c:v>9.2256029065283602</c:v>
                </c:pt>
                <c:pt idx="1444">
                  <c:v>9.2295254417961559</c:v>
                </c:pt>
                <c:pt idx="1445">
                  <c:v>9.2334462421203263</c:v>
                </c:pt>
                <c:pt idx="1446">
                  <c:v>9.2373653098881228</c:v>
                </c:pt>
                <c:pt idx="1447">
                  <c:v>9.2412826474811283</c:v>
                </c:pt>
                <c:pt idx="1448">
                  <c:v>9.2451982572753195</c:v>
                </c:pt>
                <c:pt idx="1449">
                  <c:v>9.2491121416410493</c:v>
                </c:pt>
                <c:pt idx="1450">
                  <c:v>9.2530243029430892</c:v>
                </c:pt>
                <c:pt idx="1451">
                  <c:v>9.2569347435406399</c:v>
                </c:pt>
                <c:pt idx="1452">
                  <c:v>9.2608434657873389</c:v>
                </c:pt>
                <c:pt idx="1453">
                  <c:v>9.2647504720313094</c:v>
                </c:pt>
                <c:pt idx="1454">
                  <c:v>9.2686557646151435</c:v>
                </c:pt>
                <c:pt idx="1455">
                  <c:v>9.2725593458759477</c:v>
                </c:pt>
                <c:pt idx="1456">
                  <c:v>9.2764612181453447</c:v>
                </c:pt>
                <c:pt idx="1457">
                  <c:v>9.2803613837495025</c:v>
                </c:pt>
                <c:pt idx="1458">
                  <c:v>9.2842598450091476</c:v>
                </c:pt>
                <c:pt idx="1459">
                  <c:v>9.2881566042395853</c:v>
                </c:pt>
                <c:pt idx="1460">
                  <c:v>9.292051663750712</c:v>
                </c:pt>
                <c:pt idx="1461">
                  <c:v>9.2959450258470415</c:v>
                </c:pt>
                <c:pt idx="1462">
                  <c:v>9.2998366928277179</c:v>
                </c:pt>
                <c:pt idx="1463">
                  <c:v>9.3037266669865417</c:v>
                </c:pt>
                <c:pt idx="1464">
                  <c:v>9.3076149506119705</c:v>
                </c:pt>
                <c:pt idx="1465">
                  <c:v>9.3115015459871557</c:v>
                </c:pt>
                <c:pt idx="1466">
                  <c:v>9.3153864553899499</c:v>
                </c:pt>
                <c:pt idx="1467">
                  <c:v>9.3192696810929228</c:v>
                </c:pt>
                <c:pt idx="1468">
                  <c:v>9.3231512253633841</c:v>
                </c:pt>
                <c:pt idx="1469">
                  <c:v>9.3270310904634037</c:v>
                </c:pt>
                <c:pt idx="1470">
                  <c:v>9.3309092786498198</c:v>
                </c:pt>
                <c:pt idx="1471">
                  <c:v>9.3347857921742659</c:v>
                </c:pt>
                <c:pt idx="1472">
                  <c:v>9.3386606332831761</c:v>
                </c:pt>
                <c:pt idx="1473">
                  <c:v>9.3425338042178172</c:v>
                </c:pt>
                <c:pt idx="1474">
                  <c:v>9.3464053072142939</c:v>
                </c:pt>
                <c:pt idx="1475">
                  <c:v>9.3502751445035699</c:v>
                </c:pt>
                <c:pt idx="1476">
                  <c:v>9.3541433183114879</c:v>
                </c:pt>
                <c:pt idx="1477">
                  <c:v>9.3580098308587765</c:v>
                </c:pt>
                <c:pt idx="1478">
                  <c:v>9.3618746843610872</c:v>
                </c:pt>
                <c:pt idx="1479">
                  <c:v>9.3657378810289842</c:v>
                </c:pt>
                <c:pt idx="1480">
                  <c:v>9.3695994230679815</c:v>
                </c:pt>
                <c:pt idx="1481">
                  <c:v>9.3734593126785519</c:v>
                </c:pt>
                <c:pt idx="1482">
                  <c:v>9.3773175520561445</c:v>
                </c:pt>
                <c:pt idx="1483">
                  <c:v>9.381174143391199</c:v>
                </c:pt>
                <c:pt idx="1484">
                  <c:v>9.3850290888691728</c:v>
                </c:pt>
                <c:pt idx="1485">
                  <c:v>9.3888823906705348</c:v>
                </c:pt>
                <c:pt idx="1486">
                  <c:v>9.3927340509708053</c:v>
                </c:pt>
                <c:pt idx="1487">
                  <c:v>9.3965840719405591</c:v>
                </c:pt>
                <c:pt idx="1488">
                  <c:v>9.4004324557454488</c:v>
                </c:pt>
                <c:pt idx="1489">
                  <c:v>9.4042792045462065</c:v>
                </c:pt>
                <c:pt idx="1490">
                  <c:v>9.4081243204986862</c:v>
                </c:pt>
                <c:pt idx="1491">
                  <c:v>9.4119678057538465</c:v>
                </c:pt>
                <c:pt idx="1492">
                  <c:v>9.4158096624577983</c:v>
                </c:pt>
                <c:pt idx="1493">
                  <c:v>9.4196498927517975</c:v>
                </c:pt>
                <c:pt idx="1494">
                  <c:v>9.4234884987722651</c:v>
                </c:pt>
                <c:pt idx="1495">
                  <c:v>9.4273254826508222</c:v>
                </c:pt>
                <c:pt idx="1496">
                  <c:v>9.4311608465142704</c:v>
                </c:pt>
                <c:pt idx="1497">
                  <c:v>9.4349945924846459</c:v>
                </c:pt>
                <c:pt idx="1498">
                  <c:v>9.4388267226791989</c:v>
                </c:pt>
                <c:pt idx="1499">
                  <c:v>9.4426572392104422</c:v>
                </c:pt>
                <c:pt idx="1500">
                  <c:v>9.4464861441861352</c:v>
                </c:pt>
                <c:pt idx="1501">
                  <c:v>9.4503134397093298</c:v>
                </c:pt>
                <c:pt idx="1502">
                  <c:v>9.4541391278783511</c:v>
                </c:pt>
                <c:pt idx="1503">
                  <c:v>9.4579632107868488</c:v>
                </c:pt>
                <c:pt idx="1504">
                  <c:v>9.4617856905237865</c:v>
                </c:pt>
                <c:pt idx="1505">
                  <c:v>9.4656065691734703</c:v>
                </c:pt>
                <c:pt idx="1506">
                  <c:v>9.4694258488155505</c:v>
                </c:pt>
                <c:pt idx="1507">
                  <c:v>9.4732435315250481</c:v>
                </c:pt>
                <c:pt idx="1508">
                  <c:v>9.4770596193723726</c:v>
                </c:pt>
                <c:pt idx="1509">
                  <c:v>9.4808741144233188</c:v>
                </c:pt>
                <c:pt idx="1510">
                  <c:v>9.4846870187390984</c:v>
                </c:pt>
                <c:pt idx="1511">
                  <c:v>9.488498334376354</c:v>
                </c:pt>
                <c:pt idx="1512">
                  <c:v>9.4923080633871599</c:v>
                </c:pt>
                <c:pt idx="1513">
                  <c:v>9.4961162078190462</c:v>
                </c:pt>
                <c:pt idx="1514">
                  <c:v>9.4999227697150204</c:v>
                </c:pt>
                <c:pt idx="1515">
                  <c:v>9.5037277511135638</c:v>
                </c:pt>
                <c:pt idx="1516">
                  <c:v>9.507531154048662</c:v>
                </c:pt>
                <c:pt idx="1517">
                  <c:v>9.5113329805498097</c:v>
                </c:pt>
                <c:pt idx="1518">
                  <c:v>9.5151332326420288</c:v>
                </c:pt>
                <c:pt idx="1519">
                  <c:v>9.5189319123458844</c:v>
                </c:pt>
                <c:pt idx="1520">
                  <c:v>9.5227290216774918</c:v>
                </c:pt>
                <c:pt idx="1521">
                  <c:v>9.526524562648536</c:v>
                </c:pt>
                <c:pt idx="1522">
                  <c:v>9.5303185372662877</c:v>
                </c:pt>
                <c:pt idx="1523">
                  <c:v>9.534110947533609</c:v>
                </c:pt>
                <c:pt idx="1524">
                  <c:v>9.5379017954489811</c:v>
                </c:pt>
                <c:pt idx="1525">
                  <c:v>9.5416910830064943</c:v>
                </c:pt>
                <c:pt idx="1526">
                  <c:v>9.5454788121958956</c:v>
                </c:pt>
                <c:pt idx="1527">
                  <c:v>9.5492649850025657</c:v>
                </c:pt>
                <c:pt idx="1528">
                  <c:v>9.5530496034075618</c:v>
                </c:pt>
                <c:pt idx="1529">
                  <c:v>9.5568326693876138</c:v>
                </c:pt>
                <c:pt idx="1530">
                  <c:v>9.5606141849151491</c:v>
                </c:pt>
                <c:pt idx="1531">
                  <c:v>9.5643941519582967</c:v>
                </c:pt>
                <c:pt idx="1532">
                  <c:v>9.5681725724809059</c:v>
                </c:pt>
                <c:pt idx="1533">
                  <c:v>9.571949448442556</c:v>
                </c:pt>
                <c:pt idx="1534">
                  <c:v>9.5757247817985771</c:v>
                </c:pt>
                <c:pt idx="1535">
                  <c:v>9.5794985745000503</c:v>
                </c:pt>
                <c:pt idx="1536">
                  <c:v>9.5832708284938395</c:v>
                </c:pt>
                <c:pt idx="1537">
                  <c:v>9.5870415457225828</c:v>
                </c:pt>
                <c:pt idx="1538">
                  <c:v>9.5908107281247226</c:v>
                </c:pt>
                <c:pt idx="1539">
                  <c:v>9.5945783776345088</c:v>
                </c:pt>
                <c:pt idx="1540">
                  <c:v>9.5983444961820226</c:v>
                </c:pt>
                <c:pt idx="1541">
                  <c:v>9.6021090856931757</c:v>
                </c:pt>
                <c:pt idx="1542">
                  <c:v>9.6058721480897304</c:v>
                </c:pt>
                <c:pt idx="1543">
                  <c:v>9.6096336852893121</c:v>
                </c:pt>
                <c:pt idx="1544">
                  <c:v>9.6133936992054227</c:v>
                </c:pt>
                <c:pt idx="1545">
                  <c:v>9.6171521917474525</c:v>
                </c:pt>
                <c:pt idx="1546">
                  <c:v>9.6209091648206932</c:v>
                </c:pt>
                <c:pt idx="1547">
                  <c:v>9.6246646203263495</c:v>
                </c:pt>
                <c:pt idx="1548">
                  <c:v>9.6284185601615473</c:v>
                </c:pt>
                <c:pt idx="1549">
                  <c:v>9.6321709862193607</c:v>
                </c:pt>
                <c:pt idx="1550">
                  <c:v>9.6359219003888015</c:v>
                </c:pt>
                <c:pt idx="1551">
                  <c:v>9.6396713045548594</c:v>
                </c:pt>
                <c:pt idx="1552">
                  <c:v>9.6434192005984922</c:v>
                </c:pt>
                <c:pt idx="1553">
                  <c:v>9.6471655903966447</c:v>
                </c:pt>
                <c:pt idx="1554">
                  <c:v>9.6509104758222648</c:v>
                </c:pt>
                <c:pt idx="1555">
                  <c:v>9.6546538587443056</c:v>
                </c:pt>
                <c:pt idx="1556">
                  <c:v>9.6583957410277606</c:v>
                </c:pt>
                <c:pt idx="1557">
                  <c:v>9.6621361245336388</c:v>
                </c:pt>
                <c:pt idx="1558">
                  <c:v>9.6658750111190237</c:v>
                </c:pt>
                <c:pt idx="1559">
                  <c:v>9.669612402637032</c:v>
                </c:pt>
                <c:pt idx="1560">
                  <c:v>9.6733483009368744</c:v>
                </c:pt>
                <c:pt idx="1561">
                  <c:v>9.6770827078638337</c:v>
                </c:pt>
                <c:pt idx="1562">
                  <c:v>9.6808156252592941</c:v>
                </c:pt>
                <c:pt idx="1563">
                  <c:v>9.6845470549607526</c:v>
                </c:pt>
                <c:pt idx="1564">
                  <c:v>9.6882769988018111</c:v>
                </c:pt>
                <c:pt idx="1565">
                  <c:v>9.6920054586122237</c:v>
                </c:pt>
                <c:pt idx="1566">
                  <c:v>9.6957324362178738</c:v>
                </c:pt>
                <c:pt idx="1567">
                  <c:v>9.6994579334408044</c:v>
                </c:pt>
                <c:pt idx="1568">
                  <c:v>9.7031819520992215</c:v>
                </c:pt>
                <c:pt idx="1569">
                  <c:v>9.7069044940075173</c:v>
                </c:pt>
                <c:pt idx="1570">
                  <c:v>9.7106255609762648</c:v>
                </c:pt>
                <c:pt idx="1571">
                  <c:v>9.7143451548122464</c:v>
                </c:pt>
                <c:pt idx="1572">
                  <c:v>9.7180632773184517</c:v>
                </c:pt>
                <c:pt idx="1573">
                  <c:v>9.7217799302940939</c:v>
                </c:pt>
                <c:pt idx="1574">
                  <c:v>9.7254951155346241</c:v>
                </c:pt>
                <c:pt idx="1575">
                  <c:v>9.7292088348317414</c:v>
                </c:pt>
                <c:pt idx="1576">
                  <c:v>9.7329210899733951</c:v>
                </c:pt>
                <c:pt idx="1577">
                  <c:v>9.7366318827438132</c:v>
                </c:pt>
                <c:pt idx="1578">
                  <c:v>9.7403412149234985</c:v>
                </c:pt>
                <c:pt idx="1579">
                  <c:v>9.7440490882892448</c:v>
                </c:pt>
                <c:pt idx="1580">
                  <c:v>9.7477555046141475</c:v>
                </c:pt>
                <c:pt idx="1581">
                  <c:v>9.7514604656676198</c:v>
                </c:pt>
                <c:pt idx="1582">
                  <c:v>9.7551639732153959</c:v>
                </c:pt>
                <c:pt idx="1583">
                  <c:v>9.7588660290195435</c:v>
                </c:pt>
                <c:pt idx="1584">
                  <c:v>9.7625666348384783</c:v>
                </c:pt>
                <c:pt idx="1585">
                  <c:v>9.7662657924269745</c:v>
                </c:pt>
                <c:pt idx="1586">
                  <c:v>9.7699635035361716</c:v>
                </c:pt>
                <c:pt idx="1587">
                  <c:v>9.7736597699135856</c:v>
                </c:pt>
                <c:pt idx="1588">
                  <c:v>9.7773545933031301</c:v>
                </c:pt>
                <c:pt idx="1589">
                  <c:v>9.7810479754451087</c:v>
                </c:pt>
                <c:pt idx="1590">
                  <c:v>9.7847399180762373</c:v>
                </c:pt>
                <c:pt idx="1591">
                  <c:v>9.7884304229296575</c:v>
                </c:pt>
                <c:pt idx="1592">
                  <c:v>9.7921194917349403</c:v>
                </c:pt>
                <c:pt idx="1593">
                  <c:v>9.7958071262180972</c:v>
                </c:pt>
                <c:pt idx="1594">
                  <c:v>9.7994933281015939</c:v>
                </c:pt>
                <c:pt idx="1595">
                  <c:v>9.8031780991043576</c:v>
                </c:pt>
                <c:pt idx="1596">
                  <c:v>9.8068614409417911</c:v>
                </c:pt>
                <c:pt idx="1597">
                  <c:v>9.8105433553257804</c:v>
                </c:pt>
                <c:pt idx="1598">
                  <c:v>9.8142238439646992</c:v>
                </c:pt>
                <c:pt idx="1599">
                  <c:v>9.8179029085634397</c:v>
                </c:pt>
                <c:pt idx="1600">
                  <c:v>9.8215805508233913</c:v>
                </c:pt>
                <c:pt idx="1601">
                  <c:v>9.8252567724424864</c:v>
                </c:pt>
                <c:pt idx="1602">
                  <c:v>9.828931575115174</c:v>
                </c:pt>
                <c:pt idx="1603">
                  <c:v>9.8326049605324606</c:v>
                </c:pt>
                <c:pt idx="1604">
                  <c:v>9.8362769303818993</c:v>
                </c:pt>
                <c:pt idx="1605">
                  <c:v>9.8399474863476222</c:v>
                </c:pt>
                <c:pt idx="1606">
                  <c:v>9.8436166301103221</c:v>
                </c:pt>
                <c:pt idx="1607">
                  <c:v>9.847284363347276</c:v>
                </c:pt>
                <c:pt idx="1608">
                  <c:v>9.8509506877323716</c:v>
                </c:pt>
                <c:pt idx="1609">
                  <c:v>9.854615604936086</c:v>
                </c:pt>
                <c:pt idx="1610">
                  <c:v>9.8582791166255177</c:v>
                </c:pt>
                <c:pt idx="1611">
                  <c:v>9.8619412244643883</c:v>
                </c:pt>
                <c:pt idx="1612">
                  <c:v>9.8656019301130549</c:v>
                </c:pt>
                <c:pt idx="1613">
                  <c:v>9.8692612352285174</c:v>
                </c:pt>
                <c:pt idx="1614">
                  <c:v>9.8729191414644291</c:v>
                </c:pt>
                <c:pt idx="1615">
                  <c:v>9.8765756504711071</c:v>
                </c:pt>
                <c:pt idx="1616">
                  <c:v>9.8802307638955416</c:v>
                </c:pt>
                <c:pt idx="1617">
                  <c:v>9.8838844833814079</c:v>
                </c:pt>
                <c:pt idx="1618">
                  <c:v>9.8875368105690669</c:v>
                </c:pt>
                <c:pt idx="1619">
                  <c:v>9.8911877470955893</c:v>
                </c:pt>
                <c:pt idx="1620">
                  <c:v>9.8948372945947476</c:v>
                </c:pt>
                <c:pt idx="1621">
                  <c:v>9.8984854546970453</c:v>
                </c:pt>
                <c:pt idx="1622">
                  <c:v>9.9021322290297107</c:v>
                </c:pt>
                <c:pt idx="1623">
                  <c:v>9.9057776192167051</c:v>
                </c:pt>
                <c:pt idx="1624">
                  <c:v>9.9094216268787534</c:v>
                </c:pt>
                <c:pt idx="1625">
                  <c:v>9.9130642536333227</c:v>
                </c:pt>
                <c:pt idx="1626">
                  <c:v>9.9167055010946576</c:v>
                </c:pt>
                <c:pt idx="1627">
                  <c:v>9.9203453708737754</c:v>
                </c:pt>
                <c:pt idx="1628">
                  <c:v>9.923983864578485</c:v>
                </c:pt>
                <c:pt idx="1629">
                  <c:v>9.9276209838133802</c:v>
                </c:pt>
                <c:pt idx="1630">
                  <c:v>9.9312567301798644</c:v>
                </c:pt>
                <c:pt idx="1631">
                  <c:v>9.9348911052761526</c:v>
                </c:pt>
                <c:pt idx="1632">
                  <c:v>9.9385241106972835</c:v>
                </c:pt>
                <c:pt idx="1633">
                  <c:v>9.9421557480351286</c:v>
                </c:pt>
                <c:pt idx="1634">
                  <c:v>9.9457860188783922</c:v>
                </c:pt>
                <c:pt idx="1635">
                  <c:v>9.9494149248126398</c:v>
                </c:pt>
                <c:pt idx="1636">
                  <c:v>9.9530424674202802</c:v>
                </c:pt>
                <c:pt idx="1637">
                  <c:v>9.9566686482806048</c:v>
                </c:pt>
                <c:pt idx="1638">
                  <c:v>9.9602934689697662</c:v>
                </c:pt>
                <c:pt idx="1639">
                  <c:v>9.9639169310608136</c:v>
                </c:pt>
                <c:pt idx="1640">
                  <c:v>9.9675390361236822</c:v>
                </c:pt>
                <c:pt idx="1641">
                  <c:v>9.9711597857252094</c:v>
                </c:pt>
                <c:pt idx="1642">
                  <c:v>9.9747791814291524</c:v>
                </c:pt>
                <c:pt idx="1643">
                  <c:v>9.9783972247961792</c:v>
                </c:pt>
                <c:pt idx="1644">
                  <c:v>9.9820139173838847</c:v>
                </c:pt>
                <c:pt idx="1645">
                  <c:v>9.9856292607468085</c:v>
                </c:pt>
                <c:pt idx="1646">
                  <c:v>9.9892432564364313</c:v>
                </c:pt>
                <c:pt idx="1647">
                  <c:v>9.992855906001191</c:v>
                </c:pt>
                <c:pt idx="1648">
                  <c:v>9.9964672109864807</c:v>
                </c:pt>
                <c:pt idx="1649">
                  <c:v>10.000077172934677</c:v>
                </c:pt>
                <c:pt idx="1650">
                  <c:v>10.003685793385122</c:v>
                </c:pt>
                <c:pt idx="1651">
                  <c:v>10.007293073874157</c:v>
                </c:pt>
                <c:pt idx="1652">
                  <c:v>10.010899015935115</c:v>
                </c:pt>
                <c:pt idx="1653">
                  <c:v>10.014503621098335</c:v>
                </c:pt>
                <c:pt idx="1654">
                  <c:v>10.018106890891168</c:v>
                </c:pt>
                <c:pt idx="1655">
                  <c:v>10.021708826837992</c:v>
                </c:pt>
                <c:pt idx="1656">
                  <c:v>10.025309430460208</c:v>
                </c:pt>
                <c:pt idx="1657">
                  <c:v>10.028908703276256</c:v>
                </c:pt>
                <c:pt idx="1658">
                  <c:v>10.032506646801629</c:v>
                </c:pt>
                <c:pt idx="1659">
                  <c:v>10.036103262548867</c:v>
                </c:pt>
                <c:pt idx="1660">
                  <c:v>10.039698552027573</c:v>
                </c:pt>
                <c:pt idx="1661">
                  <c:v>10.04329251674443</c:v>
                </c:pt>
                <c:pt idx="1662">
                  <c:v>10.046885158203194</c:v>
                </c:pt>
                <c:pt idx="1663">
                  <c:v>10.050476477904706</c:v>
                </c:pt>
                <c:pt idx="1664">
                  <c:v>10.0540664773469</c:v>
                </c:pt>
                <c:pt idx="1665">
                  <c:v>10.057655158024822</c:v>
                </c:pt>
                <c:pt idx="1666">
                  <c:v>10.061242521430627</c:v>
                </c:pt>
                <c:pt idx="1667">
                  <c:v>10.064828569053585</c:v>
                </c:pt>
                <c:pt idx="1668">
                  <c:v>10.068413302380092</c:v>
                </c:pt>
                <c:pt idx="1669">
                  <c:v>10.071996722893688</c:v>
                </c:pt>
                <c:pt idx="1670">
                  <c:v>10.075578832075045</c:v>
                </c:pt>
                <c:pt idx="1671">
                  <c:v>10.079159631401998</c:v>
                </c:pt>
                <c:pt idx="1672">
                  <c:v>10.08273912234953</c:v>
                </c:pt>
                <c:pt idx="1673">
                  <c:v>10.086317306389791</c:v>
                </c:pt>
                <c:pt idx="1674">
                  <c:v>10.089894184992115</c:v>
                </c:pt>
                <c:pt idx="1675">
                  <c:v>10.093469759623005</c:v>
                </c:pt>
                <c:pt idx="1676">
                  <c:v>10.097044031746165</c:v>
                </c:pt>
                <c:pt idx="1677">
                  <c:v>10.10061700282249</c:v>
                </c:pt>
                <c:pt idx="1678">
                  <c:v>10.104188674310084</c:v>
                </c:pt>
                <c:pt idx="1679">
                  <c:v>10.107759047664256</c:v>
                </c:pt>
                <c:pt idx="1680">
                  <c:v>10.111328124337549</c:v>
                </c:pt>
                <c:pt idx="1681">
                  <c:v>10.114895905779717</c:v>
                </c:pt>
                <c:pt idx="1682">
                  <c:v>10.118462393437763</c:v>
                </c:pt>
                <c:pt idx="1683">
                  <c:v>10.122027588755925</c:v>
                </c:pt>
                <c:pt idx="1684">
                  <c:v>10.125591493175696</c:v>
                </c:pt>
                <c:pt idx="1685">
                  <c:v>10.129154108135825</c:v>
                </c:pt>
                <c:pt idx="1686">
                  <c:v>10.132715435072328</c:v>
                </c:pt>
                <c:pt idx="1687">
                  <c:v>10.136275475418492</c:v>
                </c:pt>
                <c:pt idx="1688">
                  <c:v>10.139834230604883</c:v>
                </c:pt>
                <c:pt idx="1689">
                  <c:v>10.143391702059358</c:v>
                </c:pt>
                <c:pt idx="1690">
                  <c:v>10.146947891207065</c:v>
                </c:pt>
                <c:pt idx="1691">
                  <c:v>10.150502799470456</c:v>
                </c:pt>
                <c:pt idx="1692">
                  <c:v>10.154056428269296</c:v>
                </c:pt>
                <c:pt idx="1693">
                  <c:v>10.157608779020659</c:v>
                </c:pt>
                <c:pt idx="1694">
                  <c:v>10.161159853138958</c:v>
                </c:pt>
                <c:pt idx="1695">
                  <c:v>10.164709652035912</c:v>
                </c:pt>
                <c:pt idx="1696">
                  <c:v>10.168258177120604</c:v>
                </c:pt>
                <c:pt idx="1697">
                  <c:v>10.171805429799448</c:v>
                </c:pt>
                <c:pt idx="1698">
                  <c:v>10.175351411476214</c:v>
                </c:pt>
                <c:pt idx="1699">
                  <c:v>10.178896123552033</c:v>
                </c:pt>
                <c:pt idx="1700">
                  <c:v>10.182439567425401</c:v>
                </c:pt>
                <c:pt idx="1701">
                  <c:v>10.185981744492192</c:v>
                </c:pt>
                <c:pt idx="1702">
                  <c:v>10.189522656145657</c:v>
                </c:pt>
                <c:pt idx="1703">
                  <c:v>10.193062303776436</c:v>
                </c:pt>
                <c:pt idx="1704">
                  <c:v>10.196600688772563</c:v>
                </c:pt>
                <c:pt idx="1705">
                  <c:v>10.200137812519475</c:v>
                </c:pt>
                <c:pt idx="1706">
                  <c:v>10.203673676400022</c:v>
                </c:pt>
                <c:pt idx="1707">
                  <c:v>10.207208281794461</c:v>
                </c:pt>
                <c:pt idx="1708">
                  <c:v>10.210741630080477</c:v>
                </c:pt>
                <c:pt idx="1709">
                  <c:v>10.214273722633189</c:v>
                </c:pt>
                <c:pt idx="1710">
                  <c:v>10.217804560825144</c:v>
                </c:pt>
                <c:pt idx="1711">
                  <c:v>10.221334146026333</c:v>
                </c:pt>
                <c:pt idx="1712">
                  <c:v>10.224862479604207</c:v>
                </c:pt>
                <c:pt idx="1713">
                  <c:v>10.228389562923663</c:v>
                </c:pt>
                <c:pt idx="1714">
                  <c:v>10.231915397347063</c:v>
                </c:pt>
                <c:pt idx="1715">
                  <c:v>10.235439984234244</c:v>
                </c:pt>
                <c:pt idx="1716">
                  <c:v>10.238963324942517</c:v>
                </c:pt>
                <c:pt idx="1717">
                  <c:v>10.242485420826682</c:v>
                </c:pt>
                <c:pt idx="1718">
                  <c:v>10.246006273239015</c:v>
                </c:pt>
                <c:pt idx="1719">
                  <c:v>10.249525883529305</c:v>
                </c:pt>
                <c:pt idx="1720">
                  <c:v>10.253044253044834</c:v>
                </c:pt>
                <c:pt idx="1721">
                  <c:v>10.256561383130407</c:v>
                </c:pt>
                <c:pt idx="1722">
                  <c:v>10.260077275128328</c:v>
                </c:pt>
                <c:pt idx="1723">
                  <c:v>10.263591930378432</c:v>
                </c:pt>
                <c:pt idx="1724">
                  <c:v>10.267105350218094</c:v>
                </c:pt>
                <c:pt idx="1725">
                  <c:v>10.270617535982209</c:v>
                </c:pt>
                <c:pt idx="1726">
                  <c:v>10.274128489003225</c:v>
                </c:pt>
                <c:pt idx="1727">
                  <c:v>10.277638210611137</c:v>
                </c:pt>
                <c:pt idx="1728">
                  <c:v>10.281146702133492</c:v>
                </c:pt>
                <c:pt idx="1729">
                  <c:v>10.284653964895403</c:v>
                </c:pt>
                <c:pt idx="1730">
                  <c:v>10.288160000219552</c:v>
                </c:pt>
                <c:pt idx="1731">
                  <c:v>10.291664809426193</c:v>
                </c:pt>
                <c:pt idx="1732">
                  <c:v>10.29516839383316</c:v>
                </c:pt>
                <c:pt idx="1733">
                  <c:v>10.298670754755882</c:v>
                </c:pt>
                <c:pt idx="1734">
                  <c:v>10.302171893507369</c:v>
                </c:pt>
                <c:pt idx="1735">
                  <c:v>10.305671811398248</c:v>
                </c:pt>
                <c:pt idx="1736">
                  <c:v>10.309170509736735</c:v>
                </c:pt>
                <c:pt idx="1737">
                  <c:v>10.312667989828668</c:v>
                </c:pt>
                <c:pt idx="1738">
                  <c:v>10.316164252977508</c:v>
                </c:pt>
                <c:pt idx="1739">
                  <c:v>10.319659300484325</c:v>
                </c:pt>
                <c:pt idx="1740">
                  <c:v>10.323153133647839</c:v>
                </c:pt>
                <c:pt idx="1741">
                  <c:v>10.326645753764391</c:v>
                </c:pt>
                <c:pt idx="1742">
                  <c:v>10.330137162127979</c:v>
                </c:pt>
                <c:pt idx="1743">
                  <c:v>10.333627360030242</c:v>
                </c:pt>
                <c:pt idx="1744">
                  <c:v>10.337116348760478</c:v>
                </c:pt>
                <c:pt idx="1745">
                  <c:v>10.340604129605643</c:v>
                </c:pt>
                <c:pt idx="1746">
                  <c:v>10.344090703850366</c:v>
                </c:pt>
                <c:pt idx="1747">
                  <c:v>10.347576072776945</c:v>
                </c:pt>
                <c:pt idx="1748">
                  <c:v>10.351060237665358</c:v>
                </c:pt>
                <c:pt idx="1749">
                  <c:v>10.354543199793277</c:v>
                </c:pt>
                <c:pt idx="1750">
                  <c:v>10.358024960436051</c:v>
                </c:pt>
                <c:pt idx="1751">
                  <c:v>10.361505520866739</c:v>
                </c:pt>
                <c:pt idx="1752">
                  <c:v>10.364984882356101</c:v>
                </c:pt>
                <c:pt idx="1753">
                  <c:v>10.368463046172604</c:v>
                </c:pt>
                <c:pt idx="1754">
                  <c:v>10.371940013582428</c:v>
                </c:pt>
                <c:pt idx="1755">
                  <c:v>10.37541578584948</c:v>
                </c:pt>
                <c:pt idx="1756">
                  <c:v>10.378890364235392</c:v>
                </c:pt>
                <c:pt idx="1757">
                  <c:v>10.382363749999525</c:v>
                </c:pt>
                <c:pt idx="1758">
                  <c:v>10.385835944398988</c:v>
                </c:pt>
                <c:pt idx="1759">
                  <c:v>10.38930694868862</c:v>
                </c:pt>
                <c:pt idx="1760">
                  <c:v>10.392776764121029</c:v>
                </c:pt>
                <c:pt idx="1761">
                  <c:v>10.396245391946561</c:v>
                </c:pt>
                <c:pt idx="1762">
                  <c:v>10.399712833413336</c:v>
                </c:pt>
                <c:pt idx="1763">
                  <c:v>10.403179089767235</c:v>
                </c:pt>
                <c:pt idx="1764">
                  <c:v>10.406644162251915</c:v>
                </c:pt>
                <c:pt idx="1765">
                  <c:v>10.410108052108811</c:v>
                </c:pt>
                <c:pt idx="1766">
                  <c:v>10.413570760577141</c:v>
                </c:pt>
                <c:pt idx="1767">
                  <c:v>10.417032288893918</c:v>
                </c:pt>
                <c:pt idx="1768">
                  <c:v>10.420492638293942</c:v>
                </c:pt>
                <c:pt idx="1769">
                  <c:v>10.423951810009827</c:v>
                </c:pt>
                <c:pt idx="1770">
                  <c:v>10.427409805271981</c:v>
                </c:pt>
                <c:pt idx="1771">
                  <c:v>10.430866625308632</c:v>
                </c:pt>
                <c:pt idx="1772">
                  <c:v>10.434322271345826</c:v>
                </c:pt>
                <c:pt idx="1773">
                  <c:v>10.437776744607426</c:v>
                </c:pt>
                <c:pt idx="1774">
                  <c:v>10.441230046315134</c:v>
                </c:pt>
                <c:pt idx="1775">
                  <c:v>10.444682177688478</c:v>
                </c:pt>
                <c:pt idx="1776">
                  <c:v>10.448133139944829</c:v>
                </c:pt>
                <c:pt idx="1777">
                  <c:v>10.451582934299406</c:v>
                </c:pt>
                <c:pt idx="1778">
                  <c:v>10.455031561965278</c:v>
                </c:pt>
                <c:pt idx="1779">
                  <c:v>10.458479024153366</c:v>
                </c:pt>
                <c:pt idx="1780">
                  <c:v>10.461925322072455</c:v>
                </c:pt>
                <c:pt idx="1781">
                  <c:v>10.4653704569292</c:v>
                </c:pt>
                <c:pt idx="1782">
                  <c:v>10.468814429928123</c:v>
                </c:pt>
                <c:pt idx="1783">
                  <c:v>10.472257242271633</c:v>
                </c:pt>
                <c:pt idx="1784">
                  <c:v>10.475698895160011</c:v>
                </c:pt>
                <c:pt idx="1785">
                  <c:v>10.479139389791435</c:v>
                </c:pt>
                <c:pt idx="1786">
                  <c:v>10.482578727361972</c:v>
                </c:pt>
                <c:pt idx="1787">
                  <c:v>10.48601690906559</c:v>
                </c:pt>
                <c:pt idx="1788">
                  <c:v>10.489453936094158</c:v>
                </c:pt>
                <c:pt idx="1789">
                  <c:v>10.492889809637461</c:v>
                </c:pt>
                <c:pt idx="1790">
                  <c:v>10.496324530883193</c:v>
                </c:pt>
                <c:pt idx="1791">
                  <c:v>10.499758101016969</c:v>
                </c:pt>
                <c:pt idx="1792">
                  <c:v>10.503190521222331</c:v>
                </c:pt>
                <c:pt idx="1793">
                  <c:v>10.50662179268075</c:v>
                </c:pt>
                <c:pt idx="1794">
                  <c:v>10.510051916571637</c:v>
                </c:pt>
                <c:pt idx="1795">
                  <c:v>10.513480894072334</c:v>
                </c:pt>
                <c:pt idx="1796">
                  <c:v>10.516908726358135</c:v>
                </c:pt>
                <c:pt idx="1797">
                  <c:v>10.520335414602286</c:v>
                </c:pt>
                <c:pt idx="1798">
                  <c:v>10.523760959975988</c:v>
                </c:pt>
                <c:pt idx="1799">
                  <c:v>10.527185363648396</c:v>
                </c:pt>
                <c:pt idx="1800">
                  <c:v>10.530608626786641</c:v>
                </c:pt>
                <c:pt idx="1801">
                  <c:v>10.534030750555825</c:v>
                </c:pt>
                <c:pt idx="1802">
                  <c:v>10.537451736119017</c:v>
                </c:pt>
                <c:pt idx="1803">
                  <c:v>10.540871584637273</c:v>
                </c:pt>
                <c:pt idx="1804">
                  <c:v>10.544290297269635</c:v>
                </c:pt>
                <c:pt idx="1805">
                  <c:v>10.547707875173138</c:v>
                </c:pt>
                <c:pt idx="1806">
                  <c:v>10.551124319502806</c:v>
                </c:pt>
                <c:pt idx="1807">
                  <c:v>10.554539631411672</c:v>
                </c:pt>
                <c:pt idx="1808">
                  <c:v>10.557953812050773</c:v>
                </c:pt>
                <c:pt idx="1809">
                  <c:v>10.561366862569148</c:v>
                </c:pt>
                <c:pt idx="1810">
                  <c:v>10.564778784113869</c:v>
                </c:pt>
                <c:pt idx="1811">
                  <c:v>10.568189577830012</c:v>
                </c:pt>
                <c:pt idx="1812">
                  <c:v>10.571599244860693</c:v>
                </c:pt>
                <c:pt idx="1813">
                  <c:v>10.575007786347042</c:v>
                </c:pt>
                <c:pt idx="1814">
                  <c:v>10.578415203428236</c:v>
                </c:pt>
                <c:pt idx="1815">
                  <c:v>10.58182149724149</c:v>
                </c:pt>
                <c:pt idx="1816">
                  <c:v>10.585226668922061</c:v>
                </c:pt>
                <c:pt idx="1817">
                  <c:v>10.588630719603261</c:v>
                </c:pt>
                <c:pt idx="1818">
                  <c:v>10.592033650416447</c:v>
                </c:pt>
                <c:pt idx="1819">
                  <c:v>10.595435462491043</c:v>
                </c:pt>
                <c:pt idx="1820">
                  <c:v>10.598836156954537</c:v>
                </c:pt>
                <c:pt idx="1821">
                  <c:v>10.602235734932481</c:v>
                </c:pt>
                <c:pt idx="1822">
                  <c:v>10.605634197548504</c:v>
                </c:pt>
                <c:pt idx="1823">
                  <c:v>10.609031545924308</c:v>
                </c:pt>
                <c:pt idx="1824">
                  <c:v>10.612427781179685</c:v>
                </c:pt>
                <c:pt idx="1825">
                  <c:v>10.615822904432505</c:v>
                </c:pt>
                <c:pt idx="1826">
                  <c:v>10.619216916798745</c:v>
                </c:pt>
                <c:pt idx="1827">
                  <c:v>10.622609819392462</c:v>
                </c:pt>
                <c:pt idx="1828">
                  <c:v>10.626001613325823</c:v>
                </c:pt>
                <c:pt idx="1829">
                  <c:v>10.629392299709096</c:v>
                </c:pt>
                <c:pt idx="1830">
                  <c:v>10.632781879650668</c:v>
                </c:pt>
                <c:pt idx="1831">
                  <c:v>10.636170354257036</c:v>
                </c:pt>
                <c:pt idx="1832">
                  <c:v>10.639557724632811</c:v>
                </c:pt>
                <c:pt idx="1833">
                  <c:v>10.642943991880738</c:v>
                </c:pt>
                <c:pt idx="1834">
                  <c:v>10.646329157101682</c:v>
                </c:pt>
                <c:pt idx="1835">
                  <c:v>10.649713221394649</c:v>
                </c:pt>
                <c:pt idx="1836">
                  <c:v>10.653096185856779</c:v>
                </c:pt>
                <c:pt idx="1837">
                  <c:v>10.656478051583354</c:v>
                </c:pt>
                <c:pt idx="1838">
                  <c:v>10.659858819667802</c:v>
                </c:pt>
                <c:pt idx="1839">
                  <c:v>10.663238491201703</c:v>
                </c:pt>
                <c:pt idx="1840">
                  <c:v>10.666617067274796</c:v>
                </c:pt>
                <c:pt idx="1841">
                  <c:v>10.669994548974969</c:v>
                </c:pt>
                <c:pt idx="1842">
                  <c:v>10.673370937388292</c:v>
                </c:pt>
                <c:pt idx="1843">
                  <c:v>10.676746233598987</c:v>
                </c:pt>
                <c:pt idx="1844">
                  <c:v>10.680120438689464</c:v>
                </c:pt>
                <c:pt idx="1845">
                  <c:v>10.683493553740291</c:v>
                </c:pt>
                <c:pt idx="1846">
                  <c:v>10.686865579830243</c:v>
                </c:pt>
                <c:pt idx="1847">
                  <c:v>10.690236518036262</c:v>
                </c:pt>
                <c:pt idx="1848">
                  <c:v>10.693606369433486</c:v>
                </c:pt>
                <c:pt idx="1849">
                  <c:v>10.696975135095251</c:v>
                </c:pt>
                <c:pt idx="1850">
                  <c:v>10.700342816093091</c:v>
                </c:pt>
                <c:pt idx="1851">
                  <c:v>10.703709413496743</c:v>
                </c:pt>
                <c:pt idx="1852">
                  <c:v>10.707074928374155</c:v>
                </c:pt>
                <c:pt idx="1853">
                  <c:v>10.710439361791479</c:v>
                </c:pt>
                <c:pt idx="1854">
                  <c:v>10.713802714813092</c:v>
                </c:pt>
                <c:pt idx="1855">
                  <c:v>10.717164988501587</c:v>
                </c:pt>
                <c:pt idx="1856">
                  <c:v>10.720526183917787</c:v>
                </c:pt>
                <c:pt idx="1857">
                  <c:v>10.723886302120736</c:v>
                </c:pt>
                <c:pt idx="1858">
                  <c:v>10.72724534416772</c:v>
                </c:pt>
                <c:pt idx="1859">
                  <c:v>10.730603311114255</c:v>
                </c:pt>
                <c:pt idx="1860">
                  <c:v>10.73396020401411</c:v>
                </c:pt>
                <c:pt idx="1861">
                  <c:v>10.737316023919281</c:v>
                </c:pt>
                <c:pt idx="1862">
                  <c:v>10.740670771880033</c:v>
                </c:pt>
                <c:pt idx="1863">
                  <c:v>10.744024448944879</c:v>
                </c:pt>
                <c:pt idx="1864">
                  <c:v>10.747377056160584</c:v>
                </c:pt>
                <c:pt idx="1865">
                  <c:v>10.750728594572184</c:v>
                </c:pt>
                <c:pt idx="1866">
                  <c:v>10.754079065222975</c:v>
                </c:pt>
                <c:pt idx="1867">
                  <c:v>10.757428469154529</c:v>
                </c:pt>
                <c:pt idx="1868">
                  <c:v>10.760776807406691</c:v>
                </c:pt>
                <c:pt idx="1869">
                  <c:v>10.764124081017584</c:v>
                </c:pt>
                <c:pt idx="1870">
                  <c:v>10.767470291023614</c:v>
                </c:pt>
                <c:pt idx="1871">
                  <c:v>10.770815438459474</c:v>
                </c:pt>
                <c:pt idx="1872">
                  <c:v>10.774159524358147</c:v>
                </c:pt>
                <c:pt idx="1873">
                  <c:v>10.777502549750913</c:v>
                </c:pt>
                <c:pt idx="1874">
                  <c:v>10.780844515667351</c:v>
                </c:pt>
                <c:pt idx="1875">
                  <c:v>10.784185423135341</c:v>
                </c:pt>
                <c:pt idx="1876">
                  <c:v>10.787525273181068</c:v>
                </c:pt>
                <c:pt idx="1877">
                  <c:v>10.790864066829037</c:v>
                </c:pt>
                <c:pt idx="1878">
                  <c:v>10.794201805102057</c:v>
                </c:pt>
                <c:pt idx="1879">
                  <c:v>10.79753848902126</c:v>
                </c:pt>
                <c:pt idx="1880">
                  <c:v>10.800874119606107</c:v>
                </c:pt>
                <c:pt idx="1881">
                  <c:v>10.804208697874376</c:v>
                </c:pt>
                <c:pt idx="1882">
                  <c:v>10.807542224842177</c:v>
                </c:pt>
                <c:pt idx="1883">
                  <c:v>10.810874701523959</c:v>
                </c:pt>
                <c:pt idx="1884">
                  <c:v>10.814206128932508</c:v>
                </c:pt>
                <c:pt idx="1885">
                  <c:v>10.817536508078952</c:v>
                </c:pt>
                <c:pt idx="1886">
                  <c:v>10.820865839972763</c:v>
                </c:pt>
                <c:pt idx="1887">
                  <c:v>10.824194125621764</c:v>
                </c:pt>
                <c:pt idx="1888">
                  <c:v>10.827521366032135</c:v>
                </c:pt>
                <c:pt idx="1889">
                  <c:v>10.830847562208408</c:v>
                </c:pt>
                <c:pt idx="1890">
                  <c:v>10.834172715153478</c:v>
                </c:pt>
                <c:pt idx="1891">
                  <c:v>10.837496825868612</c:v>
                </c:pt>
                <c:pt idx="1892">
                  <c:v>10.840819895353437</c:v>
                </c:pt>
                <c:pt idx="1893">
                  <c:v>10.844141924605955</c:v>
                </c:pt>
                <c:pt idx="1894">
                  <c:v>10.847462914622547</c:v>
                </c:pt>
                <c:pt idx="1895">
                  <c:v>10.850782866397974</c:v>
                </c:pt>
                <c:pt idx="1896">
                  <c:v>10.854101780925379</c:v>
                </c:pt>
                <c:pt idx="1897">
                  <c:v>10.857419659196296</c:v>
                </c:pt>
                <c:pt idx="1898">
                  <c:v>10.860736502200645</c:v>
                </c:pt>
                <c:pt idx="1899">
                  <c:v>10.864052310926745</c:v>
                </c:pt>
                <c:pt idx="1900">
                  <c:v>10.867367086361313</c:v>
                </c:pt>
                <c:pt idx="1901">
                  <c:v>10.870680829489476</c:v>
                </c:pt>
                <c:pt idx="1902">
                  <c:v>10.873993541294752</c:v>
                </c:pt>
                <c:pt idx="1903">
                  <c:v>10.877305222759084</c:v>
                </c:pt>
                <c:pt idx="1904">
                  <c:v>10.880615874862816</c:v>
                </c:pt>
                <c:pt idx="1905">
                  <c:v>10.88392549858472</c:v>
                </c:pt>
                <c:pt idx="1906">
                  <c:v>10.887234094901981</c:v>
                </c:pt>
                <c:pt idx="1907">
                  <c:v>10.890541664790213</c:v>
                </c:pt>
                <c:pt idx="1908">
                  <c:v>10.893848209223455</c:v>
                </c:pt>
                <c:pt idx="1909">
                  <c:v>10.897153729174182</c:v>
                </c:pt>
                <c:pt idx="1910">
                  <c:v>10.900458225613299</c:v>
                </c:pt>
                <c:pt idx="1911">
                  <c:v>10.903761699510159</c:v>
                </c:pt>
                <c:pt idx="1912">
                  <c:v>10.907064151832543</c:v>
                </c:pt>
                <c:pt idx="1913">
                  <c:v>10.910365583546694</c:v>
                </c:pt>
                <c:pt idx="1914">
                  <c:v>10.913665995617288</c:v>
                </c:pt>
                <c:pt idx="1915">
                  <c:v>10.916965389007471</c:v>
                </c:pt>
                <c:pt idx="1916">
                  <c:v>10.920263764678834</c:v>
                </c:pt>
                <c:pt idx="1917">
                  <c:v>10.92356112359143</c:v>
                </c:pt>
                <c:pt idx="1918">
                  <c:v>10.926857466703781</c:v>
                </c:pt>
                <c:pt idx="1919">
                  <c:v>10.930152794972873</c:v>
                </c:pt>
                <c:pt idx="1920">
                  <c:v>10.933447109354157</c:v>
                </c:pt>
                <c:pt idx="1921">
                  <c:v>10.936740410801567</c:v>
                </c:pt>
                <c:pt idx="1922">
                  <c:v>10.940032700267512</c:v>
                </c:pt>
                <c:pt idx="1923">
                  <c:v>10.943323978702876</c:v>
                </c:pt>
                <c:pt idx="1924">
                  <c:v>10.94661424705704</c:v>
                </c:pt>
                <c:pt idx="1925">
                  <c:v>10.949903506277856</c:v>
                </c:pt>
                <c:pt idx="1926">
                  <c:v>10.953191757311686</c:v>
                </c:pt>
                <c:pt idx="1927">
                  <c:v>10.956479001103371</c:v>
                </c:pt>
                <c:pt idx="1928">
                  <c:v>10.95976523859626</c:v>
                </c:pt>
                <c:pt idx="1929">
                  <c:v>10.963050470732199</c:v>
                </c:pt>
                <c:pt idx="1930">
                  <c:v>10.96633469845154</c:v>
                </c:pt>
                <c:pt idx="1931">
                  <c:v>10.969617922693143</c:v>
                </c:pt>
                <c:pt idx="1932">
                  <c:v>10.97290014439438</c:v>
                </c:pt>
                <c:pt idx="1933">
                  <c:v>10.97618136449114</c:v>
                </c:pt>
                <c:pt idx="1934">
                  <c:v>10.979461583917828</c:v>
                </c:pt>
                <c:pt idx="1935">
                  <c:v>10.982740803607371</c:v>
                </c:pt>
                <c:pt idx="1936">
                  <c:v>10.986019024491217</c:v>
                </c:pt>
                <c:pt idx="1937">
                  <c:v>10.989296247499354</c:v>
                </c:pt>
                <c:pt idx="1938">
                  <c:v>10.992572473560291</c:v>
                </c:pt>
                <c:pt idx="1939">
                  <c:v>10.995847703601076</c:v>
                </c:pt>
                <c:pt idx="1940">
                  <c:v>10.99912193854729</c:v>
                </c:pt>
                <c:pt idx="1941">
                  <c:v>11.002395179323067</c:v>
                </c:pt>
                <c:pt idx="1942">
                  <c:v>11.005667426851076</c:v>
                </c:pt>
                <c:pt idx="1943">
                  <c:v>11.008938682052534</c:v>
                </c:pt>
                <c:pt idx="1944">
                  <c:v>11.012208945847217</c:v>
                </c:pt>
                <c:pt idx="1945">
                  <c:v>11.015478219153444</c:v>
                </c:pt>
                <c:pt idx="1946">
                  <c:v>11.018746502888106</c:v>
                </c:pt>
                <c:pt idx="1947">
                  <c:v>11.022013797966645</c:v>
                </c:pt>
                <c:pt idx="1948">
                  <c:v>11.025280105303068</c:v>
                </c:pt>
                <c:pt idx="1949">
                  <c:v>11.02854542580995</c:v>
                </c:pt>
                <c:pt idx="1950">
                  <c:v>11.03180976039844</c:v>
                </c:pt>
                <c:pt idx="1951">
                  <c:v>11.03507310997826</c:v>
                </c:pt>
                <c:pt idx="1952">
                  <c:v>11.038335475457702</c:v>
                </c:pt>
                <c:pt idx="1953">
                  <c:v>11.041596857743649</c:v>
                </c:pt>
                <c:pt idx="1954">
                  <c:v>11.044857257741558</c:v>
                </c:pt>
                <c:pt idx="1955">
                  <c:v>11.048116676355477</c:v>
                </c:pt>
                <c:pt idx="1956">
                  <c:v>11.051375114488042</c:v>
                </c:pt>
                <c:pt idx="1957">
                  <c:v>11.054632573040482</c:v>
                </c:pt>
                <c:pt idx="1958">
                  <c:v>11.057889052912628</c:v>
                </c:pt>
                <c:pt idx="1959">
                  <c:v>11.061144555002896</c:v>
                </c:pt>
                <c:pt idx="1960">
                  <c:v>11.064399080208316</c:v>
                </c:pt>
                <c:pt idx="1961">
                  <c:v>11.067652629424515</c:v>
                </c:pt>
                <c:pt idx="1962">
                  <c:v>11.070905203545736</c:v>
                </c:pt>
                <c:pt idx="1963">
                  <c:v>11.074156803464831</c:v>
                </c:pt>
                <c:pt idx="1964">
                  <c:v>11.07740743007326</c:v>
                </c:pt>
                <c:pt idx="1965">
                  <c:v>11.080657084261109</c:v>
                </c:pt>
                <c:pt idx="1966">
                  <c:v>11.083905766917077</c:v>
                </c:pt>
                <c:pt idx="1967">
                  <c:v>11.087153478928494</c:v>
                </c:pt>
                <c:pt idx="1968">
                  <c:v>11.090400221181309</c:v>
                </c:pt>
                <c:pt idx="1969">
                  <c:v>11.093645994560108</c:v>
                </c:pt>
                <c:pt idx="1970">
                  <c:v>11.096890799948099</c:v>
                </c:pt>
                <c:pt idx="1971">
                  <c:v>11.100134638227139</c:v>
                </c:pt>
                <c:pt idx="1972">
                  <c:v>11.103377510277713</c:v>
                </c:pt>
                <c:pt idx="1973">
                  <c:v>11.106619416978948</c:v>
                </c:pt>
                <c:pt idx="1974">
                  <c:v>11.109860359208628</c:v>
                </c:pt>
                <c:pt idx="1975">
                  <c:v>11.113100337843164</c:v>
                </c:pt>
                <c:pt idx="1976">
                  <c:v>11.116339353757635</c:v>
                </c:pt>
                <c:pt idx="1977">
                  <c:v>11.119577407825762</c:v>
                </c:pt>
                <c:pt idx="1978">
                  <c:v>11.122814500919933</c:v>
                </c:pt>
                <c:pt idx="1979">
                  <c:v>11.126050633911186</c:v>
                </c:pt>
                <c:pt idx="1980">
                  <c:v>11.129285807669227</c:v>
                </c:pt>
                <c:pt idx="1981">
                  <c:v>11.132520023062419</c:v>
                </c:pt>
                <c:pt idx="1982">
                  <c:v>11.1357532809578</c:v>
                </c:pt>
                <c:pt idx="1983">
                  <c:v>11.138985582221082</c:v>
                </c:pt>
                <c:pt idx="1984">
                  <c:v>11.142216927716643</c:v>
                </c:pt>
                <c:pt idx="1985">
                  <c:v>11.145447318307543</c:v>
                </c:pt>
                <c:pt idx="1986">
                  <c:v>11.148676754855515</c:v>
                </c:pt>
                <c:pt idx="1987">
                  <c:v>11.151905238220984</c:v>
                </c:pt>
                <c:pt idx="1988">
                  <c:v>11.155132769263052</c:v>
                </c:pt>
                <c:pt idx="1989">
                  <c:v>11.158359348839513</c:v>
                </c:pt>
                <c:pt idx="1990">
                  <c:v>11.161584977806852</c:v>
                </c:pt>
                <c:pt idx="1991">
                  <c:v>11.164809657020246</c:v>
                </c:pt>
                <c:pt idx="1992">
                  <c:v>11.168033387333573</c:v>
                </c:pt>
                <c:pt idx="1993">
                  <c:v>11.171256169599404</c:v>
                </c:pt>
                <c:pt idx="1994">
                  <c:v>11.17447800466902</c:v>
                </c:pt>
                <c:pt idx="1995">
                  <c:v>11.177698893392392</c:v>
                </c:pt>
                <c:pt idx="1996">
                  <c:v>11.180918836618225</c:v>
                </c:pt>
                <c:pt idx="1997">
                  <c:v>11.184137835193908</c:v>
                </c:pt>
                <c:pt idx="1998">
                  <c:v>11.187355889965559</c:v>
                </c:pt>
                <c:pt idx="1999">
                  <c:v>11.190573001778008</c:v>
                </c:pt>
                <c:pt idx="2000">
                  <c:v>11.193789171474801</c:v>
                </c:pt>
                <c:pt idx="2001">
                  <c:v>11.197004399898216</c:v>
                </c:pt>
                <c:pt idx="2002">
                  <c:v>11.20021868788924</c:v>
                </c:pt>
                <c:pt idx="2003">
                  <c:v>11.203432036287605</c:v>
                </c:pt>
                <c:pt idx="2004">
                  <c:v>11.206644445931753</c:v>
                </c:pt>
                <c:pt idx="2005">
                  <c:v>11.209855917658878</c:v>
                </c:pt>
                <c:pt idx="2006">
                  <c:v>11.213066452304897</c:v>
                </c:pt>
                <c:pt idx="2007">
                  <c:v>11.216276050704469</c:v>
                </c:pt>
                <c:pt idx="2008">
                  <c:v>11.219484713690992</c:v>
                </c:pt>
                <c:pt idx="2009">
                  <c:v>11.222692442096616</c:v>
                </c:pt>
                <c:pt idx="2010">
                  <c:v>11.225899236752223</c:v>
                </c:pt>
                <c:pt idx="2011">
                  <c:v>11.229105098487459</c:v>
                </c:pt>
                <c:pt idx="2012">
                  <c:v>11.23231002813071</c:v>
                </c:pt>
                <c:pt idx="2013">
                  <c:v>11.23551402650912</c:v>
                </c:pt>
                <c:pt idx="2014">
                  <c:v>11.238717094448592</c:v>
                </c:pt>
                <c:pt idx="2015">
                  <c:v>11.241919232773789</c:v>
                </c:pt>
                <c:pt idx="2016">
                  <c:v>11.245120442308131</c:v>
                </c:pt>
                <c:pt idx="2017">
                  <c:v>11.248320723873807</c:v>
                </c:pt>
                <c:pt idx="2018">
                  <c:v>11.251520078291772</c:v>
                </c:pt>
                <c:pt idx="2019">
                  <c:v>11.254718506381757</c:v>
                </c:pt>
                <c:pt idx="2020">
                  <c:v>11.257916008962255</c:v>
                </c:pt>
                <c:pt idx="2021">
                  <c:v>11.26111258685054</c:v>
                </c:pt>
                <c:pt idx="2022">
                  <c:v>11.264308240862672</c:v>
                </c:pt>
                <c:pt idx="2023">
                  <c:v>11.267502971813473</c:v>
                </c:pt>
                <c:pt idx="2024">
                  <c:v>11.270696780516566</c:v>
                </c:pt>
                <c:pt idx="2025">
                  <c:v>11.273889667784346</c:v>
                </c:pt>
                <c:pt idx="2026">
                  <c:v>11.277081634428008</c:v>
                </c:pt>
                <c:pt idx="2027">
                  <c:v>11.280272681257532</c:v>
                </c:pt>
                <c:pt idx="2028">
                  <c:v>11.283462809081691</c:v>
                </c:pt>
                <c:pt idx="2029">
                  <c:v>11.286652018708054</c:v>
                </c:pt>
                <c:pt idx="2030">
                  <c:v>11.289840310942992</c:v>
                </c:pt>
                <c:pt idx="2031">
                  <c:v>11.293027686591673</c:v>
                </c:pt>
                <c:pt idx="2032">
                  <c:v>11.29621414645807</c:v>
                </c:pt>
                <c:pt idx="2033">
                  <c:v>11.299399691344963</c:v>
                </c:pt>
                <c:pt idx="2034">
                  <c:v>11.302584322053942</c:v>
                </c:pt>
                <c:pt idx="2035">
                  <c:v>11.3057680393854</c:v>
                </c:pt>
                <c:pt idx="2036">
                  <c:v>11.308950844138556</c:v>
                </c:pt>
                <c:pt idx="2037">
                  <c:v>11.312132737111437</c:v>
                </c:pt>
                <c:pt idx="2038">
                  <c:v>11.315313719100889</c:v>
                </c:pt>
                <c:pt idx="2039">
                  <c:v>11.318493790902579</c:v>
                </c:pt>
                <c:pt idx="2040">
                  <c:v>11.321672953311005</c:v>
                </c:pt>
                <c:pt idx="2041">
                  <c:v>11.324851207119483</c:v>
                </c:pt>
                <c:pt idx="2042">
                  <c:v>11.328028553120156</c:v>
                </c:pt>
                <c:pt idx="2043">
                  <c:v>11.331204992104004</c:v>
                </c:pt>
                <c:pt idx="2044">
                  <c:v>11.33438052486084</c:v>
                </c:pt>
                <c:pt idx="2045">
                  <c:v>11.337555152179313</c:v>
                </c:pt>
                <c:pt idx="2046">
                  <c:v>11.340728874846903</c:v>
                </c:pt>
                <c:pt idx="2047">
                  <c:v>11.34390169364994</c:v>
                </c:pt>
                <c:pt idx="2048">
                  <c:v>11.34707360937359</c:v>
                </c:pt>
                <c:pt idx="2049">
                  <c:v>11.350244622801871</c:v>
                </c:pt>
                <c:pt idx="2050">
                  <c:v>11.353414734717642</c:v>
                </c:pt>
                <c:pt idx="2051">
                  <c:v>11.356583945902624</c:v>
                </c:pt>
                <c:pt idx="2052">
                  <c:v>11.359752257137373</c:v>
                </c:pt>
                <c:pt idx="2053">
                  <c:v>11.362919669201318</c:v>
                </c:pt>
                <c:pt idx="2054">
                  <c:v>11.366086182872733</c:v>
                </c:pt>
                <c:pt idx="2055">
                  <c:v>11.369251798928762</c:v>
                </c:pt>
                <c:pt idx="2056">
                  <c:v>11.3724165181454</c:v>
                </c:pt>
                <c:pt idx="2057">
                  <c:v>11.375580341297514</c:v>
                </c:pt>
                <c:pt idx="2058">
                  <c:v>11.378743269158839</c:v>
                </c:pt>
                <c:pt idx="2059">
                  <c:v>11.381905302501979</c:v>
                </c:pt>
                <c:pt idx="2060">
                  <c:v>11.385066442098402</c:v>
                </c:pt>
                <c:pt idx="2061">
                  <c:v>11.388226688718458</c:v>
                </c:pt>
                <c:pt idx="2062">
                  <c:v>11.391386043131373</c:v>
                </c:pt>
                <c:pt idx="2063">
                  <c:v>11.394544506105252</c:v>
                </c:pt>
                <c:pt idx="2064">
                  <c:v>11.397702078407074</c:v>
                </c:pt>
                <c:pt idx="2065">
                  <c:v>11.400858760802707</c:v>
                </c:pt>
                <c:pt idx="2066">
                  <c:v>11.404014554056905</c:v>
                </c:pt>
                <c:pt idx="2067">
                  <c:v>11.407169458933312</c:v>
                </c:pt>
                <c:pt idx="2068">
                  <c:v>11.410323476194456</c:v>
                </c:pt>
                <c:pt idx="2069">
                  <c:v>11.413476606601762</c:v>
                </c:pt>
                <c:pt idx="2070">
                  <c:v>11.416628850915545</c:v>
                </c:pt>
                <c:pt idx="2071">
                  <c:v>11.419780209895027</c:v>
                </c:pt>
                <c:pt idx="2072">
                  <c:v>11.42293068429832</c:v>
                </c:pt>
                <c:pt idx="2073">
                  <c:v>11.426080274882441</c:v>
                </c:pt>
                <c:pt idx="2074">
                  <c:v>11.429228982403309</c:v>
                </c:pt>
                <c:pt idx="2075">
                  <c:v>11.43237680761575</c:v>
                </c:pt>
                <c:pt idx="2076">
                  <c:v>11.435523751273506</c:v>
                </c:pt>
                <c:pt idx="2077">
                  <c:v>11.438669814129213</c:v>
                </c:pt>
                <c:pt idx="2078">
                  <c:v>11.44181499693444</c:v>
                </c:pt>
                <c:pt idx="2079">
                  <c:v>11.444959300439654</c:v>
                </c:pt>
                <c:pt idx="2080">
                  <c:v>11.448102725394246</c:v>
                </c:pt>
                <c:pt idx="2081">
                  <c:v>11.451245272546533</c:v>
                </c:pt>
                <c:pt idx="2082">
                  <c:v>11.454386942643739</c:v>
                </c:pt>
                <c:pt idx="2083">
                  <c:v>11.457527736432024</c:v>
                </c:pt>
                <c:pt idx="2084">
                  <c:v>11.460667654656472</c:v>
                </c:pt>
                <c:pt idx="2085">
                  <c:v>11.463806698061092</c:v>
                </c:pt>
                <c:pt idx="2086">
                  <c:v>11.466944867388825</c:v>
                </c:pt>
                <c:pt idx="2087">
                  <c:v>11.470082163381546</c:v>
                </c:pt>
                <c:pt idx="2088">
                  <c:v>11.473218586780067</c:v>
                </c:pt>
                <c:pt idx="2089">
                  <c:v>11.47635413832413</c:v>
                </c:pt>
                <c:pt idx="2090">
                  <c:v>11.479488818752419</c:v>
                </c:pt>
                <c:pt idx="2091">
                  <c:v>11.482622628802565</c:v>
                </c:pt>
                <c:pt idx="2092">
                  <c:v>11.485755569211136</c:v>
                </c:pt>
                <c:pt idx="2093">
                  <c:v>11.488887640713646</c:v>
                </c:pt>
                <c:pt idx="2094">
                  <c:v>11.492018844044562</c:v>
                </c:pt>
                <c:pt idx="2095">
                  <c:v>11.495149179937297</c:v>
                </c:pt>
                <c:pt idx="2096">
                  <c:v>11.498278649124213</c:v>
                </c:pt>
                <c:pt idx="2097">
                  <c:v>11.501407252336637</c:v>
                </c:pt>
                <c:pt idx="2098">
                  <c:v>11.504534990304839</c:v>
                </c:pt>
                <c:pt idx="2099">
                  <c:v>11.507661863758056</c:v>
                </c:pt>
                <c:pt idx="2100">
                  <c:v>11.510787873424482</c:v>
                </c:pt>
                <c:pt idx="2101">
                  <c:v>11.513913020031278</c:v>
                </c:pt>
                <c:pt idx="2102">
                  <c:v>11.517037304304562</c:v>
                </c:pt>
                <c:pt idx="2103">
                  <c:v>11.520160726969428</c:v>
                </c:pt>
                <c:pt idx="2104">
                  <c:v>11.52328328874993</c:v>
                </c:pt>
                <c:pt idx="2105">
                  <c:v>11.526404990369102</c:v>
                </c:pt>
                <c:pt idx="2106">
                  <c:v>11.529525832548943</c:v>
                </c:pt>
                <c:pt idx="2107">
                  <c:v>11.532645816010431</c:v>
                </c:pt>
                <c:pt idx="2108">
                  <c:v>11.535764941473523</c:v>
                </c:pt>
                <c:pt idx="2109">
                  <c:v>11.538883209657154</c:v>
                </c:pt>
                <c:pt idx="2110">
                  <c:v>11.542000621279232</c:v>
                </c:pt>
                <c:pt idx="2111">
                  <c:v>11.545117177056664</c:v>
                </c:pt>
                <c:pt idx="2112">
                  <c:v>11.548232877705331</c:v>
                </c:pt>
                <c:pt idx="2113">
                  <c:v>11.551347723940104</c:v>
                </c:pt>
                <c:pt idx="2114">
                  <c:v>11.554461716474844</c:v>
                </c:pt>
                <c:pt idx="2115">
                  <c:v>11.557574856022406</c:v>
                </c:pt>
                <c:pt idx="2116">
                  <c:v>11.560687143294635</c:v>
                </c:pt>
                <c:pt idx="2117">
                  <c:v>11.563798579002372</c:v>
                </c:pt>
                <c:pt idx="2118">
                  <c:v>11.566909163855454</c:v>
                </c:pt>
                <c:pt idx="2119">
                  <c:v>11.570018898562726</c:v>
                </c:pt>
                <c:pt idx="2120">
                  <c:v>11.573127783832021</c:v>
                </c:pt>
                <c:pt idx="2121">
                  <c:v>11.57623582037019</c:v>
                </c:pt>
                <c:pt idx="2122">
                  <c:v>11.579343008883077</c:v>
                </c:pt>
                <c:pt idx="2123">
                  <c:v>11.582449350075542</c:v>
                </c:pt>
                <c:pt idx="2124">
                  <c:v>11.585554844651449</c:v>
                </c:pt>
                <c:pt idx="2125">
                  <c:v>11.588659493313678</c:v>
                </c:pt>
                <c:pt idx="2126">
                  <c:v>11.591763296764121</c:v>
                </c:pt>
                <c:pt idx="2127">
                  <c:v>11.594866255703682</c:v>
                </c:pt>
                <c:pt idx="2128">
                  <c:v>11.597968370832287</c:v>
                </c:pt>
                <c:pt idx="2129">
                  <c:v>11.601069642848881</c:v>
                </c:pt>
                <c:pt idx="2130">
                  <c:v>11.604170072451426</c:v>
                </c:pt>
                <c:pt idx="2131">
                  <c:v>11.607269660336911</c:v>
                </c:pt>
                <c:pt idx="2132">
                  <c:v>11.610368407201349</c:v>
                </c:pt>
                <c:pt idx="2133">
                  <c:v>11.61346631373978</c:v>
                </c:pt>
                <c:pt idx="2134">
                  <c:v>11.616563380646273</c:v>
                </c:pt>
                <c:pt idx="2135">
                  <c:v>11.619659608613931</c:v>
                </c:pt>
                <c:pt idx="2136">
                  <c:v>11.622754998334882</c:v>
                </c:pt>
                <c:pt idx="2137">
                  <c:v>11.625849550500298</c:v>
                </c:pt>
                <c:pt idx="2138">
                  <c:v>11.628943265800384</c:v>
                </c:pt>
                <c:pt idx="2139">
                  <c:v>11.632036144924381</c:v>
                </c:pt>
                <c:pt idx="2140">
                  <c:v>11.635128188560572</c:v>
                </c:pt>
                <c:pt idx="2141">
                  <c:v>11.638219397396281</c:v>
                </c:pt>
                <c:pt idx="2142">
                  <c:v>11.641309772117884</c:v>
                </c:pt>
                <c:pt idx="2143">
                  <c:v>11.644399313410794</c:v>
                </c:pt>
                <c:pt idx="2144">
                  <c:v>11.647488021959475</c:v>
                </c:pt>
                <c:pt idx="2145">
                  <c:v>11.650575898447443</c:v>
                </c:pt>
                <c:pt idx="2146">
                  <c:v>11.653662943557261</c:v>
                </c:pt>
                <c:pt idx="2147">
                  <c:v>11.656749157970555</c:v>
                </c:pt>
                <c:pt idx="2148">
                  <c:v>11.659834542367991</c:v>
                </c:pt>
                <c:pt idx="2149">
                  <c:v>11.66291909742931</c:v>
                </c:pt>
                <c:pt idx="2150">
                  <c:v>11.666002823833297</c:v>
                </c:pt>
                <c:pt idx="2151">
                  <c:v>11.669085722257812</c:v>
                </c:pt>
                <c:pt idx="2152">
                  <c:v>11.672167793379764</c:v>
                </c:pt>
                <c:pt idx="2153">
                  <c:v>11.675249037875139</c:v>
                </c:pt>
                <c:pt idx="2154">
                  <c:v>11.678329456418979</c:v>
                </c:pt>
                <c:pt idx="2155">
                  <c:v>11.681409049685403</c:v>
                </c:pt>
                <c:pt idx="2156">
                  <c:v>11.684487818347595</c:v>
                </c:pt>
                <c:pt idx="2157">
                  <c:v>11.687565763077814</c:v>
                </c:pt>
                <c:pt idx="2158">
                  <c:v>11.690642884547389</c:v>
                </c:pt>
                <c:pt idx="2159">
                  <c:v>11.693719183426728</c:v>
                </c:pt>
                <c:pt idx="2160">
                  <c:v>11.69679466038532</c:v>
                </c:pt>
                <c:pt idx="2161">
                  <c:v>11.699869316091723</c:v>
                </c:pt>
                <c:pt idx="2162">
                  <c:v>11.702943151213585</c:v>
                </c:pt>
                <c:pt idx="2163">
                  <c:v>11.706016166417633</c:v>
                </c:pt>
                <c:pt idx="2164">
                  <c:v>11.70908836236968</c:v>
                </c:pt>
                <c:pt idx="2165">
                  <c:v>11.712159739734624</c:v>
                </c:pt>
                <c:pt idx="2166">
                  <c:v>11.715230299176451</c:v>
                </c:pt>
                <c:pt idx="2167">
                  <c:v>11.718300041358241</c:v>
                </c:pt>
                <c:pt idx="2168">
                  <c:v>11.721368966942158</c:v>
                </c:pt>
                <c:pt idx="2169">
                  <c:v>11.724437076589471</c:v>
                </c:pt>
                <c:pt idx="2170">
                  <c:v>11.727504370960531</c:v>
                </c:pt>
                <c:pt idx="2171">
                  <c:v>11.730570850714797</c:v>
                </c:pt>
                <c:pt idx="2172">
                  <c:v>11.733636516510821</c:v>
                </c:pt>
                <c:pt idx="2173">
                  <c:v>11.736701369006251</c:v>
                </c:pt>
                <c:pt idx="2174">
                  <c:v>11.739765408857856</c:v>
                </c:pt>
                <c:pt idx="2175">
                  <c:v>11.742828636721482</c:v>
                </c:pt>
                <c:pt idx="2176">
                  <c:v>11.745891053252102</c:v>
                </c:pt>
                <c:pt idx="2177">
                  <c:v>11.748952659103789</c:v>
                </c:pt>
                <c:pt idx="2178">
                  <c:v>11.752013454929724</c:v>
                </c:pt>
                <c:pt idx="2179">
                  <c:v>11.755073441382201</c:v>
                </c:pt>
                <c:pt idx="2180">
                  <c:v>11.758132619112622</c:v>
                </c:pt>
                <c:pt idx="2181">
                  <c:v>11.761190988771514</c:v>
                </c:pt>
                <c:pt idx="2182">
                  <c:v>11.764248551008508</c:v>
                </c:pt>
                <c:pt idx="2183">
                  <c:v>11.767305306472359</c:v>
                </c:pt>
                <c:pt idx="2184">
                  <c:v>11.770361255810938</c:v>
                </c:pt>
                <c:pt idx="2185">
                  <c:v>11.773416399671245</c:v>
                </c:pt>
                <c:pt idx="2186">
                  <c:v>11.776470738699391</c:v>
                </c:pt>
                <c:pt idx="2187">
                  <c:v>11.779524273540627</c:v>
                </c:pt>
                <c:pt idx="2188">
                  <c:v>11.782577004839307</c:v>
                </c:pt>
                <c:pt idx="2189">
                  <c:v>11.785628933238939</c:v>
                </c:pt>
                <c:pt idx="2190">
                  <c:v>11.788680059382141</c:v>
                </c:pt>
                <c:pt idx="2191">
                  <c:v>11.791730383910672</c:v>
                </c:pt>
                <c:pt idx="2192">
                  <c:v>11.794779907465422</c:v>
                </c:pt>
                <c:pt idx="2193">
                  <c:v>11.797828630686414</c:v>
                </c:pt>
                <c:pt idx="2194">
                  <c:v>11.800876554212808</c:v>
                </c:pt>
                <c:pt idx="2195">
                  <c:v>11.803923678682899</c:v>
                </c:pt>
                <c:pt idx="2196">
                  <c:v>11.806970004734129</c:v>
                </c:pt>
                <c:pt idx="2197">
                  <c:v>11.810015533003076</c:v>
                </c:pt>
                <c:pt idx="2198">
                  <c:v>11.813060264125456</c:v>
                </c:pt>
                <c:pt idx="2199">
                  <c:v>11.816104198736141</c:v>
                </c:pt>
                <c:pt idx="2200">
                  <c:v>11.819147337469138</c:v>
                </c:pt>
                <c:pt idx="2201">
                  <c:v>11.822189680957607</c:v>
                </c:pt>
                <c:pt idx="2202">
                  <c:v>11.825231229833857</c:v>
                </c:pt>
                <c:pt idx="2203">
                  <c:v>11.828271984729348</c:v>
                </c:pt>
                <c:pt idx="2204">
                  <c:v>11.831311946274692</c:v>
                </c:pt>
                <c:pt idx="2205">
                  <c:v>11.834351115099654</c:v>
                </c:pt>
                <c:pt idx="2206">
                  <c:v>11.837389491833157</c:v>
                </c:pt>
                <c:pt idx="2207">
                  <c:v>11.840427077103278</c:v>
                </c:pt>
                <c:pt idx="2208">
                  <c:v>11.84346387153726</c:v>
                </c:pt>
                <c:pt idx="2209">
                  <c:v>11.846499875761491</c:v>
                </c:pt>
                <c:pt idx="2210">
                  <c:v>11.849535090401545</c:v>
                </c:pt>
                <c:pt idx="2211">
                  <c:v>11.852569516082134</c:v>
                </c:pt>
                <c:pt idx="2212">
                  <c:v>11.855603153427158</c:v>
                </c:pt>
                <c:pt idx="2213">
                  <c:v>11.858636003059669</c:v>
                </c:pt>
                <c:pt idx="2214">
                  <c:v>11.86166806560189</c:v>
                </c:pt>
                <c:pt idx="2215">
                  <c:v>11.86469934167522</c:v>
                </c:pt>
                <c:pt idx="2216">
                  <c:v>11.867729831900224</c:v>
                </c:pt>
                <c:pt idx="2217">
                  <c:v>11.870759536896639</c:v>
                </c:pt>
                <c:pt idx="2218">
                  <c:v>11.873788457283386</c:v>
                </c:pt>
                <c:pt idx="2219">
                  <c:v>11.876816593678548</c:v>
                </c:pt>
                <c:pt idx="2220">
                  <c:v>11.879843946699399</c:v>
                </c:pt>
                <c:pt idx="2221">
                  <c:v>11.882870516962386</c:v>
                </c:pt>
                <c:pt idx="2222">
                  <c:v>11.885896305083136</c:v>
                </c:pt>
                <c:pt idx="2223">
                  <c:v>11.888921311676462</c:v>
                </c:pt>
                <c:pt idx="2224">
                  <c:v>11.89194553735636</c:v>
                </c:pt>
                <c:pt idx="2225">
                  <c:v>11.89496898273601</c:v>
                </c:pt>
                <c:pt idx="2226">
                  <c:v>11.897991648427782</c:v>
                </c:pt>
                <c:pt idx="2227">
                  <c:v>11.901013535043226</c:v>
                </c:pt>
                <c:pt idx="2228">
                  <c:v>11.904034643193096</c:v>
                </c:pt>
                <c:pt idx="2229">
                  <c:v>11.907054973487329</c:v>
                </c:pt>
                <c:pt idx="2230">
                  <c:v>11.910074526535052</c:v>
                </c:pt>
                <c:pt idx="2231">
                  <c:v>11.913093302944597</c:v>
                </c:pt>
                <c:pt idx="2232">
                  <c:v>11.916111303323483</c:v>
                </c:pt>
                <c:pt idx="2233">
                  <c:v>11.919128528278431</c:v>
                </c:pt>
                <c:pt idx="2234">
                  <c:v>11.922144978415357</c:v>
                </c:pt>
                <c:pt idx="2235">
                  <c:v>11.925160654339388</c:v>
                </c:pt>
                <c:pt idx="2236">
                  <c:v>11.928175556654839</c:v>
                </c:pt>
                <c:pt idx="2237">
                  <c:v>11.931189685965238</c:v>
                </c:pt>
                <c:pt idx="2238">
                  <c:v>11.934203042873319</c:v>
                </c:pt>
                <c:pt idx="2239">
                  <c:v>11.937215627981013</c:v>
                </c:pt>
                <c:pt idx="2240">
                  <c:v>11.940227441889473</c:v>
                </c:pt>
                <c:pt idx="2241">
                  <c:v>11.943238485199046</c:v>
                </c:pt>
                <c:pt idx="2242">
                  <c:v>11.946248758509309</c:v>
                </c:pt>
                <c:pt idx="2243">
                  <c:v>11.949258262419029</c:v>
                </c:pt>
                <c:pt idx="2244">
                  <c:v>11.952266997526209</c:v>
                </c:pt>
                <c:pt idx="2245">
                  <c:v>11.95527496442805</c:v>
                </c:pt>
                <c:pt idx="2246">
                  <c:v>11.95828216372098</c:v>
                </c:pt>
                <c:pt idx="2247">
                  <c:v>11.961288596000642</c:v>
                </c:pt>
                <c:pt idx="2248">
                  <c:v>11.964294261861898</c:v>
                </c:pt>
                <c:pt idx="2249">
                  <c:v>11.967299161898836</c:v>
                </c:pt>
                <c:pt idx="2250">
                  <c:v>11.97030329670476</c:v>
                </c:pt>
                <c:pt idx="2251">
                  <c:v>11.973306666872205</c:v>
                </c:pt>
                <c:pt idx="2252">
                  <c:v>11.976309272992923</c:v>
                </c:pt>
                <c:pt idx="2253">
                  <c:v>11.9793111156579</c:v>
                </c:pt>
                <c:pt idx="2254">
                  <c:v>11.98231219545735</c:v>
                </c:pt>
                <c:pt idx="2255">
                  <c:v>11.985312512980714</c:v>
                </c:pt>
                <c:pt idx="2256">
                  <c:v>11.988312068816668</c:v>
                </c:pt>
                <c:pt idx="2257">
                  <c:v>11.991310863553116</c:v>
                </c:pt>
                <c:pt idx="2258">
                  <c:v>11.994308897777199</c:v>
                </c:pt>
                <c:pt idx="2259">
                  <c:v>11.997306172075291</c:v>
                </c:pt>
                <c:pt idx="2260">
                  <c:v>12.000302687033008</c:v>
                </c:pt>
                <c:pt idx="2261">
                  <c:v>12.003298443235199</c:v>
                </c:pt>
                <c:pt idx="2262">
                  <c:v>12.00629344126596</c:v>
                </c:pt>
                <c:pt idx="2263">
                  <c:v>12.009287681708615</c:v>
                </c:pt>
                <c:pt idx="2264">
                  <c:v>12.012281165145746</c:v>
                </c:pt>
                <c:pt idx="2265">
                  <c:v>12.01527389215917</c:v>
                </c:pt>
                <c:pt idx="2266">
                  <c:v>12.018265863329948</c:v>
                </c:pt>
                <c:pt idx="2267">
                  <c:v>12.021257079238396</c:v>
                </c:pt>
                <c:pt idx="2268">
                  <c:v>12.024247540464067</c:v>
                </c:pt>
                <c:pt idx="2269">
                  <c:v>12.027237247585777</c:v>
                </c:pt>
                <c:pt idx="2270">
                  <c:v>12.030226201181579</c:v>
                </c:pt>
                <c:pt idx="2271">
                  <c:v>12.033214401828786</c:v>
                </c:pt>
                <c:pt idx="2272">
                  <c:v>12.036201850103964</c:v>
                </c:pt>
                <c:pt idx="2273">
                  <c:v>12.039188546582933</c:v>
                </c:pt>
                <c:pt idx="2274">
                  <c:v>12.042174491840772</c:v>
                </c:pt>
                <c:pt idx="2275">
                  <c:v>12.045159686451811</c:v>
                </c:pt>
                <c:pt idx="2276">
                  <c:v>12.048144130989645</c:v>
                </c:pt>
                <c:pt idx="2277">
                  <c:v>12.051127826027127</c:v>
                </c:pt>
                <c:pt idx="2278">
                  <c:v>12.054110772136374</c:v>
                </c:pt>
                <c:pt idx="2279">
                  <c:v>12.057092969888764</c:v>
                </c:pt>
                <c:pt idx="2280">
                  <c:v>12.060074419854939</c:v>
                </c:pt>
                <c:pt idx="2281">
                  <c:v>12.063055122604808</c:v>
                </c:pt>
                <c:pt idx="2282">
                  <c:v>12.06603507870755</c:v>
                </c:pt>
                <c:pt idx="2283">
                  <c:v>12.069014288731605</c:v>
                </c:pt>
                <c:pt idx="2284">
                  <c:v>12.071992753244688</c:v>
                </c:pt>
                <c:pt idx="2285">
                  <c:v>12.074970472813789</c:v>
                </c:pt>
                <c:pt idx="2286">
                  <c:v>12.077947448005157</c:v>
                </c:pt>
                <c:pt idx="2287">
                  <c:v>12.080923679384334</c:v>
                </c:pt>
                <c:pt idx="2288">
                  <c:v>12.083899167516119</c:v>
                </c:pt>
                <c:pt idx="2289">
                  <c:v>12.086873912964595</c:v>
                </c:pt>
                <c:pt idx="2290">
                  <c:v>12.089847916293127</c:v>
                </c:pt>
                <c:pt idx="2291">
                  <c:v>12.092821178064352</c:v>
                </c:pt>
                <c:pt idx="2292">
                  <c:v>12.095793698840193</c:v>
                </c:pt>
                <c:pt idx="2293">
                  <c:v>12.09876547918185</c:v>
                </c:pt>
                <c:pt idx="2294">
                  <c:v>12.101736519649805</c:v>
                </c:pt>
                <c:pt idx="2295">
                  <c:v>12.10470682080383</c:v>
                </c:pt>
                <c:pt idx="2296">
                  <c:v>12.10767638320298</c:v>
                </c:pt>
                <c:pt idx="2297">
                  <c:v>12.110645207405593</c:v>
                </c:pt>
                <c:pt idx="2298">
                  <c:v>12.113613293969301</c:v>
                </c:pt>
                <c:pt idx="2299">
                  <c:v>12.116580643451023</c:v>
                </c:pt>
                <c:pt idx="2300">
                  <c:v>12.119547256406968</c:v>
                </c:pt>
                <c:pt idx="2301">
                  <c:v>12.122513133392637</c:v>
                </c:pt>
                <c:pt idx="2302">
                  <c:v>12.12547827496282</c:v>
                </c:pt>
                <c:pt idx="2303">
                  <c:v>12.128442681671617</c:v>
                </c:pt>
                <c:pt idx="2304">
                  <c:v>12.131406354072404</c:v>
                </c:pt>
                <c:pt idx="2305">
                  <c:v>12.134369292717864</c:v>
                </c:pt>
                <c:pt idx="2306">
                  <c:v>12.13733149815998</c:v>
                </c:pt>
                <c:pt idx="2307">
                  <c:v>12.140292970950032</c:v>
                </c:pt>
                <c:pt idx="2308">
                  <c:v>12.143253711638597</c:v>
                </c:pt>
                <c:pt idx="2309">
                  <c:v>12.14621372077556</c:v>
                </c:pt>
                <c:pt idx="2310">
                  <c:v>12.14917299891011</c:v>
                </c:pt>
                <c:pt idx="2311">
                  <c:v>12.152131546590731</c:v>
                </c:pt>
                <c:pt idx="2312">
                  <c:v>12.155089364365224</c:v>
                </c:pt>
                <c:pt idx="2313">
                  <c:v>12.158046452780694</c:v>
                </c:pt>
                <c:pt idx="2314">
                  <c:v>12.161002812383547</c:v>
                </c:pt>
                <c:pt idx="2315">
                  <c:v>12.163958443719508</c:v>
                </c:pt>
                <c:pt idx="2316">
                  <c:v>12.166913347333608</c:v>
                </c:pt>
                <c:pt idx="2317">
                  <c:v>12.169867523770195</c:v>
                </c:pt>
                <c:pt idx="2318">
                  <c:v>12.172820973572922</c:v>
                </c:pt>
                <c:pt idx="2319">
                  <c:v>12.175773697284763</c:v>
                </c:pt>
                <c:pt idx="2320">
                  <c:v>12.178725695448005</c:v>
                </c:pt>
                <c:pt idx="2321">
                  <c:v>12.181676968604251</c:v>
                </c:pt>
                <c:pt idx="2322">
                  <c:v>12.184627517294425</c:v>
                </c:pt>
                <c:pt idx="2323">
                  <c:v>12.18757734205877</c:v>
                </c:pt>
                <c:pt idx="2324">
                  <c:v>12.190526443436848</c:v>
                </c:pt>
                <c:pt idx="2325">
                  <c:v>12.193474821967541</c:v>
                </c:pt>
                <c:pt idx="2326">
                  <c:v>12.19642247818906</c:v>
                </c:pt>
                <c:pt idx="2327">
                  <c:v>12.199369412638932</c:v>
                </c:pt>
                <c:pt idx="2328">
                  <c:v>12.202315625854018</c:v>
                </c:pt>
                <c:pt idx="2329">
                  <c:v>12.205261118370498</c:v>
                </c:pt>
                <c:pt idx="2330">
                  <c:v>12.208205890723889</c:v>
                </c:pt>
                <c:pt idx="2331">
                  <c:v>12.211149943449023</c:v>
                </c:pt>
                <c:pt idx="2332">
                  <c:v>12.214093277080076</c:v>
                </c:pt>
                <c:pt idx="2333">
                  <c:v>12.217035892150548</c:v>
                </c:pt>
                <c:pt idx="2334">
                  <c:v>12.219977789193274</c:v>
                </c:pt>
                <c:pt idx="2335">
                  <c:v>12.222918968740423</c:v>
                </c:pt>
                <c:pt idx="2336">
                  <c:v>12.225859431323492</c:v>
                </c:pt>
                <c:pt idx="2337">
                  <c:v>12.228799177473327</c:v>
                </c:pt>
                <c:pt idx="2338">
                  <c:v>12.231738207720099</c:v>
                </c:pt>
                <c:pt idx="2339">
                  <c:v>12.234676522593325</c:v>
                </c:pt>
                <c:pt idx="2340">
                  <c:v>12.237614122621862</c:v>
                </c:pt>
                <c:pt idx="2341">
                  <c:v>12.240551008333897</c:v>
                </c:pt>
                <c:pt idx="2342">
                  <c:v>12.243487180256974</c:v>
                </c:pt>
                <c:pt idx="2343">
                  <c:v>12.246422638917968</c:v>
                </c:pt>
                <c:pt idx="2344">
                  <c:v>12.249357384843107</c:v>
                </c:pt>
                <c:pt idx="2345">
                  <c:v>12.252291418557956</c:v>
                </c:pt>
                <c:pt idx="2346">
                  <c:v>12.255224740587437</c:v>
                </c:pt>
                <c:pt idx="2347">
                  <c:v>12.258157351455809</c:v>
                </c:pt>
                <c:pt idx="2348">
                  <c:v>12.261089251686684</c:v>
                </c:pt>
                <c:pt idx="2349">
                  <c:v>12.264020441803027</c:v>
                </c:pt>
                <c:pt idx="2350">
                  <c:v>12.266950922327151</c:v>
                </c:pt>
                <c:pt idx="2351">
                  <c:v>12.269880693780722</c:v>
                </c:pt>
                <c:pt idx="2352">
                  <c:v>12.272809756684758</c:v>
                </c:pt>
                <c:pt idx="2353">
                  <c:v>12.275738111559633</c:v>
                </c:pt>
                <c:pt idx="2354">
                  <c:v>12.278665758925076</c:v>
                </c:pt>
                <c:pt idx="2355">
                  <c:v>12.281592699300177</c:v>
                </c:pt>
                <c:pt idx="2356">
                  <c:v>12.284518933203376</c:v>
                </c:pt>
                <c:pt idx="2357">
                  <c:v>12.287444461152477</c:v>
                </c:pt>
                <c:pt idx="2358">
                  <c:v>12.290369283664646</c:v>
                </c:pt>
                <c:pt idx="2359">
                  <c:v>12.293293401256401</c:v>
                </c:pt>
                <c:pt idx="2360">
                  <c:v>12.296216814443635</c:v>
                </c:pt>
                <c:pt idx="2361">
                  <c:v>12.299139523741598</c:v>
                </c:pt>
                <c:pt idx="2362">
                  <c:v>12.302061529664904</c:v>
                </c:pt>
                <c:pt idx="2363">
                  <c:v>12.304982832727532</c:v>
                </c:pt>
                <c:pt idx="2364">
                  <c:v>12.30790343344283</c:v>
                </c:pt>
                <c:pt idx="2365">
                  <c:v>12.310823332323519</c:v>
                </c:pt>
                <c:pt idx="2366">
                  <c:v>12.313742529881678</c:v>
                </c:pt>
                <c:pt idx="2367">
                  <c:v>12.316661026628761</c:v>
                </c:pt>
                <c:pt idx="2368">
                  <c:v>12.319578823075599</c:v>
                </c:pt>
                <c:pt idx="2369">
                  <c:v>12.322495919732388</c:v>
                </c:pt>
                <c:pt idx="2370">
                  <c:v>12.325412317108697</c:v>
                </c:pt>
                <c:pt idx="2371">
                  <c:v>12.328328015713478</c:v>
                </c:pt>
                <c:pt idx="2372">
                  <c:v>12.331243016055048</c:v>
                </c:pt>
                <c:pt idx="2373">
                  <c:v>12.334157318641108</c:v>
                </c:pt>
                <c:pt idx="2374">
                  <c:v>12.337070923978732</c:v>
                </c:pt>
                <c:pt idx="2375">
                  <c:v>12.339983832574376</c:v>
                </c:pt>
                <c:pt idx="2376">
                  <c:v>12.342896044933878</c:v>
                </c:pt>
                <c:pt idx="2377">
                  <c:v>12.345807561562449</c:v>
                </c:pt>
                <c:pt idx="2378">
                  <c:v>12.348718382964693</c:v>
                </c:pt>
                <c:pt idx="2379">
                  <c:v>12.351628509644584</c:v>
                </c:pt>
                <c:pt idx="2380">
                  <c:v>12.354537942105495</c:v>
                </c:pt>
                <c:pt idx="2381">
                  <c:v>12.35744668085017</c:v>
                </c:pt>
                <c:pt idx="2382">
                  <c:v>12.360354726380752</c:v>
                </c:pt>
                <c:pt idx="2383">
                  <c:v>12.363262079198762</c:v>
                </c:pt>
                <c:pt idx="2384">
                  <c:v>12.36616873980511</c:v>
                </c:pt>
                <c:pt idx="2385">
                  <c:v>12.369074708700104</c:v>
                </c:pt>
                <c:pt idx="2386">
                  <c:v>12.371979986383433</c:v>
                </c:pt>
                <c:pt idx="2387">
                  <c:v>12.374884573354187</c:v>
                </c:pt>
                <c:pt idx="2388">
                  <c:v>12.377788470110834</c:v>
                </c:pt>
                <c:pt idx="2389">
                  <c:v>12.380691677151251</c:v>
                </c:pt>
                <c:pt idx="2390">
                  <c:v>12.383594194972703</c:v>
                </c:pt>
                <c:pt idx="2391">
                  <c:v>12.38649602407185</c:v>
                </c:pt>
                <c:pt idx="2392">
                  <c:v>12.38939716494475</c:v>
                </c:pt>
                <c:pt idx="2393">
                  <c:v>12.392297618086861</c:v>
                </c:pt>
                <c:pt idx="2394">
                  <c:v>12.395197383993036</c:v>
                </c:pt>
                <c:pt idx="2395">
                  <c:v>12.398096463157529</c:v>
                </c:pt>
                <c:pt idx="2396">
                  <c:v>12.400994856074</c:v>
                </c:pt>
                <c:pt idx="2397">
                  <c:v>12.4038925632355</c:v>
                </c:pt>
                <c:pt idx="2398">
                  <c:v>12.406789585134494</c:v>
                </c:pt>
                <c:pt idx="2399">
                  <c:v>12.409685922262847</c:v>
                </c:pt>
                <c:pt idx="2400">
                  <c:v>12.412581575111826</c:v>
                </c:pt>
                <c:pt idx="2401">
                  <c:v>12.415476544172108</c:v>
                </c:pt>
                <c:pt idx="2402">
                  <c:v>12.418370829933776</c:v>
                </c:pt>
                <c:pt idx="2403">
                  <c:v>12.421264432886323</c:v>
                </c:pt>
                <c:pt idx="2404">
                  <c:v>12.424157353518645</c:v>
                </c:pt>
                <c:pt idx="2405">
                  <c:v>12.427049592319054</c:v>
                </c:pt>
                <c:pt idx="2406">
                  <c:v>12.429941149775274</c:v>
                </c:pt>
                <c:pt idx="2407">
                  <c:v>12.432832026374435</c:v>
                </c:pt>
                <c:pt idx="2408">
                  <c:v>12.435722222603083</c:v>
                </c:pt>
                <c:pt idx="2409">
                  <c:v>12.438611738947181</c:v>
                </c:pt>
                <c:pt idx="2410">
                  <c:v>12.441500575892103</c:v>
                </c:pt>
                <c:pt idx="2411">
                  <c:v>12.444388733922636</c:v>
                </c:pt>
                <c:pt idx="2412">
                  <c:v>12.447276213523002</c:v>
                </c:pt>
                <c:pt idx="2413">
                  <c:v>12.450163015176818</c:v>
                </c:pt>
                <c:pt idx="2414">
                  <c:v>12.453049139367131</c:v>
                </c:pt>
                <c:pt idx="2415">
                  <c:v>12.455934586576412</c:v>
                </c:pt>
                <c:pt idx="2416">
                  <c:v>12.45881935728654</c:v>
                </c:pt>
                <c:pt idx="2417">
                  <c:v>12.461703451978831</c:v>
                </c:pt>
                <c:pt idx="2418">
                  <c:v>12.464586871134015</c:v>
                </c:pt>
                <c:pt idx="2419">
                  <c:v>12.46746961523225</c:v>
                </c:pt>
                <c:pt idx="2420">
                  <c:v>12.470351684753112</c:v>
                </c:pt>
                <c:pt idx="2421">
                  <c:v>12.473233080175618</c:v>
                </c:pt>
                <c:pt idx="2422">
                  <c:v>12.476113801978194</c:v>
                </c:pt>
                <c:pt idx="2423">
                  <c:v>12.4789938506387</c:v>
                </c:pt>
                <c:pt idx="2424">
                  <c:v>12.481873226634438</c:v>
                </c:pt>
                <c:pt idx="2425">
                  <c:v>12.484751930442114</c:v>
                </c:pt>
                <c:pt idx="2426">
                  <c:v>12.487629962537889</c:v>
                </c:pt>
                <c:pt idx="2427">
                  <c:v>12.490507323397349</c:v>
                </c:pt>
                <c:pt idx="2428">
                  <c:v>12.493384013495502</c:v>
                </c:pt>
                <c:pt idx="2429">
                  <c:v>12.4962600333068</c:v>
                </c:pt>
                <c:pt idx="2430">
                  <c:v>12.499135383305131</c:v>
                </c:pt>
                <c:pt idx="2431">
                  <c:v>12.502010063963811</c:v>
                </c:pt>
                <c:pt idx="2432">
                  <c:v>12.504884075755594</c:v>
                </c:pt>
                <c:pt idx="2433">
                  <c:v>12.507757419152682</c:v>
                </c:pt>
                <c:pt idx="2434">
                  <c:v>12.5106300946267</c:v>
                </c:pt>
                <c:pt idx="2435">
                  <c:v>12.513502102648721</c:v>
                </c:pt>
                <c:pt idx="2436">
                  <c:v>12.516373443689258</c:v>
                </c:pt>
                <c:pt idx="2437">
                  <c:v>12.519244118218264</c:v>
                </c:pt>
                <c:pt idx="2438">
                  <c:v>12.522114126705134</c:v>
                </c:pt>
                <c:pt idx="2439">
                  <c:v>12.524983469618705</c:v>
                </c:pt>
                <c:pt idx="2440">
                  <c:v>12.527852147427263</c:v>
                </c:pt>
                <c:pt idx="2441">
                  <c:v>12.530720160598529</c:v>
                </c:pt>
                <c:pt idx="2442">
                  <c:v>12.533587509599684</c:v>
                </c:pt>
                <c:pt idx="2443">
                  <c:v>12.536454194897344</c:v>
                </c:pt>
                <c:pt idx="2444">
                  <c:v>12.539320216957575</c:v>
                </c:pt>
                <c:pt idx="2445">
                  <c:v>12.542185576245899</c:v>
                </c:pt>
                <c:pt idx="2446">
                  <c:v>12.545050273227279</c:v>
                </c:pt>
                <c:pt idx="2447">
                  <c:v>12.547914308366131</c:v>
                </c:pt>
                <c:pt idx="2448">
                  <c:v>12.550777682126323</c:v>
                </c:pt>
                <c:pt idx="2449">
                  <c:v>12.553640394971181</c:v>
                </c:pt>
                <c:pt idx="2450">
                  <c:v>12.556502447363471</c:v>
                </c:pt>
                <c:pt idx="2451">
                  <c:v>12.559363839765428</c:v>
                </c:pt>
                <c:pt idx="2452">
                  <c:v>12.56222457263873</c:v>
                </c:pt>
                <c:pt idx="2453">
                  <c:v>12.565084646444518</c:v>
                </c:pt>
                <c:pt idx="2454">
                  <c:v>12.567944061643392</c:v>
                </c:pt>
                <c:pt idx="2455">
                  <c:v>12.570802818695398</c:v>
                </c:pt>
                <c:pt idx="2456">
                  <c:v>12.573660918060057</c:v>
                </c:pt>
                <c:pt idx="2457">
                  <c:v>12.576518360196332</c:v>
                </c:pt>
                <c:pt idx="2458">
                  <c:v>12.579375145562665</c:v>
                </c:pt>
                <c:pt idx="2459">
                  <c:v>12.582231274616944</c:v>
                </c:pt>
                <c:pt idx="2460">
                  <c:v>12.585086747816531</c:v>
                </c:pt>
                <c:pt idx="2461">
                  <c:v>12.587941565618241</c:v>
                </c:pt>
                <c:pt idx="2462">
                  <c:v>12.590795728478358</c:v>
                </c:pt>
                <c:pt idx="2463">
                  <c:v>12.593649236852633</c:v>
                </c:pt>
                <c:pt idx="2464">
                  <c:v>12.596502091196278</c:v>
                </c:pt>
                <c:pt idx="2465">
                  <c:v>12.59935429196398</c:v>
                </c:pt>
                <c:pt idx="2466">
                  <c:v>12.602205839609883</c:v>
                </c:pt>
                <c:pt idx="2467">
                  <c:v>12.605056734587606</c:v>
                </c:pt>
                <c:pt idx="2468">
                  <c:v>12.607906977350236</c:v>
                </c:pt>
                <c:pt idx="2469">
                  <c:v>12.610756568350331</c:v>
                </c:pt>
                <c:pt idx="2470">
                  <c:v>12.613605508039917</c:v>
                </c:pt>
                <c:pt idx="2471">
                  <c:v>12.616453796870498</c:v>
                </c:pt>
                <c:pt idx="2472">
                  <c:v>12.619301435293046</c:v>
                </c:pt>
                <c:pt idx="2473">
                  <c:v>12.622148423758007</c:v>
                </c:pt>
                <c:pt idx="2474">
                  <c:v>12.624994762715305</c:v>
                </c:pt>
                <c:pt idx="2475">
                  <c:v>12.627840452614334</c:v>
                </c:pt>
                <c:pt idx="2476">
                  <c:v>12.630685493903972</c:v>
                </c:pt>
                <c:pt idx="2477">
                  <c:v>12.633529887032566</c:v>
                </c:pt>
                <c:pt idx="2478">
                  <c:v>12.636373632447945</c:v>
                </c:pt>
                <c:pt idx="2479">
                  <c:v>12.639216730597422</c:v>
                </c:pt>
                <c:pt idx="2480">
                  <c:v>12.642059181927779</c:v>
                </c:pt>
                <c:pt idx="2481">
                  <c:v>12.644900986885288</c:v>
                </c:pt>
                <c:pt idx="2482">
                  <c:v>12.647742145915698</c:v>
                </c:pt>
                <c:pt idx="2483">
                  <c:v>12.650582659464241</c:v>
                </c:pt>
                <c:pt idx="2484">
                  <c:v>12.653422527975632</c:v>
                </c:pt>
                <c:pt idx="2485">
                  <c:v>12.656261751894071</c:v>
                </c:pt>
                <c:pt idx="2486">
                  <c:v>12.65910033166324</c:v>
                </c:pt>
                <c:pt idx="2487">
                  <c:v>12.661938267726317</c:v>
                </c:pt>
                <c:pt idx="2488">
                  <c:v>12.66477556052595</c:v>
                </c:pt>
                <c:pt idx="2489">
                  <c:v>12.667612210504288</c:v>
                </c:pt>
                <c:pt idx="2490">
                  <c:v>12.670448218102962</c:v>
                </c:pt>
                <c:pt idx="2491">
                  <c:v>12.673283583763094</c:v>
                </c:pt>
                <c:pt idx="2492">
                  <c:v>12.676118307925297</c:v>
                </c:pt>
                <c:pt idx="2493">
                  <c:v>12.67895239102967</c:v>
                </c:pt>
                <c:pt idx="2494">
                  <c:v>12.681785833515811</c:v>
                </c:pt>
                <c:pt idx="2495">
                  <c:v>12.684618635822805</c:v>
                </c:pt>
                <c:pt idx="2496">
                  <c:v>12.687450798389232</c:v>
                </c:pt>
                <c:pt idx="2497">
                  <c:v>12.690282321653164</c:v>
                </c:pt>
                <c:pt idx="2498">
                  <c:v>12.693113206052169</c:v>
                </c:pt>
                <c:pt idx="2499">
                  <c:v>12.695943452023318</c:v>
                </c:pt>
                <c:pt idx="2500">
                  <c:v>12.698773060003166</c:v>
                </c:pt>
                <c:pt idx="2501">
                  <c:v>12.70160203042777</c:v>
                </c:pt>
                <c:pt idx="2502">
                  <c:v>12.704430363732692</c:v>
                </c:pt>
                <c:pt idx="2503">
                  <c:v>12.707258060352986</c:v>
                </c:pt>
                <c:pt idx="2504">
                  <c:v>12.710085120723207</c:v>
                </c:pt>
                <c:pt idx="2505">
                  <c:v>12.712911545277409</c:v>
                </c:pt>
                <c:pt idx="2506">
                  <c:v>12.715737334449155</c:v>
                </c:pt>
                <c:pt idx="2507">
                  <c:v>12.718562488671502</c:v>
                </c:pt>
                <c:pt idx="2508">
                  <c:v>12.721387008377011</c:v>
                </c:pt>
                <c:pt idx="2509">
                  <c:v>12.72421089399775</c:v>
                </c:pt>
                <c:pt idx="2510">
                  <c:v>12.727034145965291</c:v>
                </c:pt>
                <c:pt idx="2511">
                  <c:v>12.729856764710711</c:v>
                </c:pt>
                <c:pt idx="2512">
                  <c:v>12.732678750664597</c:v>
                </c:pt>
                <c:pt idx="2513">
                  <c:v>12.735500104257033</c:v>
                </c:pt>
                <c:pt idx="2514">
                  <c:v>12.73832082591762</c:v>
                </c:pt>
                <c:pt idx="2515">
                  <c:v>12.741140916075468</c:v>
                </c:pt>
                <c:pt idx="2516">
                  <c:v>12.743960375159189</c:v>
                </c:pt>
                <c:pt idx="2517">
                  <c:v>12.746779203596912</c:v>
                </c:pt>
                <c:pt idx="2518">
                  <c:v>12.749597401816274</c:v>
                </c:pt>
                <c:pt idx="2519">
                  <c:v>12.752414970244423</c:v>
                </c:pt>
                <c:pt idx="2520">
                  <c:v>12.755231909308026</c:v>
                </c:pt>
                <c:pt idx="2521">
                  <c:v>12.758048219433256</c:v>
                </c:pt>
                <c:pt idx="2522">
                  <c:v>12.760863901045802</c:v>
                </c:pt>
                <c:pt idx="2523">
                  <c:v>12.763678954570869</c:v>
                </c:pt>
                <c:pt idx="2524">
                  <c:v>12.766493380433182</c:v>
                </c:pt>
                <c:pt idx="2525">
                  <c:v>12.76930717905697</c:v>
                </c:pt>
                <c:pt idx="2526">
                  <c:v>12.772120350865993</c:v>
                </c:pt>
                <c:pt idx="2527">
                  <c:v>12.774932896283527</c:v>
                </c:pt>
                <c:pt idx="2528">
                  <c:v>12.777744815732355</c:v>
                </c:pt>
                <c:pt idx="2529">
                  <c:v>12.780556109634794</c:v>
                </c:pt>
                <c:pt idx="2530">
                  <c:v>12.783366778412674</c:v>
                </c:pt>
                <c:pt idx="2531">
                  <c:v>12.786176822487352</c:v>
                </c:pt>
                <c:pt idx="2532">
                  <c:v>12.788986242279693</c:v>
                </c:pt>
                <c:pt idx="2533">
                  <c:v>12.791795038210104</c:v>
                </c:pt>
                <c:pt idx="2534">
                  <c:v>12.794603210698499</c:v>
                </c:pt>
                <c:pt idx="2535">
                  <c:v>12.797410760164329</c:v>
                </c:pt>
                <c:pt idx="2536">
                  <c:v>12.80021768702656</c:v>
                </c:pt>
                <c:pt idx="2537">
                  <c:v>12.803023991703691</c:v>
                </c:pt>
                <c:pt idx="2538">
                  <c:v>12.805829674613742</c:v>
                </c:pt>
                <c:pt idx="2539">
                  <c:v>12.808634736174266</c:v>
                </c:pt>
                <c:pt idx="2540">
                  <c:v>12.811439176802335</c:v>
                </c:pt>
                <c:pt idx="2541">
                  <c:v>12.814242996914562</c:v>
                </c:pt>
                <c:pt idx="2542">
                  <c:v>12.817046196927077</c:v>
                </c:pt>
                <c:pt idx="2543">
                  <c:v>12.819848777255554</c:v>
                </c:pt>
                <c:pt idx="2544">
                  <c:v>12.822650738315188</c:v>
                </c:pt>
                <c:pt idx="2545">
                  <c:v>12.825452080520705</c:v>
                </c:pt>
                <c:pt idx="2546">
                  <c:v>12.828252804286368</c:v>
                </c:pt>
                <c:pt idx="2547">
                  <c:v>12.831052910025974</c:v>
                </c:pt>
                <c:pt idx="2548">
                  <c:v>12.833852398152851</c:v>
                </c:pt>
                <c:pt idx="2549">
                  <c:v>12.836651269079866</c:v>
                </c:pt>
                <c:pt idx="2550">
                  <c:v>12.839449523219415</c:v>
                </c:pt>
                <c:pt idx="2551">
                  <c:v>12.842247160983431</c:v>
                </c:pt>
                <c:pt idx="2552">
                  <c:v>12.845044182783393</c:v>
                </c:pt>
                <c:pt idx="2553">
                  <c:v>12.84784058903031</c:v>
                </c:pt>
                <c:pt idx="2554">
                  <c:v>12.850636380134729</c:v>
                </c:pt>
                <c:pt idx="2555">
                  <c:v>12.853431556506738</c:v>
                </c:pt>
                <c:pt idx="2556">
                  <c:v>12.856226118555966</c:v>
                </c:pt>
                <c:pt idx="2557">
                  <c:v>12.859020066691581</c:v>
                </c:pt>
                <c:pt idx="2558">
                  <c:v>12.861813401322294</c:v>
                </c:pt>
                <c:pt idx="2559">
                  <c:v>12.864606122856358</c:v>
                </c:pt>
                <c:pt idx="2560">
                  <c:v>12.867398231701568</c:v>
                </c:pt>
                <c:pt idx="2561">
                  <c:v>12.870189728265258</c:v>
                </c:pt>
                <c:pt idx="2562">
                  <c:v>12.872980612954315</c:v>
                </c:pt>
                <c:pt idx="2563">
                  <c:v>12.875770886175166</c:v>
                </c:pt>
                <c:pt idx="2564">
                  <c:v>12.878560548333786</c:v>
                </c:pt>
                <c:pt idx="2565">
                  <c:v>12.881349599835691</c:v>
                </c:pt>
                <c:pt idx="2566">
                  <c:v>12.884138041085951</c:v>
                </c:pt>
                <c:pt idx="2567">
                  <c:v>12.886925872489179</c:v>
                </c:pt>
                <c:pt idx="2568">
                  <c:v>12.88971309444954</c:v>
                </c:pt>
                <c:pt idx="2569">
                  <c:v>12.892499707370749</c:v>
                </c:pt>
                <c:pt idx="2570">
                  <c:v>12.895285711656065</c:v>
                </c:pt>
                <c:pt idx="2571">
                  <c:v>12.898071107708304</c:v>
                </c:pt>
                <c:pt idx="2572">
                  <c:v>12.900855895929828</c:v>
                </c:pt>
                <c:pt idx="2573">
                  <c:v>12.903640076722557</c:v>
                </c:pt>
                <c:pt idx="2574">
                  <c:v>12.906423650487959</c:v>
                </c:pt>
                <c:pt idx="2575">
                  <c:v>12.909206617627055</c:v>
                </c:pt>
                <c:pt idx="2576">
                  <c:v>12.911988978540428</c:v>
                </c:pt>
                <c:pt idx="2577">
                  <c:v>12.91477073362821</c:v>
                </c:pt>
                <c:pt idx="2578">
                  <c:v>12.917551883290082</c:v>
                </c:pt>
                <c:pt idx="2579">
                  <c:v>12.920332427925295</c:v>
                </c:pt>
                <c:pt idx="2580">
                  <c:v>12.923112367932653</c:v>
                </c:pt>
                <c:pt idx="2581">
                  <c:v>12.925891703710507</c:v>
                </c:pt>
                <c:pt idx="2582">
                  <c:v>12.92867043565678</c:v>
                </c:pt>
                <c:pt idx="2583">
                  <c:v>12.931448564168946</c:v>
                </c:pt>
                <c:pt idx="2584">
                  <c:v>12.934226089644042</c:v>
                </c:pt>
                <c:pt idx="2585">
                  <c:v>12.937003012478666</c:v>
                </c:pt>
                <c:pt idx="2586">
                  <c:v>12.939779333068977</c:v>
                </c:pt>
                <c:pt idx="2587">
                  <c:v>12.942555051810693</c:v>
                </c:pt>
                <c:pt idx="2588">
                  <c:v>12.945330169099096</c:v>
                </c:pt>
                <c:pt idx="2589">
                  <c:v>12.948104685329033</c:v>
                </c:pt>
                <c:pt idx="2590">
                  <c:v>12.950878600894912</c:v>
                </c:pt>
                <c:pt idx="2591">
                  <c:v>12.953651916190708</c:v>
                </c:pt>
                <c:pt idx="2592">
                  <c:v>12.956424631609961</c:v>
                </c:pt>
                <c:pt idx="2593">
                  <c:v>12.959196747545775</c:v>
                </c:pt>
                <c:pt idx="2594">
                  <c:v>12.961968264390825</c:v>
                </c:pt>
                <c:pt idx="2595">
                  <c:v>12.964739182537345</c:v>
                </c:pt>
                <c:pt idx="2596">
                  <c:v>12.967509502377148</c:v>
                </c:pt>
                <c:pt idx="2597">
                  <c:v>12.970279224301603</c:v>
                </c:pt>
                <c:pt idx="2598">
                  <c:v>12.97304834870166</c:v>
                </c:pt>
                <c:pt idx="2599">
                  <c:v>12.975816875967833</c:v>
                </c:pt>
                <c:pt idx="2600">
                  <c:v>12.978584806490208</c:v>
                </c:pt>
                <c:pt idx="2601">
                  <c:v>12.981352140658441</c:v>
                </c:pt>
                <c:pt idx="2602">
                  <c:v>12.984118878861759</c:v>
                </c:pt>
                <c:pt idx="2603">
                  <c:v>12.986885021488968</c:v>
                </c:pt>
                <c:pt idx="2604">
                  <c:v>12.989650568928438</c:v>
                </c:pt>
                <c:pt idx="2605">
                  <c:v>12.992415521568123</c:v>
                </c:pt>
                <c:pt idx="2606">
                  <c:v>12.995179879795543</c:v>
                </c:pt>
                <c:pt idx="2607">
                  <c:v>12.997943643997798</c:v>
                </c:pt>
                <c:pt idx="2608">
                  <c:v>13.000706814561564</c:v>
                </c:pt>
                <c:pt idx="2609">
                  <c:v>13.003469391873086</c:v>
                </c:pt>
                <c:pt idx="2610">
                  <c:v>13.006231376318199</c:v>
                </c:pt>
                <c:pt idx="2611">
                  <c:v>13.008992768282308</c:v>
                </c:pt>
                <c:pt idx="2612">
                  <c:v>13.011753568150397</c:v>
                </c:pt>
                <c:pt idx="2613">
                  <c:v>13.014513776307028</c:v>
                </c:pt>
                <c:pt idx="2614">
                  <c:v>13.01727339313635</c:v>
                </c:pt>
                <c:pt idx="2615">
                  <c:v>13.020032419022083</c:v>
                </c:pt>
                <c:pt idx="2616">
                  <c:v>13.022790854347534</c:v>
                </c:pt>
                <c:pt idx="2617">
                  <c:v>13.025548699495589</c:v>
                </c:pt>
                <c:pt idx="2618">
                  <c:v>13.028305954848721</c:v>
                </c:pt>
                <c:pt idx="2619">
                  <c:v>13.031062620788981</c:v>
                </c:pt>
                <c:pt idx="2620">
                  <c:v>13.033818697698006</c:v>
                </c:pt>
                <c:pt idx="2621">
                  <c:v>13.036574185957017</c:v>
                </c:pt>
                <c:pt idx="2622">
                  <c:v>13.039329085946818</c:v>
                </c:pt>
                <c:pt idx="2623">
                  <c:v>13.042083398047804</c:v>
                </c:pt>
                <c:pt idx="2624">
                  <c:v>13.044837122639951</c:v>
                </c:pt>
                <c:pt idx="2625">
                  <c:v>13.047590260102822</c:v>
                </c:pt>
                <c:pt idx="2626">
                  <c:v>13.050342810815575</c:v>
                </c:pt>
                <c:pt idx="2627">
                  <c:v>13.053094775156943</c:v>
                </c:pt>
                <c:pt idx="2628">
                  <c:v>13.055846153505261</c:v>
                </c:pt>
                <c:pt idx="2629">
                  <c:v>13.058596946238444</c:v>
                </c:pt>
                <c:pt idx="2630">
                  <c:v>13.061347153734005</c:v>
                </c:pt>
                <c:pt idx="2631">
                  <c:v>13.064096776369041</c:v>
                </c:pt>
                <c:pt idx="2632">
                  <c:v>13.06684581452024</c:v>
                </c:pt>
                <c:pt idx="2633">
                  <c:v>13.06959426856389</c:v>
                </c:pt>
                <c:pt idx="2634">
                  <c:v>13.072342138875864</c:v>
                </c:pt>
                <c:pt idx="2635">
                  <c:v>13.07508942583163</c:v>
                </c:pt>
                <c:pt idx="2636">
                  <c:v>13.077836129806251</c:v>
                </c:pt>
                <c:pt idx="2637">
                  <c:v>13.080582251174382</c:v>
                </c:pt>
                <c:pt idx="2638">
                  <c:v>13.083327790310278</c:v>
                </c:pt>
                <c:pt idx="2639">
                  <c:v>13.086072747587785</c:v>
                </c:pt>
                <c:pt idx="2640">
                  <c:v>13.088817123380348</c:v>
                </c:pt>
                <c:pt idx="2641">
                  <c:v>13.091560918061003</c:v>
                </c:pt>
                <c:pt idx="2642">
                  <c:v>13.094304132002396</c:v>
                </c:pt>
                <c:pt idx="2643">
                  <c:v>13.097046765576756</c:v>
                </c:pt>
                <c:pt idx="2644">
                  <c:v>13.099788819155926</c:v>
                </c:pt>
                <c:pt idx="2645">
                  <c:v>13.102530293111329</c:v>
                </c:pt>
                <c:pt idx="2646">
                  <c:v>13.105271187814008</c:v>
                </c:pt>
                <c:pt idx="2647">
                  <c:v>13.1080115036346</c:v>
                </c:pt>
                <c:pt idx="2648">
                  <c:v>13.110751240943333</c:v>
                </c:pt>
                <c:pt idx="2649">
                  <c:v>13.113490400110049</c:v>
                </c:pt>
                <c:pt idx="2650">
                  <c:v>13.116228981504189</c:v>
                </c:pt>
                <c:pt idx="2651">
                  <c:v>13.118966985494797</c:v>
                </c:pt>
                <c:pt idx="2652">
                  <c:v>13.121704412450519</c:v>
                </c:pt>
                <c:pt idx="2653">
                  <c:v>13.124441262739605</c:v>
                </c:pt>
                <c:pt idx="2654">
                  <c:v>13.127177536729912</c:v>
                </c:pt>
                <c:pt idx="2655">
                  <c:v>13.129913234788905</c:v>
                </c:pt>
                <c:pt idx="2656">
                  <c:v>13.132648357283642</c:v>
                </c:pt>
                <c:pt idx="2657">
                  <c:v>13.135382904580805</c:v>
                </c:pt>
                <c:pt idx="2658">
                  <c:v>13.138116877046674</c:v>
                </c:pt>
                <c:pt idx="2659">
                  <c:v>13.140850275047132</c:v>
                </c:pt>
                <c:pt idx="2660">
                  <c:v>13.143583098947683</c:v>
                </c:pt>
                <c:pt idx="2661">
                  <c:v>13.146315349113431</c:v>
                </c:pt>
                <c:pt idx="2662">
                  <c:v>13.149047025909093</c:v>
                </c:pt>
                <c:pt idx="2663">
                  <c:v>13.151778129698993</c:v>
                </c:pt>
                <c:pt idx="2664">
                  <c:v>13.154508660847064</c:v>
                </c:pt>
                <c:pt idx="2665">
                  <c:v>13.157238619716864</c:v>
                </c:pt>
                <c:pt idx="2666">
                  <c:v>13.159968006671543</c:v>
                </c:pt>
                <c:pt idx="2667">
                  <c:v>13.162696822073883</c:v>
                </c:pt>
                <c:pt idx="2668">
                  <c:v>13.165425066286257</c:v>
                </c:pt>
                <c:pt idx="2669">
                  <c:v>13.168152739670674</c:v>
                </c:pt>
                <c:pt idx="2670">
                  <c:v>13.170879842588745</c:v>
                </c:pt>
                <c:pt idx="2671">
                  <c:v>13.173606375401697</c:v>
                </c:pt>
                <c:pt idx="2672">
                  <c:v>13.176332338470374</c:v>
                </c:pt>
                <c:pt idx="2673">
                  <c:v>13.179057732155234</c:v>
                </c:pt>
                <c:pt idx="2674">
                  <c:v>13.181782556816358</c:v>
                </c:pt>
                <c:pt idx="2675">
                  <c:v>13.184506812813435</c:v>
                </c:pt>
                <c:pt idx="2676">
                  <c:v>13.187230500505773</c:v>
                </c:pt>
                <c:pt idx="2677">
                  <c:v>13.189953620252309</c:v>
                </c:pt>
                <c:pt idx="2678">
                  <c:v>13.192676172411586</c:v>
                </c:pt>
                <c:pt idx="2679">
                  <c:v>13.195398157341774</c:v>
                </c:pt>
                <c:pt idx="2680">
                  <c:v>13.198119575400657</c:v>
                </c:pt>
                <c:pt idx="2681">
                  <c:v>13.200840426945645</c:v>
                </c:pt>
                <c:pt idx="2682">
                  <c:v>13.203560712333765</c:v>
                </c:pt>
                <c:pt idx="2683">
                  <c:v>13.206280431921673</c:v>
                </c:pt>
                <c:pt idx="2684">
                  <c:v>13.208999586065639</c:v>
                </c:pt>
                <c:pt idx="2685">
                  <c:v>13.211718175121558</c:v>
                </c:pt>
                <c:pt idx="2686">
                  <c:v>13.21443619944495</c:v>
                </c:pt>
                <c:pt idx="2687">
                  <c:v>13.217153659390959</c:v>
                </c:pt>
                <c:pt idx="2688">
                  <c:v>13.219870555314355</c:v>
                </c:pt>
                <c:pt idx="2689">
                  <c:v>13.222586887569523</c:v>
                </c:pt>
                <c:pt idx="2690">
                  <c:v>13.225302656510491</c:v>
                </c:pt>
                <c:pt idx="2691">
                  <c:v>13.228017862490898</c:v>
                </c:pt>
                <c:pt idx="2692">
                  <c:v>13.230732505864017</c:v>
                </c:pt>
                <c:pt idx="2693">
                  <c:v>13.233446586982746</c:v>
                </c:pt>
                <c:pt idx="2694">
                  <c:v>13.236160106199614</c:v>
                </c:pt>
                <c:pt idx="2695">
                  <c:v>13.23887306386677</c:v>
                </c:pt>
                <c:pt idx="2696">
                  <c:v>13.241585460336005</c:v>
                </c:pt>
                <c:pt idx="2697">
                  <c:v>13.244297295958731</c:v>
                </c:pt>
                <c:pt idx="2698">
                  <c:v>13.247008571085987</c:v>
                </c:pt>
                <c:pt idx="2699">
                  <c:v>13.249719286068451</c:v>
                </c:pt>
                <c:pt idx="2700">
                  <c:v>13.25242944125643</c:v>
                </c:pt>
                <c:pt idx="2701">
                  <c:v>13.255139036999859</c:v>
                </c:pt>
                <c:pt idx="2702">
                  <c:v>13.257848073648304</c:v>
                </c:pt>
                <c:pt idx="2703">
                  <c:v>13.260556551550973</c:v>
                </c:pt>
                <c:pt idx="2704">
                  <c:v>13.263264471056695</c:v>
                </c:pt>
                <c:pt idx="2705">
                  <c:v>13.265971832513948</c:v>
                </c:pt>
                <c:pt idx="2706">
                  <c:v>13.268678636270829</c:v>
                </c:pt>
                <c:pt idx="2707">
                  <c:v>13.271384882675077</c:v>
                </c:pt>
                <c:pt idx="2708">
                  <c:v>13.274090572074069</c:v>
                </c:pt>
                <c:pt idx="2709">
                  <c:v>13.276795704814814</c:v>
                </c:pt>
                <c:pt idx="2710">
                  <c:v>13.27950028124396</c:v>
                </c:pt>
                <c:pt idx="2711">
                  <c:v>13.28220430170779</c:v>
                </c:pt>
                <c:pt idx="2712">
                  <c:v>13.284907766552227</c:v>
                </c:pt>
                <c:pt idx="2713">
                  <c:v>13.28761067612283</c:v>
                </c:pt>
                <c:pt idx="2714">
                  <c:v>13.290313030764796</c:v>
                </c:pt>
                <c:pt idx="2715">
                  <c:v>13.293014830822969</c:v>
                </c:pt>
                <c:pt idx="2716">
                  <c:v>13.295716076641821</c:v>
                </c:pt>
                <c:pt idx="2717">
                  <c:v>13.29841676856547</c:v>
                </c:pt>
                <c:pt idx="2718">
                  <c:v>13.301116906937676</c:v>
                </c:pt>
                <c:pt idx="2719">
                  <c:v>13.30381649210184</c:v>
                </c:pt>
                <c:pt idx="2720">
                  <c:v>13.306515524401005</c:v>
                </c:pt>
                <c:pt idx="2721">
                  <c:v>13.309214004177857</c:v>
                </c:pt>
                <c:pt idx="2722">
                  <c:v>13.311911931774722</c:v>
                </c:pt>
                <c:pt idx="2723">
                  <c:v>13.314609307533566</c:v>
                </c:pt>
                <c:pt idx="2724">
                  <c:v>13.317306131796016</c:v>
                </c:pt>
                <c:pt idx="2725">
                  <c:v>13.320002404903319</c:v>
                </c:pt>
                <c:pt idx="2726">
                  <c:v>13.322698127196389</c:v>
                </c:pt>
                <c:pt idx="2727">
                  <c:v>13.325393299015772</c:v>
                </c:pt>
                <c:pt idx="2728">
                  <c:v>13.328087920701668</c:v>
                </c:pt>
                <c:pt idx="2729">
                  <c:v>13.330781992593916</c:v>
                </c:pt>
                <c:pt idx="2730">
                  <c:v>13.333475515032006</c:v>
                </c:pt>
                <c:pt idx="2731">
                  <c:v>13.336168488355083</c:v>
                </c:pt>
                <c:pt idx="2732">
                  <c:v>13.338860912901925</c:v>
                </c:pt>
                <c:pt idx="2733">
                  <c:v>13.341552789010972</c:v>
                </c:pt>
                <c:pt idx="2734">
                  <c:v>13.344244117020304</c:v>
                </c:pt>
                <c:pt idx="2735">
                  <c:v>13.34693489726766</c:v>
                </c:pt>
                <c:pt idx="2736">
                  <c:v>13.34962513009042</c:v>
                </c:pt>
                <c:pt idx="2737">
                  <c:v>13.352314815825618</c:v>
                </c:pt>
                <c:pt idx="2738">
                  <c:v>13.355003954809945</c:v>
                </c:pt>
                <c:pt idx="2739">
                  <c:v>13.357692547379731</c:v>
                </c:pt>
                <c:pt idx="2740">
                  <c:v>13.360380593870975</c:v>
                </c:pt>
                <c:pt idx="2741">
                  <c:v>13.363068094619312</c:v>
                </c:pt>
                <c:pt idx="2742">
                  <c:v>13.365755049960043</c:v>
                </c:pt>
                <c:pt idx="2743">
                  <c:v>13.368441460228114</c:v>
                </c:pt>
                <c:pt idx="2744">
                  <c:v>13.371127325758135</c:v>
                </c:pt>
                <c:pt idx="2745">
                  <c:v>13.373812646884357</c:v>
                </c:pt>
                <c:pt idx="2746">
                  <c:v>13.376497423940702</c:v>
                </c:pt>
                <c:pt idx="2747">
                  <c:v>13.379181657260737</c:v>
                </c:pt>
                <c:pt idx="2748">
                  <c:v>13.381865347177689</c:v>
                </c:pt>
                <c:pt idx="2749">
                  <c:v>13.38454849402444</c:v>
                </c:pt>
                <c:pt idx="2750">
                  <c:v>13.38723109813353</c:v>
                </c:pt>
                <c:pt idx="2751">
                  <c:v>13.389913159837157</c:v>
                </c:pt>
                <c:pt idx="2752">
                  <c:v>13.39259467946718</c:v>
                </c:pt>
                <c:pt idx="2753">
                  <c:v>13.395275657355111</c:v>
                </c:pt>
                <c:pt idx="2754">
                  <c:v>13.397956093832128</c:v>
                </c:pt>
                <c:pt idx="2755">
                  <c:v>13.400635989229066</c:v>
                </c:pt>
                <c:pt idx="2756">
                  <c:v>13.403315343876418</c:v>
                </c:pt>
                <c:pt idx="2757">
                  <c:v>13.405994158104338</c:v>
                </c:pt>
                <c:pt idx="2758">
                  <c:v>13.408672432242644</c:v>
                </c:pt>
                <c:pt idx="2759">
                  <c:v>13.411350166620817</c:v>
                </c:pt>
                <c:pt idx="2760">
                  <c:v>13.414027361567992</c:v>
                </c:pt>
                <c:pt idx="2761">
                  <c:v>13.416704017412975</c:v>
                </c:pt>
                <c:pt idx="2762">
                  <c:v>13.419380134484236</c:v>
                </c:pt>
                <c:pt idx="2763">
                  <c:v>13.422055713109904</c:v>
                </c:pt>
                <c:pt idx="2764">
                  <c:v>13.424730753617769</c:v>
                </c:pt>
                <c:pt idx="2765">
                  <c:v>13.427405256335296</c:v>
                </c:pt>
                <c:pt idx="2766">
                  <c:v>13.430079221589605</c:v>
                </c:pt>
                <c:pt idx="2767">
                  <c:v>13.432752649707492</c:v>
                </c:pt>
                <c:pt idx="2768">
                  <c:v>13.435425541015405</c:v>
                </c:pt>
                <c:pt idx="2769">
                  <c:v>13.438097895839473</c:v>
                </c:pt>
                <c:pt idx="2770">
                  <c:v>13.440769714505482</c:v>
                </c:pt>
                <c:pt idx="2771">
                  <c:v>13.443440997338893</c:v>
                </c:pt>
                <c:pt idx="2772">
                  <c:v>13.44611174466483</c:v>
                </c:pt>
                <c:pt idx="2773">
                  <c:v>13.448781956808084</c:v>
                </c:pt>
                <c:pt idx="2774">
                  <c:v>13.45145163409312</c:v>
                </c:pt>
                <c:pt idx="2775">
                  <c:v>13.454120776844071</c:v>
                </c:pt>
                <c:pt idx="2776">
                  <c:v>13.456789385384742</c:v>
                </c:pt>
                <c:pt idx="2777">
                  <c:v>13.4594574600386</c:v>
                </c:pt>
                <c:pt idx="2778">
                  <c:v>13.462125001128793</c:v>
                </c:pt>
                <c:pt idx="2779">
                  <c:v>13.464792008978133</c:v>
                </c:pt>
                <c:pt idx="2780">
                  <c:v>13.467458483909109</c:v>
                </c:pt>
                <c:pt idx="2781">
                  <c:v>13.47012442624388</c:v>
                </c:pt>
                <c:pt idx="2782">
                  <c:v>13.472789836304276</c:v>
                </c:pt>
                <c:pt idx="2783">
                  <c:v>13.475454714411804</c:v>
                </c:pt>
                <c:pt idx="2784">
                  <c:v>13.478119060887645</c:v>
                </c:pt>
                <c:pt idx="2785">
                  <c:v>13.480782876052647</c:v>
                </c:pt>
                <c:pt idx="2786">
                  <c:v>13.483446160227341</c:v>
                </c:pt>
                <c:pt idx="2787">
                  <c:v>13.486108913731933</c:v>
                </c:pt>
                <c:pt idx="2788">
                  <c:v>13.488771136886292</c:v>
                </c:pt>
                <c:pt idx="2789">
                  <c:v>13.49143283000998</c:v>
                </c:pt>
                <c:pt idx="2790">
                  <c:v>13.494093993422227</c:v>
                </c:pt>
                <c:pt idx="2791">
                  <c:v>13.496754627441938</c:v>
                </c:pt>
                <c:pt idx="2792">
                  <c:v>13.499414732387702</c:v>
                </c:pt>
                <c:pt idx="2793">
                  <c:v>13.502074308577781</c:v>
                </c:pt>
                <c:pt idx="2794">
                  <c:v>13.504733356330117</c:v>
                </c:pt>
                <c:pt idx="2795">
                  <c:v>13.507391875962327</c:v>
                </c:pt>
                <c:pt idx="2796">
                  <c:v>13.510049867791714</c:v>
                </c:pt>
                <c:pt idx="2797">
                  <c:v>13.512707332135257</c:v>
                </c:pt>
                <c:pt idx="2798">
                  <c:v>13.515364269309616</c:v>
                </c:pt>
                <c:pt idx="2799">
                  <c:v>13.518020679631132</c:v>
                </c:pt>
                <c:pt idx="2800">
                  <c:v>13.520676563415822</c:v>
                </c:pt>
                <c:pt idx="2801">
                  <c:v>13.523331920979391</c:v>
                </c:pt>
                <c:pt idx="2802">
                  <c:v>13.525986752637227</c:v>
                </c:pt>
                <c:pt idx="2803">
                  <c:v>13.528641058704391</c:v>
                </c:pt>
                <c:pt idx="2804">
                  <c:v>13.53129483949564</c:v>
                </c:pt>
                <c:pt idx="2805">
                  <c:v>13.533948095325403</c:v>
                </c:pt>
                <c:pt idx="2806">
                  <c:v>13.536600826507801</c:v>
                </c:pt>
                <c:pt idx="2807">
                  <c:v>13.53925303335663</c:v>
                </c:pt>
                <c:pt idx="2808">
                  <c:v>13.541904716185378</c:v>
                </c:pt>
                <c:pt idx="2809">
                  <c:v>13.544555875307218</c:v>
                </c:pt>
                <c:pt idx="2810">
                  <c:v>13.547206511035009</c:v>
                </c:pt>
                <c:pt idx="2811">
                  <c:v>13.549856623681288</c:v>
                </c:pt>
                <c:pt idx="2812">
                  <c:v>13.552506213558292</c:v>
                </c:pt>
                <c:pt idx="2813">
                  <c:v>13.555155280977932</c:v>
                </c:pt>
                <c:pt idx="2814">
                  <c:v>13.55780382625181</c:v>
                </c:pt>
                <c:pt idx="2815">
                  <c:v>13.560451849691226</c:v>
                </c:pt>
                <c:pt idx="2816">
                  <c:v>13.56309935160715</c:v>
                </c:pt>
                <c:pt idx="2817">
                  <c:v>13.565746332310257</c:v>
                </c:pt>
                <c:pt idx="2818">
                  <c:v>13.568392792110899</c:v>
                </c:pt>
                <c:pt idx="2819">
                  <c:v>13.571038731319129</c:v>
                </c:pt>
                <c:pt idx="2820">
                  <c:v>13.573684150244681</c:v>
                </c:pt>
                <c:pt idx="2821">
                  <c:v>13.576329049196985</c:v>
                </c:pt>
                <c:pt idx="2822">
                  <c:v>13.578973428485156</c:v>
                </c:pt>
                <c:pt idx="2823">
                  <c:v>13.581617288418006</c:v>
                </c:pt>
                <c:pt idx="2824">
                  <c:v>13.584260629304033</c:v>
                </c:pt>
                <c:pt idx="2825">
                  <c:v>13.586903451451434</c:v>
                </c:pt>
                <c:pt idx="2826">
                  <c:v>13.589545755168096</c:v>
                </c:pt>
                <c:pt idx="2827">
                  <c:v>13.5921875407616</c:v>
                </c:pt>
                <c:pt idx="2828">
                  <c:v>13.594828808539212</c:v>
                </c:pt>
                <c:pt idx="2829">
                  <c:v>13.597469558807903</c:v>
                </c:pt>
                <c:pt idx="2830">
                  <c:v>13.600109791874335</c:v>
                </c:pt>
                <c:pt idx="2831">
                  <c:v>13.602749508044861</c:v>
                </c:pt>
                <c:pt idx="2832">
                  <c:v>13.605388707625533</c:v>
                </c:pt>
                <c:pt idx="2833">
                  <c:v>13.6080273909221</c:v>
                </c:pt>
                <c:pt idx="2834">
                  <c:v>13.610665558240001</c:v>
                </c:pt>
                <c:pt idx="2835">
                  <c:v>13.613303209884375</c:v>
                </c:pt>
                <c:pt idx="2836">
                  <c:v>13.615940346160063</c:v>
                </c:pt>
                <c:pt idx="2837">
                  <c:v>13.618576967371594</c:v>
                </c:pt>
                <c:pt idx="2838">
                  <c:v>13.621213073823199</c:v>
                </c:pt>
                <c:pt idx="2839">
                  <c:v>13.62384866581881</c:v>
                </c:pt>
                <c:pt idx="2840">
                  <c:v>13.626483743662053</c:v>
                </c:pt>
                <c:pt idx="2841">
                  <c:v>13.629118307656258</c:v>
                </c:pt>
                <c:pt idx="2842">
                  <c:v>13.631752358104446</c:v>
                </c:pt>
                <c:pt idx="2843">
                  <c:v>13.634385895309345</c:v>
                </c:pt>
                <c:pt idx="2844">
                  <c:v>13.637018919573382</c:v>
                </c:pt>
                <c:pt idx="2845">
                  <c:v>13.639651431198686</c:v>
                </c:pt>
                <c:pt idx="2846">
                  <c:v>13.642283430487085</c:v>
                </c:pt>
                <c:pt idx="2847">
                  <c:v>13.644914917740104</c:v>
                </c:pt>
                <c:pt idx="2848">
                  <c:v>13.647545893258981</c:v>
                </c:pt>
                <c:pt idx="2849">
                  <c:v>13.650176357344648</c:v>
                </c:pt>
                <c:pt idx="2850">
                  <c:v>13.65280631029774</c:v>
                </c:pt>
                <c:pt idx="2851">
                  <c:v>13.655435752418597</c:v>
                </c:pt>
                <c:pt idx="2852">
                  <c:v>13.658064684007265</c:v>
                </c:pt>
                <c:pt idx="2853">
                  <c:v>13.660693105363489</c:v>
                </c:pt>
                <c:pt idx="2854">
                  <c:v>13.663321016786725</c:v>
                </c:pt>
                <c:pt idx="2855">
                  <c:v>13.665948418576125</c:v>
                </c:pt>
                <c:pt idx="2856">
                  <c:v>13.668575311030557</c:v>
                </c:pt>
                <c:pt idx="2857">
                  <c:v>13.671201694448582</c:v>
                </c:pt>
                <c:pt idx="2858">
                  <c:v>13.673827569128481</c:v>
                </c:pt>
                <c:pt idx="2859">
                  <c:v>13.676452935368228</c:v>
                </c:pt>
                <c:pt idx="2860">
                  <c:v>13.679077793465515</c:v>
                </c:pt>
                <c:pt idx="2861">
                  <c:v>13.681702143717732</c:v>
                </c:pt>
                <c:pt idx="2862">
                  <c:v>13.684325986421989</c:v>
                </c:pt>
                <c:pt idx="2863">
                  <c:v>13.686949321875087</c:v>
                </c:pt>
                <c:pt idx="2864">
                  <c:v>13.68957215037355</c:v>
                </c:pt>
                <c:pt idx="2865">
                  <c:v>13.692194472213604</c:v>
                </c:pt>
                <c:pt idx="2866">
                  <c:v>13.694816287691189</c:v>
                </c:pt>
                <c:pt idx="2867">
                  <c:v>13.697437597101951</c:v>
                </c:pt>
                <c:pt idx="2868">
                  <c:v>13.700058400741241</c:v>
                </c:pt>
                <c:pt idx="2869">
                  <c:v>13.702678698904137</c:v>
                </c:pt>
                <c:pt idx="2870">
                  <c:v>13.705298491885406</c:v>
                </c:pt>
                <c:pt idx="2871">
                  <c:v>13.707917779979546</c:v>
                </c:pt>
                <c:pt idx="2872">
                  <c:v>13.710536563480755</c:v>
                </c:pt>
                <c:pt idx="2873">
                  <c:v>13.713154842682945</c:v>
                </c:pt>
                <c:pt idx="2874">
                  <c:v>13.715772617879745</c:v>
                </c:pt>
                <c:pt idx="2875">
                  <c:v>13.718389889364492</c:v>
                </c:pt>
                <c:pt idx="2876">
                  <c:v>13.721006657430241</c:v>
                </c:pt>
                <c:pt idx="2877">
                  <c:v>13.723622922369751</c:v>
                </c:pt>
                <c:pt idx="2878">
                  <c:v>13.72623868447551</c:v>
                </c:pt>
                <c:pt idx="2879">
                  <c:v>13.728853944039709</c:v>
                </c:pt>
                <c:pt idx="2880">
                  <c:v>13.731468701354256</c:v>
                </c:pt>
                <c:pt idx="2881">
                  <c:v>13.734082956710779</c:v>
                </c:pt>
                <c:pt idx="2882">
                  <c:v>13.736696710400613</c:v>
                </c:pt>
                <c:pt idx="2883">
                  <c:v>13.73930996271482</c:v>
                </c:pt>
                <c:pt idx="2884">
                  <c:v>13.74192271394417</c:v>
                </c:pt>
                <c:pt idx="2885">
                  <c:v>13.744534964379152</c:v>
                </c:pt>
                <c:pt idx="2886">
                  <c:v>13.747146714309974</c:v>
                </c:pt>
                <c:pt idx="2887">
                  <c:v>13.749757964026561</c:v>
                </c:pt>
                <c:pt idx="2888">
                  <c:v>13.752368713818552</c:v>
                </c:pt>
                <c:pt idx="2889">
                  <c:v>13.754978963975312</c:v>
                </c:pt>
                <c:pt idx="2890">
                  <c:v>13.757588714785918</c:v>
                </c:pt>
                <c:pt idx="2891">
                  <c:v>13.760197966539167</c:v>
                </c:pt>
                <c:pt idx="2892">
                  <c:v>13.762806719523581</c:v>
                </c:pt>
                <c:pt idx="2893">
                  <c:v>13.765414974027401</c:v>
                </c:pt>
                <c:pt idx="2894">
                  <c:v>13.768022730338576</c:v>
                </c:pt>
                <c:pt idx="2895">
                  <c:v>13.77062998874479</c:v>
                </c:pt>
                <c:pt idx="2896">
                  <c:v>13.773236749533446</c:v>
                </c:pt>
                <c:pt idx="2897">
                  <c:v>13.775843012991663</c:v>
                </c:pt>
                <c:pt idx="2898">
                  <c:v>13.778448779406284</c:v>
                </c:pt>
                <c:pt idx="2899">
                  <c:v>13.781054049063876</c:v>
                </c:pt>
                <c:pt idx="2900">
                  <c:v>13.783658822250725</c:v>
                </c:pt>
                <c:pt idx="2901">
                  <c:v>13.786263099252848</c:v>
                </c:pt>
                <c:pt idx="2902">
                  <c:v>13.788866880355972</c:v>
                </c:pt>
                <c:pt idx="2903">
                  <c:v>13.79147016584556</c:v>
                </c:pt>
                <c:pt idx="2904">
                  <c:v>13.794072956006794</c:v>
                </c:pt>
                <c:pt idx="2905">
                  <c:v>13.796675251124579</c:v>
                </c:pt>
                <c:pt idx="2906">
                  <c:v>13.79927705148355</c:v>
                </c:pt>
                <c:pt idx="2907">
                  <c:v>13.801878357368061</c:v>
                </c:pt>
                <c:pt idx="2908">
                  <c:v>13.804479169062194</c:v>
                </c:pt>
                <c:pt idx="2909">
                  <c:v>13.80707948684976</c:v>
                </c:pt>
                <c:pt idx="2910">
                  <c:v>13.809679311014296</c:v>
                </c:pt>
                <c:pt idx="2911">
                  <c:v>13.812278641839059</c:v>
                </c:pt>
                <c:pt idx="2912">
                  <c:v>13.814877479607041</c:v>
                </c:pt>
                <c:pt idx="2913">
                  <c:v>13.817475824600955</c:v>
                </c:pt>
                <c:pt idx="2914">
                  <c:v>13.820073677103247</c:v>
                </c:pt>
                <c:pt idx="2915">
                  <c:v>13.822671037396091</c:v>
                </c:pt>
                <c:pt idx="2916">
                  <c:v>13.825267905761384</c:v>
                </c:pt>
                <c:pt idx="2917">
                  <c:v>13.82786428248076</c:v>
                </c:pt>
                <c:pt idx="2918">
                  <c:v>13.830460167835572</c:v>
                </c:pt>
                <c:pt idx="2919">
                  <c:v>13.833055562106917</c:v>
                </c:pt>
                <c:pt idx="2920">
                  <c:v>13.835650465575604</c:v>
                </c:pt>
                <c:pt idx="2921">
                  <c:v>13.838244878522191</c:v>
                </c:pt>
                <c:pt idx="2922">
                  <c:v>13.840838801226957</c:v>
                </c:pt>
                <c:pt idx="2923">
                  <c:v>13.843432233969907</c:v>
                </c:pt>
                <c:pt idx="2924">
                  <c:v>13.846025177030786</c:v>
                </c:pt>
                <c:pt idx="2925">
                  <c:v>13.84861763068907</c:v>
                </c:pt>
                <c:pt idx="2926">
                  <c:v>13.851209595223965</c:v>
                </c:pt>
                <c:pt idx="2927">
                  <c:v>13.853801070914411</c:v>
                </c:pt>
                <c:pt idx="2928">
                  <c:v>13.856392058039079</c:v>
                </c:pt>
                <c:pt idx="2929">
                  <c:v>13.858982556876375</c:v>
                </c:pt>
                <c:pt idx="2930">
                  <c:v>13.861572567704439</c:v>
                </c:pt>
                <c:pt idx="2931">
                  <c:v>13.864162090801145</c:v>
                </c:pt>
                <c:pt idx="2932">
                  <c:v>13.866751126444093</c:v>
                </c:pt>
                <c:pt idx="2933">
                  <c:v>13.869339674910636</c:v>
                </c:pt>
                <c:pt idx="2934">
                  <c:v>13.871927736477843</c:v>
                </c:pt>
                <c:pt idx="2935">
                  <c:v>13.874515311422535</c:v>
                </c:pt>
                <c:pt idx="2936">
                  <c:v>13.877102400021251</c:v>
                </c:pt>
                <c:pt idx="2937">
                  <c:v>13.879689002550284</c:v>
                </c:pt>
                <c:pt idx="2938">
                  <c:v>13.882275119285653</c:v>
                </c:pt>
                <c:pt idx="2939">
                  <c:v>13.884860750503112</c:v>
                </c:pt>
                <c:pt idx="2940">
                  <c:v>13.887445896478162</c:v>
                </c:pt>
                <c:pt idx="2941">
                  <c:v>13.890030557486034</c:v>
                </c:pt>
                <c:pt idx="2942">
                  <c:v>13.892614733801697</c:v>
                </c:pt>
                <c:pt idx="2943">
                  <c:v>13.895198425699864</c:v>
                </c:pt>
                <c:pt idx="2944">
                  <c:v>13.897781633454979</c:v>
                </c:pt>
                <c:pt idx="2945">
                  <c:v>13.900364357341232</c:v>
                </c:pt>
                <c:pt idx="2946">
                  <c:v>13.902946597632548</c:v>
                </c:pt>
                <c:pt idx="2947">
                  <c:v>13.905528354602591</c:v>
                </c:pt>
                <c:pt idx="2948">
                  <c:v>13.908109628524771</c:v>
                </c:pt>
                <c:pt idx="2949">
                  <c:v>13.910690419672232</c:v>
                </c:pt>
                <c:pt idx="2950">
                  <c:v>13.913270728317858</c:v>
                </c:pt>
                <c:pt idx="2951">
                  <c:v>13.915850554734284</c:v>
                </c:pt>
                <c:pt idx="2952">
                  <c:v>13.918429899193875</c:v>
                </c:pt>
                <c:pt idx="2953">
                  <c:v>13.921008761968743</c:v>
                </c:pt>
                <c:pt idx="2954">
                  <c:v>13.923587143330741</c:v>
                </c:pt>
                <c:pt idx="2955">
                  <c:v>13.926165043551467</c:v>
                </c:pt>
                <c:pt idx="2956">
                  <c:v>13.928742462902255</c:v>
                </c:pt>
                <c:pt idx="2957">
                  <c:v>13.931319401654193</c:v>
                </c:pt>
                <c:pt idx="2958">
                  <c:v>13.933895860078103</c:v>
                </c:pt>
                <c:pt idx="2959">
                  <c:v>13.936471838444552</c:v>
                </c:pt>
                <c:pt idx="2960">
                  <c:v>13.939047337023858</c:v>
                </c:pt>
                <c:pt idx="2961">
                  <c:v>13.941622356086075</c:v>
                </c:pt>
                <c:pt idx="2962">
                  <c:v>13.944196895901008</c:v>
                </c:pt>
                <c:pt idx="2963">
                  <c:v>13.946770956738206</c:v>
                </c:pt>
                <c:pt idx="2964">
                  <c:v>13.949344538866958</c:v>
                </c:pt>
                <c:pt idx="2965">
                  <c:v>13.951917642556307</c:v>
                </c:pt>
                <c:pt idx="2966">
                  <c:v>13.954490268075038</c:v>
                </c:pt>
                <c:pt idx="2967">
                  <c:v>13.957062415691681</c:v>
                </c:pt>
                <c:pt idx="2968">
                  <c:v>13.959634085674516</c:v>
                </c:pt>
                <c:pt idx="2969">
                  <c:v>13.962205278291572</c:v>
                </c:pt>
                <c:pt idx="2970">
                  <c:v>13.964775993810619</c:v>
                </c:pt>
                <c:pt idx="2971">
                  <c:v>13.967346232499178</c:v>
                </c:pt>
                <c:pt idx="2972">
                  <c:v>13.969915994624525</c:v>
                </c:pt>
                <c:pt idx="2973">
                  <c:v>13.972485280453668</c:v>
                </c:pt>
                <c:pt idx="2974">
                  <c:v>13.975054090253385</c:v>
                </c:pt>
                <c:pt idx="2975">
                  <c:v>13.977622424290187</c:v>
                </c:pt>
                <c:pt idx="2976">
                  <c:v>13.980190282830339</c:v>
                </c:pt>
                <c:pt idx="2977">
                  <c:v>13.982757666139861</c:v>
                </c:pt>
                <c:pt idx="2978">
                  <c:v>13.985324574484517</c:v>
                </c:pt>
                <c:pt idx="2979">
                  <c:v>13.987891008129825</c:v>
                </c:pt>
                <c:pt idx="2980">
                  <c:v>13.990456967341046</c:v>
                </c:pt>
                <c:pt idx="2981">
                  <c:v>13.99302245238321</c:v>
                </c:pt>
                <c:pt idx="2982">
                  <c:v>13.995587463521078</c:v>
                </c:pt>
                <c:pt idx="2983">
                  <c:v>13.998152001019177</c:v>
                </c:pt>
                <c:pt idx="2984">
                  <c:v>14.000716065141781</c:v>
                </c:pt>
                <c:pt idx="2985">
                  <c:v>14.003279656152912</c:v>
                </c:pt>
                <c:pt idx="2986">
                  <c:v>14.005842774316358</c:v>
                </c:pt>
                <c:pt idx="2987">
                  <c:v>14.008405419895649</c:v>
                </c:pt>
                <c:pt idx="2988">
                  <c:v>14.010967593154067</c:v>
                </c:pt>
                <c:pt idx="2989">
                  <c:v>14.013529294354655</c:v>
                </c:pt>
                <c:pt idx="2990">
                  <c:v>14.016090523760209</c:v>
                </c:pt>
                <c:pt idx="2991">
                  <c:v>14.018651281633277</c:v>
                </c:pt>
                <c:pt idx="2992">
                  <c:v>14.021211568236165</c:v>
                </c:pt>
                <c:pt idx="2993">
                  <c:v>14.023771383830926</c:v>
                </c:pt>
                <c:pt idx="2994">
                  <c:v>14.02633072867938</c:v>
                </c:pt>
                <c:pt idx="2995">
                  <c:v>14.028889603043094</c:v>
                </c:pt>
                <c:pt idx="2996">
                  <c:v>14.031448007183393</c:v>
                </c:pt>
                <c:pt idx="2997">
                  <c:v>14.034005941361364</c:v>
                </c:pt>
                <c:pt idx="2998">
                  <c:v>14.036563405837843</c:v>
                </c:pt>
                <c:pt idx="2999">
                  <c:v>14.039120400873427</c:v>
                </c:pt>
                <c:pt idx="3000">
                  <c:v>14.041676926728471</c:v>
                </c:pt>
                <c:pt idx="3001">
                  <c:v>14.044232983663083</c:v>
                </c:pt>
                <c:pt idx="3002">
                  <c:v>14.046788571937132</c:v>
                </c:pt>
                <c:pt idx="3003">
                  <c:v>14.04934369181025</c:v>
                </c:pt>
                <c:pt idx="3004">
                  <c:v>14.051898343541824</c:v>
                </c:pt>
                <c:pt idx="3005">
                  <c:v>14.054452527390994</c:v>
                </c:pt>
                <c:pt idx="3006">
                  <c:v>14.057006243616668</c:v>
                </c:pt>
                <c:pt idx="3007">
                  <c:v>14.059559492477508</c:v>
                </c:pt>
                <c:pt idx="3008">
                  <c:v>14.062112274231939</c:v>
                </c:pt>
                <c:pt idx="3009">
                  <c:v>14.064664589138143</c:v>
                </c:pt>
                <c:pt idx="3010">
                  <c:v>14.067216437454071</c:v>
                </c:pt>
                <c:pt idx="3011">
                  <c:v>14.069767819437423</c:v>
                </c:pt>
                <c:pt idx="3012">
                  <c:v>14.072318735345668</c:v>
                </c:pt>
                <c:pt idx="3013">
                  <c:v>14.074869185436032</c:v>
                </c:pt>
                <c:pt idx="3014">
                  <c:v>14.077419169965507</c:v>
                </c:pt>
                <c:pt idx="3015">
                  <c:v>14.079968689190846</c:v>
                </c:pt>
                <c:pt idx="3016">
                  <c:v>14.082517743368557</c:v>
                </c:pt>
                <c:pt idx="3017">
                  <c:v>14.085066332754927</c:v>
                </c:pt>
                <c:pt idx="3018">
                  <c:v>14.087614457605989</c:v>
                </c:pt>
                <c:pt idx="3019">
                  <c:v>14.090162118177547</c:v>
                </c:pt>
                <c:pt idx="3020">
                  <c:v>14.09270931472517</c:v>
                </c:pt>
                <c:pt idx="3021">
                  <c:v>14.09525604750419</c:v>
                </c:pt>
                <c:pt idx="3022">
                  <c:v>14.0978023167697</c:v>
                </c:pt>
                <c:pt idx="3023">
                  <c:v>14.100348122776559</c:v>
                </c:pt>
                <c:pt idx="3024">
                  <c:v>14.102893465779395</c:v>
                </c:pt>
                <c:pt idx="3025">
                  <c:v>14.105438346032596</c:v>
                </c:pt>
                <c:pt idx="3026">
                  <c:v>14.107982763790318</c:v>
                </c:pt>
                <c:pt idx="3027">
                  <c:v>14.110526719306478</c:v>
                </c:pt>
                <c:pt idx="3028">
                  <c:v>14.113070212834771</c:v>
                </c:pt>
                <c:pt idx="3029">
                  <c:v>14.115613244628642</c:v>
                </c:pt>
                <c:pt idx="3030">
                  <c:v>14.11815581494132</c:v>
                </c:pt>
                <c:pt idx="3031">
                  <c:v>14.120697924025784</c:v>
                </c:pt>
                <c:pt idx="3032">
                  <c:v>14.123239572134793</c:v>
                </c:pt>
                <c:pt idx="3033">
                  <c:v>14.125780759520865</c:v>
                </c:pt>
                <c:pt idx="3034">
                  <c:v>14.128321486436295</c:v>
                </c:pt>
                <c:pt idx="3035">
                  <c:v>14.130861753133143</c:v>
                </c:pt>
                <c:pt idx="3036">
                  <c:v>14.133401559863227</c:v>
                </c:pt>
                <c:pt idx="3037">
                  <c:v>14.135940906878149</c:v>
                </c:pt>
                <c:pt idx="3038">
                  <c:v>14.138479794429273</c:v>
                </c:pt>
                <c:pt idx="3039">
                  <c:v>14.14101822276773</c:v>
                </c:pt>
                <c:pt idx="3040">
                  <c:v>14.143556192144427</c:v>
                </c:pt>
                <c:pt idx="3041">
                  <c:v>14.146093702810035</c:v>
                </c:pt>
                <c:pt idx="3042">
                  <c:v>14.148630755014997</c:v>
                </c:pt>
                <c:pt idx="3043">
                  <c:v>14.151167349009533</c:v>
                </c:pt>
                <c:pt idx="3044">
                  <c:v>14.153703485043621</c:v>
                </c:pt>
                <c:pt idx="3045">
                  <c:v>14.156239163367022</c:v>
                </c:pt>
                <c:pt idx="3046">
                  <c:v>14.158774384229265</c:v>
                </c:pt>
                <c:pt idx="3047">
                  <c:v>14.161309147879649</c:v>
                </c:pt>
                <c:pt idx="3048">
                  <c:v>14.163843454567239</c:v>
                </c:pt>
                <c:pt idx="3049">
                  <c:v>14.166377304540889</c:v>
                </c:pt>
                <c:pt idx="3050">
                  <c:v>14.16891069804921</c:v>
                </c:pt>
                <c:pt idx="3051">
                  <c:v>14.171443635340594</c:v>
                </c:pt>
                <c:pt idx="3052">
                  <c:v>14.173976116663201</c:v>
                </c:pt>
                <c:pt idx="3053">
                  <c:v>14.176508142264971</c:v>
                </c:pt>
                <c:pt idx="3054">
                  <c:v>14.179039712393614</c:v>
                </c:pt>
                <c:pt idx="3055">
                  <c:v>14.181570827296614</c:v>
                </c:pt>
                <c:pt idx="3056">
                  <c:v>14.184101487221227</c:v>
                </c:pt>
                <c:pt idx="3057">
                  <c:v>14.18663169241449</c:v>
                </c:pt>
                <c:pt idx="3058">
                  <c:v>14.189161443123208</c:v>
                </c:pt>
                <c:pt idx="3059">
                  <c:v>14.191690739593964</c:v>
                </c:pt>
                <c:pt idx="3060">
                  <c:v>14.194219582073124</c:v>
                </c:pt>
                <c:pt idx="3061">
                  <c:v>14.196747970806818</c:v>
                </c:pt>
                <c:pt idx="3062">
                  <c:v>14.199275906040956</c:v>
                </c:pt>
                <c:pt idx="3063">
                  <c:v>14.201803388021231</c:v>
                </c:pt>
                <c:pt idx="3064">
                  <c:v>14.204330416993098</c:v>
                </c:pt>
                <c:pt idx="3065">
                  <c:v>14.206856993201811</c:v>
                </c:pt>
                <c:pt idx="3066">
                  <c:v>14.209383116892376</c:v>
                </c:pt>
                <c:pt idx="3067">
                  <c:v>14.211908788309595</c:v>
                </c:pt>
                <c:pt idx="3068">
                  <c:v>14.214434007698044</c:v>
                </c:pt>
                <c:pt idx="3069">
                  <c:v>14.216958775302071</c:v>
                </c:pt>
                <c:pt idx="3070">
                  <c:v>14.219483091365806</c:v>
                </c:pt>
                <c:pt idx="3071">
                  <c:v>14.222006956133162</c:v>
                </c:pt>
                <c:pt idx="3072">
                  <c:v>14.224530369847827</c:v>
                </c:pt>
                <c:pt idx="3073">
                  <c:v>14.227053332753261</c:v>
                </c:pt>
                <c:pt idx="3074">
                  <c:v>14.229575845092722</c:v>
                </c:pt>
                <c:pt idx="3075">
                  <c:v>14.232097907109226</c:v>
                </c:pt>
                <c:pt idx="3076">
                  <c:v>14.234619519045587</c:v>
                </c:pt>
                <c:pt idx="3077">
                  <c:v>14.237140681144389</c:v>
                </c:pt>
                <c:pt idx="3078">
                  <c:v>14.239661393648001</c:v>
                </c:pt>
                <c:pt idx="3079">
                  <c:v>14.242181656798572</c:v>
                </c:pt>
                <c:pt idx="3080">
                  <c:v>14.244701470838031</c:v>
                </c:pt>
                <c:pt idx="3081">
                  <c:v>14.247220836008088</c:v>
                </c:pt>
                <c:pt idx="3082">
                  <c:v>14.249739752550239</c:v>
                </c:pt>
                <c:pt idx="3083">
                  <c:v>14.252258220705759</c:v>
                </c:pt>
                <c:pt idx="3084">
                  <c:v>14.254776240715703</c:v>
                </c:pt>
                <c:pt idx="3085">
                  <c:v>14.257293812820912</c:v>
                </c:pt>
                <c:pt idx="3086">
                  <c:v>14.259810937262014</c:v>
                </c:pt>
                <c:pt idx="3087">
                  <c:v>14.262327614279407</c:v>
                </c:pt>
                <c:pt idx="3088">
                  <c:v>14.264843844113287</c:v>
                </c:pt>
                <c:pt idx="3089">
                  <c:v>14.267359627003623</c:v>
                </c:pt>
                <c:pt idx="3090">
                  <c:v>14.269874963190176</c:v>
                </c:pt>
                <c:pt idx="3091">
                  <c:v>14.272389852912486</c:v>
                </c:pt>
                <c:pt idx="3092">
                  <c:v>14.274904296409881</c:v>
                </c:pt>
                <c:pt idx="3093">
                  <c:v>14.277418293921468</c:v>
                </c:pt>
                <c:pt idx="3094">
                  <c:v>14.279931845686145</c:v>
                </c:pt>
                <c:pt idx="3095">
                  <c:v>14.282444951942592</c:v>
                </c:pt>
                <c:pt idx="3096">
                  <c:v>14.284957612929279</c:v>
                </c:pt>
                <c:pt idx="3097">
                  <c:v>14.287469828884458</c:v>
                </c:pt>
                <c:pt idx="3098">
                  <c:v>14.289981600046165</c:v>
                </c:pt>
                <c:pt idx="3099">
                  <c:v>14.292492926652226</c:v>
                </c:pt>
                <c:pt idx="3100">
                  <c:v>14.295003808940258</c:v>
                </c:pt>
                <c:pt idx="3101">
                  <c:v>14.297514247147657</c:v>
                </c:pt>
                <c:pt idx="3102">
                  <c:v>14.300024241511604</c:v>
                </c:pt>
                <c:pt idx="3103">
                  <c:v>14.302533792269081</c:v>
                </c:pt>
                <c:pt idx="3104">
                  <c:v>14.305042899656847</c:v>
                </c:pt>
                <c:pt idx="3105">
                  <c:v>14.307551563911447</c:v>
                </c:pt>
                <c:pt idx="3106">
                  <c:v>14.310059785269228</c:v>
                </c:pt>
                <c:pt idx="3107">
                  <c:v>14.312567563966308</c:v>
                </c:pt>
                <c:pt idx="3108">
                  <c:v>14.315074900238605</c:v>
                </c:pt>
                <c:pt idx="3109">
                  <c:v>14.317581794321823</c:v>
                </c:pt>
                <c:pt idx="3110">
                  <c:v>14.320088246451462</c:v>
                </c:pt>
                <c:pt idx="3111">
                  <c:v>14.322594256862796</c:v>
                </c:pt>
                <c:pt idx="3112">
                  <c:v>14.325099825790902</c:v>
                </c:pt>
                <c:pt idx="3113">
                  <c:v>14.327604953470647</c:v>
                </c:pt>
                <c:pt idx="3114">
                  <c:v>14.33010964013668</c:v>
                </c:pt>
                <c:pt idx="3115">
                  <c:v>14.332613886023449</c:v>
                </c:pt>
                <c:pt idx="3116">
                  <c:v>14.335117691365184</c:v>
                </c:pt>
                <c:pt idx="3117">
                  <c:v>14.337621056395921</c:v>
                </c:pt>
                <c:pt idx="3118">
                  <c:v>14.340123981349471</c:v>
                </c:pt>
                <c:pt idx="3119">
                  <c:v>14.342626466459448</c:v>
                </c:pt>
                <c:pt idx="3120">
                  <c:v>14.345128511959253</c:v>
                </c:pt>
                <c:pt idx="3121">
                  <c:v>14.347630118082076</c:v>
                </c:pt>
                <c:pt idx="3122">
                  <c:v>14.350131285060911</c:v>
                </c:pt>
                <c:pt idx="3123">
                  <c:v>14.352632013128531</c:v>
                </c:pt>
                <c:pt idx="3124">
                  <c:v>14.355132302517518</c:v>
                </c:pt>
                <c:pt idx="3125">
                  <c:v>14.357632153460223</c:v>
                </c:pt>
                <c:pt idx="3126">
                  <c:v>14.360131566188821</c:v>
                </c:pt>
                <c:pt idx="3127">
                  <c:v>14.362630540935257</c:v>
                </c:pt>
                <c:pt idx="3128">
                  <c:v>14.365129077931279</c:v>
                </c:pt>
                <c:pt idx="3129">
                  <c:v>14.36762717740843</c:v>
                </c:pt>
                <c:pt idx="3130">
                  <c:v>14.370124839598049</c:v>
                </c:pt>
                <c:pt idx="3131">
                  <c:v>14.372622064731262</c:v>
                </c:pt>
                <c:pt idx="3132">
                  <c:v>14.375118853038998</c:v>
                </c:pt>
                <c:pt idx="3133">
                  <c:v>14.377615204751979</c:v>
                </c:pt>
                <c:pt idx="3134">
                  <c:v>14.38011112010072</c:v>
                </c:pt>
                <c:pt idx="3135">
                  <c:v>14.382606599315539</c:v>
                </c:pt>
                <c:pt idx="3136">
                  <c:v>14.385101642626537</c:v>
                </c:pt>
                <c:pt idx="3137">
                  <c:v>14.387596250263631</c:v>
                </c:pt>
                <c:pt idx="3138">
                  <c:v>14.390090422456513</c:v>
                </c:pt>
                <c:pt idx="3139">
                  <c:v>14.392584159434687</c:v>
                </c:pt>
                <c:pt idx="3140">
                  <c:v>14.395077461427451</c:v>
                </c:pt>
                <c:pt idx="3141">
                  <c:v>14.397570328663894</c:v>
                </c:pt>
                <c:pt idx="3142">
                  <c:v>14.400062761372912</c:v>
                </c:pt>
                <c:pt idx="3143">
                  <c:v>14.402554759783188</c:v>
                </c:pt>
                <c:pt idx="3144">
                  <c:v>14.405046324123218</c:v>
                </c:pt>
                <c:pt idx="3145">
                  <c:v>14.407537454621281</c:v>
                </c:pt>
                <c:pt idx="3146">
                  <c:v>14.410028151505463</c:v>
                </c:pt>
                <c:pt idx="3147">
                  <c:v>14.41251841500365</c:v>
                </c:pt>
                <c:pt idx="3148">
                  <c:v>14.415008245343522</c:v>
                </c:pt>
                <c:pt idx="3149">
                  <c:v>14.417497642752563</c:v>
                </c:pt>
                <c:pt idx="3150">
                  <c:v>14.41998660745805</c:v>
                </c:pt>
                <c:pt idx="3151">
                  <c:v>14.422475139687069</c:v>
                </c:pt>
                <c:pt idx="3152">
                  <c:v>14.424963239666504</c:v>
                </c:pt>
                <c:pt idx="3153">
                  <c:v>14.42745090762303</c:v>
                </c:pt>
                <c:pt idx="3154">
                  <c:v>14.429938143783129</c:v>
                </c:pt>
                <c:pt idx="3155">
                  <c:v>14.432424948373095</c:v>
                </c:pt>
                <c:pt idx="3156">
                  <c:v>14.434911321619005</c:v>
                </c:pt>
                <c:pt idx="3157">
                  <c:v>14.437397263746744</c:v>
                </c:pt>
                <c:pt idx="3158">
                  <c:v>14.439882774982003</c:v>
                </c:pt>
                <c:pt idx="3159">
                  <c:v>14.442367855550271</c:v>
                </c:pt>
                <c:pt idx="3160">
                  <c:v>14.444852505676838</c:v>
                </c:pt>
                <c:pt idx="3161">
                  <c:v>14.447336725586799</c:v>
                </c:pt>
                <c:pt idx="3162">
                  <c:v>14.449820515505053</c:v>
                </c:pt>
                <c:pt idx="3163">
                  <c:v>14.452303875656296</c:v>
                </c:pt>
                <c:pt idx="3164">
                  <c:v>14.45478680626503</c:v>
                </c:pt>
                <c:pt idx="3165">
                  <c:v>14.457269307555563</c:v>
                </c:pt>
                <c:pt idx="3166">
                  <c:v>14.459751379752007</c:v>
                </c:pt>
                <c:pt idx="3167">
                  <c:v>14.462233023078271</c:v>
                </c:pt>
                <c:pt idx="3168">
                  <c:v>14.464714237758074</c:v>
                </c:pt>
                <c:pt idx="3169">
                  <c:v>14.467195024014938</c:v>
                </c:pt>
                <c:pt idx="3170">
                  <c:v>14.469675382072188</c:v>
                </c:pt>
                <c:pt idx="3171">
                  <c:v>14.472155312152957</c:v>
                </c:pt>
                <c:pt idx="3172">
                  <c:v>14.474634814480179</c:v>
                </c:pt>
                <c:pt idx="3173">
                  <c:v>14.477113889276593</c:v>
                </c:pt>
                <c:pt idx="3174">
                  <c:v>14.479592536764752</c:v>
                </c:pt>
                <c:pt idx="3175">
                  <c:v>14.482070757167005</c:v>
                </c:pt>
                <c:pt idx="3176">
                  <c:v>14.484548550705508</c:v>
                </c:pt>
                <c:pt idx="3177">
                  <c:v>14.487025917602232</c:v>
                </c:pt>
                <c:pt idx="3178">
                  <c:v>14.489502858078943</c:v>
                </c:pt>
                <c:pt idx="3179">
                  <c:v>14.491979372357223</c:v>
                </c:pt>
                <c:pt idx="3180">
                  <c:v>14.494455460658454</c:v>
                </c:pt>
                <c:pt idx="3181">
                  <c:v>14.496931123203829</c:v>
                </c:pt>
                <c:pt idx="3182">
                  <c:v>14.499406360214346</c:v>
                </c:pt>
                <c:pt idx="3183">
                  <c:v>14.501881171910812</c:v>
                </c:pt>
                <c:pt idx="3184">
                  <c:v>14.504355558513842</c:v>
                </c:pt>
                <c:pt idx="3185">
                  <c:v>14.506829520243862</c:v>
                </c:pt>
                <c:pt idx="3186">
                  <c:v>14.5093030573211</c:v>
                </c:pt>
                <c:pt idx="3187">
                  <c:v>14.5117761699656</c:v>
                </c:pt>
                <c:pt idx="3188">
                  <c:v>14.514248858397206</c:v>
                </c:pt>
                <c:pt idx="3189">
                  <c:v>14.516721122835577</c:v>
                </c:pt>
                <c:pt idx="3190">
                  <c:v>14.519192963500183</c:v>
                </c:pt>
                <c:pt idx="3191">
                  <c:v>14.521664380610297</c:v>
                </c:pt>
                <c:pt idx="3192">
                  <c:v>14.524135374385009</c:v>
                </c:pt>
                <c:pt idx="3193">
                  <c:v>14.526605945043213</c:v>
                </c:pt>
                <c:pt idx="3194">
                  <c:v>14.529076092803614</c:v>
                </c:pt>
                <c:pt idx="3195">
                  <c:v>14.531545817884734</c:v>
                </c:pt>
                <c:pt idx="3196">
                  <c:v>14.534015120504897</c:v>
                </c:pt>
                <c:pt idx="3197">
                  <c:v>14.53648400088224</c:v>
                </c:pt>
                <c:pt idx="3198">
                  <c:v>14.538952459234718</c:v>
                </c:pt>
                <c:pt idx="3199">
                  <c:v>14.541420495780088</c:v>
                </c:pt>
                <c:pt idx="3200">
                  <c:v>14.543888110735924</c:v>
                </c:pt>
                <c:pt idx="3201">
                  <c:v>14.546355304319615</c:v>
                </c:pt>
                <c:pt idx="3202">
                  <c:v>14.548822076748351</c:v>
                </c:pt>
                <c:pt idx="3203">
                  <c:v>14.55128842823914</c:v>
                </c:pt>
                <c:pt idx="3204">
                  <c:v>14.55375435900881</c:v>
                </c:pt>
                <c:pt idx="3205">
                  <c:v>14.556219869273992</c:v>
                </c:pt>
                <c:pt idx="3206">
                  <c:v>14.558684959251131</c:v>
                </c:pt>
                <c:pt idx="3207">
                  <c:v>14.561149629156491</c:v>
                </c:pt>
                <c:pt idx="3208">
                  <c:v>14.563613879206144</c:v>
                </c:pt>
                <c:pt idx="3209">
                  <c:v>14.566077709615978</c:v>
                </c:pt>
                <c:pt idx="3210">
                  <c:v>14.568541120601694</c:v>
                </c:pt>
                <c:pt idx="3211">
                  <c:v>14.571004112378805</c:v>
                </c:pt>
                <c:pt idx="3212">
                  <c:v>14.573466685162646</c:v>
                </c:pt>
                <c:pt idx="3213">
                  <c:v>14.575928839168359</c:v>
                </c:pt>
                <c:pt idx="3214">
                  <c:v>14.578390574610903</c:v>
                </c:pt>
                <c:pt idx="3215">
                  <c:v>14.580851891705052</c:v>
                </c:pt>
                <c:pt idx="3216">
                  <c:v>14.583312790665394</c:v>
                </c:pt>
                <c:pt idx="3217">
                  <c:v>14.585773271706334</c:v>
                </c:pt>
                <c:pt idx="3218">
                  <c:v>14.588233335042093</c:v>
                </c:pt>
                <c:pt idx="3219">
                  <c:v>14.590692980886711</c:v>
                </c:pt>
                <c:pt idx="3220">
                  <c:v>14.593152209454036</c:v>
                </c:pt>
                <c:pt idx="3221">
                  <c:v>14.595611020957737</c:v>
                </c:pt>
                <c:pt idx="3222">
                  <c:v>14.598069415611299</c:v>
                </c:pt>
                <c:pt idx="3223">
                  <c:v>14.600527393628028</c:v>
                </c:pt>
                <c:pt idx="3224">
                  <c:v>14.602984955221039</c:v>
                </c:pt>
                <c:pt idx="3225">
                  <c:v>14.605442100603272</c:v>
                </c:pt>
                <c:pt idx="3226">
                  <c:v>14.607898829987477</c:v>
                </c:pt>
                <c:pt idx="3227">
                  <c:v>14.610355143586231</c:v>
                </c:pt>
                <c:pt idx="3228">
                  <c:v>14.61281104161192</c:v>
                </c:pt>
                <c:pt idx="3229">
                  <c:v>14.615266524276748</c:v>
                </c:pt>
                <c:pt idx="3230">
                  <c:v>14.617721591792748</c:v>
                </c:pt>
                <c:pt idx="3231">
                  <c:v>14.620176244371763</c:v>
                </c:pt>
                <c:pt idx="3232">
                  <c:v>14.62263048222545</c:v>
                </c:pt>
                <c:pt idx="3233">
                  <c:v>14.625084305565295</c:v>
                </c:pt>
                <c:pt idx="3234">
                  <c:v>14.627537714602605</c:v>
                </c:pt>
                <c:pt idx="3235">
                  <c:v>14.62999070954849</c:v>
                </c:pt>
                <c:pt idx="3236">
                  <c:v>14.632443290613901</c:v>
                </c:pt>
                <c:pt idx="3237">
                  <c:v>14.634895458009591</c:v>
                </c:pt>
                <c:pt idx="3238">
                  <c:v>14.637347211946146</c:v>
                </c:pt>
                <c:pt idx="3239">
                  <c:v>14.639798552633962</c:v>
                </c:pt>
                <c:pt idx="3240">
                  <c:v>14.642249480283258</c:v>
                </c:pt>
                <c:pt idx="3241">
                  <c:v>14.644699995104087</c:v>
                </c:pt>
                <c:pt idx="3242">
                  <c:v>14.647150097306302</c:v>
                </c:pt>
                <c:pt idx="3243">
                  <c:v>14.649599787099588</c:v>
                </c:pt>
                <c:pt idx="3244">
                  <c:v>14.652049064693454</c:v>
                </c:pt>
                <c:pt idx="3245">
                  <c:v>14.654497930297222</c:v>
                </c:pt>
                <c:pt idx="3246">
                  <c:v>14.656946384120047</c:v>
                </c:pt>
                <c:pt idx="3247">
                  <c:v>14.659394426370895</c:v>
                </c:pt>
                <c:pt idx="3248">
                  <c:v>14.661842057258564</c:v>
                </c:pt>
                <c:pt idx="3249">
                  <c:v>14.664289276991664</c:v>
                </c:pt>
                <c:pt idx="3250">
                  <c:v>14.666736085778634</c:v>
                </c:pt>
                <c:pt idx="3251">
                  <c:v>14.669182483827733</c:v>
                </c:pt>
                <c:pt idx="3252">
                  <c:v>14.671628471347056</c:v>
                </c:pt>
                <c:pt idx="3253">
                  <c:v>14.674074048544497</c:v>
                </c:pt>
                <c:pt idx="3254">
                  <c:v>14.676519215627792</c:v>
                </c:pt>
                <c:pt idx="3255">
                  <c:v>14.6789639728045</c:v>
                </c:pt>
                <c:pt idx="3256">
                  <c:v>14.681408320281989</c:v>
                </c:pt>
                <c:pt idx="3257">
                  <c:v>14.683852258267471</c:v>
                </c:pt>
                <c:pt idx="3258">
                  <c:v>14.686295786967968</c:v>
                </c:pt>
                <c:pt idx="3259">
                  <c:v>14.688738906590334</c:v>
                </c:pt>
                <c:pt idx="3260">
                  <c:v>14.691181617341242</c:v>
                </c:pt>
                <c:pt idx="3261">
                  <c:v>14.693623919427196</c:v>
                </c:pt>
                <c:pt idx="3262">
                  <c:v>14.696065813054522</c:v>
                </c:pt>
                <c:pt idx="3263">
                  <c:v>14.698507298429373</c:v>
                </c:pt>
                <c:pt idx="3264">
                  <c:v>14.700948375757722</c:v>
                </c:pt>
                <c:pt idx="3265">
                  <c:v>14.703389045245371</c:v>
                </c:pt>
                <c:pt idx="3266">
                  <c:v>14.705829307097959</c:v>
                </c:pt>
                <c:pt idx="3267">
                  <c:v>14.708269161520931</c:v>
                </c:pt>
                <c:pt idx="3268">
                  <c:v>14.710708608719571</c:v>
                </c:pt>
                <c:pt idx="3269">
                  <c:v>14.713147648898991</c:v>
                </c:pt>
                <c:pt idx="3270">
                  <c:v>14.715586282264127</c:v>
                </c:pt>
                <c:pt idx="3271">
                  <c:v>14.718024509019731</c:v>
                </c:pt>
                <c:pt idx="3272">
                  <c:v>14.720462329370406</c:v>
                </c:pt>
                <c:pt idx="3273">
                  <c:v>14.722899743520559</c:v>
                </c:pt>
                <c:pt idx="3274">
                  <c:v>14.72533675167444</c:v>
                </c:pt>
                <c:pt idx="3275">
                  <c:v>14.727773354036117</c:v>
                </c:pt>
                <c:pt idx="3276">
                  <c:v>14.730209550809494</c:v>
                </c:pt>
                <c:pt idx="3277">
                  <c:v>14.7326453421983</c:v>
                </c:pt>
                <c:pt idx="3278">
                  <c:v>14.735080728406089</c:v>
                </c:pt>
                <c:pt idx="3279">
                  <c:v>14.737515709636249</c:v>
                </c:pt>
                <c:pt idx="3280">
                  <c:v>14.739950286091993</c:v>
                </c:pt>
                <c:pt idx="3281">
                  <c:v>14.742384457976367</c:v>
                </c:pt>
                <c:pt idx="3282">
                  <c:v>14.744818225492246</c:v>
                </c:pt>
                <c:pt idx="3283">
                  <c:v>14.747251588842323</c:v>
                </c:pt>
                <c:pt idx="3284">
                  <c:v>14.749684548229144</c:v>
                </c:pt>
                <c:pt idx="3285">
                  <c:v>14.75211710385506</c:v>
                </c:pt>
                <c:pt idx="3286">
                  <c:v>14.754549255922271</c:v>
                </c:pt>
                <c:pt idx="3287">
                  <c:v>14.756981004632792</c:v>
                </c:pt>
                <c:pt idx="3288">
                  <c:v>14.759412350188482</c:v>
                </c:pt>
                <c:pt idx="3289">
                  <c:v>14.761843292791022</c:v>
                </c:pt>
                <c:pt idx="3290">
                  <c:v>14.764273832641928</c:v>
                </c:pt>
                <c:pt idx="3291">
                  <c:v>14.766703969942544</c:v>
                </c:pt>
                <c:pt idx="3292">
                  <c:v>14.769133704894047</c:v>
                </c:pt>
                <c:pt idx="3293">
                  <c:v>14.771563037697447</c:v>
                </c:pt>
                <c:pt idx="3294">
                  <c:v>14.773991968553581</c:v>
                </c:pt>
                <c:pt idx="3295">
                  <c:v>14.776420497663128</c:v>
                </c:pt>
                <c:pt idx="3296">
                  <c:v>14.778848625226585</c:v>
                </c:pt>
                <c:pt idx="3297">
                  <c:v>14.781276351444291</c:v>
                </c:pt>
                <c:pt idx="3298">
                  <c:v>14.783703676516415</c:v>
                </c:pt>
                <c:pt idx="3299">
                  <c:v>14.786130600642956</c:v>
                </c:pt>
                <c:pt idx="3300">
                  <c:v>14.788557124023754</c:v>
                </c:pt>
                <c:pt idx="3301">
                  <c:v>14.790983246858469</c:v>
                </c:pt>
                <c:pt idx="3302">
                  <c:v>14.79340896934661</c:v>
                </c:pt>
                <c:pt idx="3303">
                  <c:v>14.795834291687504</c:v>
                </c:pt>
                <c:pt idx="3304">
                  <c:v>14.79825921408032</c:v>
                </c:pt>
                <c:pt idx="3305">
                  <c:v>14.800683736724064</c:v>
                </c:pt>
                <c:pt idx="3306">
                  <c:v>14.803107859817569</c:v>
                </c:pt>
                <c:pt idx="3307">
                  <c:v>14.805531583559503</c:v>
                </c:pt>
                <c:pt idx="3308">
                  <c:v>14.807954908148373</c:v>
                </c:pt>
                <c:pt idx="3309">
                  <c:v>14.810377833782519</c:v>
                </c:pt>
                <c:pt idx="3310">
                  <c:v>14.812800360660113</c:v>
                </c:pt>
                <c:pt idx="3311">
                  <c:v>14.815222488979163</c:v>
                </c:pt>
                <c:pt idx="3312">
                  <c:v>14.817644218937513</c:v>
                </c:pt>
                <c:pt idx="3313">
                  <c:v>14.820065550732846</c:v>
                </c:pt>
                <c:pt idx="3314">
                  <c:v>14.822486484562674</c:v>
                </c:pt>
                <c:pt idx="3315">
                  <c:v>14.824907020624348</c:v>
                </c:pt>
                <c:pt idx="3316">
                  <c:v>14.827327159115057</c:v>
                </c:pt>
                <c:pt idx="3317">
                  <c:v>14.829746900231822</c:v>
                </c:pt>
                <c:pt idx="3318">
                  <c:v>14.8321662441715</c:v>
                </c:pt>
                <c:pt idx="3319">
                  <c:v>14.834585191130792</c:v>
                </c:pt>
                <c:pt idx="3320">
                  <c:v>14.837003741306228</c:v>
                </c:pt>
                <c:pt idx="3321">
                  <c:v>14.839421894894178</c:v>
                </c:pt>
                <c:pt idx="3322">
                  <c:v>14.841839652090847</c:v>
                </c:pt>
                <c:pt idx="3323">
                  <c:v>14.844257013092285</c:v>
                </c:pt>
                <c:pt idx="3324">
                  <c:v>14.846673978094366</c:v>
                </c:pt>
                <c:pt idx="3325">
                  <c:v>14.849090547292811</c:v>
                </c:pt>
                <c:pt idx="3326">
                  <c:v>14.851506720883181</c:v>
                </c:pt>
                <c:pt idx="3327">
                  <c:v>14.853922499060868</c:v>
                </c:pt>
                <c:pt idx="3328">
                  <c:v>14.856337882021108</c:v>
                </c:pt>
                <c:pt idx="3329">
                  <c:v>14.85875286995897</c:v>
                </c:pt>
                <c:pt idx="3330">
                  <c:v>14.86116746306937</c:v>
                </c:pt>
                <c:pt idx="3331">
                  <c:v>14.863581661547048</c:v>
                </c:pt>
                <c:pt idx="3332">
                  <c:v>14.8659954655866</c:v>
                </c:pt>
                <c:pt idx="3333">
                  <c:v>14.868408875382448</c:v>
                </c:pt>
                <c:pt idx="3334">
                  <c:v>14.870821891128866</c:v>
                </c:pt>
                <c:pt idx="3335">
                  <c:v>14.873234513019955</c:v>
                </c:pt>
                <c:pt idx="3336">
                  <c:v>14.875646741249664</c:v>
                </c:pt>
                <c:pt idx="3337">
                  <c:v>14.878058576011778</c:v>
                </c:pt>
                <c:pt idx="3338">
                  <c:v>14.880470017499924</c:v>
                </c:pt>
                <c:pt idx="3339">
                  <c:v>14.88288106590757</c:v>
                </c:pt>
                <c:pt idx="3340">
                  <c:v>14.885291721428018</c:v>
                </c:pt>
                <c:pt idx="3341">
                  <c:v>14.887701984254425</c:v>
                </c:pt>
                <c:pt idx="3342">
                  <c:v>14.890111854579771</c:v>
                </c:pt>
                <c:pt idx="3343">
                  <c:v>14.892521332596889</c:v>
                </c:pt>
                <c:pt idx="3344">
                  <c:v>14.894930418498454</c:v>
                </c:pt>
                <c:pt idx="3345">
                  <c:v>14.897339112476974</c:v>
                </c:pt>
                <c:pt idx="3346">
                  <c:v>14.899747414724807</c:v>
                </c:pt>
                <c:pt idx="3347">
                  <c:v>14.902155325434142</c:v>
                </c:pt>
                <c:pt idx="3348">
                  <c:v>14.904562844797024</c:v>
                </c:pt>
                <c:pt idx="3349">
                  <c:v>14.906969973005328</c:v>
                </c:pt>
                <c:pt idx="3350">
                  <c:v>14.909376710250779</c:v>
                </c:pt>
                <c:pt idx="3351">
                  <c:v>14.911783056724943</c:v>
                </c:pt>
                <c:pt idx="3352">
                  <c:v>14.914189012619229</c:v>
                </c:pt>
                <c:pt idx="3353">
                  <c:v>14.916594578124879</c:v>
                </c:pt>
                <c:pt idx="3354">
                  <c:v>14.918999753432995</c:v>
                </c:pt>
                <c:pt idx="3355">
                  <c:v>14.921404538734514</c:v>
                </c:pt>
                <c:pt idx="3356">
                  <c:v>14.923808934220212</c:v>
                </c:pt>
                <c:pt idx="3357">
                  <c:v>14.926212940080715</c:v>
                </c:pt>
                <c:pt idx="3358">
                  <c:v>14.928616556506491</c:v>
                </c:pt>
                <c:pt idx="3359">
                  <c:v>14.93101978368785</c:v>
                </c:pt>
                <c:pt idx="3360">
                  <c:v>14.933422621814952</c:v>
                </c:pt>
                <c:pt idx="3361">
                  <c:v>14.93582507107779</c:v>
                </c:pt>
                <c:pt idx="3362">
                  <c:v>14.938227131666213</c:v>
                </c:pt>
                <c:pt idx="3363">
                  <c:v>14.940628803769917</c:v>
                </c:pt>
                <c:pt idx="3364">
                  <c:v>14.943030087578425</c:v>
                </c:pt>
                <c:pt idx="3365">
                  <c:v>14.945430983281121</c:v>
                </c:pt>
                <c:pt idx="3366">
                  <c:v>14.94783149106723</c:v>
                </c:pt>
                <c:pt idx="3367">
                  <c:v>14.950231611125819</c:v>
                </c:pt>
                <c:pt idx="3368">
                  <c:v>14.952631343645809</c:v>
                </c:pt>
                <c:pt idx="3369">
                  <c:v>14.955030688815958</c:v>
                </c:pt>
                <c:pt idx="3370">
                  <c:v>14.957429646824874</c:v>
                </c:pt>
                <c:pt idx="3371">
                  <c:v>14.959828217861009</c:v>
                </c:pt>
                <c:pt idx="3372">
                  <c:v>14.962226402112663</c:v>
                </c:pt>
                <c:pt idx="3373">
                  <c:v>14.964624199767988</c:v>
                </c:pt>
                <c:pt idx="3374">
                  <c:v>14.967021611014964</c:v>
                </c:pt>
                <c:pt idx="3375">
                  <c:v>14.969418636041443</c:v>
                </c:pt>
                <c:pt idx="3376">
                  <c:v>14.971815275035105</c:v>
                </c:pt>
                <c:pt idx="3377">
                  <c:v>14.974211528183487</c:v>
                </c:pt>
                <c:pt idx="3378">
                  <c:v>14.976607395673966</c:v>
                </c:pt>
                <c:pt idx="3379">
                  <c:v>14.979002877693773</c:v>
                </c:pt>
                <c:pt idx="3380">
                  <c:v>14.981397974429987</c:v>
                </c:pt>
                <c:pt idx="3381">
                  <c:v>14.983792686069529</c:v>
                </c:pt>
                <c:pt idx="3382">
                  <c:v>14.986187012799169</c:v>
                </c:pt>
                <c:pt idx="3383">
                  <c:v>14.988580954805535</c:v>
                </c:pt>
                <c:pt idx="3384">
                  <c:v>14.990974512275088</c:v>
                </c:pt>
                <c:pt idx="3385">
                  <c:v>14.99336768539415</c:v>
                </c:pt>
                <c:pt idx="3386">
                  <c:v>14.995760474348884</c:v>
                </c:pt>
                <c:pt idx="3387">
                  <c:v>14.998152879325309</c:v>
                </c:pt>
                <c:pt idx="3388">
                  <c:v>15.000544900509285</c:v>
                </c:pt>
                <c:pt idx="3389">
                  <c:v>15.002936538086528</c:v>
                </c:pt>
                <c:pt idx="3390">
                  <c:v>15.0053277922426</c:v>
                </c:pt>
                <c:pt idx="3391">
                  <c:v>15.007718663162915</c:v>
                </c:pt>
                <c:pt idx="3392">
                  <c:v>15.010109151032735</c:v>
                </c:pt>
                <c:pt idx="3393">
                  <c:v>15.012499256037167</c:v>
                </c:pt>
                <c:pt idx="3394">
                  <c:v>15.014888978361178</c:v>
                </c:pt>
                <c:pt idx="3395">
                  <c:v>15.017278318189582</c:v>
                </c:pt>
                <c:pt idx="3396">
                  <c:v>15.01966727570704</c:v>
                </c:pt>
                <c:pt idx="3397">
                  <c:v>15.022055851098063</c:v>
                </c:pt>
                <c:pt idx="3398">
                  <c:v>15.024444044547021</c:v>
                </c:pt>
                <c:pt idx="3399">
                  <c:v>15.026831856238124</c:v>
                </c:pt>
                <c:pt idx="3400">
                  <c:v>15.029219286355438</c:v>
                </c:pt>
                <c:pt idx="3401">
                  <c:v>15.031606335082888</c:v>
                </c:pt>
                <c:pt idx="3402">
                  <c:v>15.033993002604239</c:v>
                </c:pt>
                <c:pt idx="3403">
                  <c:v>15.03637928910311</c:v>
                </c:pt>
                <c:pt idx="3404">
                  <c:v>15.038765194762975</c:v>
                </c:pt>
                <c:pt idx="3405">
                  <c:v>15.041150719767161</c:v>
                </c:pt>
                <c:pt idx="3406">
                  <c:v>15.043535864298843</c:v>
                </c:pt>
                <c:pt idx="3407">
                  <c:v>15.045920628541047</c:v>
                </c:pt>
                <c:pt idx="3408">
                  <c:v>15.048305012676661</c:v>
                </c:pt>
                <c:pt idx="3409">
                  <c:v>15.050689016888418</c:v>
                </c:pt>
                <c:pt idx="3410">
                  <c:v>15.0530726413589</c:v>
                </c:pt>
                <c:pt idx="3411">
                  <c:v>15.055455886270551</c:v>
                </c:pt>
                <c:pt idx="3412">
                  <c:v>15.057838751805665</c:v>
                </c:pt>
                <c:pt idx="3413">
                  <c:v>15.060221238146388</c:v>
                </c:pt>
                <c:pt idx="3414">
                  <c:v>15.062603345474718</c:v>
                </c:pt>
                <c:pt idx="3415">
                  <c:v>15.064985073972512</c:v>
                </c:pt>
                <c:pt idx="3416">
                  <c:v>15.067366423821476</c:v>
                </c:pt>
                <c:pt idx="3417">
                  <c:v>15.069747395203171</c:v>
                </c:pt>
                <c:pt idx="3418">
                  <c:v>15.072127988299012</c:v>
                </c:pt>
                <c:pt idx="3419">
                  <c:v>15.07450820329027</c:v>
                </c:pt>
                <c:pt idx="3420">
                  <c:v>15.076888040358071</c:v>
                </c:pt>
                <c:pt idx="3421">
                  <c:v>15.079267499683391</c:v>
                </c:pt>
                <c:pt idx="3422">
                  <c:v>15.081646581447064</c:v>
                </c:pt>
                <c:pt idx="3423">
                  <c:v>15.084025285829783</c:v>
                </c:pt>
                <c:pt idx="3424">
                  <c:v>15.086403613012086</c:v>
                </c:pt>
                <c:pt idx="3425">
                  <c:v>15.088781563174377</c:v>
                </c:pt>
                <c:pt idx="3426">
                  <c:v>15.091159136496911</c:v>
                </c:pt>
                <c:pt idx="3427">
                  <c:v>15.093536333159795</c:v>
                </c:pt>
                <c:pt idx="3428">
                  <c:v>15.095913153342995</c:v>
                </c:pt>
                <c:pt idx="3429">
                  <c:v>15.098289597226337</c:v>
                </c:pt>
                <c:pt idx="3430">
                  <c:v>15.100665664989497</c:v>
                </c:pt>
                <c:pt idx="3431">
                  <c:v>15.103041356812007</c:v>
                </c:pt>
                <c:pt idx="3432">
                  <c:v>15.105416672873263</c:v>
                </c:pt>
                <c:pt idx="3433">
                  <c:v>15.107791613352507</c:v>
                </c:pt>
                <c:pt idx="3434">
                  <c:v>15.11016617842885</c:v>
                </c:pt>
                <c:pt idx="3435">
                  <c:v>15.112540368281245</c:v>
                </c:pt>
                <c:pt idx="3436">
                  <c:v>15.114914183088516</c:v>
                </c:pt>
                <c:pt idx="3437">
                  <c:v>15.117287623029334</c:v>
                </c:pt>
                <c:pt idx="3438">
                  <c:v>15.119660688282238</c:v>
                </c:pt>
                <c:pt idx="3439">
                  <c:v>15.122033379025613</c:v>
                </c:pt>
                <c:pt idx="3440">
                  <c:v>15.124405695437709</c:v>
                </c:pt>
                <c:pt idx="3441">
                  <c:v>15.126777637696632</c:v>
                </c:pt>
                <c:pt idx="3442">
                  <c:v>15.129149205980347</c:v>
                </c:pt>
                <c:pt idx="3443">
                  <c:v>15.131520400466673</c:v>
                </c:pt>
                <c:pt idx="3444">
                  <c:v>15.133891221333297</c:v>
                </c:pt>
                <c:pt idx="3445">
                  <c:v>15.136261668757752</c:v>
                </c:pt>
                <c:pt idx="3446">
                  <c:v>15.138631742917436</c:v>
                </c:pt>
                <c:pt idx="3447">
                  <c:v>15.141001443989611</c:v>
                </c:pt>
                <c:pt idx="3448">
                  <c:v>15.143370772151385</c:v>
                </c:pt>
                <c:pt idx="3449">
                  <c:v>15.145739727579739</c:v>
                </c:pt>
                <c:pt idx="3450">
                  <c:v>15.148108310451505</c:v>
                </c:pt>
                <c:pt idx="3451">
                  <c:v>15.150476520943373</c:v>
                </c:pt>
                <c:pt idx="3452">
                  <c:v>15.152844359231903</c:v>
                </c:pt>
                <c:pt idx="3453">
                  <c:v>15.155211825493501</c:v>
                </c:pt>
                <c:pt idx="3454">
                  <c:v>15.157578919904445</c:v>
                </c:pt>
                <c:pt idx="3455">
                  <c:v>15.159945642640865</c:v>
                </c:pt>
                <c:pt idx="3456">
                  <c:v>15.162311993878756</c:v>
                </c:pt>
                <c:pt idx="3457">
                  <c:v>15.164677973793967</c:v>
                </c:pt>
                <c:pt idx="3458">
                  <c:v>15.167043582562222</c:v>
                </c:pt>
                <c:pt idx="3459">
                  <c:v>15.169408820359084</c:v>
                </c:pt>
                <c:pt idx="3460">
                  <c:v>15.171773687359995</c:v>
                </c:pt>
                <c:pt idx="3461">
                  <c:v>15.174138183740251</c:v>
                </c:pt>
                <c:pt idx="3462">
                  <c:v>15.176502309675008</c:v>
                </c:pt>
                <c:pt idx="3463">
                  <c:v>15.178866065339292</c:v>
                </c:pt>
                <c:pt idx="3464">
                  <c:v>15.181229450907974</c:v>
                </c:pt>
                <c:pt idx="3465">
                  <c:v>15.183592466555801</c:v>
                </c:pt>
                <c:pt idx="3466">
                  <c:v>15.185955112457378</c:v>
                </c:pt>
                <c:pt idx="3467">
                  <c:v>15.188317388787171</c:v>
                </c:pt>
                <c:pt idx="3468">
                  <c:v>15.190679295719505</c:v>
                </c:pt>
                <c:pt idx="3469">
                  <c:v>15.193040833428572</c:v>
                </c:pt>
                <c:pt idx="3470">
                  <c:v>15.195402002088429</c:v>
                </c:pt>
                <c:pt idx="3471">
                  <c:v>15.197762801872983</c:v>
                </c:pt>
                <c:pt idx="3472">
                  <c:v>15.20012323295602</c:v>
                </c:pt>
              </c:numCache>
            </c:numRef>
          </c:xVal>
          <c:yVal>
            <c:numRef>
              <c:f>[0]!Fator_armazenamento</c:f>
              <c:numCache>
                <c:formatCode>#,#00</c:formatCode>
                <c:ptCount val="3473"/>
                <c:pt idx="0">
                  <c:v>1.25</c:v>
                </c:pt>
                <c:pt idx="1">
                  <c:v>1.5625</c:v>
                </c:pt>
                <c:pt idx="2">
                  <c:v>1.8749999999999998</c:v>
                </c:pt>
                <c:pt idx="3">
                  <c:v>2.1875</c:v>
                </c:pt>
                <c:pt idx="4">
                  <c:v>2.631980675870135</c:v>
                </c:pt>
                <c:pt idx="5">
                  <c:v>3.0010830985438668</c:v>
                </c:pt>
                <c:pt idx="6">
                  <c:v>3.3567504505058712</c:v>
                </c:pt>
                <c:pt idx="7">
                  <c:v>3.7055540198596963</c:v>
                </c:pt>
                <c:pt idx="8">
                  <c:v>4.0499960730013154</c:v>
                </c:pt>
                <c:pt idx="9">
                  <c:v>4.391350011509016</c:v>
                </c:pt>
                <c:pt idx="10">
                  <c:v>4.7303688454588375</c:v>
                </c:pt>
                <c:pt idx="11">
                  <c:v>5.0675417116265207</c:v>
                </c:pt>
                <c:pt idx="12">
                  <c:v>5.4032076249642165</c:v>
                </c:pt>
                <c:pt idx="13">
                  <c:v>5.7376130144826822</c:v>
                </c:pt>
                <c:pt idx="14">
                  <c:v>6.0709436750709891</c:v>
                </c:pt>
                <c:pt idx="15">
                  <c:v>6.403343801707277</c:v>
                </c:pt>
                <c:pt idx="16">
                  <c:v>6.7349279676842295</c:v>
                </c:pt>
                <c:pt idx="17">
                  <c:v>7.0657890025578007</c:v>
                </c:pt>
                <c:pt idx="18">
                  <c:v>7.3960033650072656</c:v>
                </c:pt>
                <c:pt idx="19">
                  <c:v>7.7256349204448291</c:v>
                </c:pt>
                <c:pt idx="20">
                  <c:v>8.054737666699701</c:v>
                </c:pt>
                <c:pt idx="21">
                  <c:v>8.3833577450720096</c:v>
                </c:pt>
                <c:pt idx="22">
                  <c:v>8.7115349532312365</c:v>
                </c:pt>
                <c:pt idx="23">
                  <c:v>9.0393039029577977</c:v>
                </c:pt>
                <c:pt idx="24">
                  <c:v>9.3666949196065303</c:v>
                </c:pt>
                <c:pt idx="25">
                  <c:v>9.6937347504073053</c:v>
                </c:pt>
                <c:pt idx="26">
                  <c:v>10.020447129031528</c:v>
                </c:pt>
                <c:pt idx="27">
                  <c:v>10.346853230543621</c:v>
                </c:pt>
                <c:pt idx="28">
                  <c:v>10.672972041678982</c:v>
                </c:pt>
                <c:pt idx="29">
                  <c:v>10.998820664948131</c:v>
                </c:pt>
                <c:pt idx="30">
                  <c:v>11.324414570471703</c:v>
                </c:pt>
                <c:pt idx="31">
                  <c:v>11.649767806124482</c:v>
                </c:pt>
                <c:pt idx="32">
                  <c:v>11.974893174126125</c:v>
                </c:pt>
                <c:pt idx="33">
                  <c:v>12.299802380402992</c:v>
                </c:pt>
                <c:pt idx="34">
                  <c:v>12.62450616168327</c:v>
                </c:pt>
                <c:pt idx="35">
                  <c:v>12.949014394252963</c:v>
                </c:pt>
                <c:pt idx="36">
                  <c:v>13.27333618750691</c:v>
                </c:pt>
                <c:pt idx="37">
                  <c:v>13.597479964815019</c:v>
                </c:pt>
                <c:pt idx="38">
                  <c:v>13.9214535337446</c:v>
                </c:pt>
                <c:pt idx="39">
                  <c:v>14.24526414730262</c:v>
                </c:pt>
                <c:pt idx="40">
                  <c:v>14.568918557562837</c:v>
                </c:pt>
                <c:pt idx="41">
                  <c:v>14.892423062804056</c:v>
                </c:pt>
                <c:pt idx="42">
                  <c:v>15.215783549094137</c:v>
                </c:pt>
                <c:pt idx="43">
                  <c:v>15.539005527099267</c:v>
                </c:pt>
                <c:pt idx="44">
                  <c:v>15.862094164771962</c:v>
                </c:pt>
                <c:pt idx="45">
                  <c:v>16.185054316468115</c:v>
                </c:pt>
                <c:pt idx="46">
                  <c:v>16.507890548958592</c:v>
                </c:pt>
                <c:pt idx="47">
                  <c:v>16.830607164730903</c:v>
                </c:pt>
                <c:pt idx="48">
                  <c:v>17.153208222918142</c:v>
                </c:pt>
                <c:pt idx="49">
                  <c:v>17.475697558144027</c:v>
                </c:pt>
                <c:pt idx="50">
                  <c:v>17.798078797532195</c:v>
                </c:pt>
                <c:pt idx="51">
                  <c:v>18.12035537609361</c:v>
                </c:pt>
                <c:pt idx="52">
                  <c:v>18.442530550677279</c:v>
                </c:pt>
                <c:pt idx="53">
                  <c:v>18.764607412644853</c:v>
                </c:pt>
                <c:pt idx="54">
                  <c:v>19.086588899408969</c:v>
                </c:pt>
                <c:pt idx="55">
                  <c:v>19.408477804957364</c:v>
                </c:pt>
                <c:pt idx="56">
                  <c:v>19.730276789469734</c:v>
                </c:pt>
                <c:pt idx="57">
                  <c:v>20.051988388121032</c:v>
                </c:pt>
                <c:pt idx="58">
                  <c:v>20.373615019153842</c:v>
                </c:pt>
                <c:pt idx="59">
                  <c:v>20.695158991292637</c:v>
                </c:pt>
                <c:pt idx="60">
                  <c:v>21.01662251056435</c:v>
                </c:pt>
                <c:pt idx="61">
                  <c:v>21.338007686582323</c:v>
                </c:pt>
                <c:pt idx="62">
                  <c:v>21.659316538344378</c:v>
                </c:pt>
                <c:pt idx="63">
                  <c:v>21.980550999590129</c:v>
                </c:pt>
                <c:pt idx="64">
                  <c:v>22.30171292375783</c:v>
                </c:pt>
                <c:pt idx="65">
                  <c:v>22.622804088576718</c:v>
                </c:pt>
                <c:pt idx="66">
                  <c:v>22.943826200327148</c:v>
                </c:pt>
                <c:pt idx="67">
                  <c:v>23.264780897797337</c:v>
                </c:pt>
                <c:pt idx="68">
                  <c:v>23.58566975596279</c:v>
                </c:pt>
                <c:pt idx="69">
                  <c:v>23.906494289411775</c:v>
                </c:pt>
                <c:pt idx="70">
                  <c:v>24.227255955537935</c:v>
                </c:pt>
                <c:pt idx="71">
                  <c:v>24.547956157519113</c:v>
                </c:pt>
                <c:pt idx="72">
                  <c:v>24.868596247099632</c:v>
                </c:pt>
                <c:pt idx="73">
                  <c:v>25.189177527191632</c:v>
                </c:pt>
                <c:pt idx="74">
                  <c:v>25.509701254309665</c:v>
                </c:pt>
                <c:pt idx="75">
                  <c:v>25.830168640851404</c:v>
                </c:pt>
                <c:pt idx="76">
                  <c:v>26.150580857236228</c:v>
                </c:pt>
                <c:pt idx="77">
                  <c:v>26.470939033912327</c:v>
                </c:pt>
                <c:pt idx="78">
                  <c:v>26.791244263242046</c:v>
                </c:pt>
                <c:pt idx="79">
                  <c:v>27.111497601274493</c:v>
                </c:pt>
                <c:pt idx="80">
                  <c:v>27.431700069413356</c:v>
                </c:pt>
                <c:pt idx="81">
                  <c:v>27.751852655987616</c:v>
                </c:pt>
                <c:pt idx="82">
                  <c:v>28.071956317731797</c:v>
                </c:pt>
                <c:pt idx="83">
                  <c:v>28.392011981182144</c:v>
                </c:pt>
                <c:pt idx="84">
                  <c:v>28.712020543994448</c:v>
                </c:pt>
                <c:pt idx="85">
                  <c:v>29.031982876188867</c:v>
                </c:pt>
                <c:pt idx="86">
                  <c:v>29.351899821326558</c:v>
                </c:pt>
                <c:pt idx="87">
                  <c:v>29.671772197622715</c:v>
                </c:pt>
                <c:pt idx="88">
                  <c:v>29.991600799000096</c:v>
                </c:pt>
                <c:pt idx="89">
                  <c:v>30.31138639608691</c:v>
                </c:pt>
                <c:pt idx="90">
                  <c:v>30.631129737162613</c:v>
                </c:pt>
                <c:pt idx="91">
                  <c:v>30.950831549054911</c:v>
                </c:pt>
                <c:pt idx="92">
                  <c:v>31.270492537990972</c:v>
                </c:pt>
                <c:pt idx="93">
                  <c:v>31.590113390405723</c:v>
                </c:pt>
                <c:pt idx="94">
                  <c:v>31.909694773709806</c:v>
                </c:pt>
                <c:pt idx="95">
                  <c:v>32.229237337019626</c:v>
                </c:pt>
                <c:pt idx="96">
                  <c:v>32.548741711851832</c:v>
                </c:pt>
                <c:pt idx="97">
                  <c:v>32.868208512784186</c:v>
                </c:pt>
                <c:pt idx="98">
                  <c:v>33.187638338084923</c:v>
                </c:pt>
                <c:pt idx="99">
                  <c:v>33.507031770312352</c:v>
                </c:pt>
                <c:pt idx="100">
                  <c:v>33.826389376886333</c:v>
                </c:pt>
                <c:pt idx="101">
                  <c:v>34.145711710633449</c:v>
                </c:pt>
                <c:pt idx="102">
                  <c:v>34.464999310307071</c:v>
                </c:pt>
                <c:pt idx="103">
                  <c:v>34.784252701083872</c:v>
                </c:pt>
                <c:pt idx="104">
                  <c:v>35.103472395038033</c:v>
                </c:pt>
                <c:pt idx="105">
                  <c:v>35.422658891594381</c:v>
                </c:pt>
                <c:pt idx="106">
                  <c:v>35.741812677961583</c:v>
                </c:pt>
                <c:pt idx="107">
                  <c:v>36.060934229546426</c:v>
                </c:pt>
                <c:pt idx="108">
                  <c:v>36.380024010350198</c:v>
                </c:pt>
                <c:pt idx="109">
                  <c:v>36.699082473348163</c:v>
                </c:pt>
                <c:pt idx="110">
                  <c:v>37.018110060852898</c:v>
                </c:pt>
                <c:pt idx="111">
                  <c:v>37.337107204862441</c:v>
                </c:pt>
                <c:pt idx="112">
                  <c:v>37.656074327393867</c:v>
                </c:pt>
                <c:pt idx="113">
                  <c:v>37.975011840803241</c:v>
                </c:pt>
                <c:pt idx="114">
                  <c:v>38.293920148092432</c:v>
                </c:pt>
                <c:pt idx="115">
                  <c:v>38.612799643203459</c:v>
                </c:pt>
                <c:pt idx="116">
                  <c:v>38.931650711301188</c:v>
                </c:pt>
                <c:pt idx="117">
                  <c:v>39.250473729044607</c:v>
                </c:pt>
                <c:pt idx="118">
                  <c:v>39.569269064847589</c:v>
                </c:pt>
                <c:pt idx="119">
                  <c:v>39.888037079129312</c:v>
                </c:pt>
                <c:pt idx="120">
                  <c:v>40.206778124555093</c:v>
                </c:pt>
                <c:pt idx="121">
                  <c:v>40.525492546267934</c:v>
                </c:pt>
                <c:pt idx="122">
                  <c:v>40.844180682111222</c:v>
                </c:pt>
                <c:pt idx="123">
                  <c:v>41.1628428628431</c:v>
                </c:pt>
                <c:pt idx="124">
                  <c:v>41.481479412342722</c:v>
                </c:pt>
                <c:pt idx="125">
                  <c:v>41.800090647808936</c:v>
                </c:pt>
                <c:pt idx="126">
                  <c:v>42.118676879951572</c:v>
                </c:pt>
                <c:pt idx="127">
                  <c:v>42.437238413175834</c:v>
                </c:pt>
                <c:pt idx="128">
                  <c:v>42.75577554575986</c:v>
                </c:pt>
                <c:pt idx="129">
                  <c:v>43.074288570026148</c:v>
                </c:pt>
                <c:pt idx="130">
                  <c:v>43.392777772506548</c:v>
                </c:pt>
                <c:pt idx="131">
                  <c:v>43.711243434101753</c:v>
                </c:pt>
                <c:pt idx="132">
                  <c:v>44.029685830234925</c:v>
                </c:pt>
                <c:pt idx="133">
                  <c:v>44.348105231000062</c:v>
                </c:pt>
                <c:pt idx="134">
                  <c:v>44.666501901305352</c:v>
                </c:pt>
                <c:pt idx="135">
                  <c:v>44.984876101011409</c:v>
                </c:pt>
                <c:pt idx="136">
                  <c:v>45.303228085064958</c:v>
                </c:pt>
                <c:pt idx="137">
                  <c:v>45.621558103627898</c:v>
                </c:pt>
                <c:pt idx="138">
                  <c:v>45.939866402202142</c:v>
                </c:pt>
                <c:pt idx="139">
                  <c:v>46.258153221750227</c:v>
                </c:pt>
                <c:pt idx="140">
                  <c:v>46.576418798811915</c:v>
                </c:pt>
                <c:pt idx="141">
                  <c:v>46.89466336561712</c:v>
                </c:pt>
                <c:pt idx="142">
                  <c:v>47.212887150194923</c:v>
                </c:pt>
                <c:pt idx="143">
                  <c:v>47.531090376479298</c:v>
                </c:pt>
                <c:pt idx="144">
                  <c:v>47.849273264411273</c:v>
                </c:pt>
                <c:pt idx="145">
                  <c:v>48.167436030037948</c:v>
                </c:pt>
                <c:pt idx="146">
                  <c:v>48.485578885608291</c:v>
                </c:pt>
                <c:pt idx="147">
                  <c:v>48.803702039665993</c:v>
                </c:pt>
                <c:pt idx="148">
                  <c:v>49.121805697139386</c:v>
                </c:pt>
                <c:pt idx="149">
                  <c:v>49.439890059428606</c:v>
                </c:pt>
                <c:pt idx="150">
                  <c:v>49.75795532449002</c:v>
                </c:pt>
                <c:pt idx="151">
                  <c:v>50.076001686918133</c:v>
                </c:pt>
                <c:pt idx="152">
                  <c:v>50.394029338024986</c:v>
                </c:pt>
                <c:pt idx="153">
                  <c:v>50.71203846591709</c:v>
                </c:pt>
                <c:pt idx="154">
                  <c:v>51.030029255570248</c:v>
                </c:pt>
                <c:pt idx="155">
                  <c:v>51.348001888901862</c:v>
                </c:pt>
                <c:pt idx="156">
                  <c:v>51.665956544841407</c:v>
                </c:pt>
                <c:pt idx="157">
                  <c:v>51.983893399398603</c:v>
                </c:pt>
                <c:pt idx="158">
                  <c:v>52.301812625729681</c:v>
                </c:pt>
                <c:pt idx="159">
                  <c:v>52.6197143942018</c:v>
                </c:pt>
                <c:pt idx="160">
                  <c:v>52.937598872455467</c:v>
                </c:pt>
                <c:pt idx="161">
                  <c:v>53.255466225465312</c:v>
                </c:pt>
                <c:pt idx="162">
                  <c:v>53.573316615598969</c:v>
                </c:pt>
                <c:pt idx="163">
                  <c:v>53.891150202674474</c:v>
                </c:pt>
                <c:pt idx="164">
                  <c:v>54.208967144015958</c:v>
                </c:pt>
                <c:pt idx="165">
                  <c:v>54.526767594507724</c:v>
                </c:pt>
                <c:pt idx="166">
                  <c:v>54.844551706646996</c:v>
                </c:pt>
                <c:pt idx="167">
                  <c:v>55.162319630595</c:v>
                </c:pt>
                <c:pt idx="168">
                  <c:v>55.480071514226836</c:v>
                </c:pt>
                <c:pt idx="169">
                  <c:v>55.797807503179882</c:v>
                </c:pt>
                <c:pt idx="170">
                  <c:v>56.115527740900923</c:v>
                </c:pt>
                <c:pt idx="171">
                  <c:v>56.433232368691989</c:v>
                </c:pt>
                <c:pt idx="172">
                  <c:v>56.750921525754997</c:v>
                </c:pt>
                <c:pt idx="173">
                  <c:v>57.068595349235196</c:v>
                </c:pt>
                <c:pt idx="174">
                  <c:v>57.38625397426344</c:v>
                </c:pt>
                <c:pt idx="175">
                  <c:v>57.703897533997377</c:v>
                </c:pt>
                <c:pt idx="176">
                  <c:v>58.021526159661576</c:v>
                </c:pt>
                <c:pt idx="177">
                  <c:v>58.339139980586552</c:v>
                </c:pt>
                <c:pt idx="178">
                  <c:v>58.656739124246819</c:v>
                </c:pt>
                <c:pt idx="179">
                  <c:v>58.974323716298031</c:v>
                </c:pt>
                <c:pt idx="180">
                  <c:v>59.29189388061301</c:v>
                </c:pt>
                <c:pt idx="181">
                  <c:v>59.609449739317057</c:v>
                </c:pt>
                <c:pt idx="182">
                  <c:v>59.92699141282219</c:v>
                </c:pt>
                <c:pt idx="183">
                  <c:v>60.244519019860654</c:v>
                </c:pt>
                <c:pt idx="184">
                  <c:v>60.56203267751755</c:v>
                </c:pt>
                <c:pt idx="185">
                  <c:v>60.879532501262617</c:v>
                </c:pt>
                <c:pt idx="186">
                  <c:v>61.197018604981288</c:v>
                </c:pt>
                <c:pt idx="187">
                  <c:v>61.514491101004936</c:v>
                </c:pt>
                <c:pt idx="188">
                  <c:v>61.831950100140418</c:v>
                </c:pt>
                <c:pt idx="189">
                  <c:v>62.149395711698894</c:v>
                </c:pt>
                <c:pt idx="190">
                  <c:v>62.466828043523883</c:v>
                </c:pt>
                <c:pt idx="191">
                  <c:v>62.784247202018811</c:v>
                </c:pt>
                <c:pt idx="192">
                  <c:v>63.101653292173665</c:v>
                </c:pt>
                <c:pt idx="193">
                  <c:v>63.419046417591233</c:v>
                </c:pt>
                <c:pt idx="194">
                  <c:v>63.736426680512587</c:v>
                </c:pt>
                <c:pt idx="195">
                  <c:v>64.053794181842022</c:v>
                </c:pt>
                <c:pt idx="196">
                  <c:v>64.371149021171391</c:v>
                </c:pt>
                <c:pt idx="197">
                  <c:v>64.688491296803889</c:v>
                </c:pt>
                <c:pt idx="198">
                  <c:v>65.005821105777258</c:v>
                </c:pt>
                <c:pt idx="199">
                  <c:v>65.323138543886515</c:v>
                </c:pt>
                <c:pt idx="200">
                  <c:v>65.640443705706076</c:v>
                </c:pt>
                <c:pt idx="201">
                  <c:v>65.957736684611433</c:v>
                </c:pt>
                <c:pt idx="202">
                  <c:v>66.275017572800394</c:v>
                </c:pt>
                <c:pt idx="203">
                  <c:v>66.592286461313577</c:v>
                </c:pt>
                <c:pt idx="204">
                  <c:v>66.909543440054946</c:v>
                </c:pt>
                <c:pt idx="205">
                  <c:v>67.226788597811208</c:v>
                </c:pt>
                <c:pt idx="206">
                  <c:v>67.544022022271591</c:v>
                </c:pt>
                <c:pt idx="207">
                  <c:v>67.86124380004631</c:v>
                </c:pt>
                <c:pt idx="208">
                  <c:v>68.17845401668535</c:v>
                </c:pt>
                <c:pt idx="209">
                  <c:v>68.495652756696458</c:v>
                </c:pt>
                <c:pt idx="210">
                  <c:v>68.812840103562834</c:v>
                </c:pt>
                <c:pt idx="211">
                  <c:v>69.130016139760414</c:v>
                </c:pt>
                <c:pt idx="212">
                  <c:v>69.44718094677485</c:v>
                </c:pt>
                <c:pt idx="213">
                  <c:v>69.764334605118009</c:v>
                </c:pt>
                <c:pt idx="214">
                  <c:v>70.081477194344345</c:v>
                </c:pt>
                <c:pt idx="215">
                  <c:v>70.398608793066501</c:v>
                </c:pt>
                <c:pt idx="216">
                  <c:v>70.715729478971113</c:v>
                </c:pt>
                <c:pt idx="217">
                  <c:v>71.032839328833816</c:v>
                </c:pt>
                <c:pt idx="218">
                  <c:v>71.349938418534265</c:v>
                </c:pt>
                <c:pt idx="219">
                  <c:v>71.667026823070557</c:v>
                </c:pt>
                <c:pt idx="220">
                  <c:v>71.984104616573703</c:v>
                </c:pt>
                <c:pt idx="221">
                  <c:v>72.301171872321419</c:v>
                </c:pt>
                <c:pt idx="222">
                  <c:v>72.618228662751875</c:v>
                </c:pt>
                <c:pt idx="223">
                  <c:v>72.935275059477135</c:v>
                </c:pt>
                <c:pt idx="224">
                  <c:v>73.252311133296246</c:v>
                </c:pt>
                <c:pt idx="225">
                  <c:v>73.569336954208154</c:v>
                </c:pt>
                <c:pt idx="226">
                  <c:v>73.886352591424171</c:v>
                </c:pt>
                <c:pt idx="227">
                  <c:v>74.203358113380489</c:v>
                </c:pt>
                <c:pt idx="228">
                  <c:v>74.520353587750236</c:v>
                </c:pt>
                <c:pt idx="229">
                  <c:v>74.837339081455241</c:v>
                </c:pt>
                <c:pt idx="230">
                  <c:v>75.15431466067777</c:v>
                </c:pt>
                <c:pt idx="231">
                  <c:v>75.471280390871897</c:v>
                </c:pt>
                <c:pt idx="232">
                  <c:v>75.788236336774588</c:v>
                </c:pt>
                <c:pt idx="233">
                  <c:v>76.1051825624168</c:v>
                </c:pt>
                <c:pt idx="234">
                  <c:v>76.422119131133996</c:v>
                </c:pt>
                <c:pt idx="235">
                  <c:v>76.739046105576989</c:v>
                </c:pt>
                <c:pt idx="236">
                  <c:v>77.049384464369226</c:v>
                </c:pt>
                <c:pt idx="237">
                  <c:v>77.366278330020265</c:v>
                </c:pt>
                <c:pt idx="238">
                  <c:v>77.683162815455475</c:v>
                </c:pt>
                <c:pt idx="239">
                  <c:v>78.000037980495506</c:v>
                </c:pt>
                <c:pt idx="240">
                  <c:v>78.316903884327786</c:v>
                </c:pt>
                <c:pt idx="241">
                  <c:v>78.633760585516015</c:v>
                </c:pt>
                <c:pt idx="242">
                  <c:v>78.950608142009216</c:v>
                </c:pt>
                <c:pt idx="243">
                  <c:v>79.267446611150831</c:v>
                </c:pt>
                <c:pt idx="244">
                  <c:v>79.584276049687432</c:v>
                </c:pt>
                <c:pt idx="245">
                  <c:v>79.901096513777489</c:v>
                </c:pt>
                <c:pt idx="246">
                  <c:v>80.217908058999797</c:v>
                </c:pt>
                <c:pt idx="247">
                  <c:v>80.534710740361859</c:v>
                </c:pt>
                <c:pt idx="248">
                  <c:v>80.851504612308048</c:v>
                </c:pt>
                <c:pt idx="249">
                  <c:v>81.168289728727615</c:v>
                </c:pt>
                <c:pt idx="250">
                  <c:v>81.485066142962737</c:v>
                </c:pt>
                <c:pt idx="251">
                  <c:v>81.801833907816004</c:v>
                </c:pt>
                <c:pt idx="252">
                  <c:v>82.118593075558238</c:v>
                </c:pt>
                <c:pt idx="253">
                  <c:v>82.435343697935892</c:v>
                </c:pt>
                <c:pt idx="254">
                  <c:v>82.752085826178387</c:v>
                </c:pt>
                <c:pt idx="255">
                  <c:v>83.068819511005273</c:v>
                </c:pt>
                <c:pt idx="256">
                  <c:v>83.385544802633433</c:v>
                </c:pt>
                <c:pt idx="257">
                  <c:v>83.702261750783833</c:v>
                </c:pt>
                <c:pt idx="258">
                  <c:v>84.018970404688545</c:v>
                </c:pt>
                <c:pt idx="259">
                  <c:v>84.335670813097295</c:v>
                </c:pt>
                <c:pt idx="260">
                  <c:v>84.652363024284242</c:v>
                </c:pt>
                <c:pt idx="261">
                  <c:v>84.969047086054189</c:v>
                </c:pt>
                <c:pt idx="262">
                  <c:v>85.285723045749208</c:v>
                </c:pt>
                <c:pt idx="263">
                  <c:v>85.602390950254659</c:v>
                </c:pt>
                <c:pt idx="264">
                  <c:v>85.919050846005533</c:v>
                </c:pt>
                <c:pt idx="265">
                  <c:v>86.235702778992376</c:v>
                </c:pt>
                <c:pt idx="266">
                  <c:v>86.552346794767203</c:v>
                </c:pt>
                <c:pt idx="267">
                  <c:v>86.868982938449406</c:v>
                </c:pt>
                <c:pt idx="268">
                  <c:v>87.185611254731441</c:v>
                </c:pt>
                <c:pt idx="269">
                  <c:v>87.502231787884426</c:v>
                </c:pt>
                <c:pt idx="270">
                  <c:v>87.818844581763784</c:v>
                </c:pt>
                <c:pt idx="271">
                  <c:v>88.135449679814613</c:v>
                </c:pt>
                <c:pt idx="272">
                  <c:v>88.45204712507703</c:v>
                </c:pt>
                <c:pt idx="273">
                  <c:v>88.768636960191458</c:v>
                </c:pt>
                <c:pt idx="274">
                  <c:v>89.08521922740384</c:v>
                </c:pt>
                <c:pt idx="275">
                  <c:v>89.401793968570686</c:v>
                </c:pt>
                <c:pt idx="276">
                  <c:v>89.718361225164045</c:v>
                </c:pt>
                <c:pt idx="277">
                  <c:v>90.034921038276536</c:v>
                </c:pt>
                <c:pt idx="278">
                  <c:v>90.351473448626109</c:v>
                </c:pt>
                <c:pt idx="279">
                  <c:v>90.668018496560791</c:v>
                </c:pt>
                <c:pt idx="280">
                  <c:v>90.984556222063475</c:v>
                </c:pt>
                <c:pt idx="281">
                  <c:v>91.301086664756468</c:v>
                </c:pt>
                <c:pt idx="282">
                  <c:v>91.617609863905969</c:v>
                </c:pt>
                <c:pt idx="283">
                  <c:v>91.93412585842664</c:v>
                </c:pt>
                <c:pt idx="284">
                  <c:v>92.250634686885888</c:v>
                </c:pt>
                <c:pt idx="285">
                  <c:v>92.567136387508384</c:v>
                </c:pt>
                <c:pt idx="286">
                  <c:v>92.883630998180024</c:v>
                </c:pt>
                <c:pt idx="287">
                  <c:v>93.200118556452367</c:v>
                </c:pt>
                <c:pt idx="288">
                  <c:v>93.516599099546582</c:v>
                </c:pt>
                <c:pt idx="289">
                  <c:v>93.833072664357644</c:v>
                </c:pt>
                <c:pt idx="290">
                  <c:v>94.149539287458239</c:v>
                </c:pt>
                <c:pt idx="291">
                  <c:v>94.465999005102674</c:v>
                </c:pt>
                <c:pt idx="292">
                  <c:v>94.782451853230796</c:v>
                </c:pt>
                <c:pt idx="293">
                  <c:v>95.098897867471806</c:v>
                </c:pt>
                <c:pt idx="294">
                  <c:v>95.41533708314789</c:v>
                </c:pt>
                <c:pt idx="295">
                  <c:v>95.731769535278104</c:v>
                </c:pt>
                <c:pt idx="296">
                  <c:v>96.048195258581842</c:v>
                </c:pt>
                <c:pt idx="297">
                  <c:v>96.364614287482453</c:v>
                </c:pt>
                <c:pt idx="298">
                  <c:v>96.681026656110831</c:v>
                </c:pt>
                <c:pt idx="299">
                  <c:v>96.99743239830876</c:v>
                </c:pt>
                <c:pt idx="300">
                  <c:v>97.313831547632489</c:v>
                </c:pt>
                <c:pt idx="301">
                  <c:v>97.63022413735591</c:v>
                </c:pt>
                <c:pt idx="302">
                  <c:v>97.946610200474026</c:v>
                </c:pt>
                <c:pt idx="303">
                  <c:v>98.262989769706138</c:v>
                </c:pt>
                <c:pt idx="304">
                  <c:v>98.579362877499065</c:v>
                </c:pt>
                <c:pt idx="305">
                  <c:v>98.895729556030332</c:v>
                </c:pt>
                <c:pt idx="306">
                  <c:v>99.212089837211309</c:v>
                </c:pt>
                <c:pt idx="307">
                  <c:v>99.52844375269018</c:v>
                </c:pt>
                <c:pt idx="308">
                  <c:v>99.844791333855127</c:v>
                </c:pt>
                <c:pt idx="309">
                  <c:v>100.16113261183712</c:v>
                </c:pt>
                <c:pt idx="310">
                  <c:v>100.47746761751308</c:v>
                </c:pt>
                <c:pt idx="311">
                  <c:v>100.7937963815086</c:v>
                </c:pt>
                <c:pt idx="312">
                  <c:v>101.11011893420087</c:v>
                </c:pt>
                <c:pt idx="313">
                  <c:v>101.42643530572143</c:v>
                </c:pt>
                <c:pt idx="314">
                  <c:v>101.74274552595904</c:v>
                </c:pt>
                <c:pt idx="315">
                  <c:v>102.05904962456236</c:v>
                </c:pt>
                <c:pt idx="316">
                  <c:v>102.3715348739106</c:v>
                </c:pt>
                <c:pt idx="317">
                  <c:v>102.68782073065786</c:v>
                </c:pt>
                <c:pt idx="318">
                  <c:v>103.00410056298844</c:v>
                </c:pt>
                <c:pt idx="319">
                  <c:v>103.32037439957095</c:v>
                </c:pt>
                <c:pt idx="320">
                  <c:v>103.63664226884748</c:v>
                </c:pt>
                <c:pt idx="321">
                  <c:v>103.95290419903586</c:v>
                </c:pt>
                <c:pt idx="322">
                  <c:v>104.26916021813226</c:v>
                </c:pt>
                <c:pt idx="323">
                  <c:v>104.58541035391356</c:v>
                </c:pt>
                <c:pt idx="324">
                  <c:v>104.90165463393981</c:v>
                </c:pt>
                <c:pt idx="325">
                  <c:v>105.2178930855566</c:v>
                </c:pt>
                <c:pt idx="326">
                  <c:v>105.53412573589722</c:v>
                </c:pt>
                <c:pt idx="327">
                  <c:v>105.85035261188517</c:v>
                </c:pt>
                <c:pt idx="328">
                  <c:v>106.16657374023636</c:v>
                </c:pt>
                <c:pt idx="329">
                  <c:v>106.48278914746126</c:v>
                </c:pt>
                <c:pt idx="330">
                  <c:v>106.7989988598672</c:v>
                </c:pt>
                <c:pt idx="331">
                  <c:v>107.11520290356056</c:v>
                </c:pt>
                <c:pt idx="332">
                  <c:v>107.43140130444877</c:v>
                </c:pt>
                <c:pt idx="333">
                  <c:v>107.74759408824259</c:v>
                </c:pt>
                <c:pt idx="334">
                  <c:v>108.06378128045807</c:v>
                </c:pt>
                <c:pt idx="335">
                  <c:v>108.37996290641875</c:v>
                </c:pt>
                <c:pt idx="336">
                  <c:v>108.69613899125753</c:v>
                </c:pt>
                <c:pt idx="337">
                  <c:v>109.01230955991875</c:v>
                </c:pt>
                <c:pt idx="338">
                  <c:v>109.32847463716013</c:v>
                </c:pt>
                <c:pt idx="339">
                  <c:v>109.64463424755482</c:v>
                </c:pt>
                <c:pt idx="340">
                  <c:v>109.96078841549321</c:v>
                </c:pt>
                <c:pt idx="341">
                  <c:v>110.27693716518486</c:v>
                </c:pt>
                <c:pt idx="342">
                  <c:v>110.59308052066038</c:v>
                </c:pt>
                <c:pt idx="343">
                  <c:v>110.90921850577328</c:v>
                </c:pt>
                <c:pt idx="344">
                  <c:v>111.22535114420174</c:v>
                </c:pt>
                <c:pt idx="345">
                  <c:v>111.54147845945052</c:v>
                </c:pt>
                <c:pt idx="346">
                  <c:v>111.85760047485262</c:v>
                </c:pt>
                <c:pt idx="347">
                  <c:v>112.17371721357111</c:v>
                </c:pt>
                <c:pt idx="348">
                  <c:v>112.48982869860079</c:v>
                </c:pt>
                <c:pt idx="349">
                  <c:v>112.80593495276993</c:v>
                </c:pt>
                <c:pt idx="350">
                  <c:v>113.12203599874205</c:v>
                </c:pt>
                <c:pt idx="351">
                  <c:v>113.43813185901733</c:v>
                </c:pt>
                <c:pt idx="352">
                  <c:v>113.75422255593453</c:v>
                </c:pt>
                <c:pt idx="353">
                  <c:v>114.07030811167245</c:v>
                </c:pt>
                <c:pt idx="354">
                  <c:v>114.38638854825153</c:v>
                </c:pt>
                <c:pt idx="355">
                  <c:v>114.7024638875355</c:v>
                </c:pt>
                <c:pt idx="356">
                  <c:v>115.01853415123293</c:v>
                </c:pt>
                <c:pt idx="357">
                  <c:v>115.33459936089865</c:v>
                </c:pt>
                <c:pt idx="358">
                  <c:v>115.65065953793544</c:v>
                </c:pt>
                <c:pt idx="359">
                  <c:v>115.96671470359534</c:v>
                </c:pt>
                <c:pt idx="360">
                  <c:v>116.28276487898142</c:v>
                </c:pt>
                <c:pt idx="361">
                  <c:v>116.59881008504887</c:v>
                </c:pt>
                <c:pt idx="362">
                  <c:v>116.91485034260671</c:v>
                </c:pt>
                <c:pt idx="363">
                  <c:v>117.23088567231912</c:v>
                </c:pt>
                <c:pt idx="364">
                  <c:v>117.54691609470689</c:v>
                </c:pt>
                <c:pt idx="365">
                  <c:v>117.86294163014875</c:v>
                </c:pt>
                <c:pt idx="366">
                  <c:v>118.17896229888278</c:v>
                </c:pt>
                <c:pt idx="367">
                  <c:v>118.49497812100778</c:v>
                </c:pt>
                <c:pt idx="368">
                  <c:v>118.81098911648455</c:v>
                </c:pt>
                <c:pt idx="369">
                  <c:v>119.12699530513726</c:v>
                </c:pt>
                <c:pt idx="370">
                  <c:v>119.4429967066548</c:v>
                </c:pt>
                <c:pt idx="371">
                  <c:v>119.75899334059193</c:v>
                </c:pt>
                <c:pt idx="372">
                  <c:v>120.07498522637073</c:v>
                </c:pt>
                <c:pt idx="373">
                  <c:v>120.39097238328168</c:v>
                </c:pt>
                <c:pt idx="374">
                  <c:v>120.70695483048503</c:v>
                </c:pt>
                <c:pt idx="375">
                  <c:v>121.02293258701206</c:v>
                </c:pt>
                <c:pt idx="376">
                  <c:v>121.3389056717661</c:v>
                </c:pt>
                <c:pt idx="377">
                  <c:v>121.65487410352394</c:v>
                </c:pt>
                <c:pt idx="378">
                  <c:v>121.97083790093687</c:v>
                </c:pt>
                <c:pt idx="379">
                  <c:v>122.28679708253196</c:v>
                </c:pt>
                <c:pt idx="380">
                  <c:v>122.6027516667131</c:v>
                </c:pt>
                <c:pt idx="381">
                  <c:v>122.91870167176232</c:v>
                </c:pt>
                <c:pt idx="382">
                  <c:v>123.23464711584067</c:v>
                </c:pt>
                <c:pt idx="383">
                  <c:v>123.55058801698956</c:v>
                </c:pt>
                <c:pt idx="384">
                  <c:v>123.86652439313168</c:v>
                </c:pt>
                <c:pt idx="385">
                  <c:v>124.18245626207232</c:v>
                </c:pt>
                <c:pt idx="386">
                  <c:v>124.49838364150018</c:v>
                </c:pt>
                <c:pt idx="387">
                  <c:v>124.81430654898865</c:v>
                </c:pt>
                <c:pt idx="388">
                  <c:v>125.13022500199668</c:v>
                </c:pt>
                <c:pt idx="389">
                  <c:v>125.44613901787</c:v>
                </c:pt>
                <c:pt idx="390">
                  <c:v>125.762048613842</c:v>
                </c:pt>
                <c:pt idx="391">
                  <c:v>126.07795380703485</c:v>
                </c:pt>
                <c:pt idx="392">
                  <c:v>126.39385461446042</c:v>
                </c:pt>
                <c:pt idx="393">
                  <c:v>126.70975105302132</c:v>
                </c:pt>
                <c:pt idx="394">
                  <c:v>127.02564313951186</c:v>
                </c:pt>
                <c:pt idx="395">
                  <c:v>127.34153089061904</c:v>
                </c:pt>
                <c:pt idx="396">
                  <c:v>127.65741432292349</c:v>
                </c:pt>
                <c:pt idx="397">
                  <c:v>127.97329345290041</c:v>
                </c:pt>
                <c:pt idx="398">
                  <c:v>128.28916829692054</c:v>
                </c:pt>
                <c:pt idx="399">
                  <c:v>128.60503887125105</c:v>
                </c:pt>
                <c:pt idx="400">
                  <c:v>128.92090519205644</c:v>
                </c:pt>
                <c:pt idx="401">
                  <c:v>129.23676727539956</c:v>
                </c:pt>
                <c:pt idx="402">
                  <c:v>129.55262513724227</c:v>
                </c:pt>
                <c:pt idx="403">
                  <c:v>129.86847879344663</c:v>
                </c:pt>
                <c:pt idx="404">
                  <c:v>130.1843282597755</c:v>
                </c:pt>
                <c:pt idx="405">
                  <c:v>130.50017355189354</c:v>
                </c:pt>
                <c:pt idx="406">
                  <c:v>130.81601468536812</c:v>
                </c:pt>
                <c:pt idx="407">
                  <c:v>131.13185167567002</c:v>
                </c:pt>
                <c:pt idx="408">
                  <c:v>131.44768453817431</c:v>
                </c:pt>
                <c:pt idx="409">
                  <c:v>131.76351328816116</c:v>
                </c:pt>
                <c:pt idx="410">
                  <c:v>132.07933794081694</c:v>
                </c:pt>
                <c:pt idx="411">
                  <c:v>132.3951585112346</c:v>
                </c:pt>
                <c:pt idx="412">
                  <c:v>132.71097501441454</c:v>
                </c:pt>
                <c:pt idx="413">
                  <c:v>133.02678746526573</c:v>
                </c:pt>
                <c:pt idx="414">
                  <c:v>133.34259587860618</c:v>
                </c:pt>
                <c:pt idx="415">
                  <c:v>133.65840026916393</c:v>
                </c:pt>
                <c:pt idx="416">
                  <c:v>133.97420065157746</c:v>
                </c:pt>
                <c:pt idx="417">
                  <c:v>134.28999704039691</c:v>
                </c:pt>
                <c:pt idx="418">
                  <c:v>134.60578945008447</c:v>
                </c:pt>
                <c:pt idx="419">
                  <c:v>134.92157789501533</c:v>
                </c:pt>
                <c:pt idx="420">
                  <c:v>135.23736238947828</c:v>
                </c:pt>
                <c:pt idx="421">
                  <c:v>135.55314294767652</c:v>
                </c:pt>
                <c:pt idx="422">
                  <c:v>135.86891958372834</c:v>
                </c:pt>
                <c:pt idx="423">
                  <c:v>136.18469231166782</c:v>
                </c:pt>
                <c:pt idx="424">
                  <c:v>136.50046114544551</c:v>
                </c:pt>
                <c:pt idx="425">
                  <c:v>136.81622609892926</c:v>
                </c:pt>
                <c:pt idx="426">
                  <c:v>137.13198718590476</c:v>
                </c:pt>
                <c:pt idx="427">
                  <c:v>137.44774442007619</c:v>
                </c:pt>
                <c:pt idx="428">
                  <c:v>137.76349781506715</c:v>
                </c:pt>
                <c:pt idx="429">
                  <c:v>138.07924738442082</c:v>
                </c:pt>
                <c:pt idx="430">
                  <c:v>138.3949931416013</c:v>
                </c:pt>
                <c:pt idx="431">
                  <c:v>138.71073509999371</c:v>
                </c:pt>
                <c:pt idx="432">
                  <c:v>139.02647327290506</c:v>
                </c:pt>
                <c:pt idx="433">
                  <c:v>139.34220767356476</c:v>
                </c:pt>
                <c:pt idx="434">
                  <c:v>139.65793831512551</c:v>
                </c:pt>
                <c:pt idx="435">
                  <c:v>139.97366521066365</c:v>
                </c:pt>
                <c:pt idx="436">
                  <c:v>140.28938837317989</c:v>
                </c:pt>
                <c:pt idx="437">
                  <c:v>140.60510781559998</c:v>
                </c:pt>
                <c:pt idx="438">
                  <c:v>140.92082355077511</c:v>
                </c:pt>
                <c:pt idx="439">
                  <c:v>141.23653559148281</c:v>
                </c:pt>
                <c:pt idx="440">
                  <c:v>141.55224395042734</c:v>
                </c:pt>
                <c:pt idx="441">
                  <c:v>141.86794864024014</c:v>
                </c:pt>
                <c:pt idx="442">
                  <c:v>142.18364967348083</c:v>
                </c:pt>
                <c:pt idx="443">
                  <c:v>142.49934706263744</c:v>
                </c:pt>
                <c:pt idx="444">
                  <c:v>142.81504082012708</c:v>
                </c:pt>
                <c:pt idx="445">
                  <c:v>143.13073095829648</c:v>
                </c:pt>
                <c:pt idx="446">
                  <c:v>143.44641748942252</c:v>
                </c:pt>
                <c:pt idx="447">
                  <c:v>143.76210042571299</c:v>
                </c:pt>
                <c:pt idx="448">
                  <c:v>144.07777977930689</c:v>
                </c:pt>
                <c:pt idx="449">
                  <c:v>144.39345556227499</c:v>
                </c:pt>
                <c:pt idx="450">
                  <c:v>144.70912778662051</c:v>
                </c:pt>
                <c:pt idx="451">
                  <c:v>145.02479646427958</c:v>
                </c:pt>
                <c:pt idx="452">
                  <c:v>145.34046160712163</c:v>
                </c:pt>
                <c:pt idx="453">
                  <c:v>145.65612322695029</c:v>
                </c:pt>
                <c:pt idx="454">
                  <c:v>145.97178133550327</c:v>
                </c:pt>
                <c:pt idx="455">
                  <c:v>146.28743594445359</c:v>
                </c:pt>
                <c:pt idx="456">
                  <c:v>146.60308706540957</c:v>
                </c:pt>
                <c:pt idx="457">
                  <c:v>146.91873470991553</c:v>
                </c:pt>
                <c:pt idx="458">
                  <c:v>147.23437888945222</c:v>
                </c:pt>
                <c:pt idx="459">
                  <c:v>147.55001961543738</c:v>
                </c:pt>
                <c:pt idx="460">
                  <c:v>147.86565689922617</c:v>
                </c:pt>
                <c:pt idx="461">
                  <c:v>148.18129075211166</c:v>
                </c:pt>
                <c:pt idx="462">
                  <c:v>148.49692118532528</c:v>
                </c:pt>
                <c:pt idx="463">
                  <c:v>148.81254821003736</c:v>
                </c:pt>
                <c:pt idx="464">
                  <c:v>149.12817183735746</c:v>
                </c:pt>
                <c:pt idx="465">
                  <c:v>149.44379207833512</c:v>
                </c:pt>
                <c:pt idx="466">
                  <c:v>149.75940894395984</c:v>
                </c:pt>
                <c:pt idx="467">
                  <c:v>150.07502244516198</c:v>
                </c:pt>
                <c:pt idx="468">
                  <c:v>150.39063259281303</c:v>
                </c:pt>
                <c:pt idx="469">
                  <c:v>150.70623939772605</c:v>
                </c:pt>
                <c:pt idx="470">
                  <c:v>151.02184287065606</c:v>
                </c:pt>
                <c:pt idx="471">
                  <c:v>151.33744302230053</c:v>
                </c:pt>
                <c:pt idx="472">
                  <c:v>151.65303986329988</c:v>
                </c:pt>
                <c:pt idx="473">
                  <c:v>151.96863340423786</c:v>
                </c:pt>
                <c:pt idx="474">
                  <c:v>152.28422365564182</c:v>
                </c:pt>
                <c:pt idx="475">
                  <c:v>152.59981062798335</c:v>
                </c:pt>
                <c:pt idx="476">
                  <c:v>152.91539433167856</c:v>
                </c:pt>
                <c:pt idx="477">
                  <c:v>153.23097477708856</c:v>
                </c:pt>
                <c:pt idx="478">
                  <c:v>153.54655197451993</c:v>
                </c:pt>
                <c:pt idx="479">
                  <c:v>153.86212593422474</c:v>
                </c:pt>
                <c:pt idx="480">
                  <c:v>154.17769666640154</c:v>
                </c:pt>
                <c:pt idx="481">
                  <c:v>154.49326418119534</c:v>
                </c:pt>
                <c:pt idx="482">
                  <c:v>154.80882848869805</c:v>
                </c:pt>
                <c:pt idx="483">
                  <c:v>155.12438959894905</c:v>
                </c:pt>
                <c:pt idx="484">
                  <c:v>155.57129469056133</c:v>
                </c:pt>
                <c:pt idx="485">
                  <c:v>155.94318016726305</c:v>
                </c:pt>
                <c:pt idx="486">
                  <c:v>156.30169189414661</c:v>
                </c:pt>
                <c:pt idx="487">
                  <c:v>156.65336962696517</c:v>
                </c:pt>
                <c:pt idx="488">
                  <c:v>157.00070363101781</c:v>
                </c:pt>
                <c:pt idx="489">
                  <c:v>157.34496120528655</c:v>
                </c:pt>
                <c:pt idx="490">
                  <c:v>157.6868917550805</c:v>
                </c:pt>
                <c:pt idx="491">
                  <c:v>158.02698207895034</c:v>
                </c:pt>
                <c:pt idx="492">
                  <c:v>158.36556957415891</c:v>
                </c:pt>
                <c:pt idx="493">
                  <c:v>158.70289949639104</c:v>
                </c:pt>
                <c:pt idx="494">
                  <c:v>159.03915675820508</c:v>
                </c:pt>
                <c:pt idx="495">
                  <c:v>159.37448487187973</c:v>
                </c:pt>
                <c:pt idx="496">
                  <c:v>159.70899787014437</c:v>
                </c:pt>
                <c:pt idx="497">
                  <c:v>160.04278814631408</c:v>
                </c:pt>
                <c:pt idx="498">
                  <c:v>160.3759318013602</c:v>
                </c:pt>
                <c:pt idx="499">
                  <c:v>160.70849240338765</c:v>
                </c:pt>
                <c:pt idx="500">
                  <c:v>161.04052370023632</c:v>
                </c:pt>
                <c:pt idx="501">
                  <c:v>161.37207162088197</c:v>
                </c:pt>
                <c:pt idx="502">
                  <c:v>161.70317578107327</c:v>
                </c:pt>
                <c:pt idx="503">
                  <c:v>162.03387063551662</c:v>
                </c:pt>
                <c:pt idx="504">
                  <c:v>162.36418637302199</c:v>
                </c:pt>
                <c:pt idx="505">
                  <c:v>162.69414962140488</c:v>
                </c:pt>
                <c:pt idx="506">
                  <c:v>163.02378400934239</c:v>
                </c:pt>
                <c:pt idx="507">
                  <c:v>163.35311061914183</c:v>
                </c:pt>
                <c:pt idx="508">
                  <c:v>163.68214835524125</c:v>
                </c:pt>
                <c:pt idx="509">
                  <c:v>164.01091424685447</c:v>
                </c:pt>
                <c:pt idx="510">
                  <c:v>164.33942369859739</c:v>
                </c:pt>
                <c:pt idx="511">
                  <c:v>164.66769069962379</c:v>
                </c:pt>
                <c:pt idx="512">
                  <c:v>164.99572799936854</c:v>
                </c:pt>
                <c:pt idx="513">
                  <c:v>165.32354725619291</c:v>
                </c:pt>
                <c:pt idx="514">
                  <c:v>165.65115916386986</c:v>
                </c:pt>
                <c:pt idx="515">
                  <c:v>165.97857355981847</c:v>
                </c:pt>
                <c:pt idx="516">
                  <c:v>166.30579951820579</c:v>
                </c:pt>
                <c:pt idx="517">
                  <c:v>166.6328454304257</c:v>
                </c:pt>
                <c:pt idx="518">
                  <c:v>166.95971907498415</c:v>
                </c:pt>
                <c:pt idx="519">
                  <c:v>167.28642767844775</c:v>
                </c:pt>
                <c:pt idx="520">
                  <c:v>167.61297796881391</c:v>
                </c:pt>
                <c:pt idx="521">
                  <c:v>167.93937622242288</c:v>
                </c:pt>
                <c:pt idx="522">
                  <c:v>168.26562830534277</c:v>
                </c:pt>
                <c:pt idx="523">
                  <c:v>168.59173971000212</c:v>
                </c:pt>
                <c:pt idx="524">
                  <c:v>168.91771558772126</c:v>
                </c:pt>
                <c:pt idx="525">
                  <c:v>169.24356077769005</c:v>
                </c:pt>
                <c:pt idx="526">
                  <c:v>169.56927983285476</c:v>
                </c:pt>
                <c:pt idx="527">
                  <c:v>169.89487704310818</c:v>
                </c:pt>
                <c:pt idx="528">
                  <c:v>170.22035645611845</c:v>
                </c:pt>
                <c:pt idx="529">
                  <c:v>170.54572189608359</c:v>
                </c:pt>
                <c:pt idx="530">
                  <c:v>170.87097698065983</c:v>
                </c:pt>
                <c:pt idx="531">
                  <c:v>171.19612513627513</c:v>
                </c:pt>
                <c:pt idx="532">
                  <c:v>171.52116961201327</c:v>
                </c:pt>
                <c:pt idx="533">
                  <c:v>171.8461134922278</c:v>
                </c:pt>
                <c:pt idx="534">
                  <c:v>172.17095970802532</c:v>
                </c:pt>
                <c:pt idx="535">
                  <c:v>172.49571104773932</c:v>
                </c:pt>
                <c:pt idx="536">
                  <c:v>172.82037016650105</c:v>
                </c:pt>
                <c:pt idx="537">
                  <c:v>173.14493959500089</c:v>
                </c:pt>
                <c:pt idx="538">
                  <c:v>173.46942174752206</c:v>
                </c:pt>
                <c:pt idx="539">
                  <c:v>173.79381892931977</c:v>
                </c:pt>
                <c:pt idx="540">
                  <c:v>174.11813334340911</c:v>
                </c:pt>
                <c:pt idx="541">
                  <c:v>174.44236709681897</c:v>
                </c:pt>
                <c:pt idx="542">
                  <c:v>174.76652220636279</c:v>
                </c:pt>
                <c:pt idx="543">
                  <c:v>175.09060060397022</c:v>
                </c:pt>
                <c:pt idx="544">
                  <c:v>175.41460414162034</c:v>
                </c:pt>
                <c:pt idx="545">
                  <c:v>175.7385345959124</c:v>
                </c:pt>
                <c:pt idx="546">
                  <c:v>176.06239367230535</c:v>
                </c:pt>
                <c:pt idx="547">
                  <c:v>176.38618300905628</c:v>
                </c:pt>
                <c:pt idx="548">
                  <c:v>176.70990418088218</c:v>
                </c:pt>
                <c:pt idx="549">
                  <c:v>177.03355870236894</c:v>
                </c:pt>
                <c:pt idx="550">
                  <c:v>177.35714803114934</c:v>
                </c:pt>
                <c:pt idx="551">
                  <c:v>177.68067357086744</c:v>
                </c:pt>
                <c:pt idx="552">
                  <c:v>178.00413667394778</c:v>
                </c:pt>
                <c:pt idx="553">
                  <c:v>178.3275386441847</c:v>
                </c:pt>
                <c:pt idx="554">
                  <c:v>178.65088073916482</c:v>
                </c:pt>
                <c:pt idx="555">
                  <c:v>178.97416417253785</c:v>
                </c:pt>
                <c:pt idx="556">
                  <c:v>179.2973901161445</c:v>
                </c:pt>
                <c:pt idx="557">
                  <c:v>179.62055970201428</c:v>
                </c:pt>
                <c:pt idx="558">
                  <c:v>179.94367402424217</c:v>
                </c:pt>
                <c:pt idx="559">
                  <c:v>180.26673414075276</c:v>
                </c:pt>
                <c:pt idx="560">
                  <c:v>180.58974107496033</c:v>
                </c:pt>
                <c:pt idx="561">
                  <c:v>180.91269581733212</c:v>
                </c:pt>
                <c:pt idx="562">
                  <c:v>181.23559932686186</c:v>
                </c:pt>
                <c:pt idx="563">
                  <c:v>181.55845253245923</c:v>
                </c:pt>
                <c:pt idx="564">
                  <c:v>181.88125633426162</c:v>
                </c:pt>
                <c:pt idx="565">
                  <c:v>182.20401160487336</c:v>
                </c:pt>
                <c:pt idx="566">
                  <c:v>182.52671919053648</c:v>
                </c:pt>
                <c:pt idx="567">
                  <c:v>182.84937991223902</c:v>
                </c:pt>
                <c:pt idx="568">
                  <c:v>183.17199456676343</c:v>
                </c:pt>
                <c:pt idx="569">
                  <c:v>183.49456392767991</c:v>
                </c:pt>
                <c:pt idx="570">
                  <c:v>183.81708874628794</c:v>
                </c:pt>
                <c:pt idx="571">
                  <c:v>184.13956975250886</c:v>
                </c:pt>
                <c:pt idx="572">
                  <c:v>184.46200765573369</c:v>
                </c:pt>
                <c:pt idx="573">
                  <c:v>184.78440314562727</c:v>
                </c:pt>
                <c:pt idx="574">
                  <c:v>185.10675689289278</c:v>
                </c:pt>
                <c:pt idx="575">
                  <c:v>185.42906954999873</c:v>
                </c:pt>
                <c:pt idx="576">
                  <c:v>185.75134175186997</c:v>
                </c:pt>
                <c:pt idx="577">
                  <c:v>186.0735741165457</c:v>
                </c:pt>
                <c:pt idx="578">
                  <c:v>186.3957672458061</c:v>
                </c:pt>
                <c:pt idx="579">
                  <c:v>186.71792172576878</c:v>
                </c:pt>
                <c:pt idx="580">
                  <c:v>187.0400381274583</c:v>
                </c:pt>
                <c:pt idx="581">
                  <c:v>187.36211700734847</c:v>
                </c:pt>
                <c:pt idx="582">
                  <c:v>187.68415890788015</c:v>
                </c:pt>
                <c:pt idx="583">
                  <c:v>188.00616435795564</c:v>
                </c:pt>
                <c:pt idx="584">
                  <c:v>188.32813387341074</c:v>
                </c:pt>
                <c:pt idx="585">
                  <c:v>188.65006795746578</c:v>
                </c:pt>
                <c:pt idx="586">
                  <c:v>188.97196710115713</c:v>
                </c:pt>
                <c:pt idx="587">
                  <c:v>189.29383178374931</c:v>
                </c:pt>
                <c:pt idx="588">
                  <c:v>189.61566247312996</c:v>
                </c:pt>
                <c:pt idx="589">
                  <c:v>189.93745962618738</c:v>
                </c:pt>
                <c:pt idx="590">
                  <c:v>190.25922368917259</c:v>
                </c:pt>
                <c:pt idx="591">
                  <c:v>190.58095509804551</c:v>
                </c:pt>
                <c:pt idx="592">
                  <c:v>190.9026542788076</c:v>
                </c:pt>
                <c:pt idx="593">
                  <c:v>191.22432164782006</c:v>
                </c:pt>
                <c:pt idx="594">
                  <c:v>191.54595761210945</c:v>
                </c:pt>
                <c:pt idx="595">
                  <c:v>191.86756256966083</c:v>
                </c:pt>
                <c:pt idx="596">
                  <c:v>192.18913690969902</c:v>
                </c:pt>
                <c:pt idx="597">
                  <c:v>192.51068101295911</c:v>
                </c:pt>
                <c:pt idx="598">
                  <c:v>192.83219525194585</c:v>
                </c:pt>
                <c:pt idx="599">
                  <c:v>193.15367999118291</c:v>
                </c:pt>
                <c:pt idx="600">
                  <c:v>193.475135587453</c:v>
                </c:pt>
                <c:pt idx="601">
                  <c:v>193.79656239002819</c:v>
                </c:pt>
                <c:pt idx="602">
                  <c:v>194.11796074089187</c:v>
                </c:pt>
                <c:pt idx="603">
                  <c:v>194.43933097495224</c:v>
                </c:pt>
                <c:pt idx="604">
                  <c:v>194.76067342024737</c:v>
                </c:pt>
                <c:pt idx="605">
                  <c:v>195.08198839814361</c:v>
                </c:pt>
                <c:pt idx="606">
                  <c:v>195.40327622352564</c:v>
                </c:pt>
                <c:pt idx="607">
                  <c:v>195.72453720498038</c:v>
                </c:pt>
                <c:pt idx="608">
                  <c:v>196.04577164497371</c:v>
                </c:pt>
                <c:pt idx="609">
                  <c:v>196.3669798400212</c:v>
                </c:pt>
                <c:pt idx="610">
                  <c:v>196.68816208085263</c:v>
                </c:pt>
                <c:pt idx="611">
                  <c:v>197.00931865257058</c:v>
                </c:pt>
                <c:pt idx="612">
                  <c:v>197.33044983480357</c:v>
                </c:pt>
                <c:pt idx="613">
                  <c:v>197.65155590185398</c:v>
                </c:pt>
                <c:pt idx="614">
                  <c:v>197.97263712284052</c:v>
                </c:pt>
                <c:pt idx="615">
                  <c:v>198.29369376183644</c:v>
                </c:pt>
                <c:pt idx="616">
                  <c:v>198.61472607800195</c:v>
                </c:pt>
                <c:pt idx="617">
                  <c:v>198.93573432571364</c:v>
                </c:pt>
                <c:pt idx="618">
                  <c:v>199.25671875468825</c:v>
                </c:pt>
                <c:pt idx="619">
                  <c:v>199.57767961010305</c:v>
                </c:pt>
                <c:pt idx="620">
                  <c:v>199.89861713271199</c:v>
                </c:pt>
                <c:pt idx="621">
                  <c:v>200.21953155895807</c:v>
                </c:pt>
                <c:pt idx="622">
                  <c:v>200.54042312108228</c:v>
                </c:pt>
                <c:pt idx="623">
                  <c:v>200.86129204722866</c:v>
                </c:pt>
                <c:pt idx="624">
                  <c:v>201.18213856154605</c:v>
                </c:pt>
                <c:pt idx="625">
                  <c:v>201.502962884287</c:v>
                </c:pt>
                <c:pt idx="626">
                  <c:v>201.82376523190305</c:v>
                </c:pt>
                <c:pt idx="627">
                  <c:v>202.14454581713727</c:v>
                </c:pt>
                <c:pt idx="628">
                  <c:v>202.46530484911409</c:v>
                </c:pt>
                <c:pt idx="629">
                  <c:v>202.78604253342559</c:v>
                </c:pt>
                <c:pt idx="630">
                  <c:v>203.10675907221639</c:v>
                </c:pt>
                <c:pt idx="631">
                  <c:v>203.4274546642647</c:v>
                </c:pt>
                <c:pt idx="632">
                  <c:v>203.74812950506168</c:v>
                </c:pt>
                <c:pt idx="633">
                  <c:v>204.06878378688822</c:v>
                </c:pt>
                <c:pt idx="634">
                  <c:v>204.38941769888916</c:v>
                </c:pt>
                <c:pt idx="635">
                  <c:v>204.71003142714582</c:v>
                </c:pt>
                <c:pt idx="636">
                  <c:v>205.03062515474588</c:v>
                </c:pt>
                <c:pt idx="637">
                  <c:v>205.35119906185147</c:v>
                </c:pt>
                <c:pt idx="638">
                  <c:v>205.67175332576534</c:v>
                </c:pt>
                <c:pt idx="639">
                  <c:v>205.9922881209948</c:v>
                </c:pt>
                <c:pt idx="640">
                  <c:v>206.31280361931437</c:v>
                </c:pt>
                <c:pt idx="641">
                  <c:v>206.6332999898257</c:v>
                </c:pt>
                <c:pt idx="642">
                  <c:v>206.95377739901713</c:v>
                </c:pt>
                <c:pt idx="643">
                  <c:v>207.27423601082023</c:v>
                </c:pt>
                <c:pt idx="644">
                  <c:v>207.59467598666561</c:v>
                </c:pt>
                <c:pt idx="645">
                  <c:v>207.9150974855369</c:v>
                </c:pt>
                <c:pt idx="646">
                  <c:v>208.23550066402302</c:v>
                </c:pt>
                <c:pt idx="647">
                  <c:v>208.55588567636966</c:v>
                </c:pt>
                <c:pt idx="648">
                  <c:v>208.87625267452859</c:v>
                </c:pt>
                <c:pt idx="649">
                  <c:v>209.19660180820594</c:v>
                </c:pt>
                <c:pt idx="650">
                  <c:v>209.51693322490948</c:v>
                </c:pt>
                <c:pt idx="651">
                  <c:v>209.83724706999405</c:v>
                </c:pt>
                <c:pt idx="652">
                  <c:v>210.15754348670626</c:v>
                </c:pt>
                <c:pt idx="653">
                  <c:v>210.47782261622788</c:v>
                </c:pt>
                <c:pt idx="654">
                  <c:v>210.79808459771769</c:v>
                </c:pt>
                <c:pt idx="655">
                  <c:v>211.11832956835292</c:v>
                </c:pt>
                <c:pt idx="656">
                  <c:v>211.43855766336915</c:v>
                </c:pt>
                <c:pt idx="657">
                  <c:v>211.75876901609919</c:v>
                </c:pt>
                <c:pt idx="658">
                  <c:v>212.07896375801113</c:v>
                </c:pt>
                <c:pt idx="659">
                  <c:v>212.39914201874527</c:v>
                </c:pt>
                <c:pt idx="660">
                  <c:v>212.71930392615025</c:v>
                </c:pt>
                <c:pt idx="661">
                  <c:v>213.03944960631816</c:v>
                </c:pt>
                <c:pt idx="662">
                  <c:v>213.35957918361873</c:v>
                </c:pt>
                <c:pt idx="663">
                  <c:v>213.67969278073284</c:v>
                </c:pt>
                <c:pt idx="664">
                  <c:v>213.99979051868488</c:v>
                </c:pt>
                <c:pt idx="665">
                  <c:v>214.31987251687482</c:v>
                </c:pt>
                <c:pt idx="666">
                  <c:v>214.63993889310873</c:v>
                </c:pt>
                <c:pt idx="667">
                  <c:v>214.95998976362949</c:v>
                </c:pt>
                <c:pt idx="668">
                  <c:v>215.28002524314593</c:v>
                </c:pt>
                <c:pt idx="669">
                  <c:v>215.60004544486165</c:v>
                </c:pt>
                <c:pt idx="670">
                  <c:v>215.92005048050319</c:v>
                </c:pt>
                <c:pt idx="671">
                  <c:v>216.24004046034727</c:v>
                </c:pt>
                <c:pt idx="672">
                  <c:v>216.56001549324768</c:v>
                </c:pt>
                <c:pt idx="673">
                  <c:v>216.8799756866614</c:v>
                </c:pt>
                <c:pt idx="674">
                  <c:v>217.19992114667377</c:v>
                </c:pt>
                <c:pt idx="675">
                  <c:v>217.51985197802387</c:v>
                </c:pt>
                <c:pt idx="676">
                  <c:v>217.83976828412841</c:v>
                </c:pt>
                <c:pt idx="677">
                  <c:v>218.1596701671057</c:v>
                </c:pt>
                <c:pt idx="678">
                  <c:v>218.47955772779892</c:v>
                </c:pt>
                <c:pt idx="679">
                  <c:v>218.79943106579833</c:v>
                </c:pt>
                <c:pt idx="680">
                  <c:v>219.11929027946405</c:v>
                </c:pt>
                <c:pt idx="681">
                  <c:v>219.43913546594726</c:v>
                </c:pt>
                <c:pt idx="682">
                  <c:v>219.75896672121144</c:v>
                </c:pt>
                <c:pt idx="683">
                  <c:v>220.07878414005316</c:v>
                </c:pt>
                <c:pt idx="684">
                  <c:v>220.39858781612216</c:v>
                </c:pt>
                <c:pt idx="685">
                  <c:v>220.71837784194113</c:v>
                </c:pt>
                <c:pt idx="686">
                  <c:v>221.03815430892516</c:v>
                </c:pt>
                <c:pt idx="687">
                  <c:v>221.35791730740044</c:v>
                </c:pt>
                <c:pt idx="688">
                  <c:v>221.67766692662286</c:v>
                </c:pt>
                <c:pt idx="689">
                  <c:v>221.99740325479607</c:v>
                </c:pt>
                <c:pt idx="690">
                  <c:v>222.31712637908919</c:v>
                </c:pt>
                <c:pt idx="691">
                  <c:v>222.63683638565391</c:v>
                </c:pt>
                <c:pt idx="692">
                  <c:v>222.95653335964175</c:v>
                </c:pt>
                <c:pt idx="693">
                  <c:v>223.27621738522041</c:v>
                </c:pt>
                <c:pt idx="694">
                  <c:v>223.59588854558993</c:v>
                </c:pt>
                <c:pt idx="695">
                  <c:v>223.91554692299877</c:v>
                </c:pt>
                <c:pt idx="696">
                  <c:v>224.23519259875906</c:v>
                </c:pt>
                <c:pt idx="697">
                  <c:v>224.55482565326207</c:v>
                </c:pt>
                <c:pt idx="698">
                  <c:v>224.87444616599308</c:v>
                </c:pt>
                <c:pt idx="699">
                  <c:v>225.19405421554558</c:v>
                </c:pt>
                <c:pt idx="700">
                  <c:v>225.51364987963601</c:v>
                </c:pt>
                <c:pt idx="701">
                  <c:v>225.83323323511755</c:v>
                </c:pt>
                <c:pt idx="702">
                  <c:v>226.15280435799372</c:v>
                </c:pt>
                <c:pt idx="703">
                  <c:v>226.47236332343203</c:v>
                </c:pt>
                <c:pt idx="704">
                  <c:v>226.7919102057767</c:v>
                </c:pt>
                <c:pt idx="705">
                  <c:v>227.1114450785621</c:v>
                </c:pt>
                <c:pt idx="706">
                  <c:v>227.43096801452486</c:v>
                </c:pt>
                <c:pt idx="707">
                  <c:v>227.75047908561652</c:v>
                </c:pt>
                <c:pt idx="708">
                  <c:v>228.06997836301548</c:v>
                </c:pt>
                <c:pt idx="709">
                  <c:v>228.38946591713901</c:v>
                </c:pt>
                <c:pt idx="710">
                  <c:v>228.70894181765476</c:v>
                </c:pt>
                <c:pt idx="711">
                  <c:v>229.02840613349227</c:v>
                </c:pt>
                <c:pt idx="712">
                  <c:v>229.34785893285405</c:v>
                </c:pt>
                <c:pt idx="713">
                  <c:v>229.66730028322661</c:v>
                </c:pt>
                <c:pt idx="714">
                  <c:v>229.98673025139121</c:v>
                </c:pt>
                <c:pt idx="715">
                  <c:v>230.30614890343443</c:v>
                </c:pt>
                <c:pt idx="716">
                  <c:v>230.62555630475828</c:v>
                </c:pt>
                <c:pt idx="717">
                  <c:v>230.94495252009071</c:v>
                </c:pt>
                <c:pt idx="718">
                  <c:v>231.26433761349531</c:v>
                </c:pt>
                <c:pt idx="719">
                  <c:v>231.5837116483811</c:v>
                </c:pt>
                <c:pt idx="720">
                  <c:v>231.90307468751215</c:v>
                </c:pt>
                <c:pt idx="721">
                  <c:v>232.22242679301684</c:v>
                </c:pt>
                <c:pt idx="722">
                  <c:v>232.54176802639728</c:v>
                </c:pt>
                <c:pt idx="723">
                  <c:v>232.86109844853834</c:v>
                </c:pt>
                <c:pt idx="724">
                  <c:v>233.18041811971617</c:v>
                </c:pt>
                <c:pt idx="725">
                  <c:v>233.49972709960733</c:v>
                </c:pt>
                <c:pt idx="726">
                  <c:v>233.81902544729715</c:v>
                </c:pt>
                <c:pt idx="727">
                  <c:v>234.13831322128812</c:v>
                </c:pt>
                <c:pt idx="728">
                  <c:v>234.45759047950821</c:v>
                </c:pt>
                <c:pt idx="729">
                  <c:v>234.77685727931868</c:v>
                </c:pt>
                <c:pt idx="730">
                  <c:v>235.09611367752248</c:v>
                </c:pt>
                <c:pt idx="731">
                  <c:v>235.4153597303717</c:v>
                </c:pt>
                <c:pt idx="732">
                  <c:v>235.73459549357523</c:v>
                </c:pt>
                <c:pt idx="733">
                  <c:v>236.05382102230644</c:v>
                </c:pt>
                <c:pt idx="734">
                  <c:v>236.37303637121047</c:v>
                </c:pt>
                <c:pt idx="735">
                  <c:v>236.69224159441151</c:v>
                </c:pt>
                <c:pt idx="736">
                  <c:v>237.0114367455198</c:v>
                </c:pt>
                <c:pt idx="737">
                  <c:v>237.33062187763886</c:v>
                </c:pt>
                <c:pt idx="738">
                  <c:v>237.6497970433721</c:v>
                </c:pt>
                <c:pt idx="739">
                  <c:v>237.96896229482979</c:v>
                </c:pt>
                <c:pt idx="740">
                  <c:v>238.28811768363565</c:v>
                </c:pt>
                <c:pt idx="741">
                  <c:v>238.60726326093308</c:v>
                </c:pt>
                <c:pt idx="742">
                  <c:v>238.92639907739206</c:v>
                </c:pt>
                <c:pt idx="743">
                  <c:v>239.24552518321511</c:v>
                </c:pt>
                <c:pt idx="744">
                  <c:v>239.56464162814348</c:v>
                </c:pt>
                <c:pt idx="745">
                  <c:v>239.88374846146343</c:v>
                </c:pt>
                <c:pt idx="746">
                  <c:v>240.20284573201192</c:v>
                </c:pt>
                <c:pt idx="747">
                  <c:v>240.52193348818281</c:v>
                </c:pt>
                <c:pt idx="748">
                  <c:v>240.84101177793247</c:v>
                </c:pt>
                <c:pt idx="749">
                  <c:v>241.16008064878525</c:v>
                </c:pt>
                <c:pt idx="750">
                  <c:v>241.47914014783953</c:v>
                </c:pt>
                <c:pt idx="751">
                  <c:v>241.79819032177281</c:v>
                </c:pt>
                <c:pt idx="752">
                  <c:v>242.11723121684722</c:v>
                </c:pt>
                <c:pt idx="753">
                  <c:v>242.43626287891507</c:v>
                </c:pt>
                <c:pt idx="754">
                  <c:v>242.75528535342355</c:v>
                </c:pt>
                <c:pt idx="755">
                  <c:v>243.07429868542042</c:v>
                </c:pt>
                <c:pt idx="756">
                  <c:v>243.39330291955866</c:v>
                </c:pt>
                <c:pt idx="757">
                  <c:v>243.71229810010172</c:v>
                </c:pt>
                <c:pt idx="758">
                  <c:v>244.03128427092815</c:v>
                </c:pt>
                <c:pt idx="759">
                  <c:v>244.3502614755366</c:v>
                </c:pt>
                <c:pt idx="760">
                  <c:v>244.66922975705049</c:v>
                </c:pt>
                <c:pt idx="761">
                  <c:v>244.98818915822261</c:v>
                </c:pt>
                <c:pt idx="762">
                  <c:v>245.30713972143974</c:v>
                </c:pt>
                <c:pt idx="763">
                  <c:v>245.62608148872724</c:v>
                </c:pt>
                <c:pt idx="764">
                  <c:v>245.94501450175323</c:v>
                </c:pt>
                <c:pt idx="765">
                  <c:v>246.26393880183343</c:v>
                </c:pt>
                <c:pt idx="766">
                  <c:v>246.58285442993468</c:v>
                </c:pt>
                <c:pt idx="767">
                  <c:v>246.90176142668008</c:v>
                </c:pt>
                <c:pt idx="768">
                  <c:v>247.22065983235242</c:v>
                </c:pt>
                <c:pt idx="769">
                  <c:v>247.53954968689868</c:v>
                </c:pt>
                <c:pt idx="770">
                  <c:v>247.85843102993391</c:v>
                </c:pt>
                <c:pt idx="771">
                  <c:v>248.1773039007451</c:v>
                </c:pt>
                <c:pt idx="772">
                  <c:v>248.4961683382954</c:v>
                </c:pt>
                <c:pt idx="773">
                  <c:v>248.81502438122774</c:v>
                </c:pt>
                <c:pt idx="774">
                  <c:v>249.13387206786848</c:v>
                </c:pt>
                <c:pt idx="775">
                  <c:v>249.45271143623143</c:v>
                </c:pt>
                <c:pt idx="776">
                  <c:v>249.77154252402141</c:v>
                </c:pt>
                <c:pt idx="777">
                  <c:v>250.0903653686378</c:v>
                </c:pt>
                <c:pt idx="778">
                  <c:v>250.40918000717829</c:v>
                </c:pt>
                <c:pt idx="779">
                  <c:v>250.72798647644194</c:v>
                </c:pt>
                <c:pt idx="780">
                  <c:v>251.04678481293328</c:v>
                </c:pt>
                <c:pt idx="781">
                  <c:v>251.36557505286518</c:v>
                </c:pt>
                <c:pt idx="782">
                  <c:v>251.68435723216248</c:v>
                </c:pt>
                <c:pt idx="783">
                  <c:v>252.00313138646516</c:v>
                </c:pt>
                <c:pt idx="784">
                  <c:v>252.32189755113168</c:v>
                </c:pt>
                <c:pt idx="785">
                  <c:v>252.64065576124207</c:v>
                </c:pt>
                <c:pt idx="786">
                  <c:v>252.95940605160126</c:v>
                </c:pt>
                <c:pt idx="787">
                  <c:v>253.27814845674203</c:v>
                </c:pt>
                <c:pt idx="788">
                  <c:v>253.59688301092811</c:v>
                </c:pt>
                <c:pt idx="789">
                  <c:v>253.91560974815724</c:v>
                </c:pt>
                <c:pt idx="790">
                  <c:v>254.23432870216428</c:v>
                </c:pt>
                <c:pt idx="791">
                  <c:v>254.55303990642363</c:v>
                </c:pt>
                <c:pt idx="792">
                  <c:v>254.87174339415287</c:v>
                </c:pt>
                <c:pt idx="793">
                  <c:v>255.190439198315</c:v>
                </c:pt>
                <c:pt idx="794">
                  <c:v>255.50912735162152</c:v>
                </c:pt>
                <c:pt idx="795">
                  <c:v>255.82780788653514</c:v>
                </c:pt>
                <c:pt idx="796">
                  <c:v>256.14041179031852</c:v>
                </c:pt>
                <c:pt idx="797">
                  <c:v>256.45907335922936</c:v>
                </c:pt>
                <c:pt idx="798">
                  <c:v>256.77772740807836</c:v>
                </c:pt>
                <c:pt idx="799">
                  <c:v>257.09637396835518</c:v>
                </c:pt>
                <c:pt idx="800">
                  <c:v>257.41501307131443</c:v>
                </c:pt>
                <c:pt idx="801">
                  <c:v>257.73364474797734</c:v>
                </c:pt>
                <c:pt idx="802">
                  <c:v>258.05226902913489</c:v>
                </c:pt>
                <c:pt idx="803">
                  <c:v>258.37088594535004</c:v>
                </c:pt>
                <c:pt idx="804">
                  <c:v>258.68949552696012</c:v>
                </c:pt>
                <c:pt idx="805">
                  <c:v>259.0080978040794</c:v>
                </c:pt>
                <c:pt idx="806">
                  <c:v>259.32669280660116</c:v>
                </c:pt>
                <c:pt idx="807">
                  <c:v>259.64528056420039</c:v>
                </c:pt>
                <c:pt idx="808">
                  <c:v>259.96386110633586</c:v>
                </c:pt>
                <c:pt idx="809">
                  <c:v>260.28243446225247</c:v>
                </c:pt>
                <c:pt idx="810">
                  <c:v>260.60100066098335</c:v>
                </c:pt>
                <c:pt idx="811">
                  <c:v>260.91955973135231</c:v>
                </c:pt>
                <c:pt idx="812">
                  <c:v>261.23811170197592</c:v>
                </c:pt>
                <c:pt idx="813">
                  <c:v>261.55665660126556</c:v>
                </c:pt>
                <c:pt idx="814">
                  <c:v>261.87519445742964</c:v>
                </c:pt>
                <c:pt idx="815">
                  <c:v>262.19372529847573</c:v>
                </c:pt>
                <c:pt idx="816">
                  <c:v>262.51224915221246</c:v>
                </c:pt>
                <c:pt idx="817">
                  <c:v>262.83076604625182</c:v>
                </c:pt>
                <c:pt idx="818">
                  <c:v>263.14927600801093</c:v>
                </c:pt>
                <c:pt idx="819">
                  <c:v>263.46777906471391</c:v>
                </c:pt>
                <c:pt idx="820">
                  <c:v>263.78627524339453</c:v>
                </c:pt>
                <c:pt idx="821">
                  <c:v>264.10476457089709</c:v>
                </c:pt>
                <c:pt idx="822">
                  <c:v>264.42324707387928</c:v>
                </c:pt>
                <c:pt idx="823">
                  <c:v>264.74172277881365</c:v>
                </c:pt>
                <c:pt idx="824">
                  <c:v>265.06019171198915</c:v>
                </c:pt>
                <c:pt idx="825">
                  <c:v>265.37865389951367</c:v>
                </c:pt>
                <c:pt idx="826">
                  <c:v>265.69710936731531</c:v>
                </c:pt>
                <c:pt idx="827">
                  <c:v>266.01555814114414</c:v>
                </c:pt>
                <c:pt idx="828">
                  <c:v>266.33400024657459</c:v>
                </c:pt>
                <c:pt idx="829">
                  <c:v>266.65243570900623</c:v>
                </c:pt>
                <c:pt idx="830">
                  <c:v>266.9708645536665</c:v>
                </c:pt>
                <c:pt idx="831">
                  <c:v>267.2892868056116</c:v>
                </c:pt>
                <c:pt idx="832">
                  <c:v>267.60770248972847</c:v>
                </c:pt>
                <c:pt idx="833">
                  <c:v>267.92611163073667</c:v>
                </c:pt>
                <c:pt idx="834">
                  <c:v>268.24451425318966</c:v>
                </c:pt>
                <c:pt idx="835">
                  <c:v>268.56291038147634</c:v>
                </c:pt>
                <c:pt idx="836">
                  <c:v>268.88130003982303</c:v>
                </c:pt>
                <c:pt idx="837">
                  <c:v>269.1996832522949</c:v>
                </c:pt>
                <c:pt idx="838">
                  <c:v>269.51806004279734</c:v>
                </c:pt>
                <c:pt idx="839">
                  <c:v>269.83643043507766</c:v>
                </c:pt>
                <c:pt idx="840">
                  <c:v>270.15479445272666</c:v>
                </c:pt>
                <c:pt idx="841">
                  <c:v>270.47315211917964</c:v>
                </c:pt>
                <c:pt idx="842">
                  <c:v>270.79150345771887</c:v>
                </c:pt>
                <c:pt idx="843">
                  <c:v>271.10984849147383</c:v>
                </c:pt>
                <c:pt idx="844">
                  <c:v>271.42818724342351</c:v>
                </c:pt>
                <c:pt idx="845">
                  <c:v>271.74651973639766</c:v>
                </c:pt>
                <c:pt idx="846">
                  <c:v>272.06484599307782</c:v>
                </c:pt>
                <c:pt idx="847">
                  <c:v>272.3831660359993</c:v>
                </c:pt>
                <c:pt idx="848">
                  <c:v>272.70147988755213</c:v>
                </c:pt>
                <c:pt idx="849">
                  <c:v>273.01978756998227</c:v>
                </c:pt>
                <c:pt idx="850">
                  <c:v>273.33808910539369</c:v>
                </c:pt>
                <c:pt idx="851">
                  <c:v>273.65638451574858</c:v>
                </c:pt>
                <c:pt idx="852">
                  <c:v>273.97467382286976</c:v>
                </c:pt>
                <c:pt idx="853">
                  <c:v>274.29295704844128</c:v>
                </c:pt>
                <c:pt idx="854">
                  <c:v>274.61123421400964</c:v>
                </c:pt>
                <c:pt idx="855">
                  <c:v>274.92950534098594</c:v>
                </c:pt>
                <c:pt idx="856">
                  <c:v>275.24777045064587</c:v>
                </c:pt>
                <c:pt idx="857">
                  <c:v>275.56602956413167</c:v>
                </c:pt>
                <c:pt idx="858">
                  <c:v>275.8842827024535</c:v>
                </c:pt>
                <c:pt idx="859">
                  <c:v>276.20252988649008</c:v>
                </c:pt>
                <c:pt idx="860">
                  <c:v>276.52077113699011</c:v>
                </c:pt>
                <c:pt idx="861">
                  <c:v>276.83900647457352</c:v>
                </c:pt>
                <c:pt idx="862">
                  <c:v>277.15723591973284</c:v>
                </c:pt>
                <c:pt idx="863">
                  <c:v>277.47545949283386</c:v>
                </c:pt>
                <c:pt idx="864">
                  <c:v>277.79367721411677</c:v>
                </c:pt>
                <c:pt idx="865">
                  <c:v>278.11188910369805</c:v>
                </c:pt>
                <c:pt idx="866">
                  <c:v>278.43009518157055</c:v>
                </c:pt>
                <c:pt idx="867">
                  <c:v>278.7482954676052</c:v>
                </c:pt>
                <c:pt idx="868">
                  <c:v>279.06648998155208</c:v>
                </c:pt>
                <c:pt idx="869">
                  <c:v>279.38467874304092</c:v>
                </c:pt>
                <c:pt idx="870">
                  <c:v>279.70286177158306</c:v>
                </c:pt>
                <c:pt idx="871">
                  <c:v>280.0210390865717</c:v>
                </c:pt>
                <c:pt idx="872">
                  <c:v>280.33921070728348</c:v>
                </c:pt>
                <c:pt idx="873">
                  <c:v>280.6573766528789</c:v>
                </c:pt>
                <c:pt idx="874">
                  <c:v>280.97553694240418</c:v>
                </c:pt>
                <c:pt idx="875">
                  <c:v>281.2936915947912</c:v>
                </c:pt>
                <c:pt idx="876">
                  <c:v>281.61184062885945</c:v>
                </c:pt>
                <c:pt idx="877">
                  <c:v>281.9299840633164</c:v>
                </c:pt>
                <c:pt idx="878">
                  <c:v>282.24812191675869</c:v>
                </c:pt>
                <c:pt idx="879">
                  <c:v>282.56625420767307</c:v>
                </c:pt>
                <c:pt idx="880">
                  <c:v>282.88438095443735</c:v>
                </c:pt>
                <c:pt idx="881">
                  <c:v>283.20250217532117</c:v>
                </c:pt>
                <c:pt idx="882">
                  <c:v>283.5206178884871</c:v>
                </c:pt>
                <c:pt idx="883">
                  <c:v>283.8387281119916</c:v>
                </c:pt>
                <c:pt idx="884">
                  <c:v>284.15683286378584</c:v>
                </c:pt>
                <c:pt idx="885">
                  <c:v>284.47493216171614</c:v>
                </c:pt>
                <c:pt idx="886">
                  <c:v>284.79302602352573</c:v>
                </c:pt>
                <c:pt idx="887">
                  <c:v>285.11111446685504</c:v>
                </c:pt>
                <c:pt idx="888">
                  <c:v>285.42919750924261</c:v>
                </c:pt>
                <c:pt idx="889">
                  <c:v>285.74727516812601</c:v>
                </c:pt>
                <c:pt idx="890">
                  <c:v>286.06534746084276</c:v>
                </c:pt>
                <c:pt idx="891">
                  <c:v>286.38341440463108</c:v>
                </c:pt>
                <c:pt idx="892">
                  <c:v>286.70147601663058</c:v>
                </c:pt>
                <c:pt idx="893">
                  <c:v>287.01953231388342</c:v>
                </c:pt>
                <c:pt idx="894">
                  <c:v>287.33758331333479</c:v>
                </c:pt>
                <c:pt idx="895">
                  <c:v>287.65562903183366</c:v>
                </c:pt>
                <c:pt idx="896">
                  <c:v>287.9736694861341</c:v>
                </c:pt>
                <c:pt idx="897">
                  <c:v>288.29170469289545</c:v>
                </c:pt>
                <c:pt idx="898">
                  <c:v>288.6097346686833</c:v>
                </c:pt>
                <c:pt idx="899">
                  <c:v>288.92775942997059</c:v>
                </c:pt>
                <c:pt idx="900">
                  <c:v>289.24577899313766</c:v>
                </c:pt>
                <c:pt idx="901">
                  <c:v>289.56379337447362</c:v>
                </c:pt>
                <c:pt idx="902">
                  <c:v>289.88180259017685</c:v>
                </c:pt>
                <c:pt idx="903">
                  <c:v>290.19980665635575</c:v>
                </c:pt>
                <c:pt idx="904">
                  <c:v>290.51780558902942</c:v>
                </c:pt>
                <c:pt idx="905">
                  <c:v>290.83579940412847</c:v>
                </c:pt>
                <c:pt idx="906">
                  <c:v>291.15378811749571</c:v>
                </c:pt>
                <c:pt idx="907">
                  <c:v>291.47177174488661</c:v>
                </c:pt>
                <c:pt idx="908">
                  <c:v>291.78975030197057</c:v>
                </c:pt>
                <c:pt idx="909">
                  <c:v>292.10772380433104</c:v>
                </c:pt>
                <c:pt idx="910">
                  <c:v>292.42569226746627</c:v>
                </c:pt>
                <c:pt idx="911">
                  <c:v>292.74365570679015</c:v>
                </c:pt>
                <c:pt idx="912">
                  <c:v>293.06161413763317</c:v>
                </c:pt>
                <c:pt idx="913">
                  <c:v>293.37956757524239</c:v>
                </c:pt>
                <c:pt idx="914">
                  <c:v>293.69751603478261</c:v>
                </c:pt>
                <c:pt idx="915">
                  <c:v>294.01545953133677</c:v>
                </c:pt>
                <c:pt idx="916">
                  <c:v>294.33339807990677</c:v>
                </c:pt>
                <c:pt idx="917">
                  <c:v>294.65133169541394</c:v>
                </c:pt>
                <c:pt idx="918">
                  <c:v>294.96926039269971</c:v>
                </c:pt>
                <c:pt idx="919">
                  <c:v>295.28718418652642</c:v>
                </c:pt>
                <c:pt idx="920">
                  <c:v>295.60510309157735</c:v>
                </c:pt>
                <c:pt idx="921">
                  <c:v>295.9230171224583</c:v>
                </c:pt>
                <c:pt idx="922">
                  <c:v>296.24092629369727</c:v>
                </c:pt>
                <c:pt idx="923">
                  <c:v>296.55883061974544</c:v>
                </c:pt>
                <c:pt idx="924">
                  <c:v>296.87673011497793</c:v>
                </c:pt>
                <c:pt idx="925">
                  <c:v>297.19462479369389</c:v>
                </c:pt>
                <c:pt idx="926">
                  <c:v>297.5125146701177</c:v>
                </c:pt>
                <c:pt idx="927">
                  <c:v>297.83039975839893</c:v>
                </c:pt>
                <c:pt idx="928">
                  <c:v>298.14828007261337</c:v>
                </c:pt>
                <c:pt idx="929">
                  <c:v>298.4661556267634</c:v>
                </c:pt>
                <c:pt idx="930">
                  <c:v>298.78402643477847</c:v>
                </c:pt>
                <c:pt idx="931">
                  <c:v>299.10189251051577</c:v>
                </c:pt>
                <c:pt idx="932">
                  <c:v>299.41975386776073</c:v>
                </c:pt>
                <c:pt idx="933">
                  <c:v>299.73761052022775</c:v>
                </c:pt>
                <c:pt idx="934">
                  <c:v>300.05546248156037</c:v>
                </c:pt>
                <c:pt idx="935">
                  <c:v>300.37330976533178</c:v>
                </c:pt>
                <c:pt idx="936">
                  <c:v>300.69115238504583</c:v>
                </c:pt>
                <c:pt idx="937">
                  <c:v>301.00899035413732</c:v>
                </c:pt>
                <c:pt idx="938">
                  <c:v>301.32682368597227</c:v>
                </c:pt>
                <c:pt idx="939">
                  <c:v>301.64465239384862</c:v>
                </c:pt>
                <c:pt idx="940">
                  <c:v>301.96247649099672</c:v>
                </c:pt>
                <c:pt idx="941">
                  <c:v>302.28029599057999</c:v>
                </c:pt>
                <c:pt idx="942">
                  <c:v>302.59811090569502</c:v>
                </c:pt>
                <c:pt idx="943">
                  <c:v>302.91592124937245</c:v>
                </c:pt>
                <c:pt idx="944">
                  <c:v>303.23372703457721</c:v>
                </c:pt>
                <c:pt idx="945">
                  <c:v>303.55152827420903</c:v>
                </c:pt>
                <c:pt idx="946">
                  <c:v>303.86932498110326</c:v>
                </c:pt>
                <c:pt idx="947">
                  <c:v>304.18711716803062</c:v>
                </c:pt>
                <c:pt idx="948">
                  <c:v>304.50490484769836</c:v>
                </c:pt>
                <c:pt idx="949">
                  <c:v>304.82268803275059</c:v>
                </c:pt>
                <c:pt idx="950">
                  <c:v>305.14046673576814</c:v>
                </c:pt>
                <c:pt idx="951">
                  <c:v>305.45824096926981</c:v>
                </c:pt>
                <c:pt idx="952">
                  <c:v>305.77601074571248</c:v>
                </c:pt>
                <c:pt idx="953">
                  <c:v>306.09377607749144</c:v>
                </c:pt>
                <c:pt idx="954">
                  <c:v>306.41153697694091</c:v>
                </c:pt>
                <c:pt idx="955">
                  <c:v>306.72929345633469</c:v>
                </c:pt>
                <c:pt idx="956">
                  <c:v>307.04704552788627</c:v>
                </c:pt>
                <c:pt idx="957">
                  <c:v>307.36479320374929</c:v>
                </c:pt>
                <c:pt idx="958">
                  <c:v>307.68253649601837</c:v>
                </c:pt>
                <c:pt idx="959">
                  <c:v>308.00027541672915</c:v>
                </c:pt>
                <c:pt idx="960">
                  <c:v>308.31800997785842</c:v>
                </c:pt>
                <c:pt idx="961">
                  <c:v>308.63574019132528</c:v>
                </c:pt>
                <c:pt idx="962">
                  <c:v>308.95346606899113</c:v>
                </c:pt>
                <c:pt idx="963">
                  <c:v>309.27118762266008</c:v>
                </c:pt>
                <c:pt idx="964">
                  <c:v>309.58890486407915</c:v>
                </c:pt>
                <c:pt idx="965">
                  <c:v>309.90661780493929</c:v>
                </c:pt>
                <c:pt idx="966">
                  <c:v>310.22432645687508</c:v>
                </c:pt>
                <c:pt idx="967">
                  <c:v>310.54203083146552</c:v>
                </c:pt>
                <c:pt idx="968">
                  <c:v>310.85973094023433</c:v>
                </c:pt>
                <c:pt idx="969">
                  <c:v>311.17742679465033</c:v>
                </c:pt>
                <c:pt idx="970">
                  <c:v>311.49511840612763</c:v>
                </c:pt>
                <c:pt idx="971">
                  <c:v>311.81280578602656</c:v>
                </c:pt>
                <c:pt idx="972">
                  <c:v>312.13048894565327</c:v>
                </c:pt>
                <c:pt idx="973">
                  <c:v>312.44816789626066</c:v>
                </c:pt>
                <c:pt idx="974">
                  <c:v>312.76584264904881</c:v>
                </c:pt>
                <c:pt idx="975">
                  <c:v>313.0835132151646</c:v>
                </c:pt>
                <c:pt idx="976">
                  <c:v>313.40117960570302</c:v>
                </c:pt>
                <c:pt idx="977">
                  <c:v>313.71884183170692</c:v>
                </c:pt>
                <c:pt idx="978">
                  <c:v>314.0364999041675</c:v>
                </c:pt>
                <c:pt idx="979">
                  <c:v>314.35415383402477</c:v>
                </c:pt>
                <c:pt idx="980">
                  <c:v>314.67180363216778</c:v>
                </c:pt>
                <c:pt idx="981">
                  <c:v>314.98944930943497</c:v>
                </c:pt>
                <c:pt idx="982">
                  <c:v>315.30709087661461</c:v>
                </c:pt>
                <c:pt idx="983">
                  <c:v>315.62472834444503</c:v>
                </c:pt>
                <c:pt idx="984">
                  <c:v>315.94236172361514</c:v>
                </c:pt>
                <c:pt idx="985">
                  <c:v>316.25999102476419</c:v>
                </c:pt>
                <c:pt idx="986">
                  <c:v>316.57761625848286</c:v>
                </c:pt>
                <c:pt idx="987">
                  <c:v>316.89523743531333</c:v>
                </c:pt>
                <c:pt idx="988">
                  <c:v>317.21285456574935</c:v>
                </c:pt>
                <c:pt idx="989">
                  <c:v>317.5304676602367</c:v>
                </c:pt>
                <c:pt idx="990">
                  <c:v>317.84807672917361</c:v>
                </c:pt>
                <c:pt idx="991">
                  <c:v>318.16568178291107</c:v>
                </c:pt>
                <c:pt idx="992">
                  <c:v>318.48328283175289</c:v>
                </c:pt>
                <c:pt idx="993">
                  <c:v>318.80087988595636</c:v>
                </c:pt>
                <c:pt idx="994">
                  <c:v>319.11847295573239</c:v>
                </c:pt>
                <c:pt idx="995">
                  <c:v>319.43606205124564</c:v>
                </c:pt>
                <c:pt idx="996">
                  <c:v>319.75364718261517</c:v>
                </c:pt>
                <c:pt idx="997">
                  <c:v>320.07122835991458</c:v>
                </c:pt>
                <c:pt idx="998">
                  <c:v>320.38880559317209</c:v>
                </c:pt>
                <c:pt idx="999">
                  <c:v>320.70637889237133</c:v>
                </c:pt>
                <c:pt idx="1000">
                  <c:v>321.02394826745103</c:v>
                </c:pt>
                <c:pt idx="1001">
                  <c:v>321.34151372830581</c:v>
                </c:pt>
                <c:pt idx="1002">
                  <c:v>321.65907528478624</c:v>
                </c:pt>
                <c:pt idx="1003">
                  <c:v>321.97663294669911</c:v>
                </c:pt>
                <c:pt idx="1004">
                  <c:v>322.29418672380774</c:v>
                </c:pt>
                <c:pt idx="1005">
                  <c:v>322.61173662583235</c:v>
                </c:pt>
                <c:pt idx="1006">
                  <c:v>322.92928266245019</c:v>
                </c:pt>
                <c:pt idx="1007">
                  <c:v>323.24682484329594</c:v>
                </c:pt>
                <c:pt idx="1008">
                  <c:v>323.56436317796187</c:v>
                </c:pt>
                <c:pt idx="1009">
                  <c:v>323.8818976759984</c:v>
                </c:pt>
                <c:pt idx="1010">
                  <c:v>324.19942834691363</c:v>
                </c:pt>
                <c:pt idx="1011">
                  <c:v>324.51695520017455</c:v>
                </c:pt>
                <c:pt idx="1012">
                  <c:v>324.8344782452067</c:v>
                </c:pt>
                <c:pt idx="1013">
                  <c:v>325.1519974913947</c:v>
                </c:pt>
                <c:pt idx="1014">
                  <c:v>325.4695129480823</c:v>
                </c:pt>
                <c:pt idx="1015">
                  <c:v>325.78702462457267</c:v>
                </c:pt>
                <c:pt idx="1016">
                  <c:v>326.10453253012895</c:v>
                </c:pt>
                <c:pt idx="1017">
                  <c:v>326.42203667397405</c:v>
                </c:pt>
                <c:pt idx="1018">
                  <c:v>326.73953706529119</c:v>
                </c:pt>
                <c:pt idx="1019">
                  <c:v>327.05703371322431</c:v>
                </c:pt>
                <c:pt idx="1020">
                  <c:v>327.37452662687758</c:v>
                </c:pt>
                <c:pt idx="1021">
                  <c:v>327.69201581531672</c:v>
                </c:pt>
                <c:pt idx="1022">
                  <c:v>328.00950128756836</c:v>
                </c:pt>
                <c:pt idx="1023">
                  <c:v>328.32698305262062</c:v>
                </c:pt>
                <c:pt idx="1024">
                  <c:v>328.64446111942345</c:v>
                </c:pt>
                <c:pt idx="1025">
                  <c:v>328.9619354968886</c:v>
                </c:pt>
                <c:pt idx="1026">
                  <c:v>329.27940619389</c:v>
                </c:pt>
                <c:pt idx="1027">
                  <c:v>329.59687321926418</c:v>
                </c:pt>
                <c:pt idx="1028">
                  <c:v>329.91433658181006</c:v>
                </c:pt>
                <c:pt idx="1029">
                  <c:v>330.23179629028965</c:v>
                </c:pt>
                <c:pt idx="1030">
                  <c:v>330.54925235342785</c:v>
                </c:pt>
                <c:pt idx="1031">
                  <c:v>330.86670477991305</c:v>
                </c:pt>
                <c:pt idx="1032">
                  <c:v>331.184153578397</c:v>
                </c:pt>
                <c:pt idx="1033">
                  <c:v>331.50159875749546</c:v>
                </c:pt>
                <c:pt idx="1034">
                  <c:v>331.81904032578814</c:v>
                </c:pt>
                <c:pt idx="1035">
                  <c:v>332.13647829181855</c:v>
                </c:pt>
                <c:pt idx="1036">
                  <c:v>332.45391266409507</c:v>
                </c:pt>
                <c:pt idx="1037">
                  <c:v>332.77134345109067</c:v>
                </c:pt>
                <c:pt idx="1038">
                  <c:v>333.08877066124302</c:v>
                </c:pt>
                <c:pt idx="1039">
                  <c:v>333.40619430295482</c:v>
                </c:pt>
                <c:pt idx="1040">
                  <c:v>333.72361438459416</c:v>
                </c:pt>
                <c:pt idx="1041">
                  <c:v>334.04103091449463</c:v>
                </c:pt>
                <c:pt idx="1042">
                  <c:v>334.35844390095536</c:v>
                </c:pt>
                <c:pt idx="1043">
                  <c:v>334.6758533522414</c:v>
                </c:pt>
                <c:pt idx="1044">
                  <c:v>334.99325927658413</c:v>
                </c:pt>
                <c:pt idx="1045">
                  <c:v>335.31066168218069</c:v>
                </c:pt>
                <c:pt idx="1046">
                  <c:v>335.62806057719536</c:v>
                </c:pt>
                <c:pt idx="1047">
                  <c:v>335.94545596975865</c:v>
                </c:pt>
                <c:pt idx="1048">
                  <c:v>336.26284786796805</c:v>
                </c:pt>
                <c:pt idx="1049">
                  <c:v>336.58023627988842</c:v>
                </c:pt>
                <c:pt idx="1050">
                  <c:v>336.89762121355142</c:v>
                </c:pt>
                <c:pt idx="1051">
                  <c:v>337.21500267695649</c:v>
                </c:pt>
                <c:pt idx="1052">
                  <c:v>337.53238067807064</c:v>
                </c:pt>
                <c:pt idx="1053">
                  <c:v>337.84975522482881</c:v>
                </c:pt>
                <c:pt idx="1054">
                  <c:v>338.16712632513384</c:v>
                </c:pt>
                <c:pt idx="1055">
                  <c:v>338.48449398685693</c:v>
                </c:pt>
                <c:pt idx="1056">
                  <c:v>338.80185821783755</c:v>
                </c:pt>
                <c:pt idx="1057">
                  <c:v>339.11921902588381</c:v>
                </c:pt>
                <c:pt idx="1058">
                  <c:v>339.43657641877275</c:v>
                </c:pt>
                <c:pt idx="1059">
                  <c:v>339.7539304042503</c:v>
                </c:pt>
                <c:pt idx="1060">
                  <c:v>340.07128099003114</c:v>
                </c:pt>
                <c:pt idx="1061">
                  <c:v>340.38862818379977</c:v>
                </c:pt>
                <c:pt idx="1062">
                  <c:v>340.70597199320997</c:v>
                </c:pt>
                <c:pt idx="1063">
                  <c:v>341.02331242588519</c:v>
                </c:pt>
                <c:pt idx="1064">
                  <c:v>341.34064948941875</c:v>
                </c:pt>
                <c:pt idx="1065">
                  <c:v>341.657983191374</c:v>
                </c:pt>
                <c:pt idx="1066">
                  <c:v>341.97531353928434</c:v>
                </c:pt>
                <c:pt idx="1067">
                  <c:v>342.29264054065362</c:v>
                </c:pt>
                <c:pt idx="1068">
                  <c:v>342.60996420295629</c:v>
                </c:pt>
                <c:pt idx="1069">
                  <c:v>342.92728453363742</c:v>
                </c:pt>
                <c:pt idx="1070">
                  <c:v>343.24460154011274</c:v>
                </c:pt>
                <c:pt idx="1071">
                  <c:v>343.56191522976934</c:v>
                </c:pt>
                <c:pt idx="1072">
                  <c:v>343.87922560996532</c:v>
                </c:pt>
                <c:pt idx="1073">
                  <c:v>344.19653268803006</c:v>
                </c:pt>
                <c:pt idx="1074">
                  <c:v>344.51383647126471</c:v>
                </c:pt>
                <c:pt idx="1075">
                  <c:v>344.83113696694176</c:v>
                </c:pt>
                <c:pt idx="1076">
                  <c:v>345.14843418230572</c:v>
                </c:pt>
                <c:pt idx="1077">
                  <c:v>345.46572812457305</c:v>
                </c:pt>
                <c:pt idx="1078">
                  <c:v>345.78301880093238</c:v>
                </c:pt>
                <c:pt idx="1079">
                  <c:v>346.10030621854463</c:v>
                </c:pt>
                <c:pt idx="1080">
                  <c:v>346.41759038454308</c:v>
                </c:pt>
                <c:pt idx="1081">
                  <c:v>346.73487130603371</c:v>
                </c:pt>
                <c:pt idx="1082">
                  <c:v>347.05214899009525</c:v>
                </c:pt>
                <c:pt idx="1083">
                  <c:v>347.3694234437794</c:v>
                </c:pt>
                <c:pt idx="1084">
                  <c:v>347.68669467411092</c:v>
                </c:pt>
                <c:pt idx="1085">
                  <c:v>348.00396268808743</c:v>
                </c:pt>
                <c:pt idx="1086">
                  <c:v>348.32122749268035</c:v>
                </c:pt>
                <c:pt idx="1087">
                  <c:v>348.63848909483448</c:v>
                </c:pt>
                <c:pt idx="1088">
                  <c:v>348.95574750146824</c:v>
                </c:pt>
                <c:pt idx="1089">
                  <c:v>349.27300271947377</c:v>
                </c:pt>
                <c:pt idx="1090">
                  <c:v>349.59025475571724</c:v>
                </c:pt>
                <c:pt idx="1091">
                  <c:v>349.90750361703891</c:v>
                </c:pt>
                <c:pt idx="1092">
                  <c:v>350.22474931025323</c:v>
                </c:pt>
                <c:pt idx="1093">
                  <c:v>350.54199184214895</c:v>
                </c:pt>
                <c:pt idx="1094">
                  <c:v>350.85923121948946</c:v>
                </c:pt>
                <c:pt idx="1095">
                  <c:v>351.17646744901265</c:v>
                </c:pt>
                <c:pt idx="1096">
                  <c:v>351.49370053743127</c:v>
                </c:pt>
                <c:pt idx="1097">
                  <c:v>351.81093049143306</c:v>
                </c:pt>
                <c:pt idx="1098">
                  <c:v>352.12815731768058</c:v>
                </c:pt>
                <c:pt idx="1099">
                  <c:v>352.44538102281189</c:v>
                </c:pt>
                <c:pt idx="1100">
                  <c:v>352.7626016134401</c:v>
                </c:pt>
                <c:pt idx="1101">
                  <c:v>353.07981909615387</c:v>
                </c:pt>
                <c:pt idx="1102">
                  <c:v>353.39703347751743</c:v>
                </c:pt>
                <c:pt idx="1103">
                  <c:v>353.71424476407077</c:v>
                </c:pt>
                <c:pt idx="1104">
                  <c:v>354.03145296232969</c:v>
                </c:pt>
                <c:pt idx="1105">
                  <c:v>354.348658078786</c:v>
                </c:pt>
                <c:pt idx="1106">
                  <c:v>354.66586011990756</c:v>
                </c:pt>
                <c:pt idx="1107">
                  <c:v>354.98305909213843</c:v>
                </c:pt>
                <c:pt idx="1108">
                  <c:v>355.30025500189913</c:v>
                </c:pt>
                <c:pt idx="1109">
                  <c:v>355.61744785558676</c:v>
                </c:pt>
                <c:pt idx="1110">
                  <c:v>355.93463765957466</c:v>
                </c:pt>
                <c:pt idx="1111">
                  <c:v>356.2518244202131</c:v>
                </c:pt>
                <c:pt idx="1112">
                  <c:v>356.56900814382931</c:v>
                </c:pt>
                <c:pt idx="1113">
                  <c:v>356.88618883672746</c:v>
                </c:pt>
                <c:pt idx="1114">
                  <c:v>357.20336650518868</c:v>
                </c:pt>
                <c:pt idx="1115">
                  <c:v>357.52054115547145</c:v>
                </c:pt>
                <c:pt idx="1116">
                  <c:v>357.83771279381148</c:v>
                </c:pt>
                <c:pt idx="1117">
                  <c:v>358.15488142642198</c:v>
                </c:pt>
                <c:pt idx="1118">
                  <c:v>358.47204705949383</c:v>
                </c:pt>
                <c:pt idx="1119">
                  <c:v>358.78920969919551</c:v>
                </c:pt>
                <c:pt idx="1120">
                  <c:v>359.1063693516731</c:v>
                </c:pt>
                <c:pt idx="1121">
                  <c:v>359.42352602305107</c:v>
                </c:pt>
                <c:pt idx="1122">
                  <c:v>359.74067971943157</c:v>
                </c:pt>
                <c:pt idx="1123">
                  <c:v>360.05783044689491</c:v>
                </c:pt>
                <c:pt idx="1124">
                  <c:v>360.37497821149992</c:v>
                </c:pt>
                <c:pt idx="1125">
                  <c:v>360.69212301928354</c:v>
                </c:pt>
                <c:pt idx="1126">
                  <c:v>361.00926487626128</c:v>
                </c:pt>
                <c:pt idx="1127">
                  <c:v>361.32640378842729</c:v>
                </c:pt>
                <c:pt idx="1128">
                  <c:v>361.64353976175443</c:v>
                </c:pt>
                <c:pt idx="1129">
                  <c:v>361.96067280219427</c:v>
                </c:pt>
                <c:pt idx="1130">
                  <c:v>362.27780291567746</c:v>
                </c:pt>
                <c:pt idx="1131">
                  <c:v>362.5949301081136</c:v>
                </c:pt>
                <c:pt idx="1132">
                  <c:v>362.91205438539134</c:v>
                </c:pt>
                <c:pt idx="1133">
                  <c:v>363.2291757533788</c:v>
                </c:pt>
                <c:pt idx="1134">
                  <c:v>363.54629421792345</c:v>
                </c:pt>
                <c:pt idx="1135">
                  <c:v>363.86340978485185</c:v>
                </c:pt>
                <c:pt idx="1136">
                  <c:v>364.1805224599704</c:v>
                </c:pt>
                <c:pt idx="1137">
                  <c:v>364.4976322490653</c:v>
                </c:pt>
                <c:pt idx="1138">
                  <c:v>364.8147391579023</c:v>
                </c:pt>
                <c:pt idx="1139">
                  <c:v>365.131843192227</c:v>
                </c:pt>
                <c:pt idx="1140">
                  <c:v>365.44894435776519</c:v>
                </c:pt>
                <c:pt idx="1141">
                  <c:v>365.76604266022258</c:v>
                </c:pt>
                <c:pt idx="1142">
                  <c:v>366.083138105285</c:v>
                </c:pt>
                <c:pt idx="1143">
                  <c:v>366.40023069861866</c:v>
                </c:pt>
                <c:pt idx="1144">
                  <c:v>366.71732044587026</c:v>
                </c:pt>
                <c:pt idx="1145">
                  <c:v>367.03440735266651</c:v>
                </c:pt>
                <c:pt idx="1146">
                  <c:v>367.35149142461535</c:v>
                </c:pt>
                <c:pt idx="1147">
                  <c:v>367.66857266730483</c:v>
                </c:pt>
                <c:pt idx="1148">
                  <c:v>367.98565108630402</c:v>
                </c:pt>
                <c:pt idx="1149">
                  <c:v>368.30272668716293</c:v>
                </c:pt>
                <c:pt idx="1150">
                  <c:v>368.61979947541226</c:v>
                </c:pt>
                <c:pt idx="1151">
                  <c:v>368.93686945656395</c:v>
                </c:pt>
                <c:pt idx="1152">
                  <c:v>369.25393663611101</c:v>
                </c:pt>
                <c:pt idx="1153">
                  <c:v>369.57100101952773</c:v>
                </c:pt>
                <c:pt idx="1154">
                  <c:v>369.88806261226972</c:v>
                </c:pt>
                <c:pt idx="1155">
                  <c:v>370.20512141977395</c:v>
                </c:pt>
                <c:pt idx="1156">
                  <c:v>370.52217744745894</c:v>
                </c:pt>
                <c:pt idx="1157">
                  <c:v>370.83923070072478</c:v>
                </c:pt>
                <c:pt idx="1158">
                  <c:v>371.1562811849534</c:v>
                </c:pt>
                <c:pt idx="1159">
                  <c:v>371.47332890550848</c:v>
                </c:pt>
                <c:pt idx="1160">
                  <c:v>371.79037386773524</c:v>
                </c:pt>
                <c:pt idx="1161">
                  <c:v>372.10741607696116</c:v>
                </c:pt>
                <c:pt idx="1162">
                  <c:v>372.42445553849586</c:v>
                </c:pt>
                <c:pt idx="1163">
                  <c:v>372.74149225763091</c:v>
                </c:pt>
                <c:pt idx="1164">
                  <c:v>373.05852623964017</c:v>
                </c:pt>
                <c:pt idx="1165">
                  <c:v>373.37555748977968</c:v>
                </c:pt>
                <c:pt idx="1166">
                  <c:v>373.69258601328812</c:v>
                </c:pt>
                <c:pt idx="1167">
                  <c:v>374.00961181538639</c:v>
                </c:pt>
                <c:pt idx="1168">
                  <c:v>374.32663490127817</c:v>
                </c:pt>
                <c:pt idx="1169">
                  <c:v>374.64365527614967</c:v>
                </c:pt>
                <c:pt idx="1170">
                  <c:v>374.96067294516979</c:v>
                </c:pt>
                <c:pt idx="1171">
                  <c:v>375.27768791349035</c:v>
                </c:pt>
                <c:pt idx="1172">
                  <c:v>375.59470018624609</c:v>
                </c:pt>
                <c:pt idx="1173">
                  <c:v>375.9117097685546</c:v>
                </c:pt>
                <c:pt idx="1174">
                  <c:v>376.22871666551669</c:v>
                </c:pt>
                <c:pt idx="1175">
                  <c:v>376.54572088221607</c:v>
                </c:pt>
                <c:pt idx="1176">
                  <c:v>376.86272242371996</c:v>
                </c:pt>
                <c:pt idx="1177">
                  <c:v>377.17972129507871</c:v>
                </c:pt>
                <c:pt idx="1178">
                  <c:v>377.49671750132603</c:v>
                </c:pt>
                <c:pt idx="1179">
                  <c:v>377.81371104747922</c:v>
                </c:pt>
                <c:pt idx="1180">
                  <c:v>378.130701938539</c:v>
                </c:pt>
                <c:pt idx="1181">
                  <c:v>378.44769017948983</c:v>
                </c:pt>
                <c:pt idx="1182">
                  <c:v>378.76467577529968</c:v>
                </c:pt>
                <c:pt idx="1183">
                  <c:v>379.08165873092048</c:v>
                </c:pt>
                <c:pt idx="1184">
                  <c:v>379.39863905128811</c:v>
                </c:pt>
                <c:pt idx="1185">
                  <c:v>379.71561674132187</c:v>
                </c:pt>
                <c:pt idx="1186">
                  <c:v>380.03259180592551</c:v>
                </c:pt>
                <c:pt idx="1187">
                  <c:v>380.34956424998683</c:v>
                </c:pt>
                <c:pt idx="1188">
                  <c:v>380.66653407837759</c:v>
                </c:pt>
                <c:pt idx="1189">
                  <c:v>380.98350129595389</c:v>
                </c:pt>
                <c:pt idx="1190">
                  <c:v>381.30046590755614</c:v>
                </c:pt>
                <c:pt idx="1191">
                  <c:v>381.61742791800907</c:v>
                </c:pt>
                <c:pt idx="1192">
                  <c:v>381.93438733212184</c:v>
                </c:pt>
                <c:pt idx="1193">
                  <c:v>382.25134415468824</c:v>
                </c:pt>
                <c:pt idx="1194">
                  <c:v>382.56829839048658</c:v>
                </c:pt>
                <c:pt idx="1195">
                  <c:v>382.88525004427964</c:v>
                </c:pt>
                <c:pt idx="1196">
                  <c:v>383.1964443597509</c:v>
                </c:pt>
                <c:pt idx="1197">
                  <c:v>383.5133868293525</c:v>
                </c:pt>
                <c:pt idx="1198">
                  <c:v>383.83032673397088</c:v>
                </c:pt>
                <c:pt idx="1199">
                  <c:v>384.14726407830256</c:v>
                </c:pt>
                <c:pt idx="1200">
                  <c:v>384.46419886702876</c:v>
                </c:pt>
                <c:pt idx="1201">
                  <c:v>384.7811311048161</c:v>
                </c:pt>
                <c:pt idx="1202">
                  <c:v>385.09806079631625</c:v>
                </c:pt>
                <c:pt idx="1203">
                  <c:v>385.41498794616615</c:v>
                </c:pt>
                <c:pt idx="1204">
                  <c:v>385.73191255898797</c:v>
                </c:pt>
                <c:pt idx="1205">
                  <c:v>386.04883463938944</c:v>
                </c:pt>
                <c:pt idx="1206">
                  <c:v>386.3657541919635</c:v>
                </c:pt>
                <c:pt idx="1207">
                  <c:v>386.68267122128867</c:v>
                </c:pt>
                <c:pt idx="1208">
                  <c:v>386.99958573192919</c:v>
                </c:pt>
                <c:pt idx="1209">
                  <c:v>387.31649772843491</c:v>
                </c:pt>
                <c:pt idx="1210">
                  <c:v>387.63340721534109</c:v>
                </c:pt>
                <c:pt idx="1211">
                  <c:v>387.95031419716895</c:v>
                </c:pt>
                <c:pt idx="1212">
                  <c:v>388.26721867842565</c:v>
                </c:pt>
                <c:pt idx="1213">
                  <c:v>388.58412066360415</c:v>
                </c:pt>
                <c:pt idx="1214">
                  <c:v>388.90102015718344</c:v>
                </c:pt>
                <c:pt idx="1215">
                  <c:v>389.21791716362827</c:v>
                </c:pt>
                <c:pt idx="1216">
                  <c:v>389.53481168738989</c:v>
                </c:pt>
                <c:pt idx="1217">
                  <c:v>389.85170373290532</c:v>
                </c:pt>
                <c:pt idx="1218">
                  <c:v>390.16859330459801</c:v>
                </c:pt>
                <c:pt idx="1219">
                  <c:v>390.48548040687768</c:v>
                </c:pt>
                <c:pt idx="1220">
                  <c:v>390.80236504414017</c:v>
                </c:pt>
                <c:pt idx="1221">
                  <c:v>391.11924722076805</c:v>
                </c:pt>
                <c:pt idx="1222">
                  <c:v>391.43612694113006</c:v>
                </c:pt>
                <c:pt idx="1223">
                  <c:v>391.75300420958155</c:v>
                </c:pt>
                <c:pt idx="1224">
                  <c:v>392.06987903046468</c:v>
                </c:pt>
                <c:pt idx="1225">
                  <c:v>392.38675140810778</c:v>
                </c:pt>
                <c:pt idx="1226">
                  <c:v>392.7036213468262</c:v>
                </c:pt>
                <c:pt idx="1227">
                  <c:v>393.02048885092199</c:v>
                </c:pt>
                <c:pt idx="1228">
                  <c:v>393.33735392468401</c:v>
                </c:pt>
                <c:pt idx="1229">
                  <c:v>393.6542165723879</c:v>
                </c:pt>
                <c:pt idx="1230">
                  <c:v>393.97107679829639</c:v>
                </c:pt>
                <c:pt idx="1231">
                  <c:v>394.28793460665912</c:v>
                </c:pt>
                <c:pt idx="1232">
                  <c:v>394.60479000171267</c:v>
                </c:pt>
                <c:pt idx="1233">
                  <c:v>394.92164298768091</c:v>
                </c:pt>
                <c:pt idx="1234">
                  <c:v>395.23849356877491</c:v>
                </c:pt>
                <c:pt idx="1235">
                  <c:v>395.55534174919256</c:v>
                </c:pt>
                <c:pt idx="1236">
                  <c:v>395.8721875331193</c:v>
                </c:pt>
                <c:pt idx="1237">
                  <c:v>396.18903092472806</c:v>
                </c:pt>
                <c:pt idx="1238">
                  <c:v>396.50587192817886</c:v>
                </c:pt>
                <c:pt idx="1239">
                  <c:v>396.82271054761929</c:v>
                </c:pt>
                <c:pt idx="1240">
                  <c:v>397.13954678718449</c:v>
                </c:pt>
                <c:pt idx="1241">
                  <c:v>397.45638065099695</c:v>
                </c:pt>
                <c:pt idx="1242">
                  <c:v>397.77321214316692</c:v>
                </c:pt>
                <c:pt idx="1243">
                  <c:v>398.09004126779223</c:v>
                </c:pt>
                <c:pt idx="1244">
                  <c:v>398.40686802895857</c:v>
                </c:pt>
                <c:pt idx="1245">
                  <c:v>398.72369243073911</c:v>
                </c:pt>
                <c:pt idx="1246">
                  <c:v>399.04051447719507</c:v>
                </c:pt>
                <c:pt idx="1247">
                  <c:v>399.35733417237543</c:v>
                </c:pt>
                <c:pt idx="1248">
                  <c:v>399.67415152031714</c:v>
                </c:pt>
                <c:pt idx="1249">
                  <c:v>399.99096652504522</c:v>
                </c:pt>
                <c:pt idx="1250">
                  <c:v>400.30777919057238</c:v>
                </c:pt>
                <c:pt idx="1251">
                  <c:v>400.62458952089969</c:v>
                </c:pt>
                <c:pt idx="1252">
                  <c:v>400.94139752001627</c:v>
                </c:pt>
                <c:pt idx="1253">
                  <c:v>401.2582031918995</c:v>
                </c:pt>
                <c:pt idx="1254">
                  <c:v>401.57500654051472</c:v>
                </c:pt>
                <c:pt idx="1255">
                  <c:v>401.89180756981591</c:v>
                </c:pt>
                <c:pt idx="1256">
                  <c:v>402.20860628374504</c:v>
                </c:pt>
                <c:pt idx="1257">
                  <c:v>402.52540268623267</c:v>
                </c:pt>
                <c:pt idx="1258">
                  <c:v>402.84219678119774</c:v>
                </c:pt>
                <c:pt idx="1259">
                  <c:v>403.15898857254774</c:v>
                </c:pt>
                <c:pt idx="1260">
                  <c:v>403.47577806417843</c:v>
                </c:pt>
                <c:pt idx="1261">
                  <c:v>403.79256525997425</c:v>
                </c:pt>
                <c:pt idx="1262">
                  <c:v>404.10935016380847</c:v>
                </c:pt>
                <c:pt idx="1263">
                  <c:v>404.42613277954285</c:v>
                </c:pt>
                <c:pt idx="1264">
                  <c:v>404.7429131110278</c:v>
                </c:pt>
                <c:pt idx="1265">
                  <c:v>405.05969116210269</c:v>
                </c:pt>
                <c:pt idx="1266">
                  <c:v>405.37646693659553</c:v>
                </c:pt>
                <c:pt idx="1267">
                  <c:v>405.69324043832324</c:v>
                </c:pt>
                <c:pt idx="1268">
                  <c:v>406.01001167109166</c:v>
                </c:pt>
                <c:pt idx="1269">
                  <c:v>406.32678063869565</c:v>
                </c:pt>
                <c:pt idx="1270">
                  <c:v>406.64354734491883</c:v>
                </c:pt>
                <c:pt idx="1271">
                  <c:v>406.96031179353417</c:v>
                </c:pt>
                <c:pt idx="1272">
                  <c:v>407.27707398830353</c:v>
                </c:pt>
                <c:pt idx="1273">
                  <c:v>407.59383393297793</c:v>
                </c:pt>
                <c:pt idx="1274">
                  <c:v>407.91059163129779</c:v>
                </c:pt>
                <c:pt idx="1275">
                  <c:v>408.22734708699227</c:v>
                </c:pt>
                <c:pt idx="1276">
                  <c:v>408.54410030378028</c:v>
                </c:pt>
                <c:pt idx="1277">
                  <c:v>408.86085128536985</c:v>
                </c:pt>
                <c:pt idx="1278">
                  <c:v>409.17760003545828</c:v>
                </c:pt>
                <c:pt idx="1279">
                  <c:v>409.49434655773246</c:v>
                </c:pt>
                <c:pt idx="1280">
                  <c:v>409.81109085586866</c:v>
                </c:pt>
                <c:pt idx="1281">
                  <c:v>410.12783293353249</c:v>
                </c:pt>
                <c:pt idx="1282">
                  <c:v>410.44457279437921</c:v>
                </c:pt>
                <c:pt idx="1283">
                  <c:v>410.76131044205385</c:v>
                </c:pt>
                <c:pt idx="1284">
                  <c:v>411.07804588019087</c:v>
                </c:pt>
                <c:pt idx="1285">
                  <c:v>411.39477911241414</c:v>
                </c:pt>
                <c:pt idx="1286">
                  <c:v>411.7115101423376</c:v>
                </c:pt>
                <c:pt idx="1287">
                  <c:v>412.0282389735649</c:v>
                </c:pt>
                <c:pt idx="1288">
                  <c:v>412.34496560968938</c:v>
                </c:pt>
                <c:pt idx="1289">
                  <c:v>412.66169005429418</c:v>
                </c:pt>
                <c:pt idx="1290">
                  <c:v>412.97841231095242</c:v>
                </c:pt>
                <c:pt idx="1291">
                  <c:v>413.29513238322704</c:v>
                </c:pt>
                <c:pt idx="1292">
                  <c:v>413.61185027467099</c:v>
                </c:pt>
                <c:pt idx="1293">
                  <c:v>413.92856598882713</c:v>
                </c:pt>
                <c:pt idx="1294">
                  <c:v>414.24527952922858</c:v>
                </c:pt>
                <c:pt idx="1295">
                  <c:v>414.5619908993981</c:v>
                </c:pt>
                <c:pt idx="1296">
                  <c:v>414.87870010284905</c:v>
                </c:pt>
                <c:pt idx="1297">
                  <c:v>415.19540714308465</c:v>
                </c:pt>
                <c:pt idx="1298">
                  <c:v>415.51211202359843</c:v>
                </c:pt>
                <c:pt idx="1299">
                  <c:v>415.82881474787416</c:v>
                </c:pt>
                <c:pt idx="1300">
                  <c:v>416.14551531938577</c:v>
                </c:pt>
                <c:pt idx="1301">
                  <c:v>416.46221374159757</c:v>
                </c:pt>
                <c:pt idx="1302">
                  <c:v>416.77891001796434</c:v>
                </c:pt>
                <c:pt idx="1303">
                  <c:v>417.09560415193101</c:v>
                </c:pt>
                <c:pt idx="1304">
                  <c:v>417.4122961469331</c:v>
                </c:pt>
                <c:pt idx="1305">
                  <c:v>417.72898600639667</c:v>
                </c:pt>
                <c:pt idx="1306">
                  <c:v>418.04567373373806</c:v>
                </c:pt>
                <c:pt idx="1307">
                  <c:v>418.36235933236424</c:v>
                </c:pt>
                <c:pt idx="1308">
                  <c:v>418.67904280567296</c:v>
                </c:pt>
                <c:pt idx="1309">
                  <c:v>418.99572415705245</c:v>
                </c:pt>
                <c:pt idx="1310">
                  <c:v>419.31240338988141</c:v>
                </c:pt>
                <c:pt idx="1311">
                  <c:v>419.62908050752935</c:v>
                </c:pt>
                <c:pt idx="1312">
                  <c:v>419.94575551335669</c:v>
                </c:pt>
                <c:pt idx="1313">
                  <c:v>420.26242841071445</c:v>
                </c:pt>
                <c:pt idx="1314">
                  <c:v>420.57909920294452</c:v>
                </c:pt>
                <c:pt idx="1315">
                  <c:v>420.89576789337951</c:v>
                </c:pt>
                <c:pt idx="1316">
                  <c:v>421.21243448534301</c:v>
                </c:pt>
                <c:pt idx="1317">
                  <c:v>421.52909898214955</c:v>
                </c:pt>
                <c:pt idx="1318">
                  <c:v>421.84576138710452</c:v>
                </c:pt>
                <c:pt idx="1319">
                  <c:v>422.16242170350444</c:v>
                </c:pt>
                <c:pt idx="1320">
                  <c:v>422.47907993463645</c:v>
                </c:pt>
                <c:pt idx="1321">
                  <c:v>422.79573608377933</c:v>
                </c:pt>
                <c:pt idx="1322">
                  <c:v>423.1123901542025</c:v>
                </c:pt>
                <c:pt idx="1323">
                  <c:v>423.42904214916666</c:v>
                </c:pt>
                <c:pt idx="1324">
                  <c:v>423.74569207192383</c:v>
                </c:pt>
                <c:pt idx="1325">
                  <c:v>424.0623399257168</c:v>
                </c:pt>
                <c:pt idx="1326">
                  <c:v>424.37898571378003</c:v>
                </c:pt>
                <c:pt idx="1327">
                  <c:v>424.69562943933897</c:v>
                </c:pt>
                <c:pt idx="1328">
                  <c:v>425.01227110561047</c:v>
                </c:pt>
                <c:pt idx="1329">
                  <c:v>425.32891071580264</c:v>
                </c:pt>
                <c:pt idx="1330">
                  <c:v>425.64554827311508</c:v>
                </c:pt>
                <c:pt idx="1331">
                  <c:v>425.96218378073866</c:v>
                </c:pt>
                <c:pt idx="1332">
                  <c:v>426.27881724185568</c:v>
                </c:pt>
                <c:pt idx="1333">
                  <c:v>426.59544865964011</c:v>
                </c:pt>
                <c:pt idx="1334">
                  <c:v>426.91207803725717</c:v>
                </c:pt>
                <c:pt idx="1335">
                  <c:v>427.22870537786366</c:v>
                </c:pt>
                <c:pt idx="1336">
                  <c:v>427.54533068460785</c:v>
                </c:pt>
                <c:pt idx="1337">
                  <c:v>427.86195396062993</c:v>
                </c:pt>
                <c:pt idx="1338">
                  <c:v>428.17857520906148</c:v>
                </c:pt>
                <c:pt idx="1339">
                  <c:v>428.49519443302569</c:v>
                </c:pt>
                <c:pt idx="1340">
                  <c:v>428.81181163563758</c:v>
                </c:pt>
                <c:pt idx="1341">
                  <c:v>429.12842682000382</c:v>
                </c:pt>
                <c:pt idx="1342">
                  <c:v>429.44503998922283</c:v>
                </c:pt>
                <c:pt idx="1343">
                  <c:v>429.76165114638479</c:v>
                </c:pt>
                <c:pt idx="1344">
                  <c:v>430.07826029457192</c:v>
                </c:pt>
                <c:pt idx="1345">
                  <c:v>430.39486743685779</c:v>
                </c:pt>
                <c:pt idx="1346">
                  <c:v>430.71147257630838</c:v>
                </c:pt>
                <c:pt idx="1347">
                  <c:v>431.02807571598134</c:v>
                </c:pt>
                <c:pt idx="1348">
                  <c:v>431.34467685892622</c:v>
                </c:pt>
                <c:pt idx="1349">
                  <c:v>431.66127600818476</c:v>
                </c:pt>
                <c:pt idx="1350">
                  <c:v>431.97787316679029</c:v>
                </c:pt>
                <c:pt idx="1351">
                  <c:v>432.29446833776859</c:v>
                </c:pt>
                <c:pt idx="1352">
                  <c:v>432.61106152413731</c:v>
                </c:pt>
                <c:pt idx="1353">
                  <c:v>432.92765272890614</c:v>
                </c:pt>
                <c:pt idx="1354">
                  <c:v>433.24424195507703</c:v>
                </c:pt>
                <c:pt idx="1355">
                  <c:v>433.56082920564404</c:v>
                </c:pt>
                <c:pt idx="1356">
                  <c:v>433.87741448359338</c:v>
                </c:pt>
                <c:pt idx="1357">
                  <c:v>434.19399779190331</c:v>
                </c:pt>
                <c:pt idx="1358">
                  <c:v>434.51057913354475</c:v>
                </c:pt>
                <c:pt idx="1359">
                  <c:v>434.82715851148066</c:v>
                </c:pt>
                <c:pt idx="1360">
                  <c:v>435.14373592866593</c:v>
                </c:pt>
                <c:pt idx="1361">
                  <c:v>435.4603113880483</c:v>
                </c:pt>
                <c:pt idx="1362">
                  <c:v>435.77688489256775</c:v>
                </c:pt>
                <c:pt idx="1363">
                  <c:v>436.09345644515656</c:v>
                </c:pt>
                <c:pt idx="1364">
                  <c:v>436.41002604873933</c:v>
                </c:pt>
                <c:pt idx="1365">
                  <c:v>436.72659370623325</c:v>
                </c:pt>
                <c:pt idx="1366">
                  <c:v>437.04315942054797</c:v>
                </c:pt>
                <c:pt idx="1367">
                  <c:v>437.35972319458557</c:v>
                </c:pt>
                <c:pt idx="1368">
                  <c:v>437.6762850312407</c:v>
                </c:pt>
                <c:pt idx="1369">
                  <c:v>437.99284493340053</c:v>
                </c:pt>
                <c:pt idx="1370">
                  <c:v>438.30940290394472</c:v>
                </c:pt>
                <c:pt idx="1371">
                  <c:v>438.62595894574577</c:v>
                </c:pt>
                <c:pt idx="1372">
                  <c:v>438.94251306166865</c:v>
                </c:pt>
                <c:pt idx="1373">
                  <c:v>439.25906525457094</c:v>
                </c:pt>
                <c:pt idx="1374">
                  <c:v>439.57561552730311</c:v>
                </c:pt>
                <c:pt idx="1375">
                  <c:v>439.89216388270819</c:v>
                </c:pt>
                <c:pt idx="1376">
                  <c:v>440.20871032362186</c:v>
                </c:pt>
                <c:pt idx="1377">
                  <c:v>440.52525485287282</c:v>
                </c:pt>
                <c:pt idx="1378">
                  <c:v>440.84179747328238</c:v>
                </c:pt>
                <c:pt idx="1379">
                  <c:v>441.15833818766475</c:v>
                </c:pt>
                <c:pt idx="1380">
                  <c:v>441.47487699882697</c:v>
                </c:pt>
                <c:pt idx="1381">
                  <c:v>441.79141390956892</c:v>
                </c:pt>
                <c:pt idx="1382">
                  <c:v>442.10794892268331</c:v>
                </c:pt>
                <c:pt idx="1383">
                  <c:v>442.42448204095604</c:v>
                </c:pt>
                <c:pt idx="1384">
                  <c:v>442.74101326716584</c:v>
                </c:pt>
                <c:pt idx="1385">
                  <c:v>443.05754260408418</c:v>
                </c:pt>
                <c:pt idx="1386">
                  <c:v>443.37407005447562</c:v>
                </c:pt>
                <c:pt idx="1387">
                  <c:v>443.69059562109817</c:v>
                </c:pt>
                <c:pt idx="1388">
                  <c:v>444.00711930670235</c:v>
                </c:pt>
                <c:pt idx="1389">
                  <c:v>444.32364111403206</c:v>
                </c:pt>
                <c:pt idx="1390">
                  <c:v>444.64016104582413</c:v>
                </c:pt>
                <c:pt idx="1391">
                  <c:v>444.9566791048087</c:v>
                </c:pt>
                <c:pt idx="1392">
                  <c:v>445.27319529370897</c:v>
                </c:pt>
                <c:pt idx="1393">
                  <c:v>445.58970961524125</c:v>
                </c:pt>
                <c:pt idx="1394">
                  <c:v>445.90622207211521</c:v>
                </c:pt>
                <c:pt idx="1395">
                  <c:v>446.22273266703348</c:v>
                </c:pt>
                <c:pt idx="1396">
                  <c:v>446.53924140269231</c:v>
                </c:pt>
                <c:pt idx="1397">
                  <c:v>446.8557482817809</c:v>
                </c:pt>
                <c:pt idx="1398">
                  <c:v>447.17225330698193</c:v>
                </c:pt>
                <c:pt idx="1399">
                  <c:v>447.4887564809714</c:v>
                </c:pt>
                <c:pt idx="1400">
                  <c:v>447.80525780641852</c:v>
                </c:pt>
                <c:pt idx="1401">
                  <c:v>448.12175728598601</c:v>
                </c:pt>
                <c:pt idx="1402">
                  <c:v>448.43825492232992</c:v>
                </c:pt>
                <c:pt idx="1403">
                  <c:v>448.75475071809967</c:v>
                </c:pt>
                <c:pt idx="1404">
                  <c:v>449.07124467593826</c:v>
                </c:pt>
                <c:pt idx="1405">
                  <c:v>449.38773679848208</c:v>
                </c:pt>
                <c:pt idx="1406">
                  <c:v>449.70422708836094</c:v>
                </c:pt>
                <c:pt idx="1407">
                  <c:v>450.02071554819821</c:v>
                </c:pt>
                <c:pt idx="1408">
                  <c:v>450.33720218061092</c:v>
                </c:pt>
                <c:pt idx="1409">
                  <c:v>450.65368698820959</c:v>
                </c:pt>
                <c:pt idx="1410">
                  <c:v>450.97016997359805</c:v>
                </c:pt>
                <c:pt idx="1411">
                  <c:v>451.28665113937399</c:v>
                </c:pt>
                <c:pt idx="1412">
                  <c:v>451.60313048812884</c:v>
                </c:pt>
                <c:pt idx="1413">
                  <c:v>451.91960802244745</c:v>
                </c:pt>
                <c:pt idx="1414">
                  <c:v>452.23608374490846</c:v>
                </c:pt>
                <c:pt idx="1415">
                  <c:v>452.55255765808408</c:v>
                </c:pt>
                <c:pt idx="1416">
                  <c:v>452.86902976454036</c:v>
                </c:pt>
                <c:pt idx="1417">
                  <c:v>453.18550006683705</c:v>
                </c:pt>
                <c:pt idx="1418">
                  <c:v>453.50196856752763</c:v>
                </c:pt>
                <c:pt idx="1419">
                  <c:v>453.81843526915941</c:v>
                </c:pt>
                <c:pt idx="1420">
                  <c:v>454.1349001742733</c:v>
                </c:pt>
                <c:pt idx="1421">
                  <c:v>454.45136328540445</c:v>
                </c:pt>
                <c:pt idx="1422">
                  <c:v>454.7678246050815</c:v>
                </c:pt>
                <c:pt idx="1423">
                  <c:v>455.08428413582692</c:v>
                </c:pt>
                <c:pt idx="1424">
                  <c:v>455.40074188015751</c:v>
                </c:pt>
                <c:pt idx="1425">
                  <c:v>455.71719784058348</c:v>
                </c:pt>
                <c:pt idx="1426">
                  <c:v>456.03365201960918</c:v>
                </c:pt>
                <c:pt idx="1427">
                  <c:v>456.35010441973293</c:v>
                </c:pt>
                <c:pt idx="1428">
                  <c:v>456.66655504344703</c:v>
                </c:pt>
                <c:pt idx="1429">
                  <c:v>456.98300389323765</c:v>
                </c:pt>
                <c:pt idx="1430">
                  <c:v>457.29945097158509</c:v>
                </c:pt>
                <c:pt idx="1431">
                  <c:v>457.61589628096368</c:v>
                </c:pt>
                <c:pt idx="1432">
                  <c:v>457.93233982384169</c:v>
                </c:pt>
                <c:pt idx="1433">
                  <c:v>458.24878160268173</c:v>
                </c:pt>
                <c:pt idx="1434">
                  <c:v>458.5652216199403</c:v>
                </c:pt>
                <c:pt idx="1435">
                  <c:v>458.88165987806792</c:v>
                </c:pt>
                <c:pt idx="1436">
                  <c:v>459.19809637950931</c:v>
                </c:pt>
                <c:pt idx="1437">
                  <c:v>459.51453112670362</c:v>
                </c:pt>
                <c:pt idx="1438">
                  <c:v>459.83096412208391</c:v>
                </c:pt>
                <c:pt idx="1439">
                  <c:v>460.14739536807741</c:v>
                </c:pt>
                <c:pt idx="1440">
                  <c:v>460.4638248671057</c:v>
                </c:pt>
                <c:pt idx="1441">
                  <c:v>460.78025262158457</c:v>
                </c:pt>
                <c:pt idx="1442">
                  <c:v>461.09667863392406</c:v>
                </c:pt>
                <c:pt idx="1443">
                  <c:v>461.41310290652837</c:v>
                </c:pt>
                <c:pt idx="1444">
                  <c:v>461.72952544179623</c:v>
                </c:pt>
                <c:pt idx="1445">
                  <c:v>462.04594624212035</c:v>
                </c:pt>
                <c:pt idx="1446">
                  <c:v>462.36236530988811</c:v>
                </c:pt>
                <c:pt idx="1447">
                  <c:v>462.67878264748111</c:v>
                </c:pt>
                <c:pt idx="1448">
                  <c:v>462.99519825727526</c:v>
                </c:pt>
                <c:pt idx="1449">
                  <c:v>463.31161214164104</c:v>
                </c:pt>
                <c:pt idx="1450">
                  <c:v>463.62802430294312</c:v>
                </c:pt>
                <c:pt idx="1451">
                  <c:v>463.94443474354063</c:v>
                </c:pt>
                <c:pt idx="1452">
                  <c:v>464.26084346578733</c:v>
                </c:pt>
                <c:pt idx="1453">
                  <c:v>464.57725047203132</c:v>
                </c:pt>
                <c:pt idx="1454">
                  <c:v>464.89365576461512</c:v>
                </c:pt>
                <c:pt idx="1455">
                  <c:v>465.21005934587595</c:v>
                </c:pt>
                <c:pt idx="1456">
                  <c:v>465.52646121814536</c:v>
                </c:pt>
                <c:pt idx="1457">
                  <c:v>465.84286138374944</c:v>
                </c:pt>
                <c:pt idx="1458">
                  <c:v>466.1592598450091</c:v>
                </c:pt>
                <c:pt idx="1459">
                  <c:v>466.47565660423965</c:v>
                </c:pt>
                <c:pt idx="1460">
                  <c:v>466.79205166375078</c:v>
                </c:pt>
                <c:pt idx="1461">
                  <c:v>467.10844502584706</c:v>
                </c:pt>
                <c:pt idx="1462">
                  <c:v>467.42483669282774</c:v>
                </c:pt>
                <c:pt idx="1463">
                  <c:v>467.74122666698656</c:v>
                </c:pt>
                <c:pt idx="1464">
                  <c:v>468.05761495061199</c:v>
                </c:pt>
                <c:pt idx="1465">
                  <c:v>468.37400154598714</c:v>
                </c:pt>
                <c:pt idx="1466">
                  <c:v>468.69038645538996</c:v>
                </c:pt>
                <c:pt idx="1467">
                  <c:v>469.00676968109292</c:v>
                </c:pt>
                <c:pt idx="1468">
                  <c:v>469.3231512253634</c:v>
                </c:pt>
                <c:pt idx="1469">
                  <c:v>469.63953109046344</c:v>
                </c:pt>
                <c:pt idx="1470">
                  <c:v>469.95590927864981</c:v>
                </c:pt>
                <c:pt idx="1471">
                  <c:v>470.27228579217427</c:v>
                </c:pt>
                <c:pt idx="1472">
                  <c:v>470.58866063328315</c:v>
                </c:pt>
                <c:pt idx="1473">
                  <c:v>470.90503380421774</c:v>
                </c:pt>
                <c:pt idx="1474">
                  <c:v>471.2214053072143</c:v>
                </c:pt>
                <c:pt idx="1475">
                  <c:v>471.5377751445036</c:v>
                </c:pt>
                <c:pt idx="1476">
                  <c:v>471.85414331831151</c:v>
                </c:pt>
                <c:pt idx="1477">
                  <c:v>472.1705098308588</c:v>
                </c:pt>
                <c:pt idx="1478">
                  <c:v>472.48687468436111</c:v>
                </c:pt>
                <c:pt idx="1479">
                  <c:v>472.80323788102896</c:v>
                </c:pt>
                <c:pt idx="1480">
                  <c:v>473.119599423068</c:v>
                </c:pt>
                <c:pt idx="1481">
                  <c:v>473.43595931267856</c:v>
                </c:pt>
                <c:pt idx="1482">
                  <c:v>473.75231755205607</c:v>
                </c:pt>
                <c:pt idx="1483">
                  <c:v>474.06867414339115</c:v>
                </c:pt>
                <c:pt idx="1484">
                  <c:v>474.3850290888692</c:v>
                </c:pt>
                <c:pt idx="1485">
                  <c:v>474.70138239067057</c:v>
                </c:pt>
                <c:pt idx="1486">
                  <c:v>475.01773405097083</c:v>
                </c:pt>
                <c:pt idx="1487">
                  <c:v>475.33408407194054</c:v>
                </c:pt>
                <c:pt idx="1488">
                  <c:v>475.65043245574543</c:v>
                </c:pt>
                <c:pt idx="1489">
                  <c:v>475.96677920454619</c:v>
                </c:pt>
                <c:pt idx="1490">
                  <c:v>476.2831243204987</c:v>
                </c:pt>
                <c:pt idx="1491">
                  <c:v>476.59946780575387</c:v>
                </c:pt>
                <c:pt idx="1492">
                  <c:v>476.91580966245778</c:v>
                </c:pt>
                <c:pt idx="1493">
                  <c:v>477.23214989275181</c:v>
                </c:pt>
                <c:pt idx="1494">
                  <c:v>477.54848849877231</c:v>
                </c:pt>
                <c:pt idx="1495">
                  <c:v>477.86482548265082</c:v>
                </c:pt>
                <c:pt idx="1496">
                  <c:v>478.18116084651427</c:v>
                </c:pt>
                <c:pt idx="1497">
                  <c:v>478.49749459248466</c:v>
                </c:pt>
                <c:pt idx="1498">
                  <c:v>478.81382672267915</c:v>
                </c:pt>
                <c:pt idx="1499">
                  <c:v>479.13015723921046</c:v>
                </c:pt>
                <c:pt idx="1500">
                  <c:v>479.44648614418611</c:v>
                </c:pt>
                <c:pt idx="1501">
                  <c:v>479.7628134397093</c:v>
                </c:pt>
                <c:pt idx="1502">
                  <c:v>480.07913912787836</c:v>
                </c:pt>
                <c:pt idx="1503">
                  <c:v>480.39546321078683</c:v>
                </c:pt>
                <c:pt idx="1504">
                  <c:v>480.71178569052381</c:v>
                </c:pt>
                <c:pt idx="1505">
                  <c:v>481.02810656917347</c:v>
                </c:pt>
                <c:pt idx="1506">
                  <c:v>481.34442584881555</c:v>
                </c:pt>
                <c:pt idx="1507">
                  <c:v>481.66074353152499</c:v>
                </c:pt>
                <c:pt idx="1508">
                  <c:v>481.97705961937231</c:v>
                </c:pt>
                <c:pt idx="1509">
                  <c:v>482.29337411442339</c:v>
                </c:pt>
                <c:pt idx="1510">
                  <c:v>482.60968701873918</c:v>
                </c:pt>
                <c:pt idx="1511">
                  <c:v>482.92599833437635</c:v>
                </c:pt>
                <c:pt idx="1512">
                  <c:v>483.24230806338716</c:v>
                </c:pt>
                <c:pt idx="1513">
                  <c:v>483.55861620781906</c:v>
                </c:pt>
                <c:pt idx="1514">
                  <c:v>483.874922769715</c:v>
                </c:pt>
                <c:pt idx="1515">
                  <c:v>484.19122775111356</c:v>
                </c:pt>
                <c:pt idx="1516">
                  <c:v>484.50753115404865</c:v>
                </c:pt>
                <c:pt idx="1517">
                  <c:v>484.82383298054981</c:v>
                </c:pt>
                <c:pt idx="1518">
                  <c:v>485.14013323264203</c:v>
                </c:pt>
                <c:pt idx="1519">
                  <c:v>485.45643191234592</c:v>
                </c:pt>
                <c:pt idx="1520">
                  <c:v>485.77272902167749</c:v>
                </c:pt>
                <c:pt idx="1521">
                  <c:v>486.08902456264855</c:v>
                </c:pt>
                <c:pt idx="1522">
                  <c:v>486.40531853726628</c:v>
                </c:pt>
                <c:pt idx="1523">
                  <c:v>486.72161094753358</c:v>
                </c:pt>
                <c:pt idx="1524">
                  <c:v>487.03790179544899</c:v>
                </c:pt>
                <c:pt idx="1525">
                  <c:v>487.35419108300647</c:v>
                </c:pt>
                <c:pt idx="1526">
                  <c:v>487.67047881219588</c:v>
                </c:pt>
                <c:pt idx="1527">
                  <c:v>487.98676498500254</c:v>
                </c:pt>
                <c:pt idx="1528">
                  <c:v>488.30304960340754</c:v>
                </c:pt>
                <c:pt idx="1529">
                  <c:v>488.61933266938763</c:v>
                </c:pt>
                <c:pt idx="1530">
                  <c:v>488.93561418491515</c:v>
                </c:pt>
                <c:pt idx="1531">
                  <c:v>489.25189415195831</c:v>
                </c:pt>
                <c:pt idx="1532">
                  <c:v>489.56817257248088</c:v>
                </c:pt>
                <c:pt idx="1533">
                  <c:v>489.88444944844252</c:v>
                </c:pt>
                <c:pt idx="1534">
                  <c:v>490.20072478179861</c:v>
                </c:pt>
                <c:pt idx="1535">
                  <c:v>490.51699857450012</c:v>
                </c:pt>
                <c:pt idx="1536">
                  <c:v>490.83327082849382</c:v>
                </c:pt>
                <c:pt idx="1537">
                  <c:v>491.14954154572257</c:v>
                </c:pt>
                <c:pt idx="1538">
                  <c:v>491.46581072812472</c:v>
                </c:pt>
                <c:pt idx="1539">
                  <c:v>491.78207837763449</c:v>
                </c:pt>
                <c:pt idx="1540">
                  <c:v>492.09834449618199</c:v>
                </c:pt>
                <c:pt idx="1541">
                  <c:v>492.4146090856932</c:v>
                </c:pt>
                <c:pt idx="1542">
                  <c:v>492.7308721480897</c:v>
                </c:pt>
                <c:pt idx="1543">
                  <c:v>493.04713368528934</c:v>
                </c:pt>
                <c:pt idx="1544">
                  <c:v>493.36339369920546</c:v>
                </c:pt>
                <c:pt idx="1545">
                  <c:v>493.67965219174744</c:v>
                </c:pt>
                <c:pt idx="1546">
                  <c:v>493.99590916482072</c:v>
                </c:pt>
                <c:pt idx="1547">
                  <c:v>494.31216462032637</c:v>
                </c:pt>
                <c:pt idx="1548">
                  <c:v>494.62841856016149</c:v>
                </c:pt>
                <c:pt idx="1549">
                  <c:v>494.94467098621936</c:v>
                </c:pt>
                <c:pt idx="1550">
                  <c:v>495.26092190038878</c:v>
                </c:pt>
                <c:pt idx="1551">
                  <c:v>495.57717130455484</c:v>
                </c:pt>
                <c:pt idx="1552">
                  <c:v>495.89341920059849</c:v>
                </c:pt>
                <c:pt idx="1553">
                  <c:v>496.20966559039664</c:v>
                </c:pt>
                <c:pt idx="1554">
                  <c:v>496.52591047582229</c:v>
                </c:pt>
                <c:pt idx="1555">
                  <c:v>496.84215385874433</c:v>
                </c:pt>
                <c:pt idx="1556">
                  <c:v>497.15839574102779</c:v>
                </c:pt>
                <c:pt idx="1557">
                  <c:v>497.47463612453356</c:v>
                </c:pt>
                <c:pt idx="1558">
                  <c:v>497.79087501111894</c:v>
                </c:pt>
                <c:pt idx="1559">
                  <c:v>498.10711240263709</c:v>
                </c:pt>
                <c:pt idx="1560">
                  <c:v>498.42334830093694</c:v>
                </c:pt>
                <c:pt idx="1561">
                  <c:v>498.73958270786386</c:v>
                </c:pt>
                <c:pt idx="1562">
                  <c:v>499.0558156252593</c:v>
                </c:pt>
                <c:pt idx="1563">
                  <c:v>499.37204705496077</c:v>
                </c:pt>
                <c:pt idx="1564">
                  <c:v>499.68827699880183</c:v>
                </c:pt>
                <c:pt idx="1565">
                  <c:v>500.00450545861224</c:v>
                </c:pt>
                <c:pt idx="1566">
                  <c:v>500.3207324362179</c:v>
                </c:pt>
                <c:pt idx="1567">
                  <c:v>500.63695793344078</c:v>
                </c:pt>
                <c:pt idx="1568">
                  <c:v>500.95318195209921</c:v>
                </c:pt>
                <c:pt idx="1569">
                  <c:v>501.26940449400757</c:v>
                </c:pt>
                <c:pt idx="1570">
                  <c:v>501.58562556097627</c:v>
                </c:pt>
                <c:pt idx="1571">
                  <c:v>501.90184515481224</c:v>
                </c:pt>
                <c:pt idx="1572">
                  <c:v>502.21806327731844</c:v>
                </c:pt>
                <c:pt idx="1573">
                  <c:v>502.53427993029402</c:v>
                </c:pt>
                <c:pt idx="1574">
                  <c:v>502.85049511553461</c:v>
                </c:pt>
                <c:pt idx="1575">
                  <c:v>503.16670883483175</c:v>
                </c:pt>
                <c:pt idx="1576">
                  <c:v>503.48292108997339</c:v>
                </c:pt>
                <c:pt idx="1577">
                  <c:v>503.79913188274384</c:v>
                </c:pt>
                <c:pt idx="1578">
                  <c:v>504.11534121492349</c:v>
                </c:pt>
                <c:pt idx="1579">
                  <c:v>504.43154908828922</c:v>
                </c:pt>
                <c:pt idx="1580">
                  <c:v>504.74775550461413</c:v>
                </c:pt>
                <c:pt idx="1581">
                  <c:v>505.06396046566761</c:v>
                </c:pt>
                <c:pt idx="1582">
                  <c:v>505.38016397321536</c:v>
                </c:pt>
                <c:pt idx="1583">
                  <c:v>505.69636602901949</c:v>
                </c:pt>
                <c:pt idx="1584">
                  <c:v>506.01256663483855</c:v>
                </c:pt>
                <c:pt idx="1585">
                  <c:v>506.32876579242702</c:v>
                </c:pt>
                <c:pt idx="1586">
                  <c:v>506.64496350353619</c:v>
                </c:pt>
                <c:pt idx="1587">
                  <c:v>506.96115976991359</c:v>
                </c:pt>
                <c:pt idx="1588">
                  <c:v>507.27735459330313</c:v>
                </c:pt>
                <c:pt idx="1589">
                  <c:v>507.59354797544512</c:v>
                </c:pt>
                <c:pt idx="1590">
                  <c:v>507.90973991807624</c:v>
                </c:pt>
                <c:pt idx="1591">
                  <c:v>508.22593042292965</c:v>
                </c:pt>
                <c:pt idx="1592">
                  <c:v>508.54211949173492</c:v>
                </c:pt>
                <c:pt idx="1593">
                  <c:v>508.85830712621811</c:v>
                </c:pt>
                <c:pt idx="1594">
                  <c:v>509.17449332810168</c:v>
                </c:pt>
                <c:pt idx="1595">
                  <c:v>509.49067809910434</c:v>
                </c:pt>
                <c:pt idx="1596">
                  <c:v>509.80686144094182</c:v>
                </c:pt>
                <c:pt idx="1597">
                  <c:v>510.12304335532582</c:v>
                </c:pt>
                <c:pt idx="1598">
                  <c:v>510.43922384396467</c:v>
                </c:pt>
                <c:pt idx="1599">
                  <c:v>510.7554029085635</c:v>
                </c:pt>
                <c:pt idx="1600">
                  <c:v>511.0715805508234</c:v>
                </c:pt>
                <c:pt idx="1601">
                  <c:v>511.38775677244246</c:v>
                </c:pt>
                <c:pt idx="1602">
                  <c:v>511.70393157511512</c:v>
                </c:pt>
                <c:pt idx="1603">
                  <c:v>512.02010496053242</c:v>
                </c:pt>
                <c:pt idx="1604">
                  <c:v>512.33627693038193</c:v>
                </c:pt>
                <c:pt idx="1605">
                  <c:v>512.65244748634757</c:v>
                </c:pt>
                <c:pt idx="1606">
                  <c:v>512.96861663011043</c:v>
                </c:pt>
                <c:pt idx="1607">
                  <c:v>513.28478436334717</c:v>
                </c:pt>
                <c:pt idx="1608">
                  <c:v>513.60095068773239</c:v>
                </c:pt>
                <c:pt idx="1609">
                  <c:v>513.91711560493604</c:v>
                </c:pt>
                <c:pt idx="1610">
                  <c:v>514.23327911662557</c:v>
                </c:pt>
                <c:pt idx="1611">
                  <c:v>514.54944122446432</c:v>
                </c:pt>
                <c:pt idx="1612">
                  <c:v>514.86560193011303</c:v>
                </c:pt>
                <c:pt idx="1613">
                  <c:v>515.18176123522846</c:v>
                </c:pt>
                <c:pt idx="1614">
                  <c:v>515.49791914146442</c:v>
                </c:pt>
                <c:pt idx="1615">
                  <c:v>515.81407565047118</c:v>
                </c:pt>
                <c:pt idx="1616">
                  <c:v>516.1302307638955</c:v>
                </c:pt>
                <c:pt idx="1617">
                  <c:v>516.44638448338139</c:v>
                </c:pt>
                <c:pt idx="1618">
                  <c:v>516.76253681056903</c:v>
                </c:pt>
                <c:pt idx="1619">
                  <c:v>517.07868774709561</c:v>
                </c:pt>
                <c:pt idx="1620">
                  <c:v>517.39483729459471</c:v>
                </c:pt>
                <c:pt idx="1621">
                  <c:v>517.71098545469704</c:v>
                </c:pt>
                <c:pt idx="1622">
                  <c:v>518.0271322290298</c:v>
                </c:pt>
                <c:pt idx="1623">
                  <c:v>518.34327761921668</c:v>
                </c:pt>
                <c:pt idx="1624">
                  <c:v>518.65942162687884</c:v>
                </c:pt>
                <c:pt idx="1625">
                  <c:v>518.97556425363337</c:v>
                </c:pt>
                <c:pt idx="1626">
                  <c:v>519.29170550109461</c:v>
                </c:pt>
                <c:pt idx="1627">
                  <c:v>519.60784537087375</c:v>
                </c:pt>
                <c:pt idx="1628">
                  <c:v>519.92398386457853</c:v>
                </c:pt>
                <c:pt idx="1629">
                  <c:v>520.24012098381343</c:v>
                </c:pt>
                <c:pt idx="1630">
                  <c:v>520.55625673017983</c:v>
                </c:pt>
                <c:pt idx="1631">
                  <c:v>520.87239110527617</c:v>
                </c:pt>
                <c:pt idx="1632">
                  <c:v>521.18852411069724</c:v>
                </c:pt>
                <c:pt idx="1633">
                  <c:v>521.50465574803513</c:v>
                </c:pt>
                <c:pt idx="1634">
                  <c:v>521.82078601887838</c:v>
                </c:pt>
                <c:pt idx="1635">
                  <c:v>522.1369149248128</c:v>
                </c:pt>
                <c:pt idx="1636">
                  <c:v>522.45304246742012</c:v>
                </c:pt>
                <c:pt idx="1637">
                  <c:v>522.76916864828058</c:v>
                </c:pt>
                <c:pt idx="1638">
                  <c:v>523.08529346896978</c:v>
                </c:pt>
                <c:pt idx="1639">
                  <c:v>523.40141693106079</c:v>
                </c:pt>
                <c:pt idx="1640">
                  <c:v>523.71753903612375</c:v>
                </c:pt>
                <c:pt idx="1641">
                  <c:v>524.03365978572526</c:v>
                </c:pt>
                <c:pt idx="1642">
                  <c:v>524.3497791814292</c:v>
                </c:pt>
                <c:pt idx="1643">
                  <c:v>524.66589722479603</c:v>
                </c:pt>
                <c:pt idx="1644">
                  <c:v>524.98201391738405</c:v>
                </c:pt>
                <c:pt idx="1645">
                  <c:v>525.29812926074669</c:v>
                </c:pt>
                <c:pt idx="1646">
                  <c:v>525.61424325643645</c:v>
                </c:pt>
                <c:pt idx="1647">
                  <c:v>525.9303559060013</c:v>
                </c:pt>
                <c:pt idx="1648">
                  <c:v>526.24646721098634</c:v>
                </c:pt>
                <c:pt idx="1649">
                  <c:v>526.56257717293477</c:v>
                </c:pt>
                <c:pt idx="1650">
                  <c:v>526.8786857933851</c:v>
                </c:pt>
                <c:pt idx="1651">
                  <c:v>527.19479307387417</c:v>
                </c:pt>
                <c:pt idx="1652">
                  <c:v>527.51089901593502</c:v>
                </c:pt>
                <c:pt idx="1653">
                  <c:v>527.82700362109836</c:v>
                </c:pt>
                <c:pt idx="1654">
                  <c:v>528.1431068908912</c:v>
                </c:pt>
                <c:pt idx="1655">
                  <c:v>528.45920882683799</c:v>
                </c:pt>
                <c:pt idx="1656">
                  <c:v>528.77530943046031</c:v>
                </c:pt>
                <c:pt idx="1657">
                  <c:v>529.0914087032761</c:v>
                </c:pt>
                <c:pt idx="1658">
                  <c:v>529.40750664680161</c:v>
                </c:pt>
                <c:pt idx="1659">
                  <c:v>529.72360326254886</c:v>
                </c:pt>
                <c:pt idx="1660">
                  <c:v>530.03969855202763</c:v>
                </c:pt>
                <c:pt idx="1661">
                  <c:v>530.35579251674426</c:v>
                </c:pt>
                <c:pt idx="1662">
                  <c:v>530.67188515820317</c:v>
                </c:pt>
                <c:pt idx="1663">
                  <c:v>530.98797647790468</c:v>
                </c:pt>
                <c:pt idx="1664">
                  <c:v>531.30406647734685</c:v>
                </c:pt>
                <c:pt idx="1665">
                  <c:v>531.62015515802489</c:v>
                </c:pt>
                <c:pt idx="1666">
                  <c:v>531.93624252143059</c:v>
                </c:pt>
                <c:pt idx="1667">
                  <c:v>532.25232856905359</c:v>
                </c:pt>
                <c:pt idx="1668">
                  <c:v>532.56841330238001</c:v>
                </c:pt>
                <c:pt idx="1669">
                  <c:v>532.8844967228938</c:v>
                </c:pt>
                <c:pt idx="1670">
                  <c:v>533.20057883207494</c:v>
                </c:pt>
                <c:pt idx="1671">
                  <c:v>533.51665963140204</c:v>
                </c:pt>
                <c:pt idx="1672">
                  <c:v>533.83273912234961</c:v>
                </c:pt>
                <c:pt idx="1673">
                  <c:v>534.14881730638967</c:v>
                </c:pt>
                <c:pt idx="1674">
                  <c:v>534.4648941849922</c:v>
                </c:pt>
                <c:pt idx="1675">
                  <c:v>534.78096975962296</c:v>
                </c:pt>
                <c:pt idx="1676">
                  <c:v>535.09704403174612</c:v>
                </c:pt>
                <c:pt idx="1677">
                  <c:v>535.41311700282233</c:v>
                </c:pt>
                <c:pt idx="1678">
                  <c:v>535.72918867431008</c:v>
                </c:pt>
                <c:pt idx="1679">
                  <c:v>536.04525904766422</c:v>
                </c:pt>
                <c:pt idx="1680">
                  <c:v>536.36132812433755</c:v>
                </c:pt>
                <c:pt idx="1681">
                  <c:v>536.6773959057798</c:v>
                </c:pt>
                <c:pt idx="1682">
                  <c:v>536.99346239343765</c:v>
                </c:pt>
                <c:pt idx="1683">
                  <c:v>537.30952758875594</c:v>
                </c:pt>
                <c:pt idx="1684">
                  <c:v>537.62559149317565</c:v>
                </c:pt>
                <c:pt idx="1685">
                  <c:v>537.94165410813594</c:v>
                </c:pt>
                <c:pt idx="1686">
                  <c:v>538.25771543507221</c:v>
                </c:pt>
                <c:pt idx="1687">
                  <c:v>538.57377547541853</c:v>
                </c:pt>
                <c:pt idx="1688">
                  <c:v>538.88983423060483</c:v>
                </c:pt>
                <c:pt idx="1689">
                  <c:v>539.20589170205938</c:v>
                </c:pt>
                <c:pt idx="1690">
                  <c:v>539.52194789120722</c:v>
                </c:pt>
                <c:pt idx="1691">
                  <c:v>539.83800279947047</c:v>
                </c:pt>
                <c:pt idx="1692">
                  <c:v>540.15405642826931</c:v>
                </c:pt>
                <c:pt idx="1693">
                  <c:v>540.47010877902051</c:v>
                </c:pt>
                <c:pt idx="1694">
                  <c:v>540.78615985313911</c:v>
                </c:pt>
                <c:pt idx="1695">
                  <c:v>541.10220965203575</c:v>
                </c:pt>
                <c:pt idx="1696">
                  <c:v>541.41825817712061</c:v>
                </c:pt>
                <c:pt idx="1697">
                  <c:v>541.73430542979952</c:v>
                </c:pt>
                <c:pt idx="1698">
                  <c:v>542.05035141147607</c:v>
                </c:pt>
                <c:pt idx="1699">
                  <c:v>542.36639612355214</c:v>
                </c:pt>
                <c:pt idx="1700">
                  <c:v>542.68243956742538</c:v>
                </c:pt>
                <c:pt idx="1701">
                  <c:v>542.99848174449221</c:v>
                </c:pt>
                <c:pt idx="1702">
                  <c:v>543.31452265614553</c:v>
                </c:pt>
                <c:pt idx="1703">
                  <c:v>543.6305623037764</c:v>
                </c:pt>
                <c:pt idx="1704">
                  <c:v>543.94660068877261</c:v>
                </c:pt>
                <c:pt idx="1705">
                  <c:v>544.26263781251964</c:v>
                </c:pt>
                <c:pt idx="1706">
                  <c:v>544.57867367640006</c:v>
                </c:pt>
                <c:pt idx="1707">
                  <c:v>544.89470828179435</c:v>
                </c:pt>
                <c:pt idx="1708">
                  <c:v>545.21074163008052</c:v>
                </c:pt>
                <c:pt idx="1709">
                  <c:v>545.52677372263315</c:v>
                </c:pt>
                <c:pt idx="1710">
                  <c:v>545.84280456082524</c:v>
                </c:pt>
                <c:pt idx="1711">
                  <c:v>546.15883414602638</c:v>
                </c:pt>
                <c:pt idx="1712">
                  <c:v>546.4748624796041</c:v>
                </c:pt>
                <c:pt idx="1713">
                  <c:v>546.79088956292367</c:v>
                </c:pt>
                <c:pt idx="1714">
                  <c:v>547.10691539734705</c:v>
                </c:pt>
                <c:pt idx="1715">
                  <c:v>547.4229399842344</c:v>
                </c:pt>
                <c:pt idx="1716">
                  <c:v>547.73896332494246</c:v>
                </c:pt>
                <c:pt idx="1717">
                  <c:v>548.05498542082682</c:v>
                </c:pt>
                <c:pt idx="1718">
                  <c:v>548.37100627323889</c:v>
                </c:pt>
                <c:pt idx="1719">
                  <c:v>548.68702588352926</c:v>
                </c:pt>
                <c:pt idx="1720">
                  <c:v>549.00304425304466</c:v>
                </c:pt>
                <c:pt idx="1721">
                  <c:v>549.31906138313036</c:v>
                </c:pt>
                <c:pt idx="1722">
                  <c:v>549.63507727512842</c:v>
                </c:pt>
                <c:pt idx="1723">
                  <c:v>549.95109193037842</c:v>
                </c:pt>
                <c:pt idx="1724">
                  <c:v>550.26710535021823</c:v>
                </c:pt>
                <c:pt idx="1725">
                  <c:v>550.58311753598207</c:v>
                </c:pt>
                <c:pt idx="1726">
                  <c:v>550.89912848900326</c:v>
                </c:pt>
                <c:pt idx="1727">
                  <c:v>551.21513821061103</c:v>
                </c:pt>
                <c:pt idx="1728">
                  <c:v>551.53114670213347</c:v>
                </c:pt>
                <c:pt idx="1729">
                  <c:v>551.84715396489537</c:v>
                </c:pt>
                <c:pt idx="1730">
                  <c:v>552.1631600002197</c:v>
                </c:pt>
                <c:pt idx="1731">
                  <c:v>552.47916480942615</c:v>
                </c:pt>
                <c:pt idx="1732">
                  <c:v>552.79516839383302</c:v>
                </c:pt>
                <c:pt idx="1733">
                  <c:v>553.1111707547559</c:v>
                </c:pt>
                <c:pt idx="1734">
                  <c:v>553.42717189350742</c:v>
                </c:pt>
                <c:pt idx="1735">
                  <c:v>553.74317181139838</c:v>
                </c:pt>
                <c:pt idx="1736">
                  <c:v>554.05917050973676</c:v>
                </c:pt>
                <c:pt idx="1737">
                  <c:v>554.37516798982858</c:v>
                </c:pt>
                <c:pt idx="1738">
                  <c:v>554.6911642529775</c:v>
                </c:pt>
                <c:pt idx="1739">
                  <c:v>555.00715930048432</c:v>
                </c:pt>
                <c:pt idx="1740">
                  <c:v>555.32315313364791</c:v>
                </c:pt>
                <c:pt idx="1741">
                  <c:v>555.63914575376441</c:v>
                </c:pt>
                <c:pt idx="1742">
                  <c:v>555.95513716212804</c:v>
                </c:pt>
                <c:pt idx="1743">
                  <c:v>556.27112736003016</c:v>
                </c:pt>
                <c:pt idx="1744">
                  <c:v>556.58711634876045</c:v>
                </c:pt>
                <c:pt idx="1745">
                  <c:v>556.90310412960548</c:v>
                </c:pt>
                <c:pt idx="1746">
                  <c:v>557.21909070385038</c:v>
                </c:pt>
                <c:pt idx="1747">
                  <c:v>557.53507607277709</c:v>
                </c:pt>
                <c:pt idx="1748">
                  <c:v>557.85106023766537</c:v>
                </c:pt>
                <c:pt idx="1749">
                  <c:v>558.1670431997934</c:v>
                </c:pt>
                <c:pt idx="1750">
                  <c:v>558.48302496043596</c:v>
                </c:pt>
                <c:pt idx="1751">
                  <c:v>558.79900552086679</c:v>
                </c:pt>
                <c:pt idx="1752">
                  <c:v>559.11498488235611</c:v>
                </c:pt>
                <c:pt idx="1753">
                  <c:v>559.43096304617256</c:v>
                </c:pt>
                <c:pt idx="1754">
                  <c:v>559.74694001358239</c:v>
                </c:pt>
                <c:pt idx="1755">
                  <c:v>560.06291578584944</c:v>
                </c:pt>
                <c:pt idx="1756">
                  <c:v>560.37889036423542</c:v>
                </c:pt>
                <c:pt idx="1757">
                  <c:v>560.69486374999951</c:v>
                </c:pt>
                <c:pt idx="1758">
                  <c:v>561.01083594439899</c:v>
                </c:pt>
                <c:pt idx="1759">
                  <c:v>561.32680694868861</c:v>
                </c:pt>
                <c:pt idx="1760">
                  <c:v>561.64277676412098</c:v>
                </c:pt>
                <c:pt idx="1761">
                  <c:v>561.95874539194654</c:v>
                </c:pt>
                <c:pt idx="1762">
                  <c:v>562.27471283341333</c:v>
                </c:pt>
                <c:pt idx="1763">
                  <c:v>562.59067908976726</c:v>
                </c:pt>
                <c:pt idx="1764">
                  <c:v>562.90664416225195</c:v>
                </c:pt>
                <c:pt idx="1765">
                  <c:v>563.22260805210885</c:v>
                </c:pt>
                <c:pt idx="1766">
                  <c:v>563.53857076057716</c:v>
                </c:pt>
                <c:pt idx="1767">
                  <c:v>563.85453228889401</c:v>
                </c:pt>
                <c:pt idx="1768">
                  <c:v>564.17049263829381</c:v>
                </c:pt>
                <c:pt idx="1769">
                  <c:v>564.48645181000984</c:v>
                </c:pt>
                <c:pt idx="1770">
                  <c:v>564.80240980527185</c:v>
                </c:pt>
                <c:pt idx="1771">
                  <c:v>565.11836662530868</c:v>
                </c:pt>
                <c:pt idx="1772">
                  <c:v>565.43432227134599</c:v>
                </c:pt>
                <c:pt idx="1773">
                  <c:v>565.75027674460739</c:v>
                </c:pt>
                <c:pt idx="1774">
                  <c:v>566.06623004631524</c:v>
                </c:pt>
                <c:pt idx="1775">
                  <c:v>566.38218217768838</c:v>
                </c:pt>
                <c:pt idx="1776">
                  <c:v>566.69813313994484</c:v>
                </c:pt>
                <c:pt idx="1777">
                  <c:v>567.01408293429938</c:v>
                </c:pt>
                <c:pt idx="1778">
                  <c:v>567.33003156196526</c:v>
                </c:pt>
                <c:pt idx="1779">
                  <c:v>567.64597902415335</c:v>
                </c:pt>
                <c:pt idx="1780">
                  <c:v>567.96192532207249</c:v>
                </c:pt>
                <c:pt idx="1781">
                  <c:v>568.27787045692924</c:v>
                </c:pt>
                <c:pt idx="1782">
                  <c:v>568.5938144299281</c:v>
                </c:pt>
                <c:pt idx="1783">
                  <c:v>568.90975724227167</c:v>
                </c:pt>
                <c:pt idx="1784">
                  <c:v>569.22569889516001</c:v>
                </c:pt>
                <c:pt idx="1785">
                  <c:v>569.54163938979138</c:v>
                </c:pt>
                <c:pt idx="1786">
                  <c:v>569.85757872736201</c:v>
                </c:pt>
                <c:pt idx="1787">
                  <c:v>570.1735169090656</c:v>
                </c:pt>
                <c:pt idx="1788">
                  <c:v>570.48945393609415</c:v>
                </c:pt>
                <c:pt idx="1789">
                  <c:v>570.80538980963752</c:v>
                </c:pt>
                <c:pt idx="1790">
                  <c:v>571.12132453088316</c:v>
                </c:pt>
                <c:pt idx="1791">
                  <c:v>571.43725810101694</c:v>
                </c:pt>
                <c:pt idx="1792">
                  <c:v>571.75319052122245</c:v>
                </c:pt>
                <c:pt idx="1793">
                  <c:v>572.06912179268068</c:v>
                </c:pt>
                <c:pt idx="1794">
                  <c:v>572.38505191657168</c:v>
                </c:pt>
                <c:pt idx="1795">
                  <c:v>572.70098089407225</c:v>
                </c:pt>
                <c:pt idx="1796">
                  <c:v>573.01690872635811</c:v>
                </c:pt>
                <c:pt idx="1797">
                  <c:v>573.33283541460241</c:v>
                </c:pt>
                <c:pt idx="1798">
                  <c:v>573.64876095997602</c:v>
                </c:pt>
                <c:pt idx="1799">
                  <c:v>573.96468536364853</c:v>
                </c:pt>
                <c:pt idx="1800">
                  <c:v>574.28060862678649</c:v>
                </c:pt>
                <c:pt idx="1801">
                  <c:v>574.59653075055587</c:v>
                </c:pt>
                <c:pt idx="1802">
                  <c:v>574.91245173611901</c:v>
                </c:pt>
                <c:pt idx="1803">
                  <c:v>575.22837158463722</c:v>
                </c:pt>
                <c:pt idx="1804">
                  <c:v>575.54429029726964</c:v>
                </c:pt>
                <c:pt idx="1805">
                  <c:v>575.86020787517316</c:v>
                </c:pt>
                <c:pt idx="1806">
                  <c:v>576.17612431950283</c:v>
                </c:pt>
                <c:pt idx="1807">
                  <c:v>576.49203963141167</c:v>
                </c:pt>
                <c:pt idx="1808">
                  <c:v>576.80795381205076</c:v>
                </c:pt>
                <c:pt idx="1809">
                  <c:v>577.12386686256912</c:v>
                </c:pt>
                <c:pt idx="1810">
                  <c:v>577.43977878411386</c:v>
                </c:pt>
                <c:pt idx="1811">
                  <c:v>577.75568957783003</c:v>
                </c:pt>
                <c:pt idx="1812">
                  <c:v>578.07159924486064</c:v>
                </c:pt>
                <c:pt idx="1813">
                  <c:v>578.38750778634699</c:v>
                </c:pt>
                <c:pt idx="1814">
                  <c:v>578.70341520342822</c:v>
                </c:pt>
                <c:pt idx="1815">
                  <c:v>579.01932149724144</c:v>
                </c:pt>
                <c:pt idx="1816">
                  <c:v>579.33522666892202</c:v>
                </c:pt>
                <c:pt idx="1817">
                  <c:v>579.65113071960343</c:v>
                </c:pt>
                <c:pt idx="1818">
                  <c:v>579.96703365041628</c:v>
                </c:pt>
                <c:pt idx="1819">
                  <c:v>580.28293546249108</c:v>
                </c:pt>
                <c:pt idx="1820">
                  <c:v>580.59883615695446</c:v>
                </c:pt>
                <c:pt idx="1821">
                  <c:v>580.91473573493249</c:v>
                </c:pt>
                <c:pt idx="1822">
                  <c:v>581.23063419754862</c:v>
                </c:pt>
                <c:pt idx="1823">
                  <c:v>581.54653154592427</c:v>
                </c:pt>
                <c:pt idx="1824">
                  <c:v>581.8624277811798</c:v>
                </c:pt>
                <c:pt idx="1825">
                  <c:v>582.17832290443243</c:v>
                </c:pt>
                <c:pt idx="1826">
                  <c:v>582.49421691679879</c:v>
                </c:pt>
                <c:pt idx="1827">
                  <c:v>582.81010981939244</c:v>
                </c:pt>
                <c:pt idx="1828">
                  <c:v>583.1260016133258</c:v>
                </c:pt>
                <c:pt idx="1829">
                  <c:v>583.44189229970914</c:v>
                </c:pt>
                <c:pt idx="1830">
                  <c:v>583.75778187965068</c:v>
                </c:pt>
                <c:pt idx="1831">
                  <c:v>584.07367035425705</c:v>
                </c:pt>
                <c:pt idx="1832">
                  <c:v>584.38955772463282</c:v>
                </c:pt>
                <c:pt idx="1833">
                  <c:v>584.70544399188077</c:v>
                </c:pt>
                <c:pt idx="1834">
                  <c:v>585.02132915710172</c:v>
                </c:pt>
                <c:pt idx="1835">
                  <c:v>585.33721322139468</c:v>
                </c:pt>
                <c:pt idx="1836">
                  <c:v>585.65309618585673</c:v>
                </c:pt>
                <c:pt idx="1837">
                  <c:v>585.96897805158335</c:v>
                </c:pt>
                <c:pt idx="1838">
                  <c:v>586.28485881966776</c:v>
                </c:pt>
                <c:pt idx="1839">
                  <c:v>586.6007384912017</c:v>
                </c:pt>
                <c:pt idx="1840">
                  <c:v>586.91661706727484</c:v>
                </c:pt>
                <c:pt idx="1841">
                  <c:v>587.23249454897496</c:v>
                </c:pt>
                <c:pt idx="1842">
                  <c:v>587.54837093738843</c:v>
                </c:pt>
                <c:pt idx="1843">
                  <c:v>587.86424623359892</c:v>
                </c:pt>
                <c:pt idx="1844">
                  <c:v>588.18012043868941</c:v>
                </c:pt>
                <c:pt idx="1845">
                  <c:v>588.49599355374016</c:v>
                </c:pt>
                <c:pt idx="1846">
                  <c:v>588.81186557983028</c:v>
                </c:pt>
                <c:pt idx="1847">
                  <c:v>589.12773651803639</c:v>
                </c:pt>
                <c:pt idx="1848">
                  <c:v>589.4436063694335</c:v>
                </c:pt>
                <c:pt idx="1849">
                  <c:v>589.75947513509539</c:v>
                </c:pt>
                <c:pt idx="1850">
                  <c:v>590.07534281609298</c:v>
                </c:pt>
                <c:pt idx="1851">
                  <c:v>590.39120941349677</c:v>
                </c:pt>
                <c:pt idx="1852">
                  <c:v>590.70707492837414</c:v>
                </c:pt>
                <c:pt idx="1853">
                  <c:v>591.02293936179149</c:v>
                </c:pt>
                <c:pt idx="1854">
                  <c:v>591.33880271481314</c:v>
                </c:pt>
                <c:pt idx="1855">
                  <c:v>591.65466498850162</c:v>
                </c:pt>
                <c:pt idx="1856">
                  <c:v>591.97052618391774</c:v>
                </c:pt>
                <c:pt idx="1857">
                  <c:v>592.28638630212072</c:v>
                </c:pt>
                <c:pt idx="1858">
                  <c:v>592.60224534416773</c:v>
                </c:pt>
                <c:pt idx="1859">
                  <c:v>592.91810331111424</c:v>
                </c:pt>
                <c:pt idx="1860">
                  <c:v>593.23396020401412</c:v>
                </c:pt>
                <c:pt idx="1861">
                  <c:v>593.54981602391933</c:v>
                </c:pt>
                <c:pt idx="1862">
                  <c:v>593.86567077187999</c:v>
                </c:pt>
                <c:pt idx="1863">
                  <c:v>594.18152444894486</c:v>
                </c:pt>
                <c:pt idx="1864">
                  <c:v>594.49737705616053</c:v>
                </c:pt>
                <c:pt idx="1865">
                  <c:v>594.81322859457214</c:v>
                </c:pt>
                <c:pt idx="1866">
                  <c:v>595.12907906522298</c:v>
                </c:pt>
                <c:pt idx="1867">
                  <c:v>595.44492846915466</c:v>
                </c:pt>
                <c:pt idx="1868">
                  <c:v>595.76077680740661</c:v>
                </c:pt>
                <c:pt idx="1869">
                  <c:v>596.0766240810176</c:v>
                </c:pt>
                <c:pt idx="1870">
                  <c:v>596.39247029102353</c:v>
                </c:pt>
                <c:pt idx="1871">
                  <c:v>596.70831543845952</c:v>
                </c:pt>
                <c:pt idx="1872">
                  <c:v>597.02415952435831</c:v>
                </c:pt>
                <c:pt idx="1873">
                  <c:v>597.34000254975092</c:v>
                </c:pt>
                <c:pt idx="1874">
                  <c:v>597.65584451566747</c:v>
                </c:pt>
                <c:pt idx="1875">
                  <c:v>597.97168542313523</c:v>
                </c:pt>
                <c:pt idx="1876">
                  <c:v>598.28752527318102</c:v>
                </c:pt>
                <c:pt idx="1877">
                  <c:v>598.60336406682904</c:v>
                </c:pt>
                <c:pt idx="1878">
                  <c:v>598.91920180510203</c:v>
                </c:pt>
                <c:pt idx="1879">
                  <c:v>599.23503848902124</c:v>
                </c:pt>
                <c:pt idx="1880">
                  <c:v>599.55087411960608</c:v>
                </c:pt>
                <c:pt idx="1881">
                  <c:v>599.8667086978744</c:v>
                </c:pt>
                <c:pt idx="1882">
                  <c:v>600.18254222484222</c:v>
                </c:pt>
                <c:pt idx="1883">
                  <c:v>600.49837470152397</c:v>
                </c:pt>
                <c:pt idx="1884">
                  <c:v>600.81420612893248</c:v>
                </c:pt>
                <c:pt idx="1885">
                  <c:v>601.130036508079</c:v>
                </c:pt>
                <c:pt idx="1886">
                  <c:v>601.44586583997273</c:v>
                </c:pt>
                <c:pt idx="1887">
                  <c:v>601.76169412562172</c:v>
                </c:pt>
                <c:pt idx="1888">
                  <c:v>602.0775213660321</c:v>
                </c:pt>
                <c:pt idx="1889">
                  <c:v>602.39334756220842</c:v>
                </c:pt>
                <c:pt idx="1890">
                  <c:v>602.7091727151535</c:v>
                </c:pt>
                <c:pt idx="1891">
                  <c:v>603.02499682586858</c:v>
                </c:pt>
                <c:pt idx="1892">
                  <c:v>603.34081989535355</c:v>
                </c:pt>
                <c:pt idx="1893">
                  <c:v>603.65664192460588</c:v>
                </c:pt>
                <c:pt idx="1894">
                  <c:v>603.9724629146225</c:v>
                </c:pt>
                <c:pt idx="1895">
                  <c:v>604.28828286639782</c:v>
                </c:pt>
                <c:pt idx="1896">
                  <c:v>604.60410178092536</c:v>
                </c:pt>
                <c:pt idx="1897">
                  <c:v>604.91991965919647</c:v>
                </c:pt>
                <c:pt idx="1898">
                  <c:v>605.23573650220067</c:v>
                </c:pt>
                <c:pt idx="1899">
                  <c:v>605.55155231092681</c:v>
                </c:pt>
                <c:pt idx="1900">
                  <c:v>605.86736708636124</c:v>
                </c:pt>
                <c:pt idx="1901">
                  <c:v>606.18318082948952</c:v>
                </c:pt>
                <c:pt idx="1902">
                  <c:v>606.49899354129479</c:v>
                </c:pt>
                <c:pt idx="1903">
                  <c:v>606.81480522275911</c:v>
                </c:pt>
                <c:pt idx="1904">
                  <c:v>607.13061587486277</c:v>
                </c:pt>
                <c:pt idx="1905">
                  <c:v>607.44642549858474</c:v>
                </c:pt>
                <c:pt idx="1906">
                  <c:v>607.76223409490194</c:v>
                </c:pt>
                <c:pt idx="1907">
                  <c:v>608.07804166479025</c:v>
                </c:pt>
                <c:pt idx="1908">
                  <c:v>608.39384820922351</c:v>
                </c:pt>
                <c:pt idx="1909">
                  <c:v>608.70965372917419</c:v>
                </c:pt>
                <c:pt idx="1910">
                  <c:v>609.02545822561331</c:v>
                </c:pt>
                <c:pt idx="1911">
                  <c:v>609.34126169951014</c:v>
                </c:pt>
                <c:pt idx="1912">
                  <c:v>609.65706415183251</c:v>
                </c:pt>
                <c:pt idx="1913">
                  <c:v>609.97286558354665</c:v>
                </c:pt>
                <c:pt idx="1914">
                  <c:v>610.28866599561729</c:v>
                </c:pt>
                <c:pt idx="1915">
                  <c:v>610.60446538900749</c:v>
                </c:pt>
                <c:pt idx="1916">
                  <c:v>610.92026376467879</c:v>
                </c:pt>
                <c:pt idx="1917">
                  <c:v>611.23606112359153</c:v>
                </c:pt>
                <c:pt idx="1918">
                  <c:v>611.55185746670372</c:v>
                </c:pt>
                <c:pt idx="1919">
                  <c:v>611.86765279497286</c:v>
                </c:pt>
                <c:pt idx="1920">
                  <c:v>612.18344710935401</c:v>
                </c:pt>
                <c:pt idx="1921">
                  <c:v>612.49924041080158</c:v>
                </c:pt>
                <c:pt idx="1922">
                  <c:v>612.81503270026758</c:v>
                </c:pt>
                <c:pt idx="1923">
                  <c:v>613.13082397870289</c:v>
                </c:pt>
                <c:pt idx="1924">
                  <c:v>613.44661424705714</c:v>
                </c:pt>
                <c:pt idx="1925">
                  <c:v>613.76240350627779</c:v>
                </c:pt>
                <c:pt idx="1926">
                  <c:v>614.07819175731174</c:v>
                </c:pt>
                <c:pt idx="1927">
                  <c:v>614.39397900110339</c:v>
                </c:pt>
                <c:pt idx="1928">
                  <c:v>614.70976523859622</c:v>
                </c:pt>
                <c:pt idx="1929">
                  <c:v>615.02555047073224</c:v>
                </c:pt>
                <c:pt idx="1930">
                  <c:v>615.34133469845153</c:v>
                </c:pt>
                <c:pt idx="1931">
                  <c:v>615.65711792269315</c:v>
                </c:pt>
                <c:pt idx="1932">
                  <c:v>615.97290014439443</c:v>
                </c:pt>
                <c:pt idx="1933">
                  <c:v>616.28868136449114</c:v>
                </c:pt>
                <c:pt idx="1934">
                  <c:v>616.60446158391778</c:v>
                </c:pt>
                <c:pt idx="1935">
                  <c:v>616.92024080360738</c:v>
                </c:pt>
                <c:pt idx="1936">
                  <c:v>617.23601902449127</c:v>
                </c:pt>
                <c:pt idx="1937">
                  <c:v>617.5517962474994</c:v>
                </c:pt>
                <c:pt idx="1938">
                  <c:v>617.86757247356024</c:v>
                </c:pt>
                <c:pt idx="1939">
                  <c:v>618.18334770360104</c:v>
                </c:pt>
                <c:pt idx="1940">
                  <c:v>618.49912193854732</c:v>
                </c:pt>
                <c:pt idx="1941">
                  <c:v>618.81489517932312</c:v>
                </c:pt>
                <c:pt idx="1942">
                  <c:v>619.13066742685123</c:v>
                </c:pt>
                <c:pt idx="1943">
                  <c:v>619.44643868205242</c:v>
                </c:pt>
                <c:pt idx="1944">
                  <c:v>619.76220894584719</c:v>
                </c:pt>
                <c:pt idx="1945">
                  <c:v>620.07797821915335</c:v>
                </c:pt>
                <c:pt idx="1946">
                  <c:v>620.39374650288812</c:v>
                </c:pt>
                <c:pt idx="1947">
                  <c:v>620.70951379796679</c:v>
                </c:pt>
                <c:pt idx="1948">
                  <c:v>621.02528010530307</c:v>
                </c:pt>
                <c:pt idx="1949">
                  <c:v>621.34104542581008</c:v>
                </c:pt>
                <c:pt idx="1950">
                  <c:v>621.65680976039835</c:v>
                </c:pt>
                <c:pt idx="1951">
                  <c:v>621.97257310997827</c:v>
                </c:pt>
                <c:pt idx="1952">
                  <c:v>622.28833547545776</c:v>
                </c:pt>
                <c:pt idx="1953">
                  <c:v>622.60409685774368</c:v>
                </c:pt>
                <c:pt idx="1954">
                  <c:v>622.91985725774157</c:v>
                </c:pt>
                <c:pt idx="1955">
                  <c:v>623.23561667635545</c:v>
                </c:pt>
                <c:pt idx="1956">
                  <c:v>623.551375114488</c:v>
                </c:pt>
                <c:pt idx="1957">
                  <c:v>623.86713257304052</c:v>
                </c:pt>
                <c:pt idx="1958">
                  <c:v>624.18288905291263</c:v>
                </c:pt>
                <c:pt idx="1959">
                  <c:v>624.4986445550029</c:v>
                </c:pt>
                <c:pt idx="1960">
                  <c:v>624.81439908020832</c:v>
                </c:pt>
                <c:pt idx="1961">
                  <c:v>625.13015262942451</c:v>
                </c:pt>
                <c:pt idx="1962">
                  <c:v>625.44590520354575</c:v>
                </c:pt>
                <c:pt idx="1963">
                  <c:v>625.7616568034648</c:v>
                </c:pt>
                <c:pt idx="1964">
                  <c:v>626.07740743007321</c:v>
                </c:pt>
                <c:pt idx="1965">
                  <c:v>626.39315708426113</c:v>
                </c:pt>
                <c:pt idx="1966">
                  <c:v>626.70890576691704</c:v>
                </c:pt>
                <c:pt idx="1967">
                  <c:v>627.0246534789286</c:v>
                </c:pt>
                <c:pt idx="1968">
                  <c:v>627.3404002211812</c:v>
                </c:pt>
                <c:pt idx="1969">
                  <c:v>627.65614599456012</c:v>
                </c:pt>
                <c:pt idx="1970">
                  <c:v>627.97189079994803</c:v>
                </c:pt>
                <c:pt idx="1971">
                  <c:v>628.28763463822713</c:v>
                </c:pt>
                <c:pt idx="1972">
                  <c:v>628.60337751027782</c:v>
                </c:pt>
                <c:pt idx="1973">
                  <c:v>628.9191194169789</c:v>
                </c:pt>
                <c:pt idx="1974">
                  <c:v>629.23486035920871</c:v>
                </c:pt>
                <c:pt idx="1975">
                  <c:v>629.55060033784309</c:v>
                </c:pt>
                <c:pt idx="1976">
                  <c:v>629.86633935375767</c:v>
                </c:pt>
                <c:pt idx="1977">
                  <c:v>630.18207740782577</c:v>
                </c:pt>
                <c:pt idx="1978">
                  <c:v>630.49781450091996</c:v>
                </c:pt>
                <c:pt idx="1979">
                  <c:v>630.81355063391118</c:v>
                </c:pt>
                <c:pt idx="1980">
                  <c:v>631.12928580766925</c:v>
                </c:pt>
                <c:pt idx="1981">
                  <c:v>631.4450200230624</c:v>
                </c:pt>
                <c:pt idx="1982">
                  <c:v>631.76075328095783</c:v>
                </c:pt>
                <c:pt idx="1983">
                  <c:v>632.07648558222104</c:v>
                </c:pt>
                <c:pt idx="1984">
                  <c:v>632.39221692771662</c:v>
                </c:pt>
                <c:pt idx="1985">
                  <c:v>632.70794731830756</c:v>
                </c:pt>
                <c:pt idx="1986">
                  <c:v>633.0236767548555</c:v>
                </c:pt>
                <c:pt idx="1987">
                  <c:v>633.33940523822093</c:v>
                </c:pt>
                <c:pt idx="1988">
                  <c:v>633.6551327692631</c:v>
                </c:pt>
                <c:pt idx="1989">
                  <c:v>633.97085934883955</c:v>
                </c:pt>
                <c:pt idx="1990">
                  <c:v>634.2865849778068</c:v>
                </c:pt>
                <c:pt idx="1991">
                  <c:v>634.60230965702021</c:v>
                </c:pt>
                <c:pt idx="1992">
                  <c:v>634.91803338733371</c:v>
                </c:pt>
                <c:pt idx="1993">
                  <c:v>635.23375616959925</c:v>
                </c:pt>
                <c:pt idx="1994">
                  <c:v>635.54947800466903</c:v>
                </c:pt>
                <c:pt idx="1995">
                  <c:v>635.86519889339229</c:v>
                </c:pt>
                <c:pt idx="1996">
                  <c:v>636.18091883661828</c:v>
                </c:pt>
                <c:pt idx="1997">
                  <c:v>636.49663783519406</c:v>
                </c:pt>
                <c:pt idx="1998">
                  <c:v>636.8123558899656</c:v>
                </c:pt>
                <c:pt idx="1999">
                  <c:v>637.12807300177815</c:v>
                </c:pt>
                <c:pt idx="2000">
                  <c:v>637.44378917147469</c:v>
                </c:pt>
                <c:pt idx="2001">
                  <c:v>637.75950439989822</c:v>
                </c:pt>
                <c:pt idx="2002">
                  <c:v>638.07521868788922</c:v>
                </c:pt>
                <c:pt idx="2003">
                  <c:v>638.39093203628761</c:v>
                </c:pt>
                <c:pt idx="2004">
                  <c:v>638.70664444593172</c:v>
                </c:pt>
                <c:pt idx="2005">
                  <c:v>639.02235591765884</c:v>
                </c:pt>
                <c:pt idx="2006">
                  <c:v>639.33806645230493</c:v>
                </c:pt>
                <c:pt idx="2007">
                  <c:v>639.65377605070444</c:v>
                </c:pt>
                <c:pt idx="2008">
                  <c:v>639.96948471369103</c:v>
                </c:pt>
                <c:pt idx="2009">
                  <c:v>640.28519244209656</c:v>
                </c:pt>
                <c:pt idx="2010">
                  <c:v>640.60089923675218</c:v>
                </c:pt>
                <c:pt idx="2011">
                  <c:v>640.91660509848748</c:v>
                </c:pt>
                <c:pt idx="2012">
                  <c:v>641.23231002813066</c:v>
                </c:pt>
                <c:pt idx="2013">
                  <c:v>641.54801402650912</c:v>
                </c:pt>
                <c:pt idx="2014">
                  <c:v>641.86371709444859</c:v>
                </c:pt>
                <c:pt idx="2015">
                  <c:v>642.17941923277374</c:v>
                </c:pt>
                <c:pt idx="2016">
                  <c:v>642.49512044230812</c:v>
                </c:pt>
                <c:pt idx="2017">
                  <c:v>642.81082072387392</c:v>
                </c:pt>
                <c:pt idx="2018">
                  <c:v>643.12652007829161</c:v>
                </c:pt>
                <c:pt idx="2019">
                  <c:v>643.44221850638178</c:v>
                </c:pt>
                <c:pt idx="2020">
                  <c:v>643.75791600896218</c:v>
                </c:pt>
                <c:pt idx="2021">
                  <c:v>644.07361258685057</c:v>
                </c:pt>
                <c:pt idx="2022">
                  <c:v>644.38930824086276</c:v>
                </c:pt>
                <c:pt idx="2023">
                  <c:v>644.70500297181343</c:v>
                </c:pt>
                <c:pt idx="2024">
                  <c:v>645.02069678051669</c:v>
                </c:pt>
                <c:pt idx="2025">
                  <c:v>645.33638966778426</c:v>
                </c:pt>
                <c:pt idx="2026">
                  <c:v>645.65208163442799</c:v>
                </c:pt>
                <c:pt idx="2027">
                  <c:v>645.96777268125754</c:v>
                </c:pt>
                <c:pt idx="2028">
                  <c:v>646.2834628090817</c:v>
                </c:pt>
                <c:pt idx="2029">
                  <c:v>646.59915201870808</c:v>
                </c:pt>
                <c:pt idx="2030">
                  <c:v>646.91484031094296</c:v>
                </c:pt>
                <c:pt idx="2031">
                  <c:v>647.2305276865917</c:v>
                </c:pt>
                <c:pt idx="2032">
                  <c:v>647.54621414645806</c:v>
                </c:pt>
                <c:pt idx="2033">
                  <c:v>647.861899691345</c:v>
                </c:pt>
                <c:pt idx="2034">
                  <c:v>648.17758432205392</c:v>
                </c:pt>
                <c:pt idx="2035">
                  <c:v>648.49326803938538</c:v>
                </c:pt>
                <c:pt idx="2036">
                  <c:v>648.80895084413851</c:v>
                </c:pt>
                <c:pt idx="2037">
                  <c:v>649.12463273711148</c:v>
                </c:pt>
                <c:pt idx="2038">
                  <c:v>649.44031371910091</c:v>
                </c:pt>
                <c:pt idx="2039">
                  <c:v>649.75599379090261</c:v>
                </c:pt>
                <c:pt idx="2040">
                  <c:v>650.07167295331101</c:v>
                </c:pt>
                <c:pt idx="2041">
                  <c:v>650.38735120711954</c:v>
                </c:pt>
                <c:pt idx="2042">
                  <c:v>650.70302855312025</c:v>
                </c:pt>
                <c:pt idx="2043">
                  <c:v>651.01870499210384</c:v>
                </c:pt>
                <c:pt idx="2044">
                  <c:v>651.33438052486088</c:v>
                </c:pt>
                <c:pt idx="2045">
                  <c:v>651.65005515217922</c:v>
                </c:pt>
                <c:pt idx="2046">
                  <c:v>651.96572887484695</c:v>
                </c:pt>
                <c:pt idx="2047">
                  <c:v>652.28140169365008</c:v>
                </c:pt>
                <c:pt idx="2048">
                  <c:v>652.59707360937364</c:v>
                </c:pt>
                <c:pt idx="2049">
                  <c:v>652.91274462280194</c:v>
                </c:pt>
                <c:pt idx="2050">
                  <c:v>653.22841473471749</c:v>
                </c:pt>
                <c:pt idx="2051">
                  <c:v>653.54408394590257</c:v>
                </c:pt>
                <c:pt idx="2052">
                  <c:v>653.85975225713742</c:v>
                </c:pt>
                <c:pt idx="2053">
                  <c:v>654.17541966920135</c:v>
                </c:pt>
                <c:pt idx="2054">
                  <c:v>654.49108618287278</c:v>
                </c:pt>
                <c:pt idx="2055">
                  <c:v>654.80675179892876</c:v>
                </c:pt>
                <c:pt idx="2056">
                  <c:v>655.12241651814543</c:v>
                </c:pt>
                <c:pt idx="2057">
                  <c:v>655.43808034129756</c:v>
                </c:pt>
                <c:pt idx="2058">
                  <c:v>655.7537432691588</c:v>
                </c:pt>
                <c:pt idx="2059">
                  <c:v>656.06940530250199</c:v>
                </c:pt>
                <c:pt idx="2060">
                  <c:v>656.38506644209838</c:v>
                </c:pt>
                <c:pt idx="2061">
                  <c:v>656.70072668871842</c:v>
                </c:pt>
                <c:pt idx="2062">
                  <c:v>657.01638604313132</c:v>
                </c:pt>
                <c:pt idx="2063">
                  <c:v>657.33204450610526</c:v>
                </c:pt>
                <c:pt idx="2064">
                  <c:v>657.64770207840706</c:v>
                </c:pt>
                <c:pt idx="2065">
                  <c:v>657.96335876080275</c:v>
                </c:pt>
                <c:pt idx="2066">
                  <c:v>658.27901455405686</c:v>
                </c:pt>
                <c:pt idx="2067">
                  <c:v>658.59466945893348</c:v>
                </c:pt>
                <c:pt idx="2068">
                  <c:v>658.91032347619432</c:v>
                </c:pt>
                <c:pt idx="2069">
                  <c:v>659.22597660660176</c:v>
                </c:pt>
                <c:pt idx="2070">
                  <c:v>659.54162885091546</c:v>
                </c:pt>
                <c:pt idx="2071">
                  <c:v>659.85728020989507</c:v>
                </c:pt>
                <c:pt idx="2072">
                  <c:v>660.17293068429842</c:v>
                </c:pt>
                <c:pt idx="2073">
                  <c:v>660.48858027488245</c:v>
                </c:pt>
                <c:pt idx="2074">
                  <c:v>660.8042289824034</c:v>
                </c:pt>
                <c:pt idx="2075">
                  <c:v>661.11987680761558</c:v>
                </c:pt>
                <c:pt idx="2076">
                  <c:v>661.43552375127354</c:v>
                </c:pt>
                <c:pt idx="2077">
                  <c:v>661.75116981412918</c:v>
                </c:pt>
                <c:pt idx="2078">
                  <c:v>662.06681499693445</c:v>
                </c:pt>
                <c:pt idx="2079">
                  <c:v>662.38245930043968</c:v>
                </c:pt>
                <c:pt idx="2080">
                  <c:v>662.69810272539428</c:v>
                </c:pt>
                <c:pt idx="2081">
                  <c:v>663.01374527254654</c:v>
                </c:pt>
                <c:pt idx="2082">
                  <c:v>663.32938694264374</c:v>
                </c:pt>
                <c:pt idx="2083">
                  <c:v>663.64502773643198</c:v>
                </c:pt>
                <c:pt idx="2084">
                  <c:v>663.9606676546565</c:v>
                </c:pt>
                <c:pt idx="2085">
                  <c:v>664.27630669806103</c:v>
                </c:pt>
                <c:pt idx="2086">
                  <c:v>664.59194486738886</c:v>
                </c:pt>
                <c:pt idx="2087">
                  <c:v>664.90758216338156</c:v>
                </c:pt>
                <c:pt idx="2088">
                  <c:v>665.22321858678004</c:v>
                </c:pt>
                <c:pt idx="2089">
                  <c:v>665.53885413832415</c:v>
                </c:pt>
                <c:pt idx="2090">
                  <c:v>665.85448881875243</c:v>
                </c:pt>
                <c:pt idx="2091">
                  <c:v>666.17012262880257</c:v>
                </c:pt>
                <c:pt idx="2092">
                  <c:v>666.48575556921128</c:v>
                </c:pt>
                <c:pt idx="2093">
                  <c:v>666.80138764071353</c:v>
                </c:pt>
                <c:pt idx="2094">
                  <c:v>667.11701884404454</c:v>
                </c:pt>
                <c:pt idx="2095">
                  <c:v>667.43264917993713</c:v>
                </c:pt>
                <c:pt idx="2096">
                  <c:v>667.74827864912425</c:v>
                </c:pt>
                <c:pt idx="2097">
                  <c:v>668.06390725233678</c:v>
                </c:pt>
                <c:pt idx="2098">
                  <c:v>668.37953499030482</c:v>
                </c:pt>
                <c:pt idx="2099">
                  <c:v>668.69516186375813</c:v>
                </c:pt>
                <c:pt idx="2100">
                  <c:v>669.01078787342442</c:v>
                </c:pt>
                <c:pt idx="2101">
                  <c:v>669.32641302003128</c:v>
                </c:pt>
                <c:pt idx="2102">
                  <c:v>669.64203730430461</c:v>
                </c:pt>
                <c:pt idx="2103">
                  <c:v>669.95766072696938</c:v>
                </c:pt>
                <c:pt idx="2104">
                  <c:v>670.27328328874989</c:v>
                </c:pt>
                <c:pt idx="2105">
                  <c:v>670.58890499036909</c:v>
                </c:pt>
                <c:pt idx="2106">
                  <c:v>670.90452583254898</c:v>
                </c:pt>
                <c:pt idx="2107">
                  <c:v>671.22014581601047</c:v>
                </c:pt>
                <c:pt idx="2108">
                  <c:v>671.53576494147353</c:v>
                </c:pt>
                <c:pt idx="2109">
                  <c:v>671.85138320965712</c:v>
                </c:pt>
                <c:pt idx="2110">
                  <c:v>672.16700062127927</c:v>
                </c:pt>
                <c:pt idx="2111">
                  <c:v>672.48261717705668</c:v>
                </c:pt>
                <c:pt idx="2112">
                  <c:v>672.79823287770535</c:v>
                </c:pt>
                <c:pt idx="2113">
                  <c:v>673.11384772394013</c:v>
                </c:pt>
                <c:pt idx="2114">
                  <c:v>673.42946171647486</c:v>
                </c:pt>
                <c:pt idx="2115">
                  <c:v>673.74507485602237</c:v>
                </c:pt>
                <c:pt idx="2116">
                  <c:v>674.06068714329467</c:v>
                </c:pt>
                <c:pt idx="2117">
                  <c:v>674.37629857900254</c:v>
                </c:pt>
                <c:pt idx="2118">
                  <c:v>674.69190916385537</c:v>
                </c:pt>
                <c:pt idx="2119">
                  <c:v>675.00751889856269</c:v>
                </c:pt>
                <c:pt idx="2120">
                  <c:v>675.32312778383186</c:v>
                </c:pt>
                <c:pt idx="2121">
                  <c:v>675.63873582037024</c:v>
                </c:pt>
                <c:pt idx="2122">
                  <c:v>675.95434300888314</c:v>
                </c:pt>
                <c:pt idx="2123">
                  <c:v>676.26994935007554</c:v>
                </c:pt>
                <c:pt idx="2124">
                  <c:v>676.5855548446516</c:v>
                </c:pt>
                <c:pt idx="2125">
                  <c:v>676.90115949331357</c:v>
                </c:pt>
                <c:pt idx="2126">
                  <c:v>677.21676329676416</c:v>
                </c:pt>
                <c:pt idx="2127">
                  <c:v>677.53236625570366</c:v>
                </c:pt>
                <c:pt idx="2128">
                  <c:v>677.84796837083229</c:v>
                </c:pt>
                <c:pt idx="2129">
                  <c:v>678.16356964284887</c:v>
                </c:pt>
                <c:pt idx="2130">
                  <c:v>678.47917007245144</c:v>
                </c:pt>
                <c:pt idx="2131">
                  <c:v>678.7947696603369</c:v>
                </c:pt>
                <c:pt idx="2132">
                  <c:v>679.11036840720135</c:v>
                </c:pt>
                <c:pt idx="2133">
                  <c:v>679.42596631373976</c:v>
                </c:pt>
                <c:pt idx="2134">
                  <c:v>679.74156338064631</c:v>
                </c:pt>
                <c:pt idx="2135">
                  <c:v>680.05715960861392</c:v>
                </c:pt>
                <c:pt idx="2136">
                  <c:v>680.37275499833493</c:v>
                </c:pt>
                <c:pt idx="2137">
                  <c:v>680.68834955050033</c:v>
                </c:pt>
                <c:pt idx="2138">
                  <c:v>681.00394326580033</c:v>
                </c:pt>
                <c:pt idx="2139">
                  <c:v>681.31953614492443</c:v>
                </c:pt>
                <c:pt idx="2140">
                  <c:v>681.63512818856054</c:v>
                </c:pt>
                <c:pt idx="2141">
                  <c:v>681.95071939739626</c:v>
                </c:pt>
                <c:pt idx="2142">
                  <c:v>682.26630977211801</c:v>
                </c:pt>
                <c:pt idx="2143">
                  <c:v>682.58189931341064</c:v>
                </c:pt>
                <c:pt idx="2144">
                  <c:v>682.89748802195948</c:v>
                </c:pt>
                <c:pt idx="2145">
                  <c:v>683.2130758984473</c:v>
                </c:pt>
                <c:pt idx="2146">
                  <c:v>683.52866294355726</c:v>
                </c:pt>
                <c:pt idx="2147">
                  <c:v>683.84424915797069</c:v>
                </c:pt>
                <c:pt idx="2148">
                  <c:v>684.159834542368</c:v>
                </c:pt>
                <c:pt idx="2149">
                  <c:v>684.47541909742938</c:v>
                </c:pt>
                <c:pt idx="2150">
                  <c:v>684.7910028238332</c:v>
                </c:pt>
                <c:pt idx="2151">
                  <c:v>685.10658572225782</c:v>
                </c:pt>
                <c:pt idx="2152">
                  <c:v>685.4221677933798</c:v>
                </c:pt>
                <c:pt idx="2153">
                  <c:v>685.73774903787512</c:v>
                </c:pt>
                <c:pt idx="2154">
                  <c:v>686.05332945641896</c:v>
                </c:pt>
                <c:pt idx="2155">
                  <c:v>686.36890904968539</c:v>
                </c:pt>
                <c:pt idx="2156">
                  <c:v>686.68448781834763</c:v>
                </c:pt>
                <c:pt idx="2157">
                  <c:v>687.00006576307783</c:v>
                </c:pt>
                <c:pt idx="2158">
                  <c:v>687.3156428845474</c:v>
                </c:pt>
                <c:pt idx="2159">
                  <c:v>687.63121918342677</c:v>
                </c:pt>
                <c:pt idx="2160">
                  <c:v>687.94679466038531</c:v>
                </c:pt>
                <c:pt idx="2161">
                  <c:v>688.26236931609174</c:v>
                </c:pt>
                <c:pt idx="2162">
                  <c:v>688.57794315121362</c:v>
                </c:pt>
                <c:pt idx="2163">
                  <c:v>688.89351616641761</c:v>
                </c:pt>
                <c:pt idx="2164">
                  <c:v>689.2090883623697</c:v>
                </c:pt>
                <c:pt idx="2165">
                  <c:v>689.5246597397346</c:v>
                </c:pt>
                <c:pt idx="2166">
                  <c:v>689.84023029917648</c:v>
                </c:pt>
                <c:pt idx="2167">
                  <c:v>690.15580004135836</c:v>
                </c:pt>
                <c:pt idx="2168">
                  <c:v>690.47136896694201</c:v>
                </c:pt>
                <c:pt idx="2169">
                  <c:v>690.78693707658942</c:v>
                </c:pt>
                <c:pt idx="2170">
                  <c:v>691.10250437096045</c:v>
                </c:pt>
                <c:pt idx="2171">
                  <c:v>691.4180708507148</c:v>
                </c:pt>
                <c:pt idx="2172">
                  <c:v>691.73363651651096</c:v>
                </c:pt>
                <c:pt idx="2173">
                  <c:v>692.04920136900625</c:v>
                </c:pt>
                <c:pt idx="2174">
                  <c:v>692.36476540885792</c:v>
                </c:pt>
                <c:pt idx="2175">
                  <c:v>692.68032863672136</c:v>
                </c:pt>
                <c:pt idx="2176">
                  <c:v>692.99589105325208</c:v>
                </c:pt>
                <c:pt idx="2177">
                  <c:v>693.31145265910379</c:v>
                </c:pt>
                <c:pt idx="2178">
                  <c:v>693.62701345492974</c:v>
                </c:pt>
                <c:pt idx="2179">
                  <c:v>693.94257344138225</c:v>
                </c:pt>
                <c:pt idx="2180">
                  <c:v>694.25813261911264</c:v>
                </c:pt>
                <c:pt idx="2181">
                  <c:v>694.57369098877155</c:v>
                </c:pt>
                <c:pt idx="2182">
                  <c:v>694.88924855100856</c:v>
                </c:pt>
                <c:pt idx="2183">
                  <c:v>695.20480530647239</c:v>
                </c:pt>
                <c:pt idx="2184">
                  <c:v>695.52036125581094</c:v>
                </c:pt>
                <c:pt idx="2185">
                  <c:v>695.83591639967119</c:v>
                </c:pt>
                <c:pt idx="2186">
                  <c:v>696.15147073869935</c:v>
                </c:pt>
                <c:pt idx="2187">
                  <c:v>696.46702427354057</c:v>
                </c:pt>
                <c:pt idx="2188">
                  <c:v>696.78257700483925</c:v>
                </c:pt>
                <c:pt idx="2189">
                  <c:v>697.09812893323897</c:v>
                </c:pt>
                <c:pt idx="2190">
                  <c:v>697.41368005938216</c:v>
                </c:pt>
                <c:pt idx="2191">
                  <c:v>697.7292303839107</c:v>
                </c:pt>
                <c:pt idx="2192">
                  <c:v>698.04477990746557</c:v>
                </c:pt>
                <c:pt idx="2193">
                  <c:v>698.36032863068635</c:v>
                </c:pt>
                <c:pt idx="2194">
                  <c:v>698.67587655421278</c:v>
                </c:pt>
                <c:pt idx="2195">
                  <c:v>698.99142367868274</c:v>
                </c:pt>
                <c:pt idx="2196">
                  <c:v>699.30697000473413</c:v>
                </c:pt>
                <c:pt idx="2197">
                  <c:v>699.62251553300314</c:v>
                </c:pt>
                <c:pt idx="2198">
                  <c:v>699.93806026412551</c:v>
                </c:pt>
                <c:pt idx="2199">
                  <c:v>700.2536041987363</c:v>
                </c:pt>
                <c:pt idx="2200">
                  <c:v>700.56914733746908</c:v>
                </c:pt>
                <c:pt idx="2201">
                  <c:v>700.88468968095765</c:v>
                </c:pt>
                <c:pt idx="2202">
                  <c:v>701.20023122983389</c:v>
                </c:pt>
                <c:pt idx="2203">
                  <c:v>701.51577198472933</c:v>
                </c:pt>
                <c:pt idx="2204">
                  <c:v>701.8313119462747</c:v>
                </c:pt>
                <c:pt idx="2205">
                  <c:v>702.14685111509971</c:v>
                </c:pt>
                <c:pt idx="2206">
                  <c:v>702.46238949183316</c:v>
                </c:pt>
                <c:pt idx="2207">
                  <c:v>702.7779270771033</c:v>
                </c:pt>
                <c:pt idx="2208">
                  <c:v>703.09346387153721</c:v>
                </c:pt>
                <c:pt idx="2209">
                  <c:v>703.40899987576154</c:v>
                </c:pt>
                <c:pt idx="2210">
                  <c:v>703.72453509040156</c:v>
                </c:pt>
                <c:pt idx="2211">
                  <c:v>704.0400695160821</c:v>
                </c:pt>
                <c:pt idx="2212">
                  <c:v>704.35560315342718</c:v>
                </c:pt>
                <c:pt idx="2213">
                  <c:v>704.6711360030597</c:v>
                </c:pt>
                <c:pt idx="2214">
                  <c:v>704.98666806560186</c:v>
                </c:pt>
                <c:pt idx="2215">
                  <c:v>705.30219934167519</c:v>
                </c:pt>
                <c:pt idx="2216">
                  <c:v>705.61772983190019</c:v>
                </c:pt>
                <c:pt idx="2217">
                  <c:v>705.9332595368968</c:v>
                </c:pt>
                <c:pt idx="2218">
                  <c:v>706.24878845728324</c:v>
                </c:pt>
                <c:pt idx="2219">
                  <c:v>706.56431659367854</c:v>
                </c:pt>
                <c:pt idx="2220">
                  <c:v>706.87984394669934</c:v>
                </c:pt>
                <c:pt idx="2221">
                  <c:v>707.19537051696238</c:v>
                </c:pt>
                <c:pt idx="2222">
                  <c:v>707.51089630508329</c:v>
                </c:pt>
                <c:pt idx="2223">
                  <c:v>707.82642131167643</c:v>
                </c:pt>
                <c:pt idx="2224">
                  <c:v>708.14194553735649</c:v>
                </c:pt>
                <c:pt idx="2225">
                  <c:v>708.45746898273592</c:v>
                </c:pt>
                <c:pt idx="2226">
                  <c:v>708.77299164842782</c:v>
                </c:pt>
                <c:pt idx="2227">
                  <c:v>709.08851353504326</c:v>
                </c:pt>
                <c:pt idx="2228">
                  <c:v>709.40403464319309</c:v>
                </c:pt>
                <c:pt idx="2229">
                  <c:v>709.71955497348733</c:v>
                </c:pt>
                <c:pt idx="2230">
                  <c:v>710.03507452653503</c:v>
                </c:pt>
                <c:pt idx="2231">
                  <c:v>710.35059330294462</c:v>
                </c:pt>
                <c:pt idx="2232">
                  <c:v>710.66611130332353</c:v>
                </c:pt>
                <c:pt idx="2233">
                  <c:v>710.98162852827841</c:v>
                </c:pt>
                <c:pt idx="2234">
                  <c:v>711.2971449784153</c:v>
                </c:pt>
                <c:pt idx="2235">
                  <c:v>711.61266065433938</c:v>
                </c:pt>
                <c:pt idx="2236">
                  <c:v>711.92817555665488</c:v>
                </c:pt>
                <c:pt idx="2237">
                  <c:v>712.24368968596525</c:v>
                </c:pt>
                <c:pt idx="2238">
                  <c:v>712.55920304287326</c:v>
                </c:pt>
                <c:pt idx="2239">
                  <c:v>712.874715627981</c:v>
                </c:pt>
                <c:pt idx="2240">
                  <c:v>713.19022744188942</c:v>
                </c:pt>
                <c:pt idx="2241">
                  <c:v>713.505738485199</c:v>
                </c:pt>
                <c:pt idx="2242">
                  <c:v>713.82124875850946</c:v>
                </c:pt>
                <c:pt idx="2243">
                  <c:v>714.13675826241888</c:v>
                </c:pt>
                <c:pt idx="2244">
                  <c:v>714.45226699752618</c:v>
                </c:pt>
                <c:pt idx="2245">
                  <c:v>714.76777496442799</c:v>
                </c:pt>
                <c:pt idx="2246">
                  <c:v>715.08328216372092</c:v>
                </c:pt>
                <c:pt idx="2247">
                  <c:v>715.39878859600071</c:v>
                </c:pt>
                <c:pt idx="2248">
                  <c:v>715.71429426186194</c:v>
                </c:pt>
                <c:pt idx="2249">
                  <c:v>716.02979916189895</c:v>
                </c:pt>
                <c:pt idx="2250">
                  <c:v>716.34530329670463</c:v>
                </c:pt>
                <c:pt idx="2251">
                  <c:v>716.66080666687219</c:v>
                </c:pt>
                <c:pt idx="2252">
                  <c:v>716.97630927299292</c:v>
                </c:pt>
                <c:pt idx="2253">
                  <c:v>717.29181111565788</c:v>
                </c:pt>
                <c:pt idx="2254">
                  <c:v>717.60731219545733</c:v>
                </c:pt>
                <c:pt idx="2255">
                  <c:v>717.92281251298073</c:v>
                </c:pt>
                <c:pt idx="2256">
                  <c:v>718.23831206881664</c:v>
                </c:pt>
                <c:pt idx="2257">
                  <c:v>718.55381086355317</c:v>
                </c:pt>
                <c:pt idx="2258">
                  <c:v>718.86930889777716</c:v>
                </c:pt>
                <c:pt idx="2259">
                  <c:v>719.18480617207524</c:v>
                </c:pt>
                <c:pt idx="2260">
                  <c:v>719.50030268703301</c:v>
                </c:pt>
                <c:pt idx="2261">
                  <c:v>719.81579844323517</c:v>
                </c:pt>
                <c:pt idx="2262">
                  <c:v>720.13129344126594</c:v>
                </c:pt>
                <c:pt idx="2263">
                  <c:v>720.44678768170866</c:v>
                </c:pt>
                <c:pt idx="2264">
                  <c:v>720.76228116514574</c:v>
                </c:pt>
                <c:pt idx="2265">
                  <c:v>721.07777389215914</c:v>
                </c:pt>
                <c:pt idx="2266">
                  <c:v>721.39326586332993</c:v>
                </c:pt>
                <c:pt idx="2267">
                  <c:v>721.70875707923847</c:v>
                </c:pt>
                <c:pt idx="2268">
                  <c:v>722.02424754046399</c:v>
                </c:pt>
                <c:pt idx="2269">
                  <c:v>722.33973724758573</c:v>
                </c:pt>
                <c:pt idx="2270">
                  <c:v>722.65522620118145</c:v>
                </c:pt>
                <c:pt idx="2271">
                  <c:v>722.97071440182879</c:v>
                </c:pt>
                <c:pt idx="2272">
                  <c:v>723.28620185010413</c:v>
                </c:pt>
                <c:pt idx="2273">
                  <c:v>723.60168854658298</c:v>
                </c:pt>
                <c:pt idx="2274">
                  <c:v>723.91717449184091</c:v>
                </c:pt>
                <c:pt idx="2275">
                  <c:v>724.23265968645171</c:v>
                </c:pt>
                <c:pt idx="2276">
                  <c:v>724.54814413098961</c:v>
                </c:pt>
                <c:pt idx="2277">
                  <c:v>724.86362782602714</c:v>
                </c:pt>
                <c:pt idx="2278">
                  <c:v>725.17911077213637</c:v>
                </c:pt>
                <c:pt idx="2279">
                  <c:v>725.4945929698888</c:v>
                </c:pt>
                <c:pt idx="2280">
                  <c:v>725.81007441985491</c:v>
                </c:pt>
                <c:pt idx="2281">
                  <c:v>726.12555512260485</c:v>
                </c:pt>
                <c:pt idx="2282">
                  <c:v>726.4410350787075</c:v>
                </c:pt>
                <c:pt idx="2283">
                  <c:v>726.75651428873164</c:v>
                </c:pt>
                <c:pt idx="2284">
                  <c:v>727.07199275324467</c:v>
                </c:pt>
                <c:pt idx="2285">
                  <c:v>727.38747047281379</c:v>
                </c:pt>
                <c:pt idx="2286">
                  <c:v>727.70294744800515</c:v>
                </c:pt>
                <c:pt idx="2287">
                  <c:v>728.01842367938434</c:v>
                </c:pt>
                <c:pt idx="2288">
                  <c:v>728.33389916751617</c:v>
                </c:pt>
                <c:pt idx="2289">
                  <c:v>728.64937391296462</c:v>
                </c:pt>
                <c:pt idx="2290">
                  <c:v>728.96484791629314</c:v>
                </c:pt>
                <c:pt idx="2291">
                  <c:v>729.28032117806436</c:v>
                </c:pt>
                <c:pt idx="2292">
                  <c:v>729.59579369884034</c:v>
                </c:pt>
                <c:pt idx="2293">
                  <c:v>729.91126547918179</c:v>
                </c:pt>
                <c:pt idx="2294">
                  <c:v>730.22673651964976</c:v>
                </c:pt>
                <c:pt idx="2295">
                  <c:v>730.5422068208037</c:v>
                </c:pt>
                <c:pt idx="2296">
                  <c:v>730.85767638320294</c:v>
                </c:pt>
                <c:pt idx="2297">
                  <c:v>731.1731452074057</c:v>
                </c:pt>
                <c:pt idx="2298">
                  <c:v>731.48861329396925</c:v>
                </c:pt>
                <c:pt idx="2299">
                  <c:v>731.80408064345113</c:v>
                </c:pt>
                <c:pt idx="2300">
                  <c:v>732.1195472564068</c:v>
                </c:pt>
                <c:pt idx="2301">
                  <c:v>732.43501313339266</c:v>
                </c:pt>
                <c:pt idx="2302">
                  <c:v>732.7504782749628</c:v>
                </c:pt>
                <c:pt idx="2303">
                  <c:v>733.06594268167157</c:v>
                </c:pt>
                <c:pt idx="2304">
                  <c:v>733.3814063540724</c:v>
                </c:pt>
                <c:pt idx="2305">
                  <c:v>733.69686929271791</c:v>
                </c:pt>
                <c:pt idx="2306">
                  <c:v>734.01233149815994</c:v>
                </c:pt>
                <c:pt idx="2307">
                  <c:v>734.32779297094999</c:v>
                </c:pt>
                <c:pt idx="2308">
                  <c:v>734.64325371163864</c:v>
                </c:pt>
                <c:pt idx="2309">
                  <c:v>734.95871372077556</c:v>
                </c:pt>
                <c:pt idx="2310">
                  <c:v>735.2741729989101</c:v>
                </c:pt>
                <c:pt idx="2311">
                  <c:v>735.58963154659068</c:v>
                </c:pt>
                <c:pt idx="2312">
                  <c:v>735.90508936436527</c:v>
                </c:pt>
                <c:pt idx="2313">
                  <c:v>736.2205464527807</c:v>
                </c:pt>
                <c:pt idx="2314">
                  <c:v>736.53600281238357</c:v>
                </c:pt>
                <c:pt idx="2315">
                  <c:v>736.85145844371948</c:v>
                </c:pt>
                <c:pt idx="2316">
                  <c:v>737.16691334733366</c:v>
                </c:pt>
                <c:pt idx="2317">
                  <c:v>737.48236752377034</c:v>
                </c:pt>
                <c:pt idx="2318">
                  <c:v>737.79782097357281</c:v>
                </c:pt>
                <c:pt idx="2319">
                  <c:v>738.11327369728474</c:v>
                </c:pt>
                <c:pt idx="2320">
                  <c:v>738.42872569544784</c:v>
                </c:pt>
                <c:pt idx="2321">
                  <c:v>738.74417696860428</c:v>
                </c:pt>
                <c:pt idx="2322">
                  <c:v>739.05962751729453</c:v>
                </c:pt>
                <c:pt idx="2323">
                  <c:v>739.37507734205872</c:v>
                </c:pt>
                <c:pt idx="2324">
                  <c:v>739.69052644343697</c:v>
                </c:pt>
                <c:pt idx="2325">
                  <c:v>740.00597482196747</c:v>
                </c:pt>
                <c:pt idx="2326">
                  <c:v>740.32142247818911</c:v>
                </c:pt>
                <c:pt idx="2327">
                  <c:v>740.63686941263893</c:v>
                </c:pt>
                <c:pt idx="2328">
                  <c:v>740.952315625854</c:v>
                </c:pt>
                <c:pt idx="2329">
                  <c:v>741.26776111837046</c:v>
                </c:pt>
                <c:pt idx="2330">
                  <c:v>741.58320589072389</c:v>
                </c:pt>
                <c:pt idx="2331">
                  <c:v>741.89864994344907</c:v>
                </c:pt>
                <c:pt idx="2332">
                  <c:v>742.21409327708011</c:v>
                </c:pt>
                <c:pt idx="2333">
                  <c:v>742.52953589215053</c:v>
                </c:pt>
                <c:pt idx="2334">
                  <c:v>742.84497778919331</c:v>
                </c:pt>
                <c:pt idx="2335">
                  <c:v>743.16041896874037</c:v>
                </c:pt>
                <c:pt idx="2336">
                  <c:v>743.47585943132344</c:v>
                </c:pt>
                <c:pt idx="2337">
                  <c:v>743.79129917747332</c:v>
                </c:pt>
                <c:pt idx="2338">
                  <c:v>744.10673820772013</c:v>
                </c:pt>
                <c:pt idx="2339">
                  <c:v>744.4221765225933</c:v>
                </c:pt>
                <c:pt idx="2340">
                  <c:v>744.73761412262184</c:v>
                </c:pt>
                <c:pt idx="2341">
                  <c:v>745.05305100833391</c:v>
                </c:pt>
                <c:pt idx="2342">
                  <c:v>745.36848718025703</c:v>
                </c:pt>
                <c:pt idx="2343">
                  <c:v>745.68392263891781</c:v>
                </c:pt>
                <c:pt idx="2344">
                  <c:v>745.99935738484305</c:v>
                </c:pt>
                <c:pt idx="2345">
                  <c:v>746.31479141855789</c:v>
                </c:pt>
                <c:pt idx="2346">
                  <c:v>746.63022474058744</c:v>
                </c:pt>
                <c:pt idx="2347">
                  <c:v>746.94565735145591</c:v>
                </c:pt>
                <c:pt idx="2348">
                  <c:v>747.26108925168671</c:v>
                </c:pt>
                <c:pt idx="2349">
                  <c:v>747.57652044180315</c:v>
                </c:pt>
                <c:pt idx="2350">
                  <c:v>747.89195092232706</c:v>
                </c:pt>
                <c:pt idx="2351">
                  <c:v>748.20738069378069</c:v>
                </c:pt>
                <c:pt idx="2352">
                  <c:v>748.52280975668475</c:v>
                </c:pt>
                <c:pt idx="2353">
                  <c:v>748.83823811155958</c:v>
                </c:pt>
                <c:pt idx="2354">
                  <c:v>749.15366575892506</c:v>
                </c:pt>
                <c:pt idx="2355">
                  <c:v>749.46909269930018</c:v>
                </c:pt>
                <c:pt idx="2356">
                  <c:v>749.78451893320334</c:v>
                </c:pt>
                <c:pt idx="2357">
                  <c:v>750.09994446115252</c:v>
                </c:pt>
                <c:pt idx="2358">
                  <c:v>750.41536928366463</c:v>
                </c:pt>
                <c:pt idx="2359">
                  <c:v>750.73079340125639</c:v>
                </c:pt>
                <c:pt idx="2360">
                  <c:v>751.0462168144436</c:v>
                </c:pt>
                <c:pt idx="2361">
                  <c:v>751.36163952374159</c:v>
                </c:pt>
                <c:pt idx="2362">
                  <c:v>751.67706152966491</c:v>
                </c:pt>
                <c:pt idx="2363">
                  <c:v>751.99248283272755</c:v>
                </c:pt>
                <c:pt idx="2364">
                  <c:v>752.30790343344279</c:v>
                </c:pt>
                <c:pt idx="2365">
                  <c:v>752.62332333232348</c:v>
                </c:pt>
                <c:pt idx="2366">
                  <c:v>752.93874252988167</c:v>
                </c:pt>
                <c:pt idx="2367">
                  <c:v>753.25416102662882</c:v>
                </c:pt>
                <c:pt idx="2368">
                  <c:v>753.56957882307552</c:v>
                </c:pt>
                <c:pt idx="2369">
                  <c:v>753.88499591973243</c:v>
                </c:pt>
                <c:pt idx="2370">
                  <c:v>754.20041231710854</c:v>
                </c:pt>
                <c:pt idx="2371">
                  <c:v>754.51582801571351</c:v>
                </c:pt>
                <c:pt idx="2372">
                  <c:v>754.83124301605517</c:v>
                </c:pt>
                <c:pt idx="2373">
                  <c:v>755.14665731864113</c:v>
                </c:pt>
                <c:pt idx="2374">
                  <c:v>755.4620709239789</c:v>
                </c:pt>
                <c:pt idx="2375">
                  <c:v>755.77748383257426</c:v>
                </c:pt>
                <c:pt idx="2376">
                  <c:v>756.09289604493392</c:v>
                </c:pt>
                <c:pt idx="2377">
                  <c:v>756.40830756156242</c:v>
                </c:pt>
                <c:pt idx="2378">
                  <c:v>756.72371838296465</c:v>
                </c:pt>
                <c:pt idx="2379">
                  <c:v>757.03912850964457</c:v>
                </c:pt>
                <c:pt idx="2380">
                  <c:v>757.35453794210548</c:v>
                </c:pt>
                <c:pt idx="2381">
                  <c:v>757.66994668085022</c:v>
                </c:pt>
                <c:pt idx="2382">
                  <c:v>757.98535472638071</c:v>
                </c:pt>
                <c:pt idx="2383">
                  <c:v>758.30076207919876</c:v>
                </c:pt>
                <c:pt idx="2384">
                  <c:v>758.61616873980506</c:v>
                </c:pt>
                <c:pt idx="2385">
                  <c:v>758.93157470870005</c:v>
                </c:pt>
                <c:pt idx="2386">
                  <c:v>759.24697998638339</c:v>
                </c:pt>
                <c:pt idx="2387">
                  <c:v>759.56238457335417</c:v>
                </c:pt>
                <c:pt idx="2388">
                  <c:v>759.87778847011089</c:v>
                </c:pt>
                <c:pt idx="2389">
                  <c:v>760.19319167715128</c:v>
                </c:pt>
                <c:pt idx="2390">
                  <c:v>760.50859419497272</c:v>
                </c:pt>
                <c:pt idx="2391">
                  <c:v>760.8239960240719</c:v>
                </c:pt>
                <c:pt idx="2392">
                  <c:v>761.13939716494485</c:v>
                </c:pt>
                <c:pt idx="2393">
                  <c:v>761.45479761808679</c:v>
                </c:pt>
                <c:pt idx="2394">
                  <c:v>761.77019738399304</c:v>
                </c:pt>
                <c:pt idx="2395">
                  <c:v>762.08559646315746</c:v>
                </c:pt>
                <c:pt idx="2396">
                  <c:v>762.40099485607402</c:v>
                </c:pt>
                <c:pt idx="2397">
                  <c:v>762.71639256323556</c:v>
                </c:pt>
                <c:pt idx="2398">
                  <c:v>763.03178958513445</c:v>
                </c:pt>
                <c:pt idx="2399">
                  <c:v>763.34718592226295</c:v>
                </c:pt>
                <c:pt idx="2400">
                  <c:v>763.66258157511174</c:v>
                </c:pt>
                <c:pt idx="2401">
                  <c:v>763.97797654417207</c:v>
                </c:pt>
                <c:pt idx="2402">
                  <c:v>764.29337082993379</c:v>
                </c:pt>
                <c:pt idx="2403">
                  <c:v>764.60876443288635</c:v>
                </c:pt>
                <c:pt idx="2404">
                  <c:v>764.92415735351869</c:v>
                </c:pt>
                <c:pt idx="2405">
                  <c:v>765.23954959231901</c:v>
                </c:pt>
                <c:pt idx="2406">
                  <c:v>765.55494114977523</c:v>
                </c:pt>
                <c:pt idx="2407">
                  <c:v>765.8703320263744</c:v>
                </c:pt>
                <c:pt idx="2408">
                  <c:v>766.18572222260309</c:v>
                </c:pt>
                <c:pt idx="2409">
                  <c:v>766.5011117389472</c:v>
                </c:pt>
                <c:pt idx="2410">
                  <c:v>766.81650057589206</c:v>
                </c:pt>
                <c:pt idx="2411">
                  <c:v>767.13188873392266</c:v>
                </c:pt>
                <c:pt idx="2412">
                  <c:v>767.44727621352297</c:v>
                </c:pt>
                <c:pt idx="2413">
                  <c:v>767.76266301517683</c:v>
                </c:pt>
                <c:pt idx="2414">
                  <c:v>768.07804913936718</c:v>
                </c:pt>
                <c:pt idx="2415">
                  <c:v>768.3934345865764</c:v>
                </c:pt>
                <c:pt idx="2416">
                  <c:v>768.70881935728653</c:v>
                </c:pt>
                <c:pt idx="2417">
                  <c:v>769.02420345197891</c:v>
                </c:pt>
                <c:pt idx="2418">
                  <c:v>769.33958687113386</c:v>
                </c:pt>
                <c:pt idx="2419">
                  <c:v>769.65496961523229</c:v>
                </c:pt>
                <c:pt idx="2420">
                  <c:v>769.97035168475304</c:v>
                </c:pt>
                <c:pt idx="2421">
                  <c:v>770.28573308017565</c:v>
                </c:pt>
                <c:pt idx="2422">
                  <c:v>770.60111380197827</c:v>
                </c:pt>
                <c:pt idx="2423">
                  <c:v>770.91649385063874</c:v>
                </c:pt>
                <c:pt idx="2424">
                  <c:v>771.23187322663455</c:v>
                </c:pt>
                <c:pt idx="2425">
                  <c:v>771.54725193044203</c:v>
                </c:pt>
                <c:pt idx="2426">
                  <c:v>771.86262996253788</c:v>
                </c:pt>
                <c:pt idx="2427">
                  <c:v>772.17800732339731</c:v>
                </c:pt>
                <c:pt idx="2428">
                  <c:v>772.49338401349553</c:v>
                </c:pt>
                <c:pt idx="2429">
                  <c:v>772.80876003330684</c:v>
                </c:pt>
                <c:pt idx="2430">
                  <c:v>773.12413538330509</c:v>
                </c:pt>
                <c:pt idx="2431">
                  <c:v>773.43951006396378</c:v>
                </c:pt>
                <c:pt idx="2432">
                  <c:v>773.75488407575563</c:v>
                </c:pt>
                <c:pt idx="2433">
                  <c:v>774.07025741915265</c:v>
                </c:pt>
                <c:pt idx="2434">
                  <c:v>774.38563009462666</c:v>
                </c:pt>
                <c:pt idx="2435">
                  <c:v>774.70100210264877</c:v>
                </c:pt>
                <c:pt idx="2436">
                  <c:v>775.0163734436893</c:v>
                </c:pt>
                <c:pt idx="2437">
                  <c:v>775.33174411821824</c:v>
                </c:pt>
                <c:pt idx="2438">
                  <c:v>775.64711412670511</c:v>
                </c:pt>
                <c:pt idx="2439">
                  <c:v>775.96248346961875</c:v>
                </c:pt>
                <c:pt idx="2440">
                  <c:v>776.27785214742721</c:v>
                </c:pt>
                <c:pt idx="2441">
                  <c:v>776.59322016059855</c:v>
                </c:pt>
                <c:pt idx="2442">
                  <c:v>776.90858750959978</c:v>
                </c:pt>
                <c:pt idx="2443">
                  <c:v>777.22395419489726</c:v>
                </c:pt>
                <c:pt idx="2444">
                  <c:v>777.53932021695755</c:v>
                </c:pt>
                <c:pt idx="2445">
                  <c:v>777.85468557624574</c:v>
                </c:pt>
                <c:pt idx="2446">
                  <c:v>778.17005027322728</c:v>
                </c:pt>
                <c:pt idx="2447">
                  <c:v>778.48541430836622</c:v>
                </c:pt>
                <c:pt idx="2448">
                  <c:v>778.8007776821263</c:v>
                </c:pt>
                <c:pt idx="2449">
                  <c:v>779.11614039497124</c:v>
                </c:pt>
                <c:pt idx="2450">
                  <c:v>779.4315024473633</c:v>
                </c:pt>
                <c:pt idx="2451">
                  <c:v>779.74686383976541</c:v>
                </c:pt>
                <c:pt idx="2452">
                  <c:v>780.06222457263868</c:v>
                </c:pt>
                <c:pt idx="2453">
                  <c:v>780.37758464644457</c:v>
                </c:pt>
                <c:pt idx="2454">
                  <c:v>780.6929440616434</c:v>
                </c:pt>
                <c:pt idx="2455">
                  <c:v>781.00830281869537</c:v>
                </c:pt>
                <c:pt idx="2456">
                  <c:v>781.32366091806011</c:v>
                </c:pt>
                <c:pt idx="2457">
                  <c:v>781.63901836019636</c:v>
                </c:pt>
                <c:pt idx="2458">
                  <c:v>781.95437514556261</c:v>
                </c:pt>
                <c:pt idx="2459">
                  <c:v>782.2697312746169</c:v>
                </c:pt>
                <c:pt idx="2460">
                  <c:v>782.58508674781649</c:v>
                </c:pt>
                <c:pt idx="2461">
                  <c:v>782.90044156561828</c:v>
                </c:pt>
                <c:pt idx="2462">
                  <c:v>783.21579572847838</c:v>
                </c:pt>
                <c:pt idx="2463">
                  <c:v>783.53114923685268</c:v>
                </c:pt>
                <c:pt idx="2464">
                  <c:v>783.84650209119627</c:v>
                </c:pt>
                <c:pt idx="2465">
                  <c:v>784.161854291964</c:v>
                </c:pt>
                <c:pt idx="2466">
                  <c:v>784.47720583960984</c:v>
                </c:pt>
                <c:pt idx="2467">
                  <c:v>784.79255673458772</c:v>
                </c:pt>
                <c:pt idx="2468">
                  <c:v>785.10790697735013</c:v>
                </c:pt>
                <c:pt idx="2469">
                  <c:v>785.42325656835033</c:v>
                </c:pt>
                <c:pt idx="2470">
                  <c:v>785.73860550803977</c:v>
                </c:pt>
                <c:pt idx="2471">
                  <c:v>786.05395379687047</c:v>
                </c:pt>
                <c:pt idx="2472">
                  <c:v>786.36930143529321</c:v>
                </c:pt>
                <c:pt idx="2473">
                  <c:v>786.68464842375806</c:v>
                </c:pt>
                <c:pt idx="2474">
                  <c:v>786.99999476271546</c:v>
                </c:pt>
                <c:pt idx="2475">
                  <c:v>787.31534045261424</c:v>
                </c:pt>
                <c:pt idx="2476">
                  <c:v>787.63068549390402</c:v>
                </c:pt>
                <c:pt idx="2477">
                  <c:v>787.94602988703252</c:v>
                </c:pt>
                <c:pt idx="2478">
                  <c:v>788.261373632448</c:v>
                </c:pt>
                <c:pt idx="2479">
                  <c:v>788.57671673059747</c:v>
                </c:pt>
                <c:pt idx="2480">
                  <c:v>788.89205918192783</c:v>
                </c:pt>
                <c:pt idx="2481">
                  <c:v>789.20740098688532</c:v>
                </c:pt>
                <c:pt idx="2482">
                  <c:v>789.52274214591569</c:v>
                </c:pt>
                <c:pt idx="2483">
                  <c:v>789.83808265946425</c:v>
                </c:pt>
                <c:pt idx="2484">
                  <c:v>790.15342252797564</c:v>
                </c:pt>
                <c:pt idx="2485">
                  <c:v>790.46876175189402</c:v>
                </c:pt>
                <c:pt idx="2486">
                  <c:v>790.78410033166324</c:v>
                </c:pt>
                <c:pt idx="2487">
                  <c:v>791.09943826772633</c:v>
                </c:pt>
                <c:pt idx="2488">
                  <c:v>791.41477556052598</c:v>
                </c:pt>
                <c:pt idx="2489">
                  <c:v>791.73011221050433</c:v>
                </c:pt>
                <c:pt idx="2490">
                  <c:v>792.04544821810293</c:v>
                </c:pt>
                <c:pt idx="2491">
                  <c:v>792.36078358376312</c:v>
                </c:pt>
                <c:pt idx="2492">
                  <c:v>792.67611830792544</c:v>
                </c:pt>
                <c:pt idx="2493">
                  <c:v>792.99145239102961</c:v>
                </c:pt>
                <c:pt idx="2494">
                  <c:v>793.30678583351585</c:v>
                </c:pt>
                <c:pt idx="2495">
                  <c:v>793.62211863582274</c:v>
                </c:pt>
                <c:pt idx="2496">
                  <c:v>793.93745079838925</c:v>
                </c:pt>
                <c:pt idx="2497">
                  <c:v>794.25278232165329</c:v>
                </c:pt>
                <c:pt idx="2498">
                  <c:v>794.5681132060522</c:v>
                </c:pt>
                <c:pt idx="2499">
                  <c:v>794.88344345202347</c:v>
                </c:pt>
                <c:pt idx="2500">
                  <c:v>795.19877306000308</c:v>
                </c:pt>
                <c:pt idx="2501">
                  <c:v>795.51410203042781</c:v>
                </c:pt>
                <c:pt idx="2502">
                  <c:v>795.82943036373274</c:v>
                </c:pt>
                <c:pt idx="2503">
                  <c:v>796.14475806035296</c:v>
                </c:pt>
                <c:pt idx="2504">
                  <c:v>796.46008512072319</c:v>
                </c:pt>
                <c:pt idx="2505">
                  <c:v>796.77541154527739</c:v>
                </c:pt>
                <c:pt idx="2506">
                  <c:v>797.09073733444916</c:v>
                </c:pt>
                <c:pt idx="2507">
                  <c:v>797.40606248867152</c:v>
                </c:pt>
                <c:pt idx="2508">
                  <c:v>797.72138700837706</c:v>
                </c:pt>
                <c:pt idx="2509">
                  <c:v>798.03671089399779</c:v>
                </c:pt>
                <c:pt idx="2510">
                  <c:v>798.35203414596526</c:v>
                </c:pt>
                <c:pt idx="2511">
                  <c:v>798.66735676471069</c:v>
                </c:pt>
                <c:pt idx="2512">
                  <c:v>798.9826787506646</c:v>
                </c:pt>
                <c:pt idx="2513">
                  <c:v>799.29800010425708</c:v>
                </c:pt>
                <c:pt idx="2514">
                  <c:v>799.61332082591764</c:v>
                </c:pt>
                <c:pt idx="2515">
                  <c:v>799.92864091607544</c:v>
                </c:pt>
                <c:pt idx="2516">
                  <c:v>800.24396037515919</c:v>
                </c:pt>
                <c:pt idx="2517">
                  <c:v>800.55927920359704</c:v>
                </c:pt>
                <c:pt idx="2518">
                  <c:v>800.87459740181612</c:v>
                </c:pt>
                <c:pt idx="2519">
                  <c:v>801.18991497024444</c:v>
                </c:pt>
                <c:pt idx="2520">
                  <c:v>801.50523190930789</c:v>
                </c:pt>
                <c:pt idx="2521">
                  <c:v>801.82054821943325</c:v>
                </c:pt>
                <c:pt idx="2522">
                  <c:v>802.13586390104592</c:v>
                </c:pt>
                <c:pt idx="2523">
                  <c:v>802.45117895457088</c:v>
                </c:pt>
                <c:pt idx="2524">
                  <c:v>802.7664933804333</c:v>
                </c:pt>
                <c:pt idx="2525">
                  <c:v>803.08180717905691</c:v>
                </c:pt>
                <c:pt idx="2526">
                  <c:v>803.39712035086598</c:v>
                </c:pt>
                <c:pt idx="2527">
                  <c:v>803.71243289628353</c:v>
                </c:pt>
                <c:pt idx="2528">
                  <c:v>804.02774481573238</c:v>
                </c:pt>
                <c:pt idx="2529">
                  <c:v>804.34305610963474</c:v>
                </c:pt>
                <c:pt idx="2530">
                  <c:v>804.65836677841264</c:v>
                </c:pt>
                <c:pt idx="2531">
                  <c:v>804.97367682248739</c:v>
                </c:pt>
                <c:pt idx="2532">
                  <c:v>805.28898624227975</c:v>
                </c:pt>
                <c:pt idx="2533">
                  <c:v>805.60429503821013</c:v>
                </c:pt>
                <c:pt idx="2534">
                  <c:v>805.91960321069848</c:v>
                </c:pt>
                <c:pt idx="2535">
                  <c:v>806.23491076016433</c:v>
                </c:pt>
                <c:pt idx="2536">
                  <c:v>806.55021768702659</c:v>
                </c:pt>
                <c:pt idx="2537">
                  <c:v>806.86552399170364</c:v>
                </c:pt>
                <c:pt idx="2538">
                  <c:v>807.18082967461373</c:v>
                </c:pt>
                <c:pt idx="2539">
                  <c:v>807.49613473617421</c:v>
                </c:pt>
                <c:pt idx="2540">
                  <c:v>807.81143917680231</c:v>
                </c:pt>
                <c:pt idx="2541">
                  <c:v>808.12674299691457</c:v>
                </c:pt>
                <c:pt idx="2542">
                  <c:v>808.44204619692721</c:v>
                </c:pt>
                <c:pt idx="2543">
                  <c:v>808.7573487772554</c:v>
                </c:pt>
                <c:pt idx="2544">
                  <c:v>809.07265073831513</c:v>
                </c:pt>
                <c:pt idx="2545">
                  <c:v>809.38795208052056</c:v>
                </c:pt>
                <c:pt idx="2546">
                  <c:v>809.70325280428642</c:v>
                </c:pt>
                <c:pt idx="2547">
                  <c:v>810.01855291002607</c:v>
                </c:pt>
                <c:pt idx="2548">
                  <c:v>810.33385239815289</c:v>
                </c:pt>
                <c:pt idx="2549">
                  <c:v>810.64915126907999</c:v>
                </c:pt>
                <c:pt idx="2550">
                  <c:v>810.96444952321929</c:v>
                </c:pt>
                <c:pt idx="2551">
                  <c:v>811.27974716098345</c:v>
                </c:pt>
                <c:pt idx="2552">
                  <c:v>811.59504418278334</c:v>
                </c:pt>
                <c:pt idx="2553">
                  <c:v>811.91034058903028</c:v>
                </c:pt>
                <c:pt idx="2554">
                  <c:v>812.22563638013469</c:v>
                </c:pt>
                <c:pt idx="2555">
                  <c:v>812.54093155650673</c:v>
                </c:pt>
                <c:pt idx="2556">
                  <c:v>812.85622611855592</c:v>
                </c:pt>
                <c:pt idx="2557">
                  <c:v>813.17152006669153</c:v>
                </c:pt>
                <c:pt idx="2558">
                  <c:v>813.48681340132225</c:v>
                </c:pt>
                <c:pt idx="2559">
                  <c:v>813.80210612285634</c:v>
                </c:pt>
                <c:pt idx="2560">
                  <c:v>814.1173982317016</c:v>
                </c:pt>
                <c:pt idx="2561">
                  <c:v>814.43268972826525</c:v>
                </c:pt>
                <c:pt idx="2562">
                  <c:v>814.74798061295428</c:v>
                </c:pt>
                <c:pt idx="2563">
                  <c:v>815.06327088617513</c:v>
                </c:pt>
                <c:pt idx="2564">
                  <c:v>815.37856054833378</c:v>
                </c:pt>
                <c:pt idx="2565">
                  <c:v>815.69384959983574</c:v>
                </c:pt>
                <c:pt idx="2566">
                  <c:v>816.00913804108598</c:v>
                </c:pt>
                <c:pt idx="2567">
                  <c:v>816.32442587248931</c:v>
                </c:pt>
                <c:pt idx="2568">
                  <c:v>816.63971309444946</c:v>
                </c:pt>
                <c:pt idx="2569">
                  <c:v>816.9549997073708</c:v>
                </c:pt>
                <c:pt idx="2570">
                  <c:v>817.2702857116559</c:v>
                </c:pt>
                <c:pt idx="2571">
                  <c:v>817.58557110770835</c:v>
                </c:pt>
                <c:pt idx="2572">
                  <c:v>817.90085589592991</c:v>
                </c:pt>
                <c:pt idx="2573">
                  <c:v>818.21614007672258</c:v>
                </c:pt>
                <c:pt idx="2574">
                  <c:v>818.53142365048802</c:v>
                </c:pt>
                <c:pt idx="2575">
                  <c:v>818.84670661762698</c:v>
                </c:pt>
                <c:pt idx="2576">
                  <c:v>819.16198897854042</c:v>
                </c:pt>
                <c:pt idx="2577">
                  <c:v>819.47727073362819</c:v>
                </c:pt>
                <c:pt idx="2578">
                  <c:v>819.79255188329012</c:v>
                </c:pt>
                <c:pt idx="2579">
                  <c:v>820.10783242792525</c:v>
                </c:pt>
                <c:pt idx="2580">
                  <c:v>820.42311236793262</c:v>
                </c:pt>
                <c:pt idx="2581">
                  <c:v>820.73839170371048</c:v>
                </c:pt>
                <c:pt idx="2582">
                  <c:v>821.05367043565673</c:v>
                </c:pt>
                <c:pt idx="2583">
                  <c:v>821.36894856416893</c:v>
                </c:pt>
                <c:pt idx="2584">
                  <c:v>821.68422608964408</c:v>
                </c:pt>
                <c:pt idx="2585">
                  <c:v>821.99950301247861</c:v>
                </c:pt>
                <c:pt idx="2586">
                  <c:v>822.31477933306894</c:v>
                </c:pt>
                <c:pt idx="2587">
                  <c:v>822.6300550518107</c:v>
                </c:pt>
                <c:pt idx="2588">
                  <c:v>822.94533016909907</c:v>
                </c:pt>
                <c:pt idx="2589">
                  <c:v>823.26060468532899</c:v>
                </c:pt>
                <c:pt idx="2590">
                  <c:v>823.57587860089495</c:v>
                </c:pt>
                <c:pt idx="2591">
                  <c:v>823.89115191619067</c:v>
                </c:pt>
                <c:pt idx="2592">
                  <c:v>824.20642463161005</c:v>
                </c:pt>
                <c:pt idx="2593">
                  <c:v>824.52169674754566</c:v>
                </c:pt>
                <c:pt idx="2594">
                  <c:v>824.83696826439086</c:v>
                </c:pt>
                <c:pt idx="2595">
                  <c:v>825.15223918253719</c:v>
                </c:pt>
                <c:pt idx="2596">
                  <c:v>825.4675095023772</c:v>
                </c:pt>
                <c:pt idx="2597">
                  <c:v>825.78277922430175</c:v>
                </c:pt>
                <c:pt idx="2598">
                  <c:v>826.0980483487017</c:v>
                </c:pt>
                <c:pt idx="2599">
                  <c:v>826.41331687596789</c:v>
                </c:pt>
                <c:pt idx="2600">
                  <c:v>826.72858480649006</c:v>
                </c:pt>
                <c:pt idx="2601">
                  <c:v>827.04385214065849</c:v>
                </c:pt>
                <c:pt idx="2602">
                  <c:v>827.35911887886175</c:v>
                </c:pt>
                <c:pt idx="2603">
                  <c:v>827.674385021489</c:v>
                </c:pt>
                <c:pt idx="2604">
                  <c:v>827.98965056892848</c:v>
                </c:pt>
                <c:pt idx="2605">
                  <c:v>828.30491552156809</c:v>
                </c:pt>
                <c:pt idx="2606">
                  <c:v>828.6201798797955</c:v>
                </c:pt>
                <c:pt idx="2607">
                  <c:v>828.93544364399781</c:v>
                </c:pt>
                <c:pt idx="2608">
                  <c:v>829.25070681456157</c:v>
                </c:pt>
                <c:pt idx="2609">
                  <c:v>829.56596939187307</c:v>
                </c:pt>
                <c:pt idx="2610">
                  <c:v>829.88123137631817</c:v>
                </c:pt>
                <c:pt idx="2611">
                  <c:v>830.19649276828227</c:v>
                </c:pt>
                <c:pt idx="2612">
                  <c:v>830.51175356815043</c:v>
                </c:pt>
                <c:pt idx="2613">
                  <c:v>830.82701377630701</c:v>
                </c:pt>
                <c:pt idx="2614">
                  <c:v>831.14227339313629</c:v>
                </c:pt>
                <c:pt idx="2615">
                  <c:v>831.45753241902207</c:v>
                </c:pt>
                <c:pt idx="2616">
                  <c:v>831.77279085434748</c:v>
                </c:pt>
                <c:pt idx="2617">
                  <c:v>832.08804869949574</c:v>
                </c:pt>
                <c:pt idx="2618">
                  <c:v>832.40330595484863</c:v>
                </c:pt>
                <c:pt idx="2619">
                  <c:v>832.71856262078893</c:v>
                </c:pt>
                <c:pt idx="2620">
                  <c:v>833.03381869769794</c:v>
                </c:pt>
                <c:pt idx="2621">
                  <c:v>833.34907418595697</c:v>
                </c:pt>
                <c:pt idx="2622">
                  <c:v>833.66432908594697</c:v>
                </c:pt>
                <c:pt idx="2623">
                  <c:v>833.97958339804779</c:v>
                </c:pt>
                <c:pt idx="2624">
                  <c:v>834.29483712264005</c:v>
                </c:pt>
                <c:pt idx="2625">
                  <c:v>834.61009026010265</c:v>
                </c:pt>
                <c:pt idx="2626">
                  <c:v>834.92534281081555</c:v>
                </c:pt>
                <c:pt idx="2627">
                  <c:v>835.24059477515698</c:v>
                </c:pt>
                <c:pt idx="2628">
                  <c:v>835.55584615350529</c:v>
                </c:pt>
                <c:pt idx="2629">
                  <c:v>835.87109694623848</c:v>
                </c:pt>
                <c:pt idx="2630">
                  <c:v>836.186347153734</c:v>
                </c:pt>
                <c:pt idx="2631">
                  <c:v>836.50159677636907</c:v>
                </c:pt>
                <c:pt idx="2632">
                  <c:v>836.81684581452021</c:v>
                </c:pt>
                <c:pt idx="2633">
                  <c:v>837.13209426856383</c:v>
                </c:pt>
                <c:pt idx="2634">
                  <c:v>837.44734213887591</c:v>
                </c:pt>
                <c:pt idx="2635">
                  <c:v>837.76258942583161</c:v>
                </c:pt>
                <c:pt idx="2636">
                  <c:v>838.0778361298062</c:v>
                </c:pt>
                <c:pt idx="2637">
                  <c:v>838.39308225117441</c:v>
                </c:pt>
                <c:pt idx="2638">
                  <c:v>838.70832779031025</c:v>
                </c:pt>
                <c:pt idx="2639">
                  <c:v>839.02357274758776</c:v>
                </c:pt>
                <c:pt idx="2640">
                  <c:v>839.3388171233803</c:v>
                </c:pt>
                <c:pt idx="2641">
                  <c:v>839.65406091806096</c:v>
                </c:pt>
                <c:pt idx="2642">
                  <c:v>839.96930413200255</c:v>
                </c:pt>
                <c:pt idx="2643">
                  <c:v>840.28454676557669</c:v>
                </c:pt>
                <c:pt idx="2644">
                  <c:v>840.59978881915595</c:v>
                </c:pt>
                <c:pt idx="2645">
                  <c:v>840.91503029311116</c:v>
                </c:pt>
                <c:pt idx="2646">
                  <c:v>841.23027118781397</c:v>
                </c:pt>
                <c:pt idx="2647">
                  <c:v>841.54551150363477</c:v>
                </c:pt>
                <c:pt idx="2648">
                  <c:v>841.86075124094339</c:v>
                </c:pt>
                <c:pt idx="2649">
                  <c:v>842.17599040011021</c:v>
                </c:pt>
                <c:pt idx="2650">
                  <c:v>842.49122898150404</c:v>
                </c:pt>
                <c:pt idx="2651">
                  <c:v>842.80646698549481</c:v>
                </c:pt>
                <c:pt idx="2652">
                  <c:v>843.12170441245053</c:v>
                </c:pt>
                <c:pt idx="2653">
                  <c:v>843.43694126273965</c:v>
                </c:pt>
                <c:pt idx="2654">
                  <c:v>843.75217753672996</c:v>
                </c:pt>
                <c:pt idx="2655">
                  <c:v>844.06741323478889</c:v>
                </c:pt>
                <c:pt idx="2656">
                  <c:v>844.38264835728364</c:v>
                </c:pt>
                <c:pt idx="2657">
                  <c:v>844.69788290458075</c:v>
                </c:pt>
                <c:pt idx="2658">
                  <c:v>845.01311687704663</c:v>
                </c:pt>
                <c:pt idx="2659">
                  <c:v>845.32835027504711</c:v>
                </c:pt>
                <c:pt idx="2660">
                  <c:v>845.64358309894772</c:v>
                </c:pt>
                <c:pt idx="2661">
                  <c:v>845.95881534911348</c:v>
                </c:pt>
                <c:pt idx="2662">
                  <c:v>846.27404702590911</c:v>
                </c:pt>
                <c:pt idx="2663">
                  <c:v>846.58927812969898</c:v>
                </c:pt>
                <c:pt idx="2664">
                  <c:v>846.90450866084711</c:v>
                </c:pt>
                <c:pt idx="2665">
                  <c:v>847.21973861971685</c:v>
                </c:pt>
                <c:pt idx="2666">
                  <c:v>847.53496800667153</c:v>
                </c:pt>
                <c:pt idx="2667">
                  <c:v>847.85019682207394</c:v>
                </c:pt>
                <c:pt idx="2668">
                  <c:v>848.16542506628616</c:v>
                </c:pt>
                <c:pt idx="2669">
                  <c:v>848.48065273967063</c:v>
                </c:pt>
                <c:pt idx="2670">
                  <c:v>848.79587984258865</c:v>
                </c:pt>
                <c:pt idx="2671">
                  <c:v>849.11110637540173</c:v>
                </c:pt>
                <c:pt idx="2672">
                  <c:v>849.4263323384705</c:v>
                </c:pt>
                <c:pt idx="2673">
                  <c:v>849.74155773215523</c:v>
                </c:pt>
                <c:pt idx="2674">
                  <c:v>850.05678255681642</c:v>
                </c:pt>
                <c:pt idx="2675">
                  <c:v>850.37200681281331</c:v>
                </c:pt>
                <c:pt idx="2676">
                  <c:v>850.68723050050573</c:v>
                </c:pt>
                <c:pt idx="2677">
                  <c:v>851.00245362025225</c:v>
                </c:pt>
                <c:pt idx="2678">
                  <c:v>851.31767617241155</c:v>
                </c:pt>
                <c:pt idx="2679">
                  <c:v>851.63289815734174</c:v>
                </c:pt>
                <c:pt idx="2680">
                  <c:v>851.94811957540071</c:v>
                </c:pt>
                <c:pt idx="2681">
                  <c:v>852.26334042694566</c:v>
                </c:pt>
                <c:pt idx="2682">
                  <c:v>852.5785607123338</c:v>
                </c:pt>
                <c:pt idx="2683">
                  <c:v>852.89378043192164</c:v>
                </c:pt>
                <c:pt idx="2684">
                  <c:v>853.2089995860656</c:v>
                </c:pt>
                <c:pt idx="2685">
                  <c:v>853.52421817512152</c:v>
                </c:pt>
                <c:pt idx="2686">
                  <c:v>853.839436199445</c:v>
                </c:pt>
                <c:pt idx="2687">
                  <c:v>854.15465365939099</c:v>
                </c:pt>
                <c:pt idx="2688">
                  <c:v>854.4698705553144</c:v>
                </c:pt>
                <c:pt idx="2689">
                  <c:v>854.78508688756949</c:v>
                </c:pt>
                <c:pt idx="2690">
                  <c:v>855.10030265651051</c:v>
                </c:pt>
                <c:pt idx="2691">
                  <c:v>855.4155178624909</c:v>
                </c:pt>
                <c:pt idx="2692">
                  <c:v>855.73073250586413</c:v>
                </c:pt>
                <c:pt idx="2693">
                  <c:v>856.04594658698261</c:v>
                </c:pt>
                <c:pt idx="2694">
                  <c:v>856.36116010619958</c:v>
                </c:pt>
                <c:pt idx="2695">
                  <c:v>856.67637306386666</c:v>
                </c:pt>
                <c:pt idx="2696">
                  <c:v>856.99158546033595</c:v>
                </c:pt>
                <c:pt idx="2697">
                  <c:v>857.30679729595886</c:v>
                </c:pt>
                <c:pt idx="2698">
                  <c:v>857.62200857108598</c:v>
                </c:pt>
                <c:pt idx="2699">
                  <c:v>857.93721928606851</c:v>
                </c:pt>
                <c:pt idx="2700">
                  <c:v>858.25242944125637</c:v>
                </c:pt>
                <c:pt idx="2701">
                  <c:v>858.56763903699982</c:v>
                </c:pt>
                <c:pt idx="2702">
                  <c:v>858.88284807364835</c:v>
                </c:pt>
                <c:pt idx="2703">
                  <c:v>859.19805655155096</c:v>
                </c:pt>
                <c:pt idx="2704">
                  <c:v>859.51326447105669</c:v>
                </c:pt>
                <c:pt idx="2705">
                  <c:v>859.82847183251397</c:v>
                </c:pt>
                <c:pt idx="2706">
                  <c:v>860.14367863627081</c:v>
                </c:pt>
                <c:pt idx="2707">
                  <c:v>860.45888488267508</c:v>
                </c:pt>
                <c:pt idx="2708">
                  <c:v>860.7740905720741</c:v>
                </c:pt>
                <c:pt idx="2709">
                  <c:v>861.08929570481484</c:v>
                </c:pt>
                <c:pt idx="2710">
                  <c:v>861.40450028124394</c:v>
                </c:pt>
                <c:pt idx="2711">
                  <c:v>861.71970430170779</c:v>
                </c:pt>
                <c:pt idx="2712">
                  <c:v>862.03490776655224</c:v>
                </c:pt>
                <c:pt idx="2713">
                  <c:v>862.35011067612288</c:v>
                </c:pt>
                <c:pt idx="2714">
                  <c:v>862.66531303076476</c:v>
                </c:pt>
                <c:pt idx="2715">
                  <c:v>862.98051483082293</c:v>
                </c:pt>
                <c:pt idx="2716">
                  <c:v>863.29571607664184</c:v>
                </c:pt>
                <c:pt idx="2717">
                  <c:v>863.61091676856563</c:v>
                </c:pt>
                <c:pt idx="2718">
                  <c:v>863.92611690693752</c:v>
                </c:pt>
                <c:pt idx="2719">
                  <c:v>864.24131649210187</c:v>
                </c:pt>
                <c:pt idx="2720">
                  <c:v>864.55651552440088</c:v>
                </c:pt>
                <c:pt idx="2721">
                  <c:v>864.87171400417787</c:v>
                </c:pt>
                <c:pt idx="2722">
                  <c:v>865.18691193177483</c:v>
                </c:pt>
                <c:pt idx="2723">
                  <c:v>865.5021093075336</c:v>
                </c:pt>
                <c:pt idx="2724">
                  <c:v>865.81730613179616</c:v>
                </c:pt>
                <c:pt idx="2725">
                  <c:v>866.13250240490322</c:v>
                </c:pt>
                <c:pt idx="2726">
                  <c:v>866.44769812719642</c:v>
                </c:pt>
                <c:pt idx="2727">
                  <c:v>866.76289329901579</c:v>
                </c:pt>
                <c:pt idx="2728">
                  <c:v>867.07808792070171</c:v>
                </c:pt>
                <c:pt idx="2729">
                  <c:v>867.39328199259387</c:v>
                </c:pt>
                <c:pt idx="2730">
                  <c:v>867.70847551503198</c:v>
                </c:pt>
                <c:pt idx="2731">
                  <c:v>868.02366848835504</c:v>
                </c:pt>
                <c:pt idx="2732">
                  <c:v>868.33886091290196</c:v>
                </c:pt>
                <c:pt idx="2733">
                  <c:v>868.65405278901096</c:v>
                </c:pt>
                <c:pt idx="2734">
                  <c:v>868.96924411702025</c:v>
                </c:pt>
                <c:pt idx="2735">
                  <c:v>869.28443489726772</c:v>
                </c:pt>
                <c:pt idx="2736">
                  <c:v>869.59962513009043</c:v>
                </c:pt>
                <c:pt idx="2737">
                  <c:v>869.91481481582559</c:v>
                </c:pt>
                <c:pt idx="2738">
                  <c:v>870.23000395480994</c:v>
                </c:pt>
                <c:pt idx="2739">
                  <c:v>870.54519254737977</c:v>
                </c:pt>
                <c:pt idx="2740">
                  <c:v>870.86038059387101</c:v>
                </c:pt>
                <c:pt idx="2741">
                  <c:v>871.17556809461928</c:v>
                </c:pt>
                <c:pt idx="2742">
                  <c:v>871.49075504996017</c:v>
                </c:pt>
                <c:pt idx="2743">
                  <c:v>871.80594146022804</c:v>
                </c:pt>
                <c:pt idx="2744">
                  <c:v>872.12112732575815</c:v>
                </c:pt>
                <c:pt idx="2745">
                  <c:v>872.43631264688429</c:v>
                </c:pt>
                <c:pt idx="2746">
                  <c:v>872.75149742394069</c:v>
                </c:pt>
                <c:pt idx="2747">
                  <c:v>873.0666816572608</c:v>
                </c:pt>
                <c:pt idx="2748">
                  <c:v>873.38186534717772</c:v>
                </c:pt>
                <c:pt idx="2749">
                  <c:v>873.69704849402456</c:v>
                </c:pt>
                <c:pt idx="2750">
                  <c:v>874.01223109813338</c:v>
                </c:pt>
                <c:pt idx="2751">
                  <c:v>874.32741315983719</c:v>
                </c:pt>
                <c:pt idx="2752">
                  <c:v>874.64259467946715</c:v>
                </c:pt>
                <c:pt idx="2753">
                  <c:v>874.95777565735511</c:v>
                </c:pt>
                <c:pt idx="2754">
                  <c:v>875.27295609383214</c:v>
                </c:pt>
                <c:pt idx="2755">
                  <c:v>875.58813598922904</c:v>
                </c:pt>
                <c:pt idx="2756">
                  <c:v>875.90331534387644</c:v>
                </c:pt>
                <c:pt idx="2757">
                  <c:v>876.21849415810436</c:v>
                </c:pt>
                <c:pt idx="2758">
                  <c:v>876.53367243224261</c:v>
                </c:pt>
                <c:pt idx="2759">
                  <c:v>876.84885016662076</c:v>
                </c:pt>
                <c:pt idx="2760">
                  <c:v>877.16402736156795</c:v>
                </c:pt>
                <c:pt idx="2761">
                  <c:v>877.47920401741294</c:v>
                </c:pt>
                <c:pt idx="2762">
                  <c:v>877.79438013448419</c:v>
                </c:pt>
                <c:pt idx="2763">
                  <c:v>878.1095557131099</c:v>
                </c:pt>
                <c:pt idx="2764">
                  <c:v>878.42473075361772</c:v>
                </c:pt>
                <c:pt idx="2765">
                  <c:v>878.73990525633531</c:v>
                </c:pt>
                <c:pt idx="2766">
                  <c:v>879.05507922158961</c:v>
                </c:pt>
                <c:pt idx="2767">
                  <c:v>879.3702526497076</c:v>
                </c:pt>
                <c:pt idx="2768">
                  <c:v>879.68542554101532</c:v>
                </c:pt>
                <c:pt idx="2769">
                  <c:v>880.00059789583952</c:v>
                </c:pt>
                <c:pt idx="2770">
                  <c:v>880.31576971450534</c:v>
                </c:pt>
                <c:pt idx="2771">
                  <c:v>880.63094099733894</c:v>
                </c:pt>
                <c:pt idx="2772">
                  <c:v>880.9461117446649</c:v>
                </c:pt>
                <c:pt idx="2773">
                  <c:v>881.26128195680803</c:v>
                </c:pt>
                <c:pt idx="2774">
                  <c:v>881.57645163409325</c:v>
                </c:pt>
                <c:pt idx="2775">
                  <c:v>881.89162077684398</c:v>
                </c:pt>
                <c:pt idx="2776">
                  <c:v>882.2067893853847</c:v>
                </c:pt>
                <c:pt idx="2777">
                  <c:v>882.52195746003861</c:v>
                </c:pt>
                <c:pt idx="2778">
                  <c:v>882.83712500112881</c:v>
                </c:pt>
                <c:pt idx="2779">
                  <c:v>883.15229200897818</c:v>
                </c:pt>
                <c:pt idx="2780">
                  <c:v>883.46745848390913</c:v>
                </c:pt>
                <c:pt idx="2781">
                  <c:v>883.78262442624384</c:v>
                </c:pt>
                <c:pt idx="2782">
                  <c:v>884.09778983630429</c:v>
                </c:pt>
                <c:pt idx="2783">
                  <c:v>884.41295471441185</c:v>
                </c:pt>
                <c:pt idx="2784">
                  <c:v>884.72811906088759</c:v>
                </c:pt>
                <c:pt idx="2785">
                  <c:v>885.04328287605267</c:v>
                </c:pt>
                <c:pt idx="2786">
                  <c:v>885.35844616022734</c:v>
                </c:pt>
                <c:pt idx="2787">
                  <c:v>885.67360891373198</c:v>
                </c:pt>
                <c:pt idx="2788">
                  <c:v>885.98877113688627</c:v>
                </c:pt>
                <c:pt idx="2789">
                  <c:v>886.30393283001001</c:v>
                </c:pt>
                <c:pt idx="2790">
                  <c:v>886.61909399342221</c:v>
                </c:pt>
                <c:pt idx="2791">
                  <c:v>886.93425462744199</c:v>
                </c:pt>
                <c:pt idx="2792">
                  <c:v>887.24941473238778</c:v>
                </c:pt>
                <c:pt idx="2793">
                  <c:v>887.56457430857768</c:v>
                </c:pt>
                <c:pt idx="2794">
                  <c:v>887.87973335633012</c:v>
                </c:pt>
                <c:pt idx="2795">
                  <c:v>888.19489187596218</c:v>
                </c:pt>
                <c:pt idx="2796">
                  <c:v>888.51004986779174</c:v>
                </c:pt>
                <c:pt idx="2797">
                  <c:v>888.82520733213539</c:v>
                </c:pt>
                <c:pt idx="2798">
                  <c:v>889.14036426930966</c:v>
                </c:pt>
                <c:pt idx="2799">
                  <c:v>889.45552067963126</c:v>
                </c:pt>
                <c:pt idx="2800">
                  <c:v>889.77067656341569</c:v>
                </c:pt>
                <c:pt idx="2801">
                  <c:v>890.08583192097944</c:v>
                </c:pt>
                <c:pt idx="2802">
                  <c:v>890.40098675263721</c:v>
                </c:pt>
                <c:pt idx="2803">
                  <c:v>890.71614105870435</c:v>
                </c:pt>
                <c:pt idx="2804">
                  <c:v>891.03129483949567</c:v>
                </c:pt>
                <c:pt idx="2805">
                  <c:v>891.3464480953254</c:v>
                </c:pt>
                <c:pt idx="2806">
                  <c:v>891.66160082650777</c:v>
                </c:pt>
                <c:pt idx="2807">
                  <c:v>891.97675303335666</c:v>
                </c:pt>
                <c:pt idx="2808">
                  <c:v>892.2919047161854</c:v>
                </c:pt>
                <c:pt idx="2809">
                  <c:v>892.6070558753072</c:v>
                </c:pt>
                <c:pt idx="2810">
                  <c:v>892.92220651103503</c:v>
                </c:pt>
                <c:pt idx="2811">
                  <c:v>893.23735662368131</c:v>
                </c:pt>
                <c:pt idx="2812">
                  <c:v>893.55250621355833</c:v>
                </c:pt>
                <c:pt idx="2813">
                  <c:v>893.86765528097794</c:v>
                </c:pt>
                <c:pt idx="2814">
                  <c:v>894.18280382625176</c:v>
                </c:pt>
                <c:pt idx="2815">
                  <c:v>894.49795184969128</c:v>
                </c:pt>
                <c:pt idx="2816">
                  <c:v>894.81309935160721</c:v>
                </c:pt>
                <c:pt idx="2817">
                  <c:v>895.12824633231037</c:v>
                </c:pt>
                <c:pt idx="2818">
                  <c:v>895.44339279211079</c:v>
                </c:pt>
                <c:pt idx="2819">
                  <c:v>895.75853873131916</c:v>
                </c:pt>
                <c:pt idx="2820">
                  <c:v>896.07368415024462</c:v>
                </c:pt>
                <c:pt idx="2821">
                  <c:v>896.38882904919694</c:v>
                </c:pt>
                <c:pt idx="2822">
                  <c:v>896.70397342848526</c:v>
                </c:pt>
                <c:pt idx="2823">
                  <c:v>897.01911728841799</c:v>
                </c:pt>
                <c:pt idx="2824">
                  <c:v>897.33426062930414</c:v>
                </c:pt>
                <c:pt idx="2825">
                  <c:v>897.64940345145135</c:v>
                </c:pt>
                <c:pt idx="2826">
                  <c:v>897.96454575516805</c:v>
                </c:pt>
                <c:pt idx="2827">
                  <c:v>898.27968754076164</c:v>
                </c:pt>
                <c:pt idx="2828">
                  <c:v>898.59482880853921</c:v>
                </c:pt>
                <c:pt idx="2829">
                  <c:v>898.90996955880792</c:v>
                </c:pt>
                <c:pt idx="2830">
                  <c:v>899.22510979187439</c:v>
                </c:pt>
                <c:pt idx="2831">
                  <c:v>899.54024950804489</c:v>
                </c:pt>
                <c:pt idx="2832">
                  <c:v>899.85538870762548</c:v>
                </c:pt>
                <c:pt idx="2833">
                  <c:v>900.17052739092208</c:v>
                </c:pt>
                <c:pt idx="2834">
                  <c:v>900.48566555824004</c:v>
                </c:pt>
                <c:pt idx="2835">
                  <c:v>900.80080320988441</c:v>
                </c:pt>
                <c:pt idx="2836">
                  <c:v>901.11594034616007</c:v>
                </c:pt>
                <c:pt idx="2837">
                  <c:v>901.43107696737161</c:v>
                </c:pt>
                <c:pt idx="2838">
                  <c:v>901.74621307382324</c:v>
                </c:pt>
                <c:pt idx="2839">
                  <c:v>902.06134866581885</c:v>
                </c:pt>
                <c:pt idx="2840">
                  <c:v>902.37648374366211</c:v>
                </c:pt>
                <c:pt idx="2841">
                  <c:v>902.69161830765631</c:v>
                </c:pt>
                <c:pt idx="2842">
                  <c:v>903.00675235810456</c:v>
                </c:pt>
                <c:pt idx="2843">
                  <c:v>903.32188589530926</c:v>
                </c:pt>
                <c:pt idx="2844">
                  <c:v>903.63701891957339</c:v>
                </c:pt>
                <c:pt idx="2845">
                  <c:v>903.95215143119856</c:v>
                </c:pt>
                <c:pt idx="2846">
                  <c:v>904.26728343048705</c:v>
                </c:pt>
                <c:pt idx="2847">
                  <c:v>904.58241491774027</c:v>
                </c:pt>
                <c:pt idx="2848">
                  <c:v>904.89754589325901</c:v>
                </c:pt>
                <c:pt idx="2849">
                  <c:v>905.21267635734478</c:v>
                </c:pt>
                <c:pt idx="2850">
                  <c:v>905.52780631029759</c:v>
                </c:pt>
                <c:pt idx="2851">
                  <c:v>905.84293575241861</c:v>
                </c:pt>
                <c:pt idx="2852">
                  <c:v>906.15806468400729</c:v>
                </c:pt>
                <c:pt idx="2853">
                  <c:v>906.47319310536352</c:v>
                </c:pt>
                <c:pt idx="2854">
                  <c:v>906.78832101678677</c:v>
                </c:pt>
                <c:pt idx="2855">
                  <c:v>907.10344841857614</c:v>
                </c:pt>
                <c:pt idx="2856">
                  <c:v>907.41857531103051</c:v>
                </c:pt>
                <c:pt idx="2857">
                  <c:v>907.73370169444854</c:v>
                </c:pt>
                <c:pt idx="2858">
                  <c:v>908.04882756912843</c:v>
                </c:pt>
                <c:pt idx="2859">
                  <c:v>908.36395293536827</c:v>
                </c:pt>
                <c:pt idx="2860">
                  <c:v>908.67907779346547</c:v>
                </c:pt>
                <c:pt idx="2861">
                  <c:v>908.99420214371776</c:v>
                </c:pt>
                <c:pt idx="2862">
                  <c:v>909.30932598642198</c:v>
                </c:pt>
                <c:pt idx="2863">
                  <c:v>909.62444932187509</c:v>
                </c:pt>
                <c:pt idx="2864">
                  <c:v>909.93957215037358</c:v>
                </c:pt>
                <c:pt idx="2865">
                  <c:v>910.2546944722136</c:v>
                </c:pt>
                <c:pt idx="2866">
                  <c:v>910.5698162876912</c:v>
                </c:pt>
                <c:pt idx="2867">
                  <c:v>910.88493759710207</c:v>
                </c:pt>
                <c:pt idx="2868">
                  <c:v>911.20005840074111</c:v>
                </c:pt>
                <c:pt idx="2869">
                  <c:v>911.51517869890415</c:v>
                </c:pt>
                <c:pt idx="2870">
                  <c:v>911.83029849188529</c:v>
                </c:pt>
                <c:pt idx="2871">
                  <c:v>912.14541777997954</c:v>
                </c:pt>
                <c:pt idx="2872">
                  <c:v>912.4605365634809</c:v>
                </c:pt>
                <c:pt idx="2873">
                  <c:v>912.77565484268291</c:v>
                </c:pt>
                <c:pt idx="2874">
                  <c:v>913.09077261787991</c:v>
                </c:pt>
                <c:pt idx="2875">
                  <c:v>913.4058898893644</c:v>
                </c:pt>
                <c:pt idx="2876">
                  <c:v>913.72100665743028</c:v>
                </c:pt>
                <c:pt idx="2877">
                  <c:v>914.03612292236971</c:v>
                </c:pt>
                <c:pt idx="2878">
                  <c:v>914.35123868447556</c:v>
                </c:pt>
                <c:pt idx="2879">
                  <c:v>914.66635394403966</c:v>
                </c:pt>
                <c:pt idx="2880">
                  <c:v>914.98146870135429</c:v>
                </c:pt>
                <c:pt idx="2881">
                  <c:v>915.29658295671084</c:v>
                </c:pt>
                <c:pt idx="2882">
                  <c:v>915.61169671040057</c:v>
                </c:pt>
                <c:pt idx="2883">
                  <c:v>915.92680996271486</c:v>
                </c:pt>
                <c:pt idx="2884">
                  <c:v>916.24192271394418</c:v>
                </c:pt>
                <c:pt idx="2885">
                  <c:v>916.55703496437911</c:v>
                </c:pt>
                <c:pt idx="2886">
                  <c:v>916.87214671431002</c:v>
                </c:pt>
                <c:pt idx="2887">
                  <c:v>917.18725796402657</c:v>
                </c:pt>
                <c:pt idx="2888">
                  <c:v>917.50236871381856</c:v>
                </c:pt>
                <c:pt idx="2889">
                  <c:v>917.8174789639753</c:v>
                </c:pt>
                <c:pt idx="2890">
                  <c:v>918.13258871478592</c:v>
                </c:pt>
                <c:pt idx="2891">
                  <c:v>918.44769796653918</c:v>
                </c:pt>
                <c:pt idx="2892">
                  <c:v>918.76280671952372</c:v>
                </c:pt>
                <c:pt idx="2893">
                  <c:v>919.07791497402729</c:v>
                </c:pt>
                <c:pt idx="2894">
                  <c:v>919.39302273033854</c:v>
                </c:pt>
                <c:pt idx="2895">
                  <c:v>919.70812998874464</c:v>
                </c:pt>
                <c:pt idx="2896">
                  <c:v>920.02323674953345</c:v>
                </c:pt>
                <c:pt idx="2897">
                  <c:v>920.3383430129918</c:v>
                </c:pt>
                <c:pt idx="2898">
                  <c:v>920.65344877940629</c:v>
                </c:pt>
                <c:pt idx="2899">
                  <c:v>920.96855404906398</c:v>
                </c:pt>
                <c:pt idx="2900">
                  <c:v>921.28365882225057</c:v>
                </c:pt>
                <c:pt idx="2901">
                  <c:v>921.59876309925289</c:v>
                </c:pt>
                <c:pt idx="2902">
                  <c:v>921.91386688035595</c:v>
                </c:pt>
                <c:pt idx="2903">
                  <c:v>922.22897016584557</c:v>
                </c:pt>
                <c:pt idx="2904">
                  <c:v>922.54407295600674</c:v>
                </c:pt>
                <c:pt idx="2905">
                  <c:v>922.85917525112461</c:v>
                </c:pt>
                <c:pt idx="2906">
                  <c:v>923.1742770514835</c:v>
                </c:pt>
                <c:pt idx="2907">
                  <c:v>923.48937835736808</c:v>
                </c:pt>
                <c:pt idx="2908">
                  <c:v>923.80447916906223</c:v>
                </c:pt>
                <c:pt idx="2909">
                  <c:v>924.11957948684972</c:v>
                </c:pt>
                <c:pt idx="2910">
                  <c:v>924.43467931101429</c:v>
                </c:pt>
                <c:pt idx="2911">
                  <c:v>924.74977864183904</c:v>
                </c:pt>
                <c:pt idx="2912">
                  <c:v>925.06487747960705</c:v>
                </c:pt>
                <c:pt idx="2913">
                  <c:v>925.37997582460093</c:v>
                </c:pt>
                <c:pt idx="2914">
                  <c:v>925.69507367710321</c:v>
                </c:pt>
                <c:pt idx="2915">
                  <c:v>926.01017103739605</c:v>
                </c:pt>
                <c:pt idx="2916">
                  <c:v>926.32526790576139</c:v>
                </c:pt>
                <c:pt idx="2917">
                  <c:v>926.64036428248085</c:v>
                </c:pt>
                <c:pt idx="2918">
                  <c:v>926.95546016783544</c:v>
                </c:pt>
                <c:pt idx="2919">
                  <c:v>927.27055556210689</c:v>
                </c:pt>
                <c:pt idx="2920">
                  <c:v>927.58565046557544</c:v>
                </c:pt>
                <c:pt idx="2921">
                  <c:v>927.90074487852223</c:v>
                </c:pt>
                <c:pt idx="2922">
                  <c:v>928.21583880122705</c:v>
                </c:pt>
                <c:pt idx="2923">
                  <c:v>928.53093223396991</c:v>
                </c:pt>
                <c:pt idx="2924">
                  <c:v>928.84602517703092</c:v>
                </c:pt>
                <c:pt idx="2925">
                  <c:v>929.16111763068898</c:v>
                </c:pt>
                <c:pt idx="2926">
                  <c:v>929.47620959522396</c:v>
                </c:pt>
                <c:pt idx="2927">
                  <c:v>929.79130107091441</c:v>
                </c:pt>
                <c:pt idx="2928">
                  <c:v>930.10639205803909</c:v>
                </c:pt>
                <c:pt idx="2929">
                  <c:v>930.42148255687641</c:v>
                </c:pt>
                <c:pt idx="2930">
                  <c:v>930.73657256770446</c:v>
                </c:pt>
                <c:pt idx="2931">
                  <c:v>931.05166209080119</c:v>
                </c:pt>
                <c:pt idx="2932">
                  <c:v>931.36675112644411</c:v>
                </c:pt>
                <c:pt idx="2933">
                  <c:v>931.68183967491063</c:v>
                </c:pt>
                <c:pt idx="2934">
                  <c:v>931.9969277364778</c:v>
                </c:pt>
                <c:pt idx="2935">
                  <c:v>932.31201531142256</c:v>
                </c:pt>
                <c:pt idx="2936">
                  <c:v>932.62710240002127</c:v>
                </c:pt>
                <c:pt idx="2937">
                  <c:v>932.94218900255032</c:v>
                </c:pt>
                <c:pt idx="2938">
                  <c:v>933.25727511928562</c:v>
                </c:pt>
                <c:pt idx="2939">
                  <c:v>933.57236075050309</c:v>
                </c:pt>
                <c:pt idx="2940">
                  <c:v>933.8874458964782</c:v>
                </c:pt>
                <c:pt idx="2941">
                  <c:v>934.20253055748606</c:v>
                </c:pt>
                <c:pt idx="2942">
                  <c:v>934.51761473380179</c:v>
                </c:pt>
                <c:pt idx="2943">
                  <c:v>934.83269842569973</c:v>
                </c:pt>
                <c:pt idx="2944">
                  <c:v>935.147781633455</c:v>
                </c:pt>
                <c:pt idx="2945">
                  <c:v>935.46286435734112</c:v>
                </c:pt>
                <c:pt idx="2946">
                  <c:v>935.77794659763254</c:v>
                </c:pt>
                <c:pt idx="2947">
                  <c:v>936.09302835460267</c:v>
                </c:pt>
                <c:pt idx="2948">
                  <c:v>936.40810962852481</c:v>
                </c:pt>
                <c:pt idx="2949">
                  <c:v>936.72319041967239</c:v>
                </c:pt>
                <c:pt idx="2950">
                  <c:v>937.0382707283178</c:v>
                </c:pt>
                <c:pt idx="2951">
                  <c:v>937.35335055473433</c:v>
                </c:pt>
                <c:pt idx="2952">
                  <c:v>937.66842989919382</c:v>
                </c:pt>
                <c:pt idx="2953">
                  <c:v>937.98350876196878</c:v>
                </c:pt>
                <c:pt idx="2954">
                  <c:v>938.29858714333079</c:v>
                </c:pt>
                <c:pt idx="2955">
                  <c:v>938.61366504355146</c:v>
                </c:pt>
                <c:pt idx="2956">
                  <c:v>938.92874246290228</c:v>
                </c:pt>
                <c:pt idx="2957">
                  <c:v>939.24381940165415</c:v>
                </c:pt>
                <c:pt idx="2958">
                  <c:v>939.55889586007811</c:v>
                </c:pt>
                <c:pt idx="2959">
                  <c:v>939.8739718384445</c:v>
                </c:pt>
                <c:pt idx="2960">
                  <c:v>940.18904733702391</c:v>
                </c:pt>
                <c:pt idx="2961">
                  <c:v>940.5041223560861</c:v>
                </c:pt>
                <c:pt idx="2962">
                  <c:v>940.81919689590097</c:v>
                </c:pt>
                <c:pt idx="2963">
                  <c:v>941.13427095673819</c:v>
                </c:pt>
                <c:pt idx="2964">
                  <c:v>941.44934453886697</c:v>
                </c:pt>
                <c:pt idx="2965">
                  <c:v>941.76441764255628</c:v>
                </c:pt>
                <c:pt idx="2966">
                  <c:v>942.07949026807501</c:v>
                </c:pt>
                <c:pt idx="2967">
                  <c:v>942.39456241569178</c:v>
                </c:pt>
                <c:pt idx="2968">
                  <c:v>942.70963408567445</c:v>
                </c:pt>
                <c:pt idx="2969">
                  <c:v>943.02470527829155</c:v>
                </c:pt>
                <c:pt idx="2970">
                  <c:v>943.33977599381046</c:v>
                </c:pt>
                <c:pt idx="2971">
                  <c:v>943.65484623249915</c:v>
                </c:pt>
                <c:pt idx="2972">
                  <c:v>943.96991599462467</c:v>
                </c:pt>
                <c:pt idx="2973">
                  <c:v>944.28498528045361</c:v>
                </c:pt>
                <c:pt idx="2974">
                  <c:v>944.60005409025348</c:v>
                </c:pt>
                <c:pt idx="2975">
                  <c:v>944.91512242429008</c:v>
                </c:pt>
                <c:pt idx="2976">
                  <c:v>945.23019028283034</c:v>
                </c:pt>
                <c:pt idx="2977">
                  <c:v>945.54525766613983</c:v>
                </c:pt>
                <c:pt idx="2978">
                  <c:v>945.86032457448448</c:v>
                </c:pt>
                <c:pt idx="2979">
                  <c:v>946.17539100812985</c:v>
                </c:pt>
                <c:pt idx="2980">
                  <c:v>946.49045696734106</c:v>
                </c:pt>
                <c:pt idx="2981">
                  <c:v>946.80552245238323</c:v>
                </c:pt>
                <c:pt idx="2982">
                  <c:v>947.12058746352113</c:v>
                </c:pt>
                <c:pt idx="2983">
                  <c:v>947.43565200101921</c:v>
                </c:pt>
                <c:pt idx="2984">
                  <c:v>947.75071606514177</c:v>
                </c:pt>
                <c:pt idx="2985">
                  <c:v>948.06577965615293</c:v>
                </c:pt>
                <c:pt idx="2986">
                  <c:v>948.38084277431631</c:v>
                </c:pt>
                <c:pt idx="2987">
                  <c:v>948.69590541989567</c:v>
                </c:pt>
                <c:pt idx="2988">
                  <c:v>949.01096759315408</c:v>
                </c:pt>
                <c:pt idx="2989">
                  <c:v>949.32602929435461</c:v>
                </c:pt>
                <c:pt idx="2990">
                  <c:v>949.64109052376023</c:v>
                </c:pt>
                <c:pt idx="2991">
                  <c:v>949.95615128163331</c:v>
                </c:pt>
                <c:pt idx="2992">
                  <c:v>950.27121156823625</c:v>
                </c:pt>
                <c:pt idx="2993">
                  <c:v>950.58627138383076</c:v>
                </c:pt>
                <c:pt idx="2994">
                  <c:v>950.90133072867934</c:v>
                </c:pt>
                <c:pt idx="2995">
                  <c:v>951.21638960304301</c:v>
                </c:pt>
                <c:pt idx="2996">
                  <c:v>951.53144800718337</c:v>
                </c:pt>
                <c:pt idx="2997">
                  <c:v>951.84650594136144</c:v>
                </c:pt>
                <c:pt idx="2998">
                  <c:v>952.1615634058378</c:v>
                </c:pt>
                <c:pt idx="2999">
                  <c:v>952.47662040087357</c:v>
                </c:pt>
                <c:pt idx="3000">
                  <c:v>952.79167692672831</c:v>
                </c:pt>
                <c:pt idx="3001">
                  <c:v>953.10673298366305</c:v>
                </c:pt>
                <c:pt idx="3002">
                  <c:v>953.4217885719371</c:v>
                </c:pt>
                <c:pt idx="3003">
                  <c:v>953.73684369181024</c:v>
                </c:pt>
                <c:pt idx="3004">
                  <c:v>954.05189834354178</c:v>
                </c:pt>
                <c:pt idx="3005">
                  <c:v>954.36695252739105</c:v>
                </c:pt>
                <c:pt idx="3006">
                  <c:v>954.68200624361668</c:v>
                </c:pt>
                <c:pt idx="3007">
                  <c:v>954.99705949247755</c:v>
                </c:pt>
                <c:pt idx="3008">
                  <c:v>955.31211227423194</c:v>
                </c:pt>
                <c:pt idx="3009">
                  <c:v>955.62716458913815</c:v>
                </c:pt>
                <c:pt idx="3010">
                  <c:v>955.94221643745402</c:v>
                </c:pt>
                <c:pt idx="3011">
                  <c:v>956.2572678194374</c:v>
                </c:pt>
                <c:pt idx="3012">
                  <c:v>956.57231873534568</c:v>
                </c:pt>
                <c:pt idx="3013">
                  <c:v>956.887369185436</c:v>
                </c:pt>
                <c:pt idx="3014">
                  <c:v>957.20241916996554</c:v>
                </c:pt>
                <c:pt idx="3015">
                  <c:v>957.51746868919088</c:v>
                </c:pt>
                <c:pt idx="3016">
                  <c:v>957.83251774336861</c:v>
                </c:pt>
                <c:pt idx="3017">
                  <c:v>958.14756633275499</c:v>
                </c:pt>
                <c:pt idx="3018">
                  <c:v>958.46261445760592</c:v>
                </c:pt>
                <c:pt idx="3019">
                  <c:v>958.77766211817755</c:v>
                </c:pt>
                <c:pt idx="3020">
                  <c:v>959.09270931472508</c:v>
                </c:pt>
                <c:pt idx="3021">
                  <c:v>959.40775604750422</c:v>
                </c:pt>
                <c:pt idx="3022">
                  <c:v>959.72280231676984</c:v>
                </c:pt>
                <c:pt idx="3023">
                  <c:v>960.03784812277661</c:v>
                </c:pt>
                <c:pt idx="3024">
                  <c:v>960.35289346577952</c:v>
                </c:pt>
                <c:pt idx="3025">
                  <c:v>960.66793834603243</c:v>
                </c:pt>
                <c:pt idx="3026">
                  <c:v>960.98298276379035</c:v>
                </c:pt>
                <c:pt idx="3027">
                  <c:v>961.29802671930645</c:v>
                </c:pt>
                <c:pt idx="3028">
                  <c:v>961.61307021283483</c:v>
                </c:pt>
                <c:pt idx="3029">
                  <c:v>961.92811324462866</c:v>
                </c:pt>
                <c:pt idx="3030">
                  <c:v>962.24315581494136</c:v>
                </c:pt>
                <c:pt idx="3031">
                  <c:v>962.55819792402576</c:v>
                </c:pt>
                <c:pt idx="3032">
                  <c:v>962.87323957213482</c:v>
                </c:pt>
                <c:pt idx="3033">
                  <c:v>963.18828075952092</c:v>
                </c:pt>
                <c:pt idx="3034">
                  <c:v>963.50332148643633</c:v>
                </c:pt>
                <c:pt idx="3035">
                  <c:v>963.8183617531331</c:v>
                </c:pt>
                <c:pt idx="3036">
                  <c:v>964.13340155986327</c:v>
                </c:pt>
                <c:pt idx="3037">
                  <c:v>964.4484409068782</c:v>
                </c:pt>
                <c:pt idx="3038">
                  <c:v>964.76347979442926</c:v>
                </c:pt>
                <c:pt idx="3039">
                  <c:v>965.07851822276768</c:v>
                </c:pt>
                <c:pt idx="3040">
                  <c:v>965.39355619214439</c:v>
                </c:pt>
                <c:pt idx="3041">
                  <c:v>965.70859370281005</c:v>
                </c:pt>
                <c:pt idx="3042">
                  <c:v>966.02363075501512</c:v>
                </c:pt>
                <c:pt idx="3043">
                  <c:v>966.33866734900937</c:v>
                </c:pt>
                <c:pt idx="3044">
                  <c:v>966.65370348504359</c:v>
                </c:pt>
                <c:pt idx="3045">
                  <c:v>966.96873916336688</c:v>
                </c:pt>
                <c:pt idx="3046">
                  <c:v>967.28377438422922</c:v>
                </c:pt>
                <c:pt idx="3047">
                  <c:v>967.59880914787982</c:v>
                </c:pt>
                <c:pt idx="3048">
                  <c:v>967.9138434545672</c:v>
                </c:pt>
                <c:pt idx="3049">
                  <c:v>968.22887730454102</c:v>
                </c:pt>
                <c:pt idx="3050">
                  <c:v>968.5439106980491</c:v>
                </c:pt>
                <c:pt idx="3051">
                  <c:v>968.85894363534055</c:v>
                </c:pt>
                <c:pt idx="3052">
                  <c:v>969.1739761166632</c:v>
                </c:pt>
                <c:pt idx="3053">
                  <c:v>969.48900814226499</c:v>
                </c:pt>
                <c:pt idx="3054">
                  <c:v>969.80403971239366</c:v>
                </c:pt>
                <c:pt idx="3055">
                  <c:v>970.11907082729658</c:v>
                </c:pt>
                <c:pt idx="3056">
                  <c:v>970.43410148722126</c:v>
                </c:pt>
                <c:pt idx="3057">
                  <c:v>970.74913169241449</c:v>
                </c:pt>
                <c:pt idx="3058">
                  <c:v>971.06416144312323</c:v>
                </c:pt>
                <c:pt idx="3059">
                  <c:v>971.37919073959392</c:v>
                </c:pt>
                <c:pt idx="3060">
                  <c:v>971.69421958207317</c:v>
                </c:pt>
                <c:pt idx="3061">
                  <c:v>972.00924797080677</c:v>
                </c:pt>
                <c:pt idx="3062">
                  <c:v>972.32427590604095</c:v>
                </c:pt>
                <c:pt idx="3063">
                  <c:v>972.63930338802118</c:v>
                </c:pt>
                <c:pt idx="3064">
                  <c:v>972.95433041699312</c:v>
                </c:pt>
                <c:pt idx="3065">
                  <c:v>973.26935699320177</c:v>
                </c:pt>
                <c:pt idx="3066">
                  <c:v>973.58438311689235</c:v>
                </c:pt>
                <c:pt idx="3067">
                  <c:v>973.89940878830976</c:v>
                </c:pt>
                <c:pt idx="3068">
                  <c:v>974.21443400769795</c:v>
                </c:pt>
                <c:pt idx="3069">
                  <c:v>974.52945877530203</c:v>
                </c:pt>
                <c:pt idx="3070">
                  <c:v>974.84448309136565</c:v>
                </c:pt>
                <c:pt idx="3071">
                  <c:v>975.15950695613321</c:v>
                </c:pt>
                <c:pt idx="3072">
                  <c:v>975.47453036984791</c:v>
                </c:pt>
                <c:pt idx="3073">
                  <c:v>975.78955333275326</c:v>
                </c:pt>
                <c:pt idx="3074">
                  <c:v>976.10457584509288</c:v>
                </c:pt>
                <c:pt idx="3075">
                  <c:v>976.41959790710916</c:v>
                </c:pt>
                <c:pt idx="3076">
                  <c:v>976.73461951904562</c:v>
                </c:pt>
                <c:pt idx="3077">
                  <c:v>977.04964068114441</c:v>
                </c:pt>
                <c:pt idx="3078">
                  <c:v>977.36466139364802</c:v>
                </c:pt>
                <c:pt idx="3079">
                  <c:v>977.67968165679861</c:v>
                </c:pt>
                <c:pt idx="3080">
                  <c:v>977.99470147083798</c:v>
                </c:pt>
                <c:pt idx="3081">
                  <c:v>978.30972083600807</c:v>
                </c:pt>
                <c:pt idx="3082">
                  <c:v>978.62473975255023</c:v>
                </c:pt>
                <c:pt idx="3083">
                  <c:v>978.93975822070581</c:v>
                </c:pt>
                <c:pt idx="3084">
                  <c:v>979.25477624071573</c:v>
                </c:pt>
                <c:pt idx="3085">
                  <c:v>979.56979381282088</c:v>
                </c:pt>
                <c:pt idx="3086">
                  <c:v>979.88481093726205</c:v>
                </c:pt>
                <c:pt idx="3087">
                  <c:v>980.19982761427946</c:v>
                </c:pt>
                <c:pt idx="3088">
                  <c:v>980.51484384411333</c:v>
                </c:pt>
                <c:pt idx="3089">
                  <c:v>980.82985962700366</c:v>
                </c:pt>
                <c:pt idx="3090">
                  <c:v>981.1448749631902</c:v>
                </c:pt>
                <c:pt idx="3091">
                  <c:v>981.45988985291251</c:v>
                </c:pt>
                <c:pt idx="3092">
                  <c:v>981.77490429641</c:v>
                </c:pt>
                <c:pt idx="3093">
                  <c:v>982.0899182939213</c:v>
                </c:pt>
                <c:pt idx="3094">
                  <c:v>982.40493184568618</c:v>
                </c:pt>
                <c:pt idx="3095">
                  <c:v>982.71994495194247</c:v>
                </c:pt>
                <c:pt idx="3096">
                  <c:v>983.03495761292925</c:v>
                </c:pt>
                <c:pt idx="3097">
                  <c:v>983.34996982888458</c:v>
                </c:pt>
                <c:pt idx="3098">
                  <c:v>983.66498160004619</c:v>
                </c:pt>
                <c:pt idx="3099">
                  <c:v>983.97999292665236</c:v>
                </c:pt>
                <c:pt idx="3100">
                  <c:v>984.29500380894012</c:v>
                </c:pt>
                <c:pt idx="3101">
                  <c:v>984.61001424714766</c:v>
                </c:pt>
                <c:pt idx="3102">
                  <c:v>984.92502424151155</c:v>
                </c:pt>
                <c:pt idx="3103">
                  <c:v>985.24003379226906</c:v>
                </c:pt>
                <c:pt idx="3104">
                  <c:v>985.55504289965688</c:v>
                </c:pt>
                <c:pt idx="3105">
                  <c:v>985.87005156391149</c:v>
                </c:pt>
                <c:pt idx="3106">
                  <c:v>986.18505978526923</c:v>
                </c:pt>
                <c:pt idx="3107">
                  <c:v>986.50006756396635</c:v>
                </c:pt>
                <c:pt idx="3108">
                  <c:v>986.81507490023864</c:v>
                </c:pt>
                <c:pt idx="3109">
                  <c:v>987.13008179432177</c:v>
                </c:pt>
                <c:pt idx="3110">
                  <c:v>987.44508824645141</c:v>
                </c:pt>
                <c:pt idx="3111">
                  <c:v>987.76009425686277</c:v>
                </c:pt>
                <c:pt idx="3112">
                  <c:v>988.07509982579086</c:v>
                </c:pt>
                <c:pt idx="3113">
                  <c:v>988.39010495347065</c:v>
                </c:pt>
                <c:pt idx="3114">
                  <c:v>988.7051096401367</c:v>
                </c:pt>
                <c:pt idx="3115">
                  <c:v>989.02011388602341</c:v>
                </c:pt>
                <c:pt idx="3116">
                  <c:v>989.33511769136521</c:v>
                </c:pt>
                <c:pt idx="3117">
                  <c:v>989.65012105639607</c:v>
                </c:pt>
                <c:pt idx="3118">
                  <c:v>989.96512398134939</c:v>
                </c:pt>
                <c:pt idx="3119">
                  <c:v>990.28012646645948</c:v>
                </c:pt>
                <c:pt idx="3120">
                  <c:v>990.59512851195916</c:v>
                </c:pt>
                <c:pt idx="3121">
                  <c:v>990.91013011808207</c:v>
                </c:pt>
                <c:pt idx="3122">
                  <c:v>991.22513128506102</c:v>
                </c:pt>
                <c:pt idx="3123">
                  <c:v>991.54013201312853</c:v>
                </c:pt>
                <c:pt idx="3124">
                  <c:v>991.85513230251763</c:v>
                </c:pt>
                <c:pt idx="3125">
                  <c:v>992.17013215346014</c:v>
                </c:pt>
                <c:pt idx="3126">
                  <c:v>992.48513156618878</c:v>
                </c:pt>
                <c:pt idx="3127">
                  <c:v>992.80013054093524</c:v>
                </c:pt>
                <c:pt idx="3128">
                  <c:v>993.11512907793133</c:v>
                </c:pt>
                <c:pt idx="3129">
                  <c:v>993.43012717740839</c:v>
                </c:pt>
                <c:pt idx="3130">
                  <c:v>993.74512483959802</c:v>
                </c:pt>
                <c:pt idx="3131">
                  <c:v>994.06012206473122</c:v>
                </c:pt>
                <c:pt idx="3132">
                  <c:v>994.375118853039</c:v>
                </c:pt>
                <c:pt idx="3133">
                  <c:v>994.69011520475203</c:v>
                </c:pt>
                <c:pt idx="3134">
                  <c:v>995.00511112010076</c:v>
                </c:pt>
                <c:pt idx="3135">
                  <c:v>995.32010659931552</c:v>
                </c:pt>
                <c:pt idx="3136">
                  <c:v>995.63510164262652</c:v>
                </c:pt>
                <c:pt idx="3137">
                  <c:v>995.95009625026364</c:v>
                </c:pt>
                <c:pt idx="3138">
                  <c:v>996.26509042245652</c:v>
                </c:pt>
                <c:pt idx="3139">
                  <c:v>996.5800841594347</c:v>
                </c:pt>
                <c:pt idx="3140">
                  <c:v>996.89507746142749</c:v>
                </c:pt>
                <c:pt idx="3141">
                  <c:v>997.21007032866385</c:v>
                </c:pt>
                <c:pt idx="3142">
                  <c:v>997.52506276137308</c:v>
                </c:pt>
                <c:pt idx="3143">
                  <c:v>997.84005475978313</c:v>
                </c:pt>
                <c:pt idx="3144">
                  <c:v>998.15504632412319</c:v>
                </c:pt>
                <c:pt idx="3145">
                  <c:v>998.47003745462121</c:v>
                </c:pt>
                <c:pt idx="3146">
                  <c:v>998.78502815150546</c:v>
                </c:pt>
                <c:pt idx="3147">
                  <c:v>999.10001841500377</c:v>
                </c:pt>
                <c:pt idx="3148">
                  <c:v>999.41500824534353</c:v>
                </c:pt>
                <c:pt idx="3149">
                  <c:v>999.72999764275266</c:v>
                </c:pt>
                <c:pt idx="3150">
                  <c:v>1000.044986607458</c:v>
                </c:pt>
                <c:pt idx="3151">
                  <c:v>1000.3599751396871</c:v>
                </c:pt>
                <c:pt idx="3152">
                  <c:v>1000.6749632396665</c:v>
                </c:pt>
                <c:pt idx="3153">
                  <c:v>1000.989950907623</c:v>
                </c:pt>
                <c:pt idx="3154">
                  <c:v>1001.3049381437831</c:v>
                </c:pt>
                <c:pt idx="3155">
                  <c:v>1001.6199249483731</c:v>
                </c:pt>
                <c:pt idx="3156">
                  <c:v>1001.934911321619</c:v>
                </c:pt>
                <c:pt idx="3157">
                  <c:v>1002.2498972637468</c:v>
                </c:pt>
                <c:pt idx="3158">
                  <c:v>1002.564882774982</c:v>
                </c:pt>
                <c:pt idx="3159">
                  <c:v>1002.8798678555503</c:v>
                </c:pt>
                <c:pt idx="3160">
                  <c:v>1003.1948525056769</c:v>
                </c:pt>
                <c:pt idx="3161">
                  <c:v>1003.5098367255868</c:v>
                </c:pt>
                <c:pt idx="3162">
                  <c:v>1003.8248205155051</c:v>
                </c:pt>
                <c:pt idx="3163">
                  <c:v>1004.1398038756563</c:v>
                </c:pt>
                <c:pt idx="3164">
                  <c:v>1004.454786806265</c:v>
                </c:pt>
                <c:pt idx="3165">
                  <c:v>1004.7697693075555</c:v>
                </c:pt>
                <c:pt idx="3166">
                  <c:v>1005.084751379752</c:v>
                </c:pt>
                <c:pt idx="3167">
                  <c:v>1005.3997330230784</c:v>
                </c:pt>
                <c:pt idx="3168">
                  <c:v>1005.714714237758</c:v>
                </c:pt>
                <c:pt idx="3169">
                  <c:v>1006.0296950240149</c:v>
                </c:pt>
                <c:pt idx="3170">
                  <c:v>1006.3446753820721</c:v>
                </c:pt>
                <c:pt idx="3171">
                  <c:v>1006.6596553121529</c:v>
                </c:pt>
                <c:pt idx="3172">
                  <c:v>1006.9746348144803</c:v>
                </c:pt>
                <c:pt idx="3173">
                  <c:v>1007.2896138892766</c:v>
                </c:pt>
                <c:pt idx="3174">
                  <c:v>1007.6045925367648</c:v>
                </c:pt>
                <c:pt idx="3175">
                  <c:v>1007.9195707571669</c:v>
                </c:pt>
                <c:pt idx="3176">
                  <c:v>1008.2345485507055</c:v>
                </c:pt>
                <c:pt idx="3177">
                  <c:v>1008.5495259176022</c:v>
                </c:pt>
                <c:pt idx="3178">
                  <c:v>1008.8645028580789</c:v>
                </c:pt>
                <c:pt idx="3179">
                  <c:v>1009.1794793723573</c:v>
                </c:pt>
                <c:pt idx="3180">
                  <c:v>1009.4944554606584</c:v>
                </c:pt>
                <c:pt idx="3181">
                  <c:v>1009.8094311232038</c:v>
                </c:pt>
                <c:pt idx="3182">
                  <c:v>1010.1244063602144</c:v>
                </c:pt>
                <c:pt idx="3183">
                  <c:v>1010.4393811719108</c:v>
                </c:pt>
                <c:pt idx="3184">
                  <c:v>1010.7543555585138</c:v>
                </c:pt>
                <c:pt idx="3185">
                  <c:v>1011.0693295202439</c:v>
                </c:pt>
                <c:pt idx="3186">
                  <c:v>1011.3843030573211</c:v>
                </c:pt>
                <c:pt idx="3187">
                  <c:v>1011.6992761699656</c:v>
                </c:pt>
                <c:pt idx="3188">
                  <c:v>1012.0142488583972</c:v>
                </c:pt>
                <c:pt idx="3189">
                  <c:v>1012.3292211228356</c:v>
                </c:pt>
                <c:pt idx="3190">
                  <c:v>1012.6441929635001</c:v>
                </c:pt>
                <c:pt idx="3191">
                  <c:v>1012.9591643806103</c:v>
                </c:pt>
                <c:pt idx="3192">
                  <c:v>1013.2741353743851</c:v>
                </c:pt>
                <c:pt idx="3193">
                  <c:v>1013.5891059450431</c:v>
                </c:pt>
                <c:pt idx="3194">
                  <c:v>1013.9040760928036</c:v>
                </c:pt>
                <c:pt idx="3195">
                  <c:v>1014.2190458178846</c:v>
                </c:pt>
                <c:pt idx="3196">
                  <c:v>1014.5340151205049</c:v>
                </c:pt>
                <c:pt idx="3197">
                  <c:v>1014.8489840008822</c:v>
                </c:pt>
                <c:pt idx="3198">
                  <c:v>1015.1639524592348</c:v>
                </c:pt>
                <c:pt idx="3199">
                  <c:v>1015.4789204957802</c:v>
                </c:pt>
                <c:pt idx="3200">
                  <c:v>1015.7938881107358</c:v>
                </c:pt>
                <c:pt idx="3201">
                  <c:v>1016.1088553043195</c:v>
                </c:pt>
                <c:pt idx="3202">
                  <c:v>1016.4238220767485</c:v>
                </c:pt>
                <c:pt idx="3203">
                  <c:v>1016.7387884282391</c:v>
                </c:pt>
                <c:pt idx="3204">
                  <c:v>1017.0537543590088</c:v>
                </c:pt>
                <c:pt idx="3205">
                  <c:v>1017.3687198692739</c:v>
                </c:pt>
                <c:pt idx="3206">
                  <c:v>1017.6836849592511</c:v>
                </c:pt>
                <c:pt idx="3207">
                  <c:v>1017.9986496291565</c:v>
                </c:pt>
                <c:pt idx="3208">
                  <c:v>1018.3136138792061</c:v>
                </c:pt>
                <c:pt idx="3209">
                  <c:v>1018.6285777096161</c:v>
                </c:pt>
                <c:pt idx="3210">
                  <c:v>1018.9435411206017</c:v>
                </c:pt>
                <c:pt idx="3211">
                  <c:v>1019.2585041123788</c:v>
                </c:pt>
                <c:pt idx="3212">
                  <c:v>1019.5734666851627</c:v>
                </c:pt>
                <c:pt idx="3213">
                  <c:v>1019.8884288391683</c:v>
                </c:pt>
                <c:pt idx="3214">
                  <c:v>1020.2033905746109</c:v>
                </c:pt>
                <c:pt idx="3215">
                  <c:v>1020.5183518917049</c:v>
                </c:pt>
                <c:pt idx="3216">
                  <c:v>1020.8333127906656</c:v>
                </c:pt>
                <c:pt idx="3217">
                  <c:v>1021.1482732717064</c:v>
                </c:pt>
                <c:pt idx="3218">
                  <c:v>1021.463233335042</c:v>
                </c:pt>
                <c:pt idx="3219">
                  <c:v>1021.7781929808866</c:v>
                </c:pt>
                <c:pt idx="3220">
                  <c:v>1022.093152209454</c:v>
                </c:pt>
                <c:pt idx="3221">
                  <c:v>1022.4081110209578</c:v>
                </c:pt>
                <c:pt idx="3222">
                  <c:v>1022.7230694156113</c:v>
                </c:pt>
                <c:pt idx="3223">
                  <c:v>1023.0380273936281</c:v>
                </c:pt>
                <c:pt idx="3224">
                  <c:v>1023.3529849552211</c:v>
                </c:pt>
                <c:pt idx="3225">
                  <c:v>1023.6679421006031</c:v>
                </c:pt>
                <c:pt idx="3226">
                  <c:v>1023.9828988299873</c:v>
                </c:pt>
                <c:pt idx="3227">
                  <c:v>1024.2978551435863</c:v>
                </c:pt>
                <c:pt idx="3228">
                  <c:v>1024.6128110416118</c:v>
                </c:pt>
                <c:pt idx="3229">
                  <c:v>1024.9277665242766</c:v>
                </c:pt>
                <c:pt idx="3230">
                  <c:v>1025.2427215917928</c:v>
                </c:pt>
                <c:pt idx="3231">
                  <c:v>1025.5576762443718</c:v>
                </c:pt>
                <c:pt idx="3232">
                  <c:v>1025.8726304822255</c:v>
                </c:pt>
                <c:pt idx="3233">
                  <c:v>1026.1875843055652</c:v>
                </c:pt>
                <c:pt idx="3234">
                  <c:v>1026.5025377146028</c:v>
                </c:pt>
                <c:pt idx="3235">
                  <c:v>1026.8174907095486</c:v>
                </c:pt>
                <c:pt idx="3236">
                  <c:v>1027.132443290614</c:v>
                </c:pt>
                <c:pt idx="3237">
                  <c:v>1027.4473954580096</c:v>
                </c:pt>
                <c:pt idx="3238">
                  <c:v>1027.7623472119462</c:v>
                </c:pt>
                <c:pt idx="3239">
                  <c:v>1028.0772985526339</c:v>
                </c:pt>
                <c:pt idx="3240">
                  <c:v>1028.3922494802832</c:v>
                </c:pt>
                <c:pt idx="3241">
                  <c:v>1028.7071999951042</c:v>
                </c:pt>
                <c:pt idx="3242">
                  <c:v>1029.0221500973064</c:v>
                </c:pt>
                <c:pt idx="3243">
                  <c:v>1029.3370997870995</c:v>
                </c:pt>
                <c:pt idx="3244">
                  <c:v>1029.6520490646933</c:v>
                </c:pt>
                <c:pt idx="3245">
                  <c:v>1029.9669979302971</c:v>
                </c:pt>
                <c:pt idx="3246">
                  <c:v>1030.2819463841201</c:v>
                </c:pt>
                <c:pt idx="3247">
                  <c:v>1030.5968944263709</c:v>
                </c:pt>
                <c:pt idx="3248">
                  <c:v>1030.9118420572586</c:v>
                </c:pt>
                <c:pt idx="3249">
                  <c:v>1031.2267892769917</c:v>
                </c:pt>
                <c:pt idx="3250">
                  <c:v>1031.5417360857784</c:v>
                </c:pt>
                <c:pt idx="3251">
                  <c:v>1031.8566824838276</c:v>
                </c:pt>
                <c:pt idx="3252">
                  <c:v>1032.1716284713473</c:v>
                </c:pt>
                <c:pt idx="3253">
                  <c:v>1032.4865740485445</c:v>
                </c:pt>
                <c:pt idx="3254">
                  <c:v>1032.8015192156279</c:v>
                </c:pt>
                <c:pt idx="3255">
                  <c:v>1033.1164639728045</c:v>
                </c:pt>
                <c:pt idx="3256">
                  <c:v>1033.4314083202819</c:v>
                </c:pt>
                <c:pt idx="3257">
                  <c:v>1033.7463522582675</c:v>
                </c:pt>
                <c:pt idx="3258">
                  <c:v>1034.0612957869678</c:v>
                </c:pt>
                <c:pt idx="3259">
                  <c:v>1034.3762389065905</c:v>
                </c:pt>
                <c:pt idx="3260">
                  <c:v>1034.6911816173413</c:v>
                </c:pt>
                <c:pt idx="3261">
                  <c:v>1035.0061239194272</c:v>
                </c:pt>
                <c:pt idx="3262">
                  <c:v>1035.3210658130545</c:v>
                </c:pt>
                <c:pt idx="3263">
                  <c:v>1035.6360072984294</c:v>
                </c:pt>
                <c:pt idx="3264">
                  <c:v>1035.9509483757577</c:v>
                </c:pt>
                <c:pt idx="3265">
                  <c:v>1036.2658890452453</c:v>
                </c:pt>
                <c:pt idx="3266">
                  <c:v>1036.5808293070982</c:v>
                </c:pt>
                <c:pt idx="3267">
                  <c:v>1036.895769161521</c:v>
                </c:pt>
                <c:pt idx="3268">
                  <c:v>1037.2107086087194</c:v>
                </c:pt>
                <c:pt idx="3269">
                  <c:v>1037.5256476488989</c:v>
                </c:pt>
                <c:pt idx="3270">
                  <c:v>1037.8405862822642</c:v>
                </c:pt>
                <c:pt idx="3271">
                  <c:v>1038.1555245090196</c:v>
                </c:pt>
                <c:pt idx="3272">
                  <c:v>1038.4704623293703</c:v>
                </c:pt>
                <c:pt idx="3273">
                  <c:v>1038.7853997435209</c:v>
                </c:pt>
                <c:pt idx="3274">
                  <c:v>1039.1003367516746</c:v>
                </c:pt>
                <c:pt idx="3275">
                  <c:v>1039.4152733540359</c:v>
                </c:pt>
                <c:pt idx="3276">
                  <c:v>1039.7302095508094</c:v>
                </c:pt>
                <c:pt idx="3277">
                  <c:v>1040.0451453421986</c:v>
                </c:pt>
                <c:pt idx="3278">
                  <c:v>1040.360080728406</c:v>
                </c:pt>
                <c:pt idx="3279">
                  <c:v>1040.6750157096362</c:v>
                </c:pt>
                <c:pt idx="3280">
                  <c:v>1040.9899502860919</c:v>
                </c:pt>
                <c:pt idx="3281">
                  <c:v>1041.3048844579764</c:v>
                </c:pt>
                <c:pt idx="3282">
                  <c:v>1041.6198182254923</c:v>
                </c:pt>
                <c:pt idx="3283">
                  <c:v>1041.9347515888421</c:v>
                </c:pt>
                <c:pt idx="3284">
                  <c:v>1042.2496845482294</c:v>
                </c:pt>
                <c:pt idx="3285">
                  <c:v>1042.564617103855</c:v>
                </c:pt>
                <c:pt idx="3286">
                  <c:v>1042.8795492559223</c:v>
                </c:pt>
                <c:pt idx="3287">
                  <c:v>1043.1944810046327</c:v>
                </c:pt>
                <c:pt idx="3288">
                  <c:v>1043.5094123501885</c:v>
                </c:pt>
                <c:pt idx="3289">
                  <c:v>1043.8243432927911</c:v>
                </c:pt>
                <c:pt idx="3290">
                  <c:v>1044.1392738326417</c:v>
                </c:pt>
                <c:pt idx="3291">
                  <c:v>1044.4542039699427</c:v>
                </c:pt>
                <c:pt idx="3292">
                  <c:v>1044.7691337048943</c:v>
                </c:pt>
                <c:pt idx="3293">
                  <c:v>1045.0840630376972</c:v>
                </c:pt>
                <c:pt idx="3294">
                  <c:v>1045.3989919685534</c:v>
                </c:pt>
                <c:pt idx="3295">
                  <c:v>1045.7139204976631</c:v>
                </c:pt>
                <c:pt idx="3296">
                  <c:v>1046.0288486252266</c:v>
                </c:pt>
                <c:pt idx="3297">
                  <c:v>1046.3437763514444</c:v>
                </c:pt>
                <c:pt idx="3298">
                  <c:v>1046.6587036765166</c:v>
                </c:pt>
                <c:pt idx="3299">
                  <c:v>1046.9736306006432</c:v>
                </c:pt>
                <c:pt idx="3300">
                  <c:v>1047.2885571240236</c:v>
                </c:pt>
                <c:pt idx="3301">
                  <c:v>1047.6034832468583</c:v>
                </c:pt>
                <c:pt idx="3302">
                  <c:v>1047.9184089693467</c:v>
                </c:pt>
                <c:pt idx="3303">
                  <c:v>1048.2333342916875</c:v>
                </c:pt>
                <c:pt idx="3304">
                  <c:v>1048.5482592140804</c:v>
                </c:pt>
                <c:pt idx="3305">
                  <c:v>1048.8631837367241</c:v>
                </c:pt>
                <c:pt idx="3306">
                  <c:v>1049.1781078598176</c:v>
                </c:pt>
                <c:pt idx="3307">
                  <c:v>1049.4930315835595</c:v>
                </c:pt>
                <c:pt idx="3308">
                  <c:v>1049.8079549081481</c:v>
                </c:pt>
                <c:pt idx="3309">
                  <c:v>1050.1228778337827</c:v>
                </c:pt>
                <c:pt idx="3310">
                  <c:v>1050.43780036066</c:v>
                </c:pt>
                <c:pt idx="3311">
                  <c:v>1050.7527224889791</c:v>
                </c:pt>
                <c:pt idx="3312">
                  <c:v>1051.0676442189374</c:v>
                </c:pt>
                <c:pt idx="3313">
                  <c:v>1051.3825655507328</c:v>
                </c:pt>
                <c:pt idx="3314">
                  <c:v>1051.6974864845627</c:v>
                </c:pt>
                <c:pt idx="3315">
                  <c:v>1052.0124070206241</c:v>
                </c:pt>
                <c:pt idx="3316">
                  <c:v>1052.3273271591154</c:v>
                </c:pt>
                <c:pt idx="3317">
                  <c:v>1052.6422469002321</c:v>
                </c:pt>
                <c:pt idx="3318">
                  <c:v>1052.9571662441713</c:v>
                </c:pt>
                <c:pt idx="3319">
                  <c:v>1053.2720851911306</c:v>
                </c:pt>
                <c:pt idx="3320">
                  <c:v>1053.5870037413063</c:v>
                </c:pt>
                <c:pt idx="3321">
                  <c:v>1053.9019218948943</c:v>
                </c:pt>
                <c:pt idx="3322">
                  <c:v>1054.2168396520908</c:v>
                </c:pt>
                <c:pt idx="3323">
                  <c:v>1054.5317570130926</c:v>
                </c:pt>
                <c:pt idx="3324">
                  <c:v>1054.8466739780945</c:v>
                </c:pt>
                <c:pt idx="3325">
                  <c:v>1055.1615905472927</c:v>
                </c:pt>
                <c:pt idx="3326">
                  <c:v>1055.476506720883</c:v>
                </c:pt>
                <c:pt idx="3327">
                  <c:v>1055.7914224990611</c:v>
                </c:pt>
                <c:pt idx="3328">
                  <c:v>1056.1063378820211</c:v>
                </c:pt>
                <c:pt idx="3329">
                  <c:v>1056.4212528699591</c:v>
                </c:pt>
                <c:pt idx="3330">
                  <c:v>1056.7361674630695</c:v>
                </c:pt>
                <c:pt idx="3331">
                  <c:v>1057.051081661547</c:v>
                </c:pt>
                <c:pt idx="3332">
                  <c:v>1057.3659954655866</c:v>
                </c:pt>
                <c:pt idx="3333">
                  <c:v>1057.6809088753823</c:v>
                </c:pt>
                <c:pt idx="3334">
                  <c:v>1057.995821891129</c:v>
                </c:pt>
                <c:pt idx="3335">
                  <c:v>1058.31073451302</c:v>
                </c:pt>
                <c:pt idx="3336">
                  <c:v>1058.6256467412497</c:v>
                </c:pt>
                <c:pt idx="3337">
                  <c:v>1058.9405585760119</c:v>
                </c:pt>
                <c:pt idx="3338">
                  <c:v>1059.2554700174999</c:v>
                </c:pt>
                <c:pt idx="3339">
                  <c:v>1059.5703810659077</c:v>
                </c:pt>
                <c:pt idx="3340">
                  <c:v>1059.8852917214278</c:v>
                </c:pt>
                <c:pt idx="3341">
                  <c:v>1060.2002019842546</c:v>
                </c:pt>
                <c:pt idx="3342">
                  <c:v>1060.51511185458</c:v>
                </c:pt>
                <c:pt idx="3343">
                  <c:v>1060.8300213325967</c:v>
                </c:pt>
                <c:pt idx="3344">
                  <c:v>1061.1449304184982</c:v>
                </c:pt>
                <c:pt idx="3345">
                  <c:v>1061.4598391124771</c:v>
                </c:pt>
                <c:pt idx="3346">
                  <c:v>1061.7747474147247</c:v>
                </c:pt>
                <c:pt idx="3347">
                  <c:v>1062.0896553254343</c:v>
                </c:pt>
                <c:pt idx="3348">
                  <c:v>1062.4045628447973</c:v>
                </c:pt>
                <c:pt idx="3349">
                  <c:v>1062.7194699730055</c:v>
                </c:pt>
                <c:pt idx="3350">
                  <c:v>1063.0343767102506</c:v>
                </c:pt>
                <c:pt idx="3351">
                  <c:v>1063.3492830567247</c:v>
                </c:pt>
                <c:pt idx="3352">
                  <c:v>1063.6641890126195</c:v>
                </c:pt>
                <c:pt idx="3353">
                  <c:v>1063.9790945781249</c:v>
                </c:pt>
                <c:pt idx="3354">
                  <c:v>1064.2939997534329</c:v>
                </c:pt>
                <c:pt idx="3355">
                  <c:v>1064.6089045387346</c:v>
                </c:pt>
                <c:pt idx="3356">
                  <c:v>1064.9238089342202</c:v>
                </c:pt>
                <c:pt idx="3357">
                  <c:v>1065.2387129400806</c:v>
                </c:pt>
                <c:pt idx="3358">
                  <c:v>1065.5536165565063</c:v>
                </c:pt>
                <c:pt idx="3359">
                  <c:v>1065.868519783688</c:v>
                </c:pt>
                <c:pt idx="3360">
                  <c:v>1066.183422621815</c:v>
                </c:pt>
                <c:pt idx="3361">
                  <c:v>1066.4983250710777</c:v>
                </c:pt>
                <c:pt idx="3362">
                  <c:v>1066.8132271316663</c:v>
                </c:pt>
                <c:pt idx="3363">
                  <c:v>1067.1281288037699</c:v>
                </c:pt>
                <c:pt idx="3364">
                  <c:v>1067.4430300875783</c:v>
                </c:pt>
                <c:pt idx="3365">
                  <c:v>1067.7579309832809</c:v>
                </c:pt>
                <c:pt idx="3366">
                  <c:v>1068.0728314910675</c:v>
                </c:pt>
                <c:pt idx="3367">
                  <c:v>1068.3877316111261</c:v>
                </c:pt>
                <c:pt idx="3368">
                  <c:v>1068.7026313436456</c:v>
                </c:pt>
                <c:pt idx="3369">
                  <c:v>1069.0175306888157</c:v>
                </c:pt>
                <c:pt idx="3370">
                  <c:v>1069.3324296468249</c:v>
                </c:pt>
                <c:pt idx="3371">
                  <c:v>1069.6473282178611</c:v>
                </c:pt>
                <c:pt idx="3372">
                  <c:v>1069.9622264021127</c:v>
                </c:pt>
                <c:pt idx="3373">
                  <c:v>1070.2771241997682</c:v>
                </c:pt>
                <c:pt idx="3374">
                  <c:v>1070.5920216110153</c:v>
                </c:pt>
                <c:pt idx="3375">
                  <c:v>1070.9069186360412</c:v>
                </c:pt>
                <c:pt idx="3376">
                  <c:v>1071.2218152750349</c:v>
                </c:pt>
                <c:pt idx="3377">
                  <c:v>1071.5367115281838</c:v>
                </c:pt>
                <c:pt idx="3378">
                  <c:v>1071.8516073956739</c:v>
                </c:pt>
                <c:pt idx="3379">
                  <c:v>1072.1665028776938</c:v>
                </c:pt>
                <c:pt idx="3380">
                  <c:v>1072.4813979744299</c:v>
                </c:pt>
                <c:pt idx="3381">
                  <c:v>1072.7962926860696</c:v>
                </c:pt>
                <c:pt idx="3382">
                  <c:v>1073.1111870127991</c:v>
                </c:pt>
                <c:pt idx="3383">
                  <c:v>1073.4260809548052</c:v>
                </c:pt>
                <c:pt idx="3384">
                  <c:v>1073.7409745122752</c:v>
                </c:pt>
                <c:pt idx="3385">
                  <c:v>1074.0558676853941</c:v>
                </c:pt>
                <c:pt idx="3386">
                  <c:v>1074.3707604743488</c:v>
                </c:pt>
                <c:pt idx="3387">
                  <c:v>1074.6856528793253</c:v>
                </c:pt>
                <c:pt idx="3388">
                  <c:v>1075.0005449005093</c:v>
                </c:pt>
                <c:pt idx="3389">
                  <c:v>1075.3154365380865</c:v>
                </c:pt>
                <c:pt idx="3390">
                  <c:v>1075.6303277922423</c:v>
                </c:pt>
                <c:pt idx="3391">
                  <c:v>1075.9452186631631</c:v>
                </c:pt>
                <c:pt idx="3392">
                  <c:v>1076.260109151033</c:v>
                </c:pt>
                <c:pt idx="3393">
                  <c:v>1076.574999256037</c:v>
                </c:pt>
                <c:pt idx="3394">
                  <c:v>1076.8898889783609</c:v>
                </c:pt>
                <c:pt idx="3395">
                  <c:v>1077.2047783181895</c:v>
                </c:pt>
                <c:pt idx="3396">
                  <c:v>1077.519667275707</c:v>
                </c:pt>
                <c:pt idx="3397">
                  <c:v>1077.834555851098</c:v>
                </c:pt>
                <c:pt idx="3398">
                  <c:v>1078.1494440445472</c:v>
                </c:pt>
                <c:pt idx="3399">
                  <c:v>1078.4643318562385</c:v>
                </c:pt>
                <c:pt idx="3400">
                  <c:v>1078.7792192863551</c:v>
                </c:pt>
                <c:pt idx="3401">
                  <c:v>1079.0941063350826</c:v>
                </c:pt>
                <c:pt idx="3402">
                  <c:v>1079.4089930026046</c:v>
                </c:pt>
                <c:pt idx="3403">
                  <c:v>1079.723879289103</c:v>
                </c:pt>
                <c:pt idx="3404">
                  <c:v>1080.0387651947631</c:v>
                </c:pt>
                <c:pt idx="3405">
                  <c:v>1080.3536507197671</c:v>
                </c:pt>
                <c:pt idx="3406">
                  <c:v>1080.6685358642987</c:v>
                </c:pt>
                <c:pt idx="3407">
                  <c:v>1080.9834206285411</c:v>
                </c:pt>
                <c:pt idx="3408">
                  <c:v>1081.2983050126763</c:v>
                </c:pt>
                <c:pt idx="3409">
                  <c:v>1081.6131890168886</c:v>
                </c:pt>
                <c:pt idx="3410">
                  <c:v>1081.928072641359</c:v>
                </c:pt>
                <c:pt idx="3411">
                  <c:v>1082.2429558862705</c:v>
                </c:pt>
                <c:pt idx="3412">
                  <c:v>1082.5578387518058</c:v>
                </c:pt>
                <c:pt idx="3413">
                  <c:v>1082.8727212381466</c:v>
                </c:pt>
                <c:pt idx="3414">
                  <c:v>1083.1876033454751</c:v>
                </c:pt>
                <c:pt idx="3415">
                  <c:v>1083.5024850739724</c:v>
                </c:pt>
                <c:pt idx="3416">
                  <c:v>1083.8173664238216</c:v>
                </c:pt>
                <c:pt idx="3417">
                  <c:v>1084.1322473952032</c:v>
                </c:pt>
                <c:pt idx="3418">
                  <c:v>1084.4471279882987</c:v>
                </c:pt>
                <c:pt idx="3419">
                  <c:v>1084.76200820329</c:v>
                </c:pt>
                <c:pt idx="3420">
                  <c:v>1085.076888040358</c:v>
                </c:pt>
                <c:pt idx="3421">
                  <c:v>1085.3917674996833</c:v>
                </c:pt>
                <c:pt idx="3422">
                  <c:v>1085.7066465814471</c:v>
                </c:pt>
                <c:pt idx="3423">
                  <c:v>1086.02152528583</c:v>
                </c:pt>
                <c:pt idx="3424">
                  <c:v>1086.3364036130124</c:v>
                </c:pt>
                <c:pt idx="3425">
                  <c:v>1086.6512815631743</c:v>
                </c:pt>
                <c:pt idx="3426">
                  <c:v>1086.9661591364968</c:v>
                </c:pt>
                <c:pt idx="3427">
                  <c:v>1087.28103633316</c:v>
                </c:pt>
                <c:pt idx="3428">
                  <c:v>1087.5959131533427</c:v>
                </c:pt>
                <c:pt idx="3429">
                  <c:v>1087.9107895972261</c:v>
                </c:pt>
                <c:pt idx="3430">
                  <c:v>1088.2256656649895</c:v>
                </c:pt>
                <c:pt idx="3431">
                  <c:v>1088.5405413568119</c:v>
                </c:pt>
                <c:pt idx="3432">
                  <c:v>1088.8554166728732</c:v>
                </c:pt>
                <c:pt idx="3433">
                  <c:v>1089.1702916133522</c:v>
                </c:pt>
                <c:pt idx="3434">
                  <c:v>1089.4851661784292</c:v>
                </c:pt>
                <c:pt idx="3435">
                  <c:v>1089.8000403682813</c:v>
                </c:pt>
                <c:pt idx="3436">
                  <c:v>1090.1149141830886</c:v>
                </c:pt>
                <c:pt idx="3437">
                  <c:v>1090.4297876230294</c:v>
                </c:pt>
                <c:pt idx="3438">
                  <c:v>1090.7446606882825</c:v>
                </c:pt>
                <c:pt idx="3439">
                  <c:v>1091.0595333790259</c:v>
                </c:pt>
                <c:pt idx="3440">
                  <c:v>1091.3744056954374</c:v>
                </c:pt>
                <c:pt idx="3441">
                  <c:v>1091.6892776376967</c:v>
                </c:pt>
                <c:pt idx="3442">
                  <c:v>1092.0041492059804</c:v>
                </c:pt>
                <c:pt idx="3443">
                  <c:v>1092.3190204004663</c:v>
                </c:pt>
                <c:pt idx="3444">
                  <c:v>1092.633891221333</c:v>
                </c:pt>
                <c:pt idx="3445">
                  <c:v>1092.9487616687577</c:v>
                </c:pt>
                <c:pt idx="3446">
                  <c:v>1093.2636317429174</c:v>
                </c:pt>
                <c:pt idx="3447">
                  <c:v>1093.5785014439896</c:v>
                </c:pt>
                <c:pt idx="3448">
                  <c:v>1093.8933707721517</c:v>
                </c:pt>
                <c:pt idx="3449">
                  <c:v>1094.2082397275799</c:v>
                </c:pt>
                <c:pt idx="3450">
                  <c:v>1094.5231083104516</c:v>
                </c:pt>
                <c:pt idx="3451">
                  <c:v>1094.8379765209434</c:v>
                </c:pt>
                <c:pt idx="3452">
                  <c:v>1095.1528443592322</c:v>
                </c:pt>
                <c:pt idx="3453">
                  <c:v>1095.4677118254933</c:v>
                </c:pt>
                <c:pt idx="3454">
                  <c:v>1095.7825789199042</c:v>
                </c:pt>
                <c:pt idx="3455">
                  <c:v>1096.0974456426409</c:v>
                </c:pt>
                <c:pt idx="3456">
                  <c:v>1096.4123119938788</c:v>
                </c:pt>
                <c:pt idx="3457">
                  <c:v>1096.7271779737939</c:v>
                </c:pt>
                <c:pt idx="3458">
                  <c:v>1097.042043582562</c:v>
                </c:pt>
                <c:pt idx="3459">
                  <c:v>1097.3569088203594</c:v>
                </c:pt>
                <c:pt idx="3460">
                  <c:v>1097.67177368736</c:v>
                </c:pt>
                <c:pt idx="3461">
                  <c:v>1097.9866381837403</c:v>
                </c:pt>
                <c:pt idx="3462">
                  <c:v>1098.301502309675</c:v>
                </c:pt>
                <c:pt idx="3463">
                  <c:v>1098.6163660653394</c:v>
                </c:pt>
                <c:pt idx="3464">
                  <c:v>1098.9312294509082</c:v>
                </c:pt>
                <c:pt idx="3465">
                  <c:v>1099.2460924665556</c:v>
                </c:pt>
                <c:pt idx="3466">
                  <c:v>1099.5609551124573</c:v>
                </c:pt>
                <c:pt idx="3467">
                  <c:v>1099.8758173887873</c:v>
                </c:pt>
                <c:pt idx="3468">
                  <c:v>1100.1906792957193</c:v>
                </c:pt>
                <c:pt idx="3469">
                  <c:v>1100.5055408334283</c:v>
                </c:pt>
                <c:pt idx="3470">
                  <c:v>1100.8204020020885</c:v>
                </c:pt>
                <c:pt idx="3471">
                  <c:v>1101.1352628018731</c:v>
                </c:pt>
                <c:pt idx="3472">
                  <c:v>1101.450123232956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6-4F02-A8B6-524D8CE5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3632"/>
        <c:axId val="805854192"/>
      </c:scatterChart>
      <c:valAx>
        <c:axId val="80585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Qout [L/s]</a:t>
                </a:r>
              </a:p>
            </c:rich>
          </c:tx>
          <c:layout>
            <c:manualLayout>
              <c:xMode val="edge"/>
              <c:yMode val="edge"/>
              <c:x val="0.49884102564102561"/>
              <c:y val="0.89569861111111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4192"/>
        <c:crosses val="autoZero"/>
        <c:crossBetween val="midCat"/>
      </c:valAx>
      <c:valAx>
        <c:axId val="805854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2S/t + Qout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363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</a:rPr>
              <a:t>System outlet flow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72249068201901"/>
          <c:y val="0.11415555555555555"/>
          <c:w val="0.83505537166383281"/>
          <c:h val="0.6199055555555556"/>
        </c:manualLayout>
      </c:layout>
      <c:scatterChart>
        <c:scatterStyle val="lineMarker"/>
        <c:varyColors val="0"/>
        <c:ser>
          <c:idx val="0"/>
          <c:order val="0"/>
          <c:tx>
            <c:v>Hydrograph without LID practice</c:v>
          </c:tx>
          <c:spPr>
            <a:ln w="285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[0]!Vazao_secao_i</c:f>
              <c:numCache>
                <c:formatCode>#,#00</c:formatCode>
                <c:ptCount val="47"/>
                <c:pt idx="0">
                  <c:v>0</c:v>
                </c:pt>
                <c:pt idx="1">
                  <c:v>20.522828195843498</c:v>
                </c:pt>
                <c:pt idx="2">
                  <c:v>41.045656391686997</c:v>
                </c:pt>
                <c:pt idx="3">
                  <c:v>61.568484587530492</c:v>
                </c:pt>
                <c:pt idx="4">
                  <c:v>82.091312783373994</c:v>
                </c:pt>
                <c:pt idx="5">
                  <c:v>102.6141409792175</c:v>
                </c:pt>
                <c:pt idx="6">
                  <c:v>123.13696917506098</c:v>
                </c:pt>
                <c:pt idx="7">
                  <c:v>143.6597973709045</c:v>
                </c:pt>
                <c:pt idx="8">
                  <c:v>164.18262556674799</c:v>
                </c:pt>
                <c:pt idx="9">
                  <c:v>184.70545376259147</c:v>
                </c:pt>
                <c:pt idx="10">
                  <c:v>205.22828195843499</c:v>
                </c:pt>
                <c:pt idx="11">
                  <c:v>225.75111015427848</c:v>
                </c:pt>
                <c:pt idx="12">
                  <c:v>225.75111015427848</c:v>
                </c:pt>
                <c:pt idx="13">
                  <c:v>225.75111015427848</c:v>
                </c:pt>
                <c:pt idx="14">
                  <c:v>225.75111015427848</c:v>
                </c:pt>
                <c:pt idx="15">
                  <c:v>225.75111015427848</c:v>
                </c:pt>
                <c:pt idx="16">
                  <c:v>225.75111015427848</c:v>
                </c:pt>
                <c:pt idx="17">
                  <c:v>225.75111015427848</c:v>
                </c:pt>
                <c:pt idx="18">
                  <c:v>225.75111015427848</c:v>
                </c:pt>
                <c:pt idx="19">
                  <c:v>225.75111015427848</c:v>
                </c:pt>
                <c:pt idx="20">
                  <c:v>225.75111015427848</c:v>
                </c:pt>
                <c:pt idx="21">
                  <c:v>225.75111015427848</c:v>
                </c:pt>
                <c:pt idx="22">
                  <c:v>225.75111015427848</c:v>
                </c:pt>
                <c:pt idx="23">
                  <c:v>225.75111015427848</c:v>
                </c:pt>
                <c:pt idx="24">
                  <c:v>225.75111015427848</c:v>
                </c:pt>
                <c:pt idx="25">
                  <c:v>225.75111015427848</c:v>
                </c:pt>
                <c:pt idx="26">
                  <c:v>225.75111015427848</c:v>
                </c:pt>
                <c:pt idx="27">
                  <c:v>225.75111015427848</c:v>
                </c:pt>
                <c:pt idx="28">
                  <c:v>225.75111015427848</c:v>
                </c:pt>
                <c:pt idx="29">
                  <c:v>225.75111015427848</c:v>
                </c:pt>
                <c:pt idx="30">
                  <c:v>225.75111015427848</c:v>
                </c:pt>
                <c:pt idx="31">
                  <c:v>225.75111015427848</c:v>
                </c:pt>
                <c:pt idx="32">
                  <c:v>225.75111015427848</c:v>
                </c:pt>
                <c:pt idx="33">
                  <c:v>225.75111015427848</c:v>
                </c:pt>
                <c:pt idx="34">
                  <c:v>225.75111015427848</c:v>
                </c:pt>
                <c:pt idx="35">
                  <c:v>225.75111015427848</c:v>
                </c:pt>
                <c:pt idx="36">
                  <c:v>205.22828195843499</c:v>
                </c:pt>
                <c:pt idx="37">
                  <c:v>184.70545376259147</c:v>
                </c:pt>
                <c:pt idx="38">
                  <c:v>164.18262556674799</c:v>
                </c:pt>
                <c:pt idx="39">
                  <c:v>143.65979737090447</c:v>
                </c:pt>
                <c:pt idx="40">
                  <c:v>123.13696917506098</c:v>
                </c:pt>
                <c:pt idx="41">
                  <c:v>102.6141409792175</c:v>
                </c:pt>
                <c:pt idx="42">
                  <c:v>82.091312783373979</c:v>
                </c:pt>
                <c:pt idx="43">
                  <c:v>61.568484587530492</c:v>
                </c:pt>
                <c:pt idx="44">
                  <c:v>41.045656391687004</c:v>
                </c:pt>
                <c:pt idx="45">
                  <c:v>20.522828195843488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C-4DFF-96DF-D2900E35DD15}"/>
            </c:ext>
          </c:extLst>
        </c:ser>
        <c:ser>
          <c:idx val="1"/>
          <c:order val="1"/>
          <c:tx>
            <c:v>Hydrograph with LID practice</c:v>
          </c:tx>
          <c:spPr>
            <a:ln w="1905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[0]!Qsis_efl</c:f>
              <c:numCache>
                <c:formatCode>0.00</c:formatCode>
                <c:ptCount val="121"/>
                <c:pt idx="0">
                  <c:v>0</c:v>
                </c:pt>
                <c:pt idx="1">
                  <c:v>20.242971447718361</c:v>
                </c:pt>
                <c:pt idx="2">
                  <c:v>40.485942895436722</c:v>
                </c:pt>
                <c:pt idx="3">
                  <c:v>60.996968363014773</c:v>
                </c:pt>
                <c:pt idx="4">
                  <c:v>81.437729592580723</c:v>
                </c:pt>
                <c:pt idx="5">
                  <c:v>101.86030436762333</c:v>
                </c:pt>
                <c:pt idx="6">
                  <c:v>122.26559283361277</c:v>
                </c:pt>
                <c:pt idx="7">
                  <c:v>142.66238903343751</c:v>
                </c:pt>
                <c:pt idx="8">
                  <c:v>163.054227739266</c:v>
                </c:pt>
                <c:pt idx="9">
                  <c:v>183.43562942555212</c:v>
                </c:pt>
                <c:pt idx="10">
                  <c:v>203.79652715514518</c:v>
                </c:pt>
                <c:pt idx="11">
                  <c:v>224.14186660701316</c:v>
                </c:pt>
                <c:pt idx="12">
                  <c:v>224.23755232710408</c:v>
                </c:pt>
                <c:pt idx="13">
                  <c:v>224.32222439081903</c:v>
                </c:pt>
                <c:pt idx="14">
                  <c:v>224.40275743912878</c:v>
                </c:pt>
                <c:pt idx="15">
                  <c:v>224.47467733772413</c:v>
                </c:pt>
                <c:pt idx="16">
                  <c:v>224.54383494607333</c:v>
                </c:pt>
                <c:pt idx="17">
                  <c:v>224.60583868159841</c:v>
                </c:pt>
                <c:pt idx="18">
                  <c:v>224.66591458765382</c:v>
                </c:pt>
                <c:pt idx="19">
                  <c:v>224.72423203047893</c:v>
                </c:pt>
                <c:pt idx="20">
                  <c:v>224.76989666526379</c:v>
                </c:pt>
                <c:pt idx="21">
                  <c:v>224.82085673799924</c:v>
                </c:pt>
                <c:pt idx="22">
                  <c:v>224.87063560471657</c:v>
                </c:pt>
                <c:pt idx="23">
                  <c:v>224.9152957888079</c:v>
                </c:pt>
                <c:pt idx="24">
                  <c:v>224.95908379237372</c:v>
                </c:pt>
                <c:pt idx="25">
                  <c:v>225.00204880240099</c:v>
                </c:pt>
                <c:pt idx="26">
                  <c:v>225.0442355494643</c:v>
                </c:pt>
                <c:pt idx="27">
                  <c:v>225.07807901045854</c:v>
                </c:pt>
                <c:pt idx="28">
                  <c:v>225.11514883132071</c:v>
                </c:pt>
                <c:pt idx="29">
                  <c:v>225.15166438435244</c:v>
                </c:pt>
                <c:pt idx="30">
                  <c:v>225.18764981243746</c:v>
                </c:pt>
                <c:pt idx="31">
                  <c:v>225.21960201960883</c:v>
                </c:pt>
                <c:pt idx="32">
                  <c:v>225.25115830818362</c:v>
                </c:pt>
                <c:pt idx="33">
                  <c:v>225.28233304074263</c:v>
                </c:pt>
                <c:pt idx="34">
                  <c:v>225.31313973193679</c:v>
                </c:pt>
                <c:pt idx="35">
                  <c:v>225.34359111695838</c:v>
                </c:pt>
                <c:pt idx="36">
                  <c:v>205.1240661528536</c:v>
                </c:pt>
                <c:pt idx="37">
                  <c:v>184.89108097028219</c:v>
                </c:pt>
                <c:pt idx="38">
                  <c:v>164.64810952256386</c:v>
                </c:pt>
                <c:pt idx="39">
                  <c:v>144.39515180969849</c:v>
                </c:pt>
                <c:pt idx="40">
                  <c:v>124.13209596170969</c:v>
                </c:pt>
                <c:pt idx="41">
                  <c:v>103.85871185305223</c:v>
                </c:pt>
                <c:pt idx="42">
                  <c:v>83.574637457586547</c:v>
                </c:pt>
                <c:pt idx="43">
                  <c:v>63.279355973303829</c:v>
                </c:pt>
                <c:pt idx="44">
                  <c:v>42.975771594037511</c:v>
                </c:pt>
                <c:pt idx="45">
                  <c:v>22.674372752167113</c:v>
                </c:pt>
                <c:pt idx="46">
                  <c:v>2.3715348739106106</c:v>
                </c:pt>
                <c:pt idx="47">
                  <c:v>2.3138315476324918</c:v>
                </c:pt>
                <c:pt idx="48">
                  <c:v>2.2546363875083828</c:v>
                </c:pt>
                <c:pt idx="49">
                  <c:v>2.1938445817637886</c:v>
                </c:pt>
                <c:pt idx="50">
                  <c:v>2.1355448026334281</c:v>
                </c:pt>
                <c:pt idx="51">
                  <c:v>2.0756081420092189</c:v>
                </c:pt>
                <c:pt idx="52">
                  <c:v>2.020353587750233</c:v>
                </c:pt>
                <c:pt idx="53">
                  <c:v>1.9611087930665019</c:v>
                </c:pt>
                <c:pt idx="54">
                  <c:v>1.9000175728003841</c:v>
                </c:pt>
                <c:pt idx="55">
                  <c:v>1.841828043523891</c:v>
                </c:pt>
                <c:pt idx="56">
                  <c:v>1.7817391242468195</c:v>
                </c:pt>
                <c:pt idx="57">
                  <c:v>1.7195517066469983</c:v>
                </c:pt>
                <c:pt idx="58">
                  <c:v>1.6605018889018621</c:v>
                </c:pt>
                <c:pt idx="59">
                  <c:v>1.5992732644112766</c:v>
                </c:pt>
                <c:pt idx="60">
                  <c:v>1.5356052310000607</c:v>
                </c:pt>
                <c:pt idx="61">
                  <c:v>1.4753428628430976</c:v>
                </c:pt>
                <c:pt idx="62">
                  <c:v>1.4125118408032491</c:v>
                </c:pt>
                <c:pt idx="63">
                  <c:v>1.3534723950380254</c:v>
                </c:pt>
                <c:pt idx="64">
                  <c:v>1.2917373370196257</c:v>
                </c:pt>
                <c:pt idx="65">
                  <c:v>1.2268998213265576</c:v>
                </c:pt>
                <c:pt idx="66">
                  <c:v>1.1662442632420502</c:v>
                </c:pt>
                <c:pt idx="67">
                  <c:v>1.102255955537935</c:v>
                </c:pt>
                <c:pt idx="68">
                  <c:v>1.0430509995901294</c:v>
                </c:pt>
                <c:pt idx="69">
                  <c:v>0.98027678946973418</c:v>
                </c:pt>
                <c:pt idx="70">
                  <c:v>0.91319755814402581</c:v>
                </c:pt>
                <c:pt idx="71">
                  <c:v>0.85150552709926763</c:v>
                </c:pt>
                <c:pt idx="72">
                  <c:v>0.78497996481502108</c:v>
                </c:pt>
                <c:pt idx="73">
                  <c:v>0.72489317412612619</c:v>
                </c:pt>
                <c:pt idx="74">
                  <c:v>0.65935323054362049</c:v>
                </c:pt>
                <c:pt idx="75">
                  <c:v>0.58653495323123517</c:v>
                </c:pt>
                <c:pt idx="76">
                  <c:v>0.52100336500726552</c:v>
                </c:pt>
                <c:pt idx="77">
                  <c:v>0.44594367507098998</c:v>
                </c:pt>
                <c:pt idx="78">
                  <c:v>0.38004171162652095</c:v>
                </c:pt>
                <c:pt idx="79">
                  <c:v>0.29999607300131581</c:v>
                </c:pt>
                <c:pt idx="80">
                  <c:v>0.23175045050587106</c:v>
                </c:pt>
                <c:pt idx="81">
                  <c:v>0.13198067587013479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EC-4DFF-96DF-D2900E35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6992"/>
        <c:axId val="806412208"/>
      </c:scatterChart>
      <c:valAx>
        <c:axId val="805856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Tempo [min]</a:t>
                </a:r>
              </a:p>
            </c:rich>
          </c:tx>
          <c:layout>
            <c:manualLayout>
              <c:xMode val="edge"/>
              <c:yMode val="edge"/>
              <c:x val="0.48476797272332883"/>
              <c:y val="0.8079979166666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412208"/>
        <c:crosses val="autoZero"/>
        <c:crossBetween val="midCat"/>
        <c:majorUnit val="10"/>
      </c:valAx>
      <c:valAx>
        <c:axId val="80641220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699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5.8338281581916354E-2"/>
          <c:y val="0.88363686534216335"/>
          <c:w val="0.90793244748475044"/>
          <c:h val="8.0559970566593087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System's hydrographs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2952306770498"/>
          <c:y val="0.14435473865154633"/>
          <c:w val="0.84424821472915113"/>
          <c:h val="0.56896143567230684"/>
        </c:manualLayout>
      </c:layout>
      <c:scatterChart>
        <c:scatterStyle val="lineMarker"/>
        <c:varyColors val="0"/>
        <c:ser>
          <c:idx val="1"/>
          <c:order val="0"/>
          <c:tx>
            <c:v>Outlet hydrograph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[0]!Tempo_exutório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[0]!Vazao_exutorio</c:f>
              <c:numCache>
                <c:formatCode>#,#00</c:formatCode>
                <c:ptCount val="71"/>
                <c:pt idx="0">
                  <c:v>0</c:v>
                </c:pt>
                <c:pt idx="1">
                  <c:v>20.522828195843498</c:v>
                </c:pt>
                <c:pt idx="2">
                  <c:v>41.045656391686997</c:v>
                </c:pt>
                <c:pt idx="3">
                  <c:v>61.568484587530492</c:v>
                </c:pt>
                <c:pt idx="4">
                  <c:v>82.091312783373994</c:v>
                </c:pt>
                <c:pt idx="5">
                  <c:v>102.6141409792175</c:v>
                </c:pt>
                <c:pt idx="6">
                  <c:v>123.13696917506098</c:v>
                </c:pt>
                <c:pt idx="7">
                  <c:v>143.6597973709045</c:v>
                </c:pt>
                <c:pt idx="8">
                  <c:v>164.18262556674799</c:v>
                </c:pt>
                <c:pt idx="9">
                  <c:v>184.70545376259147</c:v>
                </c:pt>
                <c:pt idx="10">
                  <c:v>205.22828195843499</c:v>
                </c:pt>
                <c:pt idx="11">
                  <c:v>225.75111015427848</c:v>
                </c:pt>
                <c:pt idx="12">
                  <c:v>246.27393835012197</c:v>
                </c:pt>
                <c:pt idx="13">
                  <c:v>266.79676654596545</c:v>
                </c:pt>
                <c:pt idx="14">
                  <c:v>287.319594741809</c:v>
                </c:pt>
                <c:pt idx="15">
                  <c:v>307.84242293765249</c:v>
                </c:pt>
                <c:pt idx="16">
                  <c:v>328.36525113349597</c:v>
                </c:pt>
                <c:pt idx="17">
                  <c:v>348.88807932933946</c:v>
                </c:pt>
                <c:pt idx="18">
                  <c:v>369.41090752518295</c:v>
                </c:pt>
                <c:pt idx="19">
                  <c:v>389.93373572102649</c:v>
                </c:pt>
                <c:pt idx="20">
                  <c:v>410.45656391686998</c:v>
                </c:pt>
                <c:pt idx="21">
                  <c:v>430.97939211271347</c:v>
                </c:pt>
                <c:pt idx="22">
                  <c:v>451.50222030855696</c:v>
                </c:pt>
                <c:pt idx="23">
                  <c:v>472.02504850440044</c:v>
                </c:pt>
                <c:pt idx="24">
                  <c:v>492.54787670024393</c:v>
                </c:pt>
                <c:pt idx="25">
                  <c:v>513.07070489608748</c:v>
                </c:pt>
                <c:pt idx="26">
                  <c:v>533.59353309193091</c:v>
                </c:pt>
                <c:pt idx="27">
                  <c:v>554.11636128777445</c:v>
                </c:pt>
                <c:pt idx="28">
                  <c:v>574.639189483618</c:v>
                </c:pt>
                <c:pt idx="29">
                  <c:v>595.16201767946143</c:v>
                </c:pt>
                <c:pt idx="30">
                  <c:v>615.68484587530497</c:v>
                </c:pt>
                <c:pt idx="31">
                  <c:v>636.2076740711484</c:v>
                </c:pt>
                <c:pt idx="32">
                  <c:v>656.73050226699195</c:v>
                </c:pt>
                <c:pt idx="33">
                  <c:v>677.25333046283549</c:v>
                </c:pt>
                <c:pt idx="34">
                  <c:v>697.77615865867892</c:v>
                </c:pt>
                <c:pt idx="35">
                  <c:v>718.29898685452247</c:v>
                </c:pt>
                <c:pt idx="36">
                  <c:v>697.77615865867892</c:v>
                </c:pt>
                <c:pt idx="37">
                  <c:v>677.25333046283549</c:v>
                </c:pt>
                <c:pt idx="38">
                  <c:v>656.73050226699195</c:v>
                </c:pt>
                <c:pt idx="39">
                  <c:v>636.20767407114852</c:v>
                </c:pt>
                <c:pt idx="40">
                  <c:v>615.68484587530497</c:v>
                </c:pt>
                <c:pt idx="41">
                  <c:v>595.16201767946154</c:v>
                </c:pt>
                <c:pt idx="42">
                  <c:v>574.639189483618</c:v>
                </c:pt>
                <c:pt idx="43">
                  <c:v>554.11636128777445</c:v>
                </c:pt>
                <c:pt idx="44">
                  <c:v>533.59353309193102</c:v>
                </c:pt>
                <c:pt idx="45">
                  <c:v>513.07070489608748</c:v>
                </c:pt>
                <c:pt idx="46">
                  <c:v>492.54787670024399</c:v>
                </c:pt>
                <c:pt idx="47">
                  <c:v>472.0250485044005</c:v>
                </c:pt>
                <c:pt idx="48">
                  <c:v>451.50222030855701</c:v>
                </c:pt>
                <c:pt idx="49">
                  <c:v>430.97939211271347</c:v>
                </c:pt>
                <c:pt idx="50">
                  <c:v>410.45656391686998</c:v>
                </c:pt>
                <c:pt idx="51">
                  <c:v>389.93373572102649</c:v>
                </c:pt>
                <c:pt idx="52">
                  <c:v>369.41090752518301</c:v>
                </c:pt>
                <c:pt idx="53">
                  <c:v>348.88807932933952</c:v>
                </c:pt>
                <c:pt idx="54">
                  <c:v>328.36525113349597</c:v>
                </c:pt>
                <c:pt idx="55">
                  <c:v>307.84242293765249</c:v>
                </c:pt>
                <c:pt idx="56">
                  <c:v>287.319594741809</c:v>
                </c:pt>
                <c:pt idx="57">
                  <c:v>266.79676654596551</c:v>
                </c:pt>
                <c:pt idx="58">
                  <c:v>246.27393835012202</c:v>
                </c:pt>
                <c:pt idx="59">
                  <c:v>225.75111015427854</c:v>
                </c:pt>
                <c:pt idx="60">
                  <c:v>205.22828195843499</c:v>
                </c:pt>
                <c:pt idx="61">
                  <c:v>184.70545376259156</c:v>
                </c:pt>
                <c:pt idx="62">
                  <c:v>164.18262556674802</c:v>
                </c:pt>
                <c:pt idx="63">
                  <c:v>143.65979737090447</c:v>
                </c:pt>
                <c:pt idx="64">
                  <c:v>123.13696917506104</c:v>
                </c:pt>
                <c:pt idx="65">
                  <c:v>102.6141409792175</c:v>
                </c:pt>
                <c:pt idx="66">
                  <c:v>82.091312783374065</c:v>
                </c:pt>
                <c:pt idx="67">
                  <c:v>61.56848458753052</c:v>
                </c:pt>
                <c:pt idx="68">
                  <c:v>41.045656391686975</c:v>
                </c:pt>
                <c:pt idx="69">
                  <c:v>20.522828195843545</c:v>
                </c:pt>
                <c:pt idx="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D7-4777-A842-1CA462679C83}"/>
            </c:ext>
          </c:extLst>
        </c:ser>
        <c:ser>
          <c:idx val="0"/>
          <c:order val="1"/>
          <c:tx>
            <c:v>Lot reference hydrograph</c:v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[0]!Vazao_secao_i</c:f>
              <c:numCache>
                <c:formatCode>#,#00</c:formatCode>
                <c:ptCount val="47"/>
                <c:pt idx="0">
                  <c:v>0</c:v>
                </c:pt>
                <c:pt idx="1">
                  <c:v>20.522828195843498</c:v>
                </c:pt>
                <c:pt idx="2">
                  <c:v>41.045656391686997</c:v>
                </c:pt>
                <c:pt idx="3">
                  <c:v>61.568484587530492</c:v>
                </c:pt>
                <c:pt idx="4">
                  <c:v>82.091312783373994</c:v>
                </c:pt>
                <c:pt idx="5">
                  <c:v>102.6141409792175</c:v>
                </c:pt>
                <c:pt idx="6">
                  <c:v>123.13696917506098</c:v>
                </c:pt>
                <c:pt idx="7">
                  <c:v>143.6597973709045</c:v>
                </c:pt>
                <c:pt idx="8">
                  <c:v>164.18262556674799</c:v>
                </c:pt>
                <c:pt idx="9">
                  <c:v>184.70545376259147</c:v>
                </c:pt>
                <c:pt idx="10">
                  <c:v>205.22828195843499</c:v>
                </c:pt>
                <c:pt idx="11">
                  <c:v>225.75111015427848</c:v>
                </c:pt>
                <c:pt idx="12">
                  <c:v>225.75111015427848</c:v>
                </c:pt>
                <c:pt idx="13">
                  <c:v>225.75111015427848</c:v>
                </c:pt>
                <c:pt idx="14">
                  <c:v>225.75111015427848</c:v>
                </c:pt>
                <c:pt idx="15">
                  <c:v>225.75111015427848</c:v>
                </c:pt>
                <c:pt idx="16">
                  <c:v>225.75111015427848</c:v>
                </c:pt>
                <c:pt idx="17">
                  <c:v>225.75111015427848</c:v>
                </c:pt>
                <c:pt idx="18">
                  <c:v>225.75111015427848</c:v>
                </c:pt>
                <c:pt idx="19">
                  <c:v>225.75111015427848</c:v>
                </c:pt>
                <c:pt idx="20">
                  <c:v>225.75111015427848</c:v>
                </c:pt>
                <c:pt idx="21">
                  <c:v>225.75111015427848</c:v>
                </c:pt>
                <c:pt idx="22">
                  <c:v>225.75111015427848</c:v>
                </c:pt>
                <c:pt idx="23">
                  <c:v>225.75111015427848</c:v>
                </c:pt>
                <c:pt idx="24">
                  <c:v>225.75111015427848</c:v>
                </c:pt>
                <c:pt idx="25">
                  <c:v>225.75111015427848</c:v>
                </c:pt>
                <c:pt idx="26">
                  <c:v>225.75111015427848</c:v>
                </c:pt>
                <c:pt idx="27">
                  <c:v>225.75111015427848</c:v>
                </c:pt>
                <c:pt idx="28">
                  <c:v>225.75111015427848</c:v>
                </c:pt>
                <c:pt idx="29">
                  <c:v>225.75111015427848</c:v>
                </c:pt>
                <c:pt idx="30">
                  <c:v>225.75111015427848</c:v>
                </c:pt>
                <c:pt idx="31">
                  <c:v>225.75111015427848</c:v>
                </c:pt>
                <c:pt idx="32">
                  <c:v>225.75111015427848</c:v>
                </c:pt>
                <c:pt idx="33">
                  <c:v>225.75111015427848</c:v>
                </c:pt>
                <c:pt idx="34">
                  <c:v>225.75111015427848</c:v>
                </c:pt>
                <c:pt idx="35">
                  <c:v>225.75111015427848</c:v>
                </c:pt>
                <c:pt idx="36">
                  <c:v>205.22828195843499</c:v>
                </c:pt>
                <c:pt idx="37">
                  <c:v>184.70545376259147</c:v>
                </c:pt>
                <c:pt idx="38">
                  <c:v>164.18262556674799</c:v>
                </c:pt>
                <c:pt idx="39">
                  <c:v>143.65979737090447</c:v>
                </c:pt>
                <c:pt idx="40">
                  <c:v>123.13696917506098</c:v>
                </c:pt>
                <c:pt idx="41">
                  <c:v>102.6141409792175</c:v>
                </c:pt>
                <c:pt idx="42">
                  <c:v>82.091312783373979</c:v>
                </c:pt>
                <c:pt idx="43">
                  <c:v>61.568484587530492</c:v>
                </c:pt>
                <c:pt idx="44">
                  <c:v>41.045656391687004</c:v>
                </c:pt>
                <c:pt idx="45">
                  <c:v>20.522828195843488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D7-4777-A842-1CA462679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59216"/>
        <c:axId val="805259776"/>
      </c:scatterChart>
      <c:valAx>
        <c:axId val="80525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8467470821857522"/>
              <c:y val="0.8094047592156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59776"/>
        <c:crosses val="autoZero"/>
        <c:crossBetween val="midCat"/>
        <c:majorUnit val="10"/>
      </c:valAx>
      <c:valAx>
        <c:axId val="805259776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Flow</a:t>
                </a:r>
                <a:r>
                  <a:rPr lang="pt-BR" sz="1200" b="1" baseline="0">
                    <a:solidFill>
                      <a:sysClr val="windowText" lastClr="000000"/>
                    </a:solidFill>
                  </a:rPr>
                  <a:t> rate</a:t>
                </a:r>
                <a:r>
                  <a:rPr lang="pt-BR" sz="1200" b="1">
                    <a:solidFill>
                      <a:sysClr val="windowText" lastClr="000000"/>
                    </a:solidFill>
                  </a:rPr>
                  <a:t>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59216"/>
        <c:crosses val="autoZero"/>
        <c:crossBetween val="midCat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Specifc discharge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31740770744962"/>
          <c:y val="0.13037490802060339"/>
          <c:w val="0.79646039733474305"/>
          <c:h val="0.57372111846946283"/>
        </c:manualLayout>
      </c:layout>
      <c:scatterChart>
        <c:scatterStyle val="lineMarker"/>
        <c:varyColors val="0"/>
        <c:ser>
          <c:idx val="1"/>
          <c:order val="0"/>
          <c:tx>
            <c:v>Outlet specific discharge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[0]!Tempo_exutório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[0]!qsis_exut</c:f>
              <c:numCache>
                <c:formatCode>#,#00</c:formatCode>
                <c:ptCount val="71"/>
                <c:pt idx="0">
                  <c:v>0</c:v>
                </c:pt>
                <c:pt idx="1">
                  <c:v>6.8409427319478328E-2</c:v>
                </c:pt>
                <c:pt idx="2">
                  <c:v>0.13681885463895666</c:v>
                </c:pt>
                <c:pt idx="3">
                  <c:v>0.20522828195843498</c:v>
                </c:pt>
                <c:pt idx="4">
                  <c:v>0.27363770927791331</c:v>
                </c:pt>
                <c:pt idx="5">
                  <c:v>0.34204713659739167</c:v>
                </c:pt>
                <c:pt idx="6">
                  <c:v>0.41045656391686997</c:v>
                </c:pt>
                <c:pt idx="7">
                  <c:v>0.47886599123634832</c:v>
                </c:pt>
                <c:pt idx="8">
                  <c:v>0.54727541855582662</c:v>
                </c:pt>
                <c:pt idx="9">
                  <c:v>0.61568484587530492</c:v>
                </c:pt>
                <c:pt idx="10">
                  <c:v>0.68409427319478333</c:v>
                </c:pt>
                <c:pt idx="11">
                  <c:v>0.75250370051426163</c:v>
                </c:pt>
                <c:pt idx="12">
                  <c:v>0.82091312783373993</c:v>
                </c:pt>
                <c:pt idx="13">
                  <c:v>0.88932255515321823</c:v>
                </c:pt>
                <c:pt idx="14">
                  <c:v>0.95773198247269664</c:v>
                </c:pt>
                <c:pt idx="15">
                  <c:v>1.0261414097921751</c:v>
                </c:pt>
                <c:pt idx="16">
                  <c:v>1.0945508371116532</c:v>
                </c:pt>
                <c:pt idx="17">
                  <c:v>1.1629602644311314</c:v>
                </c:pt>
                <c:pt idx="18">
                  <c:v>1.2313696917506098</c:v>
                </c:pt>
                <c:pt idx="19">
                  <c:v>1.2997791190700883</c:v>
                </c:pt>
                <c:pt idx="20">
                  <c:v>1.3681885463895667</c:v>
                </c:pt>
                <c:pt idx="21">
                  <c:v>1.4365979737090449</c:v>
                </c:pt>
                <c:pt idx="22">
                  <c:v>1.5050074010285233</c:v>
                </c:pt>
                <c:pt idx="23">
                  <c:v>1.5734168283480015</c:v>
                </c:pt>
                <c:pt idx="24">
                  <c:v>1.6418262556674799</c:v>
                </c:pt>
                <c:pt idx="25">
                  <c:v>1.7102356829869583</c:v>
                </c:pt>
                <c:pt idx="26">
                  <c:v>1.7786451103064365</c:v>
                </c:pt>
                <c:pt idx="27">
                  <c:v>1.8470545376259149</c:v>
                </c:pt>
                <c:pt idx="28">
                  <c:v>1.9154639649453933</c:v>
                </c:pt>
                <c:pt idx="29">
                  <c:v>1.9838733922648715</c:v>
                </c:pt>
                <c:pt idx="30">
                  <c:v>2.0522828195843501</c:v>
                </c:pt>
                <c:pt idx="31">
                  <c:v>2.1206922469038281</c:v>
                </c:pt>
                <c:pt idx="32">
                  <c:v>2.1891016742233065</c:v>
                </c:pt>
                <c:pt idx="33">
                  <c:v>2.2575111015427849</c:v>
                </c:pt>
                <c:pt idx="34">
                  <c:v>2.3259205288622629</c:v>
                </c:pt>
                <c:pt idx="35">
                  <c:v>2.3943299561817417</c:v>
                </c:pt>
                <c:pt idx="36">
                  <c:v>2.3259205288622629</c:v>
                </c:pt>
                <c:pt idx="37">
                  <c:v>2.2575111015427849</c:v>
                </c:pt>
                <c:pt idx="38">
                  <c:v>2.1891016742233065</c:v>
                </c:pt>
                <c:pt idx="39">
                  <c:v>2.1206922469038285</c:v>
                </c:pt>
                <c:pt idx="40">
                  <c:v>2.0522828195843501</c:v>
                </c:pt>
                <c:pt idx="41">
                  <c:v>1.9838733922648719</c:v>
                </c:pt>
                <c:pt idx="42">
                  <c:v>1.9154639649453933</c:v>
                </c:pt>
                <c:pt idx="43">
                  <c:v>1.8470545376259149</c:v>
                </c:pt>
                <c:pt idx="44">
                  <c:v>1.7786451103064367</c:v>
                </c:pt>
                <c:pt idx="45">
                  <c:v>1.7102356829869583</c:v>
                </c:pt>
                <c:pt idx="46">
                  <c:v>1.6418262556674799</c:v>
                </c:pt>
                <c:pt idx="47">
                  <c:v>1.5734168283480017</c:v>
                </c:pt>
                <c:pt idx="48">
                  <c:v>1.5050074010285235</c:v>
                </c:pt>
                <c:pt idx="49">
                  <c:v>1.4365979737090449</c:v>
                </c:pt>
                <c:pt idx="50">
                  <c:v>1.3681885463895667</c:v>
                </c:pt>
                <c:pt idx="51">
                  <c:v>1.2997791190700883</c:v>
                </c:pt>
                <c:pt idx="52">
                  <c:v>1.2313696917506101</c:v>
                </c:pt>
                <c:pt idx="53">
                  <c:v>1.1629602644311317</c:v>
                </c:pt>
                <c:pt idx="54">
                  <c:v>1.0945508371116532</c:v>
                </c:pt>
                <c:pt idx="55">
                  <c:v>1.0261414097921751</c:v>
                </c:pt>
                <c:pt idx="56">
                  <c:v>0.95773198247269664</c:v>
                </c:pt>
                <c:pt idx="57">
                  <c:v>0.88932255515321834</c:v>
                </c:pt>
                <c:pt idx="58">
                  <c:v>0.82091312783374004</c:v>
                </c:pt>
                <c:pt idx="59">
                  <c:v>0.75250370051426174</c:v>
                </c:pt>
                <c:pt idx="60">
                  <c:v>0.68409427319478333</c:v>
                </c:pt>
                <c:pt idx="61">
                  <c:v>0.61568484587530525</c:v>
                </c:pt>
                <c:pt idx="62">
                  <c:v>0.54727541855582673</c:v>
                </c:pt>
                <c:pt idx="63">
                  <c:v>0.47886599123634821</c:v>
                </c:pt>
                <c:pt idx="64">
                  <c:v>0.41045656391687013</c:v>
                </c:pt>
                <c:pt idx="65">
                  <c:v>0.34204713659739167</c:v>
                </c:pt>
                <c:pt idx="66">
                  <c:v>0.27363770927791353</c:v>
                </c:pt>
                <c:pt idx="67">
                  <c:v>0.20522828195843507</c:v>
                </c:pt>
                <c:pt idx="68">
                  <c:v>0.13681885463895657</c:v>
                </c:pt>
                <c:pt idx="69">
                  <c:v>6.840942731947848E-2</c:v>
                </c:pt>
                <c:pt idx="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54-492B-9B82-1B704D2A680A}"/>
            </c:ext>
          </c:extLst>
        </c:ser>
        <c:ser>
          <c:idx val="0"/>
          <c:order val="1"/>
          <c:tx>
            <c:v>Lot reference specific discharge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[0]!qsis_i</c:f>
              <c:numCache>
                <c:formatCode>#,#00</c:formatCode>
                <c:ptCount val="47"/>
                <c:pt idx="0">
                  <c:v>0</c:v>
                </c:pt>
                <c:pt idx="1">
                  <c:v>0.18657116541675905</c:v>
                </c:pt>
                <c:pt idx="2">
                  <c:v>0.37314233083351811</c:v>
                </c:pt>
                <c:pt idx="3">
                  <c:v>0.55971349625027711</c:v>
                </c:pt>
                <c:pt idx="4">
                  <c:v>0.74628466166703622</c:v>
                </c:pt>
                <c:pt idx="5">
                  <c:v>0.93285582708379533</c:v>
                </c:pt>
                <c:pt idx="6">
                  <c:v>1.1194269925005542</c:v>
                </c:pt>
                <c:pt idx="7">
                  <c:v>1.3059981579173134</c:v>
                </c:pt>
                <c:pt idx="8">
                  <c:v>1.4925693233340724</c:v>
                </c:pt>
                <c:pt idx="9">
                  <c:v>1.6791404887508314</c:v>
                </c:pt>
                <c:pt idx="10">
                  <c:v>1.8657116541675907</c:v>
                </c:pt>
                <c:pt idx="11">
                  <c:v>2.0522828195843497</c:v>
                </c:pt>
                <c:pt idx="12">
                  <c:v>2.0522828195843497</c:v>
                </c:pt>
                <c:pt idx="13">
                  <c:v>2.0522828195843497</c:v>
                </c:pt>
                <c:pt idx="14">
                  <c:v>2.0522828195843497</c:v>
                </c:pt>
                <c:pt idx="15">
                  <c:v>2.0522828195843497</c:v>
                </c:pt>
                <c:pt idx="16">
                  <c:v>2.0522828195843497</c:v>
                </c:pt>
                <c:pt idx="17">
                  <c:v>2.0522828195843497</c:v>
                </c:pt>
                <c:pt idx="18">
                  <c:v>2.0522828195843497</c:v>
                </c:pt>
                <c:pt idx="19">
                  <c:v>2.0522828195843497</c:v>
                </c:pt>
                <c:pt idx="20">
                  <c:v>2.0522828195843497</c:v>
                </c:pt>
                <c:pt idx="21">
                  <c:v>2.0522828195843497</c:v>
                </c:pt>
                <c:pt idx="22">
                  <c:v>2.0522828195843497</c:v>
                </c:pt>
                <c:pt idx="23">
                  <c:v>2.0522828195843497</c:v>
                </c:pt>
                <c:pt idx="24">
                  <c:v>2.0522828195843497</c:v>
                </c:pt>
                <c:pt idx="25">
                  <c:v>2.0522828195843497</c:v>
                </c:pt>
                <c:pt idx="26">
                  <c:v>2.0522828195843497</c:v>
                </c:pt>
                <c:pt idx="27">
                  <c:v>2.0522828195843497</c:v>
                </c:pt>
                <c:pt idx="28">
                  <c:v>2.0522828195843497</c:v>
                </c:pt>
                <c:pt idx="29">
                  <c:v>2.0522828195843497</c:v>
                </c:pt>
                <c:pt idx="30">
                  <c:v>2.0522828195843497</c:v>
                </c:pt>
                <c:pt idx="31">
                  <c:v>2.0522828195843497</c:v>
                </c:pt>
                <c:pt idx="32">
                  <c:v>2.0522828195843497</c:v>
                </c:pt>
                <c:pt idx="33">
                  <c:v>2.0522828195843497</c:v>
                </c:pt>
                <c:pt idx="34">
                  <c:v>2.0522828195843497</c:v>
                </c:pt>
                <c:pt idx="35">
                  <c:v>2.0522828195843497</c:v>
                </c:pt>
                <c:pt idx="36">
                  <c:v>1.8657116541675907</c:v>
                </c:pt>
                <c:pt idx="37">
                  <c:v>1.6791404887508314</c:v>
                </c:pt>
                <c:pt idx="38">
                  <c:v>1.4925693233340724</c:v>
                </c:pt>
                <c:pt idx="39">
                  <c:v>1.3059981579173132</c:v>
                </c:pt>
                <c:pt idx="40">
                  <c:v>1.1194269925005542</c:v>
                </c:pt>
                <c:pt idx="41">
                  <c:v>0.93285582708379533</c:v>
                </c:pt>
                <c:pt idx="42">
                  <c:v>0.74628466166703611</c:v>
                </c:pt>
                <c:pt idx="43">
                  <c:v>0.55971349625027711</c:v>
                </c:pt>
                <c:pt idx="44">
                  <c:v>0.37314233083351817</c:v>
                </c:pt>
                <c:pt idx="45">
                  <c:v>0.18657116541675894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54-492B-9B82-1B704D2A6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427920"/>
        <c:axId val="805428480"/>
      </c:scatterChart>
      <c:valAx>
        <c:axId val="8054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7398902647394736"/>
              <c:y val="0.80499734277087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428480"/>
        <c:crosses val="autoZero"/>
        <c:crossBetween val="midCat"/>
        <c:majorUnit val="10"/>
      </c:valAx>
      <c:valAx>
        <c:axId val="80542848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q   [L/s/100m²]</a:t>
                </a:r>
              </a:p>
            </c:rich>
          </c:tx>
          <c:layout>
            <c:manualLayout>
              <c:xMode val="edge"/>
              <c:yMode val="edge"/>
              <c:x val="3.5828925789050101E-2"/>
              <c:y val="0.242302353897151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42792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Inflow hydrographs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11136249371543"/>
          <c:y val="0.14906512141280354"/>
          <c:w val="0.83066634346046109"/>
          <c:h val="0.53648896247240618"/>
        </c:manualLayout>
      </c:layout>
      <c:scatterChart>
        <c:scatterStyle val="lineMarker"/>
        <c:varyColors val="0"/>
        <c:ser>
          <c:idx val="0"/>
          <c:order val="0"/>
          <c:tx>
            <c:v>Inflow 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15"/>
                <c:pt idx="0">
                  <c:v>0</c:v>
                </c:pt>
                <c:pt idx="1">
                  <c:v>0.50921264606914685</c:v>
                </c:pt>
                <c:pt idx="2">
                  <c:v>1.0184252921382937</c:v>
                </c:pt>
                <c:pt idx="3">
                  <c:v>1.5276379382074405</c:v>
                </c:pt>
                <c:pt idx="4">
                  <c:v>2.0368505842765874</c:v>
                </c:pt>
                <c:pt idx="5">
                  <c:v>2.5460632303457342</c:v>
                </c:pt>
                <c:pt idx="6">
                  <c:v>3.0552758764148811</c:v>
                </c:pt>
                <c:pt idx="7">
                  <c:v>3.5644885224840279</c:v>
                </c:pt>
                <c:pt idx="8">
                  <c:v>4.0737011685531748</c:v>
                </c:pt>
                <c:pt idx="9">
                  <c:v>4.0737011685531748</c:v>
                </c:pt>
                <c:pt idx="10">
                  <c:v>4.0737011685531748</c:v>
                </c:pt>
                <c:pt idx="11">
                  <c:v>4.0737011685531748</c:v>
                </c:pt>
                <c:pt idx="12">
                  <c:v>4.0737011685531748</c:v>
                </c:pt>
                <c:pt idx="13">
                  <c:v>4.0737011685531748</c:v>
                </c:pt>
                <c:pt idx="14">
                  <c:v>4.0737011685531748</c:v>
                </c:pt>
                <c:pt idx="15">
                  <c:v>4.0737011685531748</c:v>
                </c:pt>
                <c:pt idx="16">
                  <c:v>4.0737011685531748</c:v>
                </c:pt>
                <c:pt idx="17">
                  <c:v>4.0737011685531748</c:v>
                </c:pt>
                <c:pt idx="18">
                  <c:v>4.0737011685531748</c:v>
                </c:pt>
                <c:pt idx="19">
                  <c:v>4.0737011685531748</c:v>
                </c:pt>
                <c:pt idx="20">
                  <c:v>4.0737011685531748</c:v>
                </c:pt>
                <c:pt idx="21">
                  <c:v>4.0737011685531748</c:v>
                </c:pt>
                <c:pt idx="22">
                  <c:v>4.0737011685531748</c:v>
                </c:pt>
                <c:pt idx="23">
                  <c:v>4.0737011685531748</c:v>
                </c:pt>
                <c:pt idx="24">
                  <c:v>4.0737011685531748</c:v>
                </c:pt>
                <c:pt idx="25">
                  <c:v>4.0737011685531748</c:v>
                </c:pt>
                <c:pt idx="26">
                  <c:v>4.0737011685531748</c:v>
                </c:pt>
                <c:pt idx="27">
                  <c:v>4.0737011685531748</c:v>
                </c:pt>
                <c:pt idx="28">
                  <c:v>4.0737011685531748</c:v>
                </c:pt>
                <c:pt idx="29">
                  <c:v>4.0737011685531748</c:v>
                </c:pt>
                <c:pt idx="30">
                  <c:v>4.0737011685531748</c:v>
                </c:pt>
                <c:pt idx="31">
                  <c:v>4.0737011685531748</c:v>
                </c:pt>
                <c:pt idx="32">
                  <c:v>4.0737011685531748</c:v>
                </c:pt>
                <c:pt idx="33">
                  <c:v>4.0737011685531748</c:v>
                </c:pt>
                <c:pt idx="34">
                  <c:v>4.0737011685531748</c:v>
                </c:pt>
                <c:pt idx="35">
                  <c:v>4.0737011685531748</c:v>
                </c:pt>
                <c:pt idx="36">
                  <c:v>3.5644885224840279</c:v>
                </c:pt>
                <c:pt idx="37">
                  <c:v>3.0552758764148811</c:v>
                </c:pt>
                <c:pt idx="38">
                  <c:v>2.5460632303457342</c:v>
                </c:pt>
                <c:pt idx="39">
                  <c:v>2.0368505842765874</c:v>
                </c:pt>
                <c:pt idx="40">
                  <c:v>1.5276379382074405</c:v>
                </c:pt>
                <c:pt idx="41">
                  <c:v>1.0184252921382937</c:v>
                </c:pt>
                <c:pt idx="42">
                  <c:v>0.50921264606914685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7-4566-A610-BD55F8349559}"/>
            </c:ext>
          </c:extLst>
        </c:ser>
        <c:ser>
          <c:idx val="1"/>
          <c:order val="1"/>
          <c:tx>
            <c:v>Lot reference hydrograph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47"/>
                <c:pt idx="0">
                  <c:v>0</c:v>
                </c:pt>
                <c:pt idx="1">
                  <c:v>0.27985674812513855</c:v>
                </c:pt>
                <c:pt idx="2">
                  <c:v>0.55971349625027711</c:v>
                </c:pt>
                <c:pt idx="3">
                  <c:v>0.83957024437541561</c:v>
                </c:pt>
                <c:pt idx="4">
                  <c:v>1.1194269925005542</c:v>
                </c:pt>
                <c:pt idx="5">
                  <c:v>1.3992837406256931</c:v>
                </c:pt>
                <c:pt idx="6">
                  <c:v>1.6791404887508312</c:v>
                </c:pt>
                <c:pt idx="7">
                  <c:v>1.95899723687597</c:v>
                </c:pt>
                <c:pt idx="8">
                  <c:v>2.2388539850011084</c:v>
                </c:pt>
                <c:pt idx="9">
                  <c:v>2.5187107331262468</c:v>
                </c:pt>
                <c:pt idx="10">
                  <c:v>2.7985674812513861</c:v>
                </c:pt>
                <c:pt idx="11">
                  <c:v>3.0784242293765245</c:v>
                </c:pt>
                <c:pt idx="12">
                  <c:v>3.0784242293765245</c:v>
                </c:pt>
                <c:pt idx="13">
                  <c:v>3.0784242293765245</c:v>
                </c:pt>
                <c:pt idx="14">
                  <c:v>3.0784242293765245</c:v>
                </c:pt>
                <c:pt idx="15">
                  <c:v>3.0784242293765245</c:v>
                </c:pt>
                <c:pt idx="16">
                  <c:v>3.0784242293765245</c:v>
                </c:pt>
                <c:pt idx="17">
                  <c:v>3.0784242293765245</c:v>
                </c:pt>
                <c:pt idx="18">
                  <c:v>3.0784242293765245</c:v>
                </c:pt>
                <c:pt idx="19">
                  <c:v>3.0784242293765245</c:v>
                </c:pt>
                <c:pt idx="20">
                  <c:v>3.0784242293765245</c:v>
                </c:pt>
                <c:pt idx="21">
                  <c:v>3.0784242293765245</c:v>
                </c:pt>
                <c:pt idx="22">
                  <c:v>3.0784242293765245</c:v>
                </c:pt>
                <c:pt idx="23">
                  <c:v>3.0784242293765245</c:v>
                </c:pt>
                <c:pt idx="24">
                  <c:v>3.0784242293765245</c:v>
                </c:pt>
                <c:pt idx="25">
                  <c:v>3.0784242293765245</c:v>
                </c:pt>
                <c:pt idx="26">
                  <c:v>3.0784242293765245</c:v>
                </c:pt>
                <c:pt idx="27">
                  <c:v>3.0784242293765245</c:v>
                </c:pt>
                <c:pt idx="28">
                  <c:v>3.0784242293765245</c:v>
                </c:pt>
                <c:pt idx="29">
                  <c:v>3.0784242293765245</c:v>
                </c:pt>
                <c:pt idx="30">
                  <c:v>3.0784242293765245</c:v>
                </c:pt>
                <c:pt idx="31">
                  <c:v>3.0784242293765245</c:v>
                </c:pt>
                <c:pt idx="32">
                  <c:v>3.0784242293765245</c:v>
                </c:pt>
                <c:pt idx="33">
                  <c:v>3.0784242293765245</c:v>
                </c:pt>
                <c:pt idx="34">
                  <c:v>3.0784242293765245</c:v>
                </c:pt>
                <c:pt idx="35">
                  <c:v>3.0784242293765245</c:v>
                </c:pt>
                <c:pt idx="36">
                  <c:v>2.7985674812513861</c:v>
                </c:pt>
                <c:pt idx="37">
                  <c:v>2.5187107331262468</c:v>
                </c:pt>
                <c:pt idx="38">
                  <c:v>2.2388539850011084</c:v>
                </c:pt>
                <c:pt idx="39">
                  <c:v>1.9589972368759698</c:v>
                </c:pt>
                <c:pt idx="40">
                  <c:v>1.6791404887508312</c:v>
                </c:pt>
                <c:pt idx="41">
                  <c:v>1.3992837406256931</c:v>
                </c:pt>
                <c:pt idx="42">
                  <c:v>1.1194269925005542</c:v>
                </c:pt>
                <c:pt idx="43">
                  <c:v>0.83957024437541561</c:v>
                </c:pt>
                <c:pt idx="44">
                  <c:v>0.55971349625027722</c:v>
                </c:pt>
                <c:pt idx="45">
                  <c:v>0.27985674812513844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7-4566-A610-BD55F8349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3280"/>
        <c:axId val="805593840"/>
      </c:scatterChart>
      <c:valAx>
        <c:axId val="805593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8275353731236081"/>
              <c:y val="0.777915378955114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3840"/>
        <c:crosses val="autoZero"/>
        <c:crossBetween val="midCat"/>
      </c:valAx>
      <c:valAx>
        <c:axId val="80559384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Flow rate</a:t>
                </a:r>
                <a:r>
                  <a:rPr lang="pt-BR" sz="1200" b="1" baseline="0">
                    <a:solidFill>
                      <a:sysClr val="windowText" lastClr="000000"/>
                    </a:solidFill>
                  </a:rPr>
                  <a:t> [L/s]</a:t>
                </a:r>
                <a:endParaRPr lang="pt-BR" sz="12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3280"/>
        <c:crosses val="autoZero"/>
        <c:crossBetween val="midCat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Lot</a:t>
            </a:r>
            <a:r>
              <a:rPr lang="pt-BR" sz="1600" b="1" baseline="0">
                <a:solidFill>
                  <a:sysClr val="windowText" lastClr="000000"/>
                </a:solidFill>
              </a:rPr>
              <a:t> scale reservoir simulation</a:t>
            </a:r>
            <a:endParaRPr lang="pt-BR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39937168684003"/>
          <c:y val="0.11613887693518571"/>
          <c:w val="0.77098695642113335"/>
          <c:h val="0.57407650722462211"/>
        </c:manualLayout>
      </c:layout>
      <c:scatterChart>
        <c:scatterStyle val="lineMarker"/>
        <c:varyColors val="0"/>
        <c:ser>
          <c:idx val="0"/>
          <c:order val="0"/>
          <c:tx>
            <c:v>Outflow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[0]!Outflow</c:f>
              <c:numCache>
                <c:formatCode>0.00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0.26805401985969635</c:v>
                </c:pt>
                <c:pt idx="4">
                  <c:v>0.46584380170727718</c:v>
                </c:pt>
                <c:pt idx="5">
                  <c:v>0.64544712903152668</c:v>
                </c:pt>
                <c:pt idx="6">
                  <c:v>0.80776414730261969</c:v>
                </c:pt>
                <c:pt idx="7">
                  <c:v>0.96158889940896941</c:v>
                </c:pt>
                <c:pt idx="8">
                  <c:v>1.1104561575191136</c:v>
                </c:pt>
                <c:pt idx="9">
                  <c:v>1.2488863960869074</c:v>
                </c:pt>
                <c:pt idx="10">
                  <c:v>1.3668126779615799</c:v>
                </c:pt>
                <c:pt idx="11">
                  <c:v>1.4691806821112228</c:v>
                </c:pt>
                <c:pt idx="12">
                  <c:v>1.5648664022021466</c:v>
                </c:pt>
                <c:pt idx="13">
                  <c:v>1.6495384659170929</c:v>
                </c:pt>
                <c:pt idx="14">
                  <c:v>1.7300715142268368</c:v>
                </c:pt>
                <c:pt idx="15">
                  <c:v>1.8019914128221859</c:v>
                </c:pt>
                <c:pt idx="16">
                  <c:v>1.8711490211713906</c:v>
                </c:pt>
                <c:pt idx="17">
                  <c:v>1.9331527566964648</c:v>
                </c:pt>
                <c:pt idx="18">
                  <c:v>1.9932286627518752</c:v>
                </c:pt>
                <c:pt idx="19">
                  <c:v>2.0515461055769912</c:v>
                </c:pt>
                <c:pt idx="20">
                  <c:v>2.0972107403618585</c:v>
                </c:pt>
                <c:pt idx="21">
                  <c:v>2.1481708130973085</c:v>
                </c:pt>
                <c:pt idx="22">
                  <c:v>2.1979496798146148</c:v>
                </c:pt>
                <c:pt idx="23">
                  <c:v>2.2426098639059688</c:v>
                </c:pt>
                <c:pt idx="24">
                  <c:v>2.2863978674717851</c:v>
                </c:pt>
                <c:pt idx="25">
                  <c:v>2.329362877499062</c:v>
                </c:pt>
                <c:pt idx="26">
                  <c:v>2.371549624562364</c:v>
                </c:pt>
                <c:pt idx="27">
                  <c:v>2.4053930855565979</c:v>
                </c:pt>
                <c:pt idx="28">
                  <c:v>2.4424629064187595</c:v>
                </c:pt>
                <c:pt idx="29">
                  <c:v>2.4789784594505164</c:v>
                </c:pt>
                <c:pt idx="30">
                  <c:v>2.514963887535512</c:v>
                </c:pt>
                <c:pt idx="31">
                  <c:v>2.546916094706893</c:v>
                </c:pt>
                <c:pt idx="32">
                  <c:v>2.5784723832816754</c:v>
                </c:pt>
                <c:pt idx="33">
                  <c:v>2.609647115840676</c:v>
                </c:pt>
                <c:pt idx="34">
                  <c:v>2.64045380703485</c:v>
                </c:pt>
                <c:pt idx="35">
                  <c:v>2.670905192056451</c:v>
                </c:pt>
                <c:pt idx="36">
                  <c:v>2.6943516756700054</c:v>
                </c:pt>
                <c:pt idx="37">
                  <c:v>2.7043379408169734</c:v>
                </c:pt>
                <c:pt idx="38">
                  <c:v>2.7043379408169734</c:v>
                </c:pt>
                <c:pt idx="39">
                  <c:v>2.6943516756700054</c:v>
                </c:pt>
                <c:pt idx="40">
                  <c:v>2.6742672753995462</c:v>
                </c:pt>
                <c:pt idx="41">
                  <c:v>2.6438546144604169</c:v>
                </c:pt>
                <c:pt idx="42">
                  <c:v>2.6027516667131234</c:v>
                </c:pt>
                <c:pt idx="43">
                  <c:v>2.5504416301487511</c:v>
                </c:pt>
                <c:pt idx="44">
                  <c:v>2.4898286986007854</c:v>
                </c:pt>
                <c:pt idx="45">
                  <c:v>2.4314013044487632</c:v>
                </c:pt>
                <c:pt idx="46">
                  <c:v>2.3715348739106106</c:v>
                </c:pt>
                <c:pt idx="47">
                  <c:v>2.3138315476324918</c:v>
                </c:pt>
                <c:pt idx="48">
                  <c:v>2.2546363875083828</c:v>
                </c:pt>
                <c:pt idx="49">
                  <c:v>2.1938445817637886</c:v>
                </c:pt>
                <c:pt idx="50">
                  <c:v>2.1355448026334281</c:v>
                </c:pt>
                <c:pt idx="51">
                  <c:v>2.0756081420092189</c:v>
                </c:pt>
                <c:pt idx="52">
                  <c:v>2.020353587750233</c:v>
                </c:pt>
                <c:pt idx="53">
                  <c:v>1.9611087930665019</c:v>
                </c:pt>
                <c:pt idx="54">
                  <c:v>1.9000175728003841</c:v>
                </c:pt>
                <c:pt idx="55">
                  <c:v>1.841828043523891</c:v>
                </c:pt>
                <c:pt idx="56">
                  <c:v>1.7817391242468195</c:v>
                </c:pt>
                <c:pt idx="57">
                  <c:v>1.7195517066469983</c:v>
                </c:pt>
                <c:pt idx="58">
                  <c:v>1.6605018889018621</c:v>
                </c:pt>
                <c:pt idx="59">
                  <c:v>1.5992732644112766</c:v>
                </c:pt>
                <c:pt idx="60">
                  <c:v>1.5356052310000607</c:v>
                </c:pt>
                <c:pt idx="61">
                  <c:v>1.4753428628430976</c:v>
                </c:pt>
                <c:pt idx="62">
                  <c:v>1.4125118408032491</c:v>
                </c:pt>
                <c:pt idx="63">
                  <c:v>1.3534723950380254</c:v>
                </c:pt>
                <c:pt idx="64">
                  <c:v>1.2917373370196257</c:v>
                </c:pt>
                <c:pt idx="65">
                  <c:v>1.2268998213265576</c:v>
                </c:pt>
                <c:pt idx="66">
                  <c:v>1.1662442632420502</c:v>
                </c:pt>
                <c:pt idx="67">
                  <c:v>1.102255955537935</c:v>
                </c:pt>
                <c:pt idx="68">
                  <c:v>1.0430509995901294</c:v>
                </c:pt>
                <c:pt idx="69">
                  <c:v>0.98027678946973418</c:v>
                </c:pt>
                <c:pt idx="70">
                  <c:v>0.91319755814402581</c:v>
                </c:pt>
                <c:pt idx="71">
                  <c:v>0.85150552709926763</c:v>
                </c:pt>
                <c:pt idx="72">
                  <c:v>0.78497996481502108</c:v>
                </c:pt>
                <c:pt idx="73">
                  <c:v>0.72489317412612619</c:v>
                </c:pt>
                <c:pt idx="74">
                  <c:v>0.65935323054362049</c:v>
                </c:pt>
                <c:pt idx="75">
                  <c:v>0.58653495323123517</c:v>
                </c:pt>
                <c:pt idx="76">
                  <c:v>0.52100336500726552</c:v>
                </c:pt>
                <c:pt idx="77">
                  <c:v>0.44594367507098998</c:v>
                </c:pt>
                <c:pt idx="78">
                  <c:v>0.38004171162652095</c:v>
                </c:pt>
                <c:pt idx="79">
                  <c:v>0.29999607300131581</c:v>
                </c:pt>
                <c:pt idx="80">
                  <c:v>0.23175045050587106</c:v>
                </c:pt>
                <c:pt idx="81">
                  <c:v>0.13198067587013479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4E-470C-AEB7-C26305D8940F}"/>
            </c:ext>
          </c:extLst>
        </c:ser>
        <c:ser>
          <c:idx val="2"/>
          <c:order val="2"/>
          <c:tx>
            <c:v>Inflow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15"/>
                <c:pt idx="0">
                  <c:v>0</c:v>
                </c:pt>
                <c:pt idx="1">
                  <c:v>0.50921264606914685</c:v>
                </c:pt>
                <c:pt idx="2">
                  <c:v>1.0184252921382937</c:v>
                </c:pt>
                <c:pt idx="3">
                  <c:v>1.5276379382074405</c:v>
                </c:pt>
                <c:pt idx="4">
                  <c:v>2.0368505842765874</c:v>
                </c:pt>
                <c:pt idx="5">
                  <c:v>2.5460632303457342</c:v>
                </c:pt>
                <c:pt idx="6">
                  <c:v>3.0552758764148811</c:v>
                </c:pt>
                <c:pt idx="7">
                  <c:v>3.5644885224840279</c:v>
                </c:pt>
                <c:pt idx="8">
                  <c:v>4.0737011685531748</c:v>
                </c:pt>
                <c:pt idx="9">
                  <c:v>4.0737011685531748</c:v>
                </c:pt>
                <c:pt idx="10">
                  <c:v>4.0737011685531748</c:v>
                </c:pt>
                <c:pt idx="11">
                  <c:v>4.0737011685531748</c:v>
                </c:pt>
                <c:pt idx="12">
                  <c:v>4.0737011685531748</c:v>
                </c:pt>
                <c:pt idx="13">
                  <c:v>4.0737011685531748</c:v>
                </c:pt>
                <c:pt idx="14">
                  <c:v>4.0737011685531748</c:v>
                </c:pt>
                <c:pt idx="15">
                  <c:v>4.0737011685531748</c:v>
                </c:pt>
                <c:pt idx="16">
                  <c:v>4.0737011685531748</c:v>
                </c:pt>
                <c:pt idx="17">
                  <c:v>4.0737011685531748</c:v>
                </c:pt>
                <c:pt idx="18">
                  <c:v>4.0737011685531748</c:v>
                </c:pt>
                <c:pt idx="19">
                  <c:v>4.0737011685531748</c:v>
                </c:pt>
                <c:pt idx="20">
                  <c:v>4.0737011685531748</c:v>
                </c:pt>
                <c:pt idx="21">
                  <c:v>4.0737011685531748</c:v>
                </c:pt>
                <c:pt idx="22">
                  <c:v>4.0737011685531748</c:v>
                </c:pt>
                <c:pt idx="23">
                  <c:v>4.0737011685531748</c:v>
                </c:pt>
                <c:pt idx="24">
                  <c:v>4.0737011685531748</c:v>
                </c:pt>
                <c:pt idx="25">
                  <c:v>4.0737011685531748</c:v>
                </c:pt>
                <c:pt idx="26">
                  <c:v>4.0737011685531748</c:v>
                </c:pt>
                <c:pt idx="27">
                  <c:v>4.0737011685531748</c:v>
                </c:pt>
                <c:pt idx="28">
                  <c:v>4.0737011685531748</c:v>
                </c:pt>
                <c:pt idx="29">
                  <c:v>4.0737011685531748</c:v>
                </c:pt>
                <c:pt idx="30">
                  <c:v>4.0737011685531748</c:v>
                </c:pt>
                <c:pt idx="31">
                  <c:v>4.0737011685531748</c:v>
                </c:pt>
                <c:pt idx="32">
                  <c:v>4.0737011685531748</c:v>
                </c:pt>
                <c:pt idx="33">
                  <c:v>4.0737011685531748</c:v>
                </c:pt>
                <c:pt idx="34">
                  <c:v>4.0737011685531748</c:v>
                </c:pt>
                <c:pt idx="35">
                  <c:v>4.0737011685531748</c:v>
                </c:pt>
                <c:pt idx="36">
                  <c:v>3.5644885224840279</c:v>
                </c:pt>
                <c:pt idx="37">
                  <c:v>3.0552758764148811</c:v>
                </c:pt>
                <c:pt idx="38">
                  <c:v>2.5460632303457342</c:v>
                </c:pt>
                <c:pt idx="39">
                  <c:v>2.0368505842765874</c:v>
                </c:pt>
                <c:pt idx="40">
                  <c:v>1.5276379382074405</c:v>
                </c:pt>
                <c:pt idx="41">
                  <c:v>1.0184252921382937</c:v>
                </c:pt>
                <c:pt idx="42">
                  <c:v>0.50921264606914685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4E-470C-AEB7-C26305D8940F}"/>
            </c:ext>
          </c:extLst>
        </c:ser>
        <c:ser>
          <c:idx val="3"/>
          <c:order val="3"/>
          <c:tx>
            <c:v>Lot reference hydrograph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47"/>
                <c:pt idx="0">
                  <c:v>0</c:v>
                </c:pt>
                <c:pt idx="1">
                  <c:v>0.27985674812513855</c:v>
                </c:pt>
                <c:pt idx="2">
                  <c:v>0.55971349625027711</c:v>
                </c:pt>
                <c:pt idx="3">
                  <c:v>0.83957024437541561</c:v>
                </c:pt>
                <c:pt idx="4">
                  <c:v>1.1194269925005542</c:v>
                </c:pt>
                <c:pt idx="5">
                  <c:v>1.3992837406256931</c:v>
                </c:pt>
                <c:pt idx="6">
                  <c:v>1.6791404887508312</c:v>
                </c:pt>
                <c:pt idx="7">
                  <c:v>1.95899723687597</c:v>
                </c:pt>
                <c:pt idx="8">
                  <c:v>2.2388539850011084</c:v>
                </c:pt>
                <c:pt idx="9">
                  <c:v>2.5187107331262468</c:v>
                </c:pt>
                <c:pt idx="10">
                  <c:v>2.7985674812513861</c:v>
                </c:pt>
                <c:pt idx="11">
                  <c:v>3.0784242293765245</c:v>
                </c:pt>
                <c:pt idx="12">
                  <c:v>3.0784242293765245</c:v>
                </c:pt>
                <c:pt idx="13">
                  <c:v>3.0784242293765245</c:v>
                </c:pt>
                <c:pt idx="14">
                  <c:v>3.0784242293765245</c:v>
                </c:pt>
                <c:pt idx="15">
                  <c:v>3.0784242293765245</c:v>
                </c:pt>
                <c:pt idx="16">
                  <c:v>3.0784242293765245</c:v>
                </c:pt>
                <c:pt idx="17">
                  <c:v>3.0784242293765245</c:v>
                </c:pt>
                <c:pt idx="18">
                  <c:v>3.0784242293765245</c:v>
                </c:pt>
                <c:pt idx="19">
                  <c:v>3.0784242293765245</c:v>
                </c:pt>
                <c:pt idx="20">
                  <c:v>3.0784242293765245</c:v>
                </c:pt>
                <c:pt idx="21">
                  <c:v>3.0784242293765245</c:v>
                </c:pt>
                <c:pt idx="22">
                  <c:v>3.0784242293765245</c:v>
                </c:pt>
                <c:pt idx="23">
                  <c:v>3.0784242293765245</c:v>
                </c:pt>
                <c:pt idx="24">
                  <c:v>3.0784242293765245</c:v>
                </c:pt>
                <c:pt idx="25">
                  <c:v>3.0784242293765245</c:v>
                </c:pt>
                <c:pt idx="26">
                  <c:v>3.0784242293765245</c:v>
                </c:pt>
                <c:pt idx="27">
                  <c:v>3.0784242293765245</c:v>
                </c:pt>
                <c:pt idx="28">
                  <c:v>3.0784242293765245</c:v>
                </c:pt>
                <c:pt idx="29">
                  <c:v>3.0784242293765245</c:v>
                </c:pt>
                <c:pt idx="30">
                  <c:v>3.0784242293765245</c:v>
                </c:pt>
                <c:pt idx="31">
                  <c:v>3.0784242293765245</c:v>
                </c:pt>
                <c:pt idx="32">
                  <c:v>3.0784242293765245</c:v>
                </c:pt>
                <c:pt idx="33">
                  <c:v>3.0784242293765245</c:v>
                </c:pt>
                <c:pt idx="34">
                  <c:v>3.0784242293765245</c:v>
                </c:pt>
                <c:pt idx="35">
                  <c:v>3.0784242293765245</c:v>
                </c:pt>
                <c:pt idx="36">
                  <c:v>2.7985674812513861</c:v>
                </c:pt>
                <c:pt idx="37">
                  <c:v>2.5187107331262468</c:v>
                </c:pt>
                <c:pt idx="38">
                  <c:v>2.2388539850011084</c:v>
                </c:pt>
                <c:pt idx="39">
                  <c:v>1.9589972368759698</c:v>
                </c:pt>
                <c:pt idx="40">
                  <c:v>1.6791404887508312</c:v>
                </c:pt>
                <c:pt idx="41">
                  <c:v>1.3992837406256931</c:v>
                </c:pt>
                <c:pt idx="42">
                  <c:v>1.1194269925005542</c:v>
                </c:pt>
                <c:pt idx="43">
                  <c:v>0.83957024437541561</c:v>
                </c:pt>
                <c:pt idx="44">
                  <c:v>0.55971349625027722</c:v>
                </c:pt>
                <c:pt idx="45">
                  <c:v>0.27985674812513844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4E-470C-AEB7-C26305D89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7824"/>
        <c:axId val="805278384"/>
      </c:scatterChart>
      <c:scatterChart>
        <c:scatterStyle val="lineMarker"/>
        <c:varyColors val="0"/>
        <c:ser>
          <c:idx val="1"/>
          <c:order val="1"/>
          <c:tx>
            <c:v>Water level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4.75</c:v>
                </c:pt>
                <c:pt idx="5">
                  <c:v>7.5</c:v>
                </c:pt>
                <c:pt idx="6">
                  <c:v>10.75</c:v>
                </c:pt>
                <c:pt idx="7">
                  <c:v>14.5</c:v>
                </c:pt>
                <c:pt idx="8">
                  <c:v>18.75</c:v>
                </c:pt>
                <c:pt idx="9">
                  <c:v>23.25</c:v>
                </c:pt>
                <c:pt idx="10">
                  <c:v>27.5</c:v>
                </c:pt>
                <c:pt idx="11">
                  <c:v>31.5</c:v>
                </c:pt>
                <c:pt idx="12">
                  <c:v>35.5</c:v>
                </c:pt>
                <c:pt idx="13">
                  <c:v>39.25</c:v>
                </c:pt>
                <c:pt idx="14">
                  <c:v>43</c:v>
                </c:pt>
                <c:pt idx="15">
                  <c:v>46.5</c:v>
                </c:pt>
                <c:pt idx="16">
                  <c:v>50</c:v>
                </c:pt>
                <c:pt idx="17">
                  <c:v>53.25</c:v>
                </c:pt>
                <c:pt idx="18">
                  <c:v>56.5</c:v>
                </c:pt>
                <c:pt idx="19">
                  <c:v>59.75</c:v>
                </c:pt>
                <c:pt idx="20">
                  <c:v>62.75</c:v>
                </c:pt>
                <c:pt idx="21">
                  <c:v>65.75</c:v>
                </c:pt>
                <c:pt idx="22">
                  <c:v>68.75</c:v>
                </c:pt>
                <c:pt idx="23">
                  <c:v>71.5</c:v>
                </c:pt>
                <c:pt idx="24">
                  <c:v>74.25</c:v>
                </c:pt>
                <c:pt idx="25">
                  <c:v>77</c:v>
                </c:pt>
                <c:pt idx="26">
                  <c:v>79.75</c:v>
                </c:pt>
                <c:pt idx="27">
                  <c:v>82.25</c:v>
                </c:pt>
                <c:pt idx="28">
                  <c:v>84.75</c:v>
                </c:pt>
                <c:pt idx="29">
                  <c:v>87.25</c:v>
                </c:pt>
                <c:pt idx="30">
                  <c:v>89.75</c:v>
                </c:pt>
                <c:pt idx="31">
                  <c:v>92</c:v>
                </c:pt>
                <c:pt idx="32">
                  <c:v>94.25</c:v>
                </c:pt>
                <c:pt idx="33">
                  <c:v>96.5</c:v>
                </c:pt>
                <c:pt idx="34">
                  <c:v>98.75</c:v>
                </c:pt>
                <c:pt idx="35">
                  <c:v>101</c:v>
                </c:pt>
                <c:pt idx="36">
                  <c:v>102.75</c:v>
                </c:pt>
                <c:pt idx="37">
                  <c:v>103.5</c:v>
                </c:pt>
                <c:pt idx="38">
                  <c:v>103.5</c:v>
                </c:pt>
                <c:pt idx="39">
                  <c:v>102.75</c:v>
                </c:pt>
                <c:pt idx="40">
                  <c:v>101.25</c:v>
                </c:pt>
                <c:pt idx="41">
                  <c:v>99</c:v>
                </c:pt>
                <c:pt idx="42">
                  <c:v>96</c:v>
                </c:pt>
                <c:pt idx="43">
                  <c:v>92.25</c:v>
                </c:pt>
                <c:pt idx="44">
                  <c:v>88</c:v>
                </c:pt>
                <c:pt idx="45">
                  <c:v>84</c:v>
                </c:pt>
                <c:pt idx="46">
                  <c:v>80</c:v>
                </c:pt>
                <c:pt idx="47">
                  <c:v>76</c:v>
                </c:pt>
                <c:pt idx="48">
                  <c:v>72.25</c:v>
                </c:pt>
                <c:pt idx="49">
                  <c:v>68.5</c:v>
                </c:pt>
                <c:pt idx="50">
                  <c:v>65</c:v>
                </c:pt>
                <c:pt idx="51">
                  <c:v>61.5</c:v>
                </c:pt>
                <c:pt idx="52">
                  <c:v>58</c:v>
                </c:pt>
                <c:pt idx="53">
                  <c:v>54.75</c:v>
                </c:pt>
                <c:pt idx="54">
                  <c:v>51.5</c:v>
                </c:pt>
                <c:pt idx="55">
                  <c:v>48.5</c:v>
                </c:pt>
                <c:pt idx="56">
                  <c:v>45.5</c:v>
                </c:pt>
                <c:pt idx="57">
                  <c:v>42.5</c:v>
                </c:pt>
                <c:pt idx="58">
                  <c:v>39.75</c:v>
                </c:pt>
                <c:pt idx="59">
                  <c:v>37</c:v>
                </c:pt>
                <c:pt idx="60">
                  <c:v>34.25</c:v>
                </c:pt>
                <c:pt idx="61">
                  <c:v>31.75</c:v>
                </c:pt>
                <c:pt idx="62">
                  <c:v>29.25</c:v>
                </c:pt>
                <c:pt idx="63">
                  <c:v>27</c:v>
                </c:pt>
                <c:pt idx="64">
                  <c:v>24.75</c:v>
                </c:pt>
                <c:pt idx="65">
                  <c:v>22.5</c:v>
                </c:pt>
                <c:pt idx="66">
                  <c:v>20.5</c:v>
                </c:pt>
                <c:pt idx="67">
                  <c:v>18.5</c:v>
                </c:pt>
                <c:pt idx="68">
                  <c:v>16.75</c:v>
                </c:pt>
                <c:pt idx="69">
                  <c:v>15</c:v>
                </c:pt>
                <c:pt idx="70">
                  <c:v>13.25</c:v>
                </c:pt>
                <c:pt idx="71">
                  <c:v>11.75</c:v>
                </c:pt>
                <c:pt idx="72">
                  <c:v>10.25</c:v>
                </c:pt>
                <c:pt idx="73">
                  <c:v>9</c:v>
                </c:pt>
                <c:pt idx="74">
                  <c:v>7.75</c:v>
                </c:pt>
                <c:pt idx="75">
                  <c:v>6.5</c:v>
                </c:pt>
                <c:pt idx="76">
                  <c:v>5.5</c:v>
                </c:pt>
                <c:pt idx="77">
                  <c:v>4.5</c:v>
                </c:pt>
                <c:pt idx="78">
                  <c:v>3.75</c:v>
                </c:pt>
                <c:pt idx="79">
                  <c:v>3</c:v>
                </c:pt>
                <c:pt idx="80">
                  <c:v>2.5</c:v>
                </c:pt>
                <c:pt idx="81">
                  <c:v>2</c:v>
                </c:pt>
                <c:pt idx="82">
                  <c:v>1.75</c:v>
                </c:pt>
                <c:pt idx="83">
                  <c:v>1.75</c:v>
                </c:pt>
                <c:pt idx="84">
                  <c:v>1.75</c:v>
                </c:pt>
                <c:pt idx="85">
                  <c:v>1.75</c:v>
                </c:pt>
                <c:pt idx="86">
                  <c:v>1.75</c:v>
                </c:pt>
                <c:pt idx="87">
                  <c:v>1.75</c:v>
                </c:pt>
                <c:pt idx="88">
                  <c:v>1.75</c:v>
                </c:pt>
                <c:pt idx="89">
                  <c:v>1.75</c:v>
                </c:pt>
                <c:pt idx="90">
                  <c:v>1.75</c:v>
                </c:pt>
                <c:pt idx="91">
                  <c:v>1.75</c:v>
                </c:pt>
                <c:pt idx="92">
                  <c:v>1.75</c:v>
                </c:pt>
                <c:pt idx="93">
                  <c:v>1.75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1.75</c:v>
                </c:pt>
                <c:pt idx="105">
                  <c:v>1.75</c:v>
                </c:pt>
                <c:pt idx="106">
                  <c:v>1.75</c:v>
                </c:pt>
                <c:pt idx="107">
                  <c:v>1.75</c:v>
                </c:pt>
                <c:pt idx="108">
                  <c:v>1.75</c:v>
                </c:pt>
                <c:pt idx="109">
                  <c:v>1.75</c:v>
                </c:pt>
                <c:pt idx="110">
                  <c:v>1.75</c:v>
                </c:pt>
                <c:pt idx="111">
                  <c:v>1.75</c:v>
                </c:pt>
                <c:pt idx="112">
                  <c:v>1.75</c:v>
                </c:pt>
                <c:pt idx="113">
                  <c:v>1.75</c:v>
                </c:pt>
                <c:pt idx="114">
                  <c:v>1.75</c:v>
                </c:pt>
                <c:pt idx="115">
                  <c:v>1.75</c:v>
                </c:pt>
                <c:pt idx="116">
                  <c:v>1.75</c:v>
                </c:pt>
                <c:pt idx="117">
                  <c:v>1.75</c:v>
                </c:pt>
                <c:pt idx="118">
                  <c:v>1.75</c:v>
                </c:pt>
                <c:pt idx="119">
                  <c:v>1.75</c:v>
                </c:pt>
                <c:pt idx="120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4E-470C-AEB7-C26305D89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9504"/>
        <c:axId val="805278944"/>
      </c:scatterChart>
      <c:valAx>
        <c:axId val="805277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3207296500625758"/>
              <c:y val="0.7621315384289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8384"/>
        <c:crosses val="autoZero"/>
        <c:crossBetween val="midCat"/>
        <c:majorUnit val="10"/>
      </c:valAx>
      <c:valAx>
        <c:axId val="8052783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7824"/>
        <c:crosses val="autoZero"/>
        <c:crossBetween val="midCat"/>
      </c:valAx>
      <c:valAx>
        <c:axId val="805278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Water level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9504"/>
        <c:crosses val="max"/>
        <c:crossBetween val="midCat"/>
      </c:valAx>
      <c:valAx>
        <c:axId val="805279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278944"/>
        <c:crosses val="autoZero"/>
        <c:crossBetween val="midCat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1.9715235733131574E-2"/>
          <c:y val="0.86856215890865451"/>
          <c:w val="0.94791887239713257"/>
          <c:h val="0.11289017913833031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Hole hydrograph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58067401828198"/>
          <c:y val="0.13923097033789089"/>
          <c:w val="0.73087173786290049"/>
          <c:h val="0.57527883474052066"/>
        </c:manualLayout>
      </c:layout>
      <c:scatterChart>
        <c:scatterStyle val="lineMarker"/>
        <c:varyColors val="0"/>
        <c:ser>
          <c:idx val="0"/>
          <c:order val="0"/>
          <c:tx>
            <c:v>Hidrograma do orifício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[0]!Orificio</c:f>
              <c:numCache>
                <c:formatCode>0.00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0.26805401985969635</c:v>
                </c:pt>
                <c:pt idx="4">
                  <c:v>0.46584380170727718</c:v>
                </c:pt>
                <c:pt idx="5">
                  <c:v>0.64544712903152668</c:v>
                </c:pt>
                <c:pt idx="6">
                  <c:v>0.80776414730261969</c:v>
                </c:pt>
                <c:pt idx="7">
                  <c:v>0.96158889940896941</c:v>
                </c:pt>
                <c:pt idx="8">
                  <c:v>1.1104561575191136</c:v>
                </c:pt>
                <c:pt idx="9">
                  <c:v>1.2488863960869074</c:v>
                </c:pt>
                <c:pt idx="10">
                  <c:v>1.3668126779615799</c:v>
                </c:pt>
                <c:pt idx="11">
                  <c:v>1.4691806821112228</c:v>
                </c:pt>
                <c:pt idx="12">
                  <c:v>1.5648664022021466</c:v>
                </c:pt>
                <c:pt idx="13">
                  <c:v>1.6495384659170929</c:v>
                </c:pt>
                <c:pt idx="14">
                  <c:v>1.7300715142268368</c:v>
                </c:pt>
                <c:pt idx="15">
                  <c:v>1.8019914128221859</c:v>
                </c:pt>
                <c:pt idx="16">
                  <c:v>1.8711490211713906</c:v>
                </c:pt>
                <c:pt idx="17">
                  <c:v>1.9331527566964648</c:v>
                </c:pt>
                <c:pt idx="18">
                  <c:v>1.9932286627518752</c:v>
                </c:pt>
                <c:pt idx="19">
                  <c:v>2.0515461055769912</c:v>
                </c:pt>
                <c:pt idx="20">
                  <c:v>2.0972107403618585</c:v>
                </c:pt>
                <c:pt idx="21">
                  <c:v>2.1481708130973085</c:v>
                </c:pt>
                <c:pt idx="22">
                  <c:v>2.1979496798146148</c:v>
                </c:pt>
                <c:pt idx="23">
                  <c:v>2.2426098639059688</c:v>
                </c:pt>
                <c:pt idx="24">
                  <c:v>2.2863978674717851</c:v>
                </c:pt>
                <c:pt idx="25">
                  <c:v>2.329362877499062</c:v>
                </c:pt>
                <c:pt idx="26">
                  <c:v>2.371549624562364</c:v>
                </c:pt>
                <c:pt idx="27">
                  <c:v>2.4053930855565979</c:v>
                </c:pt>
                <c:pt idx="28">
                  <c:v>2.4424629064187595</c:v>
                </c:pt>
                <c:pt idx="29">
                  <c:v>2.4789784594505164</c:v>
                </c:pt>
                <c:pt idx="30">
                  <c:v>2.514963887535512</c:v>
                </c:pt>
                <c:pt idx="31">
                  <c:v>2.546916094706893</c:v>
                </c:pt>
                <c:pt idx="32">
                  <c:v>2.5784723832816754</c:v>
                </c:pt>
                <c:pt idx="33">
                  <c:v>2.609647115840676</c:v>
                </c:pt>
                <c:pt idx="34">
                  <c:v>2.64045380703485</c:v>
                </c:pt>
                <c:pt idx="35">
                  <c:v>2.670905192056451</c:v>
                </c:pt>
                <c:pt idx="36">
                  <c:v>2.6943516756700054</c:v>
                </c:pt>
                <c:pt idx="37">
                  <c:v>2.7043379408169734</c:v>
                </c:pt>
                <c:pt idx="38">
                  <c:v>2.7043379408169734</c:v>
                </c:pt>
                <c:pt idx="39">
                  <c:v>2.6943516756700054</c:v>
                </c:pt>
                <c:pt idx="40">
                  <c:v>2.6742672753995462</c:v>
                </c:pt>
                <c:pt idx="41">
                  <c:v>2.6438546144604169</c:v>
                </c:pt>
                <c:pt idx="42">
                  <c:v>2.6027516667131234</c:v>
                </c:pt>
                <c:pt idx="43">
                  <c:v>2.5504416301487511</c:v>
                </c:pt>
                <c:pt idx="44">
                  <c:v>2.4898286986007854</c:v>
                </c:pt>
                <c:pt idx="45">
                  <c:v>2.4314013044487632</c:v>
                </c:pt>
                <c:pt idx="46">
                  <c:v>2.3715348739106106</c:v>
                </c:pt>
                <c:pt idx="47">
                  <c:v>2.3138315476324918</c:v>
                </c:pt>
                <c:pt idx="48">
                  <c:v>2.2546363875083828</c:v>
                </c:pt>
                <c:pt idx="49">
                  <c:v>2.1938445817637886</c:v>
                </c:pt>
                <c:pt idx="50">
                  <c:v>2.1355448026334281</c:v>
                </c:pt>
                <c:pt idx="51">
                  <c:v>2.0756081420092189</c:v>
                </c:pt>
                <c:pt idx="52">
                  <c:v>2.020353587750233</c:v>
                </c:pt>
                <c:pt idx="53">
                  <c:v>1.9611087930665019</c:v>
                </c:pt>
                <c:pt idx="54">
                  <c:v>1.9000175728003841</c:v>
                </c:pt>
                <c:pt idx="55">
                  <c:v>1.841828043523891</c:v>
                </c:pt>
                <c:pt idx="56">
                  <c:v>1.7817391242468195</c:v>
                </c:pt>
                <c:pt idx="57">
                  <c:v>1.7195517066469983</c:v>
                </c:pt>
                <c:pt idx="58">
                  <c:v>1.6605018889018621</c:v>
                </c:pt>
                <c:pt idx="59">
                  <c:v>1.5992732644112766</c:v>
                </c:pt>
                <c:pt idx="60">
                  <c:v>1.5356052310000607</c:v>
                </c:pt>
                <c:pt idx="61">
                  <c:v>1.4753428628430976</c:v>
                </c:pt>
                <c:pt idx="62">
                  <c:v>1.4125118408032491</c:v>
                </c:pt>
                <c:pt idx="63">
                  <c:v>1.3534723950380254</c:v>
                </c:pt>
                <c:pt idx="64">
                  <c:v>1.2917373370196257</c:v>
                </c:pt>
                <c:pt idx="65">
                  <c:v>1.2268998213265576</c:v>
                </c:pt>
                <c:pt idx="66">
                  <c:v>1.1662442632420502</c:v>
                </c:pt>
                <c:pt idx="67">
                  <c:v>1.102255955537935</c:v>
                </c:pt>
                <c:pt idx="68">
                  <c:v>1.0430509995901294</c:v>
                </c:pt>
                <c:pt idx="69">
                  <c:v>0.98027678946973418</c:v>
                </c:pt>
                <c:pt idx="70">
                  <c:v>0.91319755814402581</c:v>
                </c:pt>
                <c:pt idx="71">
                  <c:v>0.85150552709926763</c:v>
                </c:pt>
                <c:pt idx="72">
                  <c:v>0.78497996481502108</c:v>
                </c:pt>
                <c:pt idx="73">
                  <c:v>0.72489317412612619</c:v>
                </c:pt>
                <c:pt idx="74">
                  <c:v>0.65935323054362049</c:v>
                </c:pt>
                <c:pt idx="75">
                  <c:v>0.58653495323123517</c:v>
                </c:pt>
                <c:pt idx="76">
                  <c:v>0.52100336500726552</c:v>
                </c:pt>
                <c:pt idx="77">
                  <c:v>0.44594367507098998</c:v>
                </c:pt>
                <c:pt idx="78">
                  <c:v>0.38004171162652095</c:v>
                </c:pt>
                <c:pt idx="79">
                  <c:v>0.29999607300131581</c:v>
                </c:pt>
                <c:pt idx="80">
                  <c:v>0.23175045050587106</c:v>
                </c:pt>
                <c:pt idx="81">
                  <c:v>0.13198067587013479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DE-4984-B440-FA5E425FD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6640"/>
        <c:axId val="805597200"/>
      </c:scatterChart>
      <c:scatterChart>
        <c:scatterStyle val="lineMarker"/>
        <c:varyColors val="0"/>
        <c:ser>
          <c:idx val="1"/>
          <c:order val="1"/>
          <c:tx>
            <c:v>Nível d'água no reservatório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4.75</c:v>
                </c:pt>
                <c:pt idx="5">
                  <c:v>7.5</c:v>
                </c:pt>
                <c:pt idx="6">
                  <c:v>10.75</c:v>
                </c:pt>
                <c:pt idx="7">
                  <c:v>14.5</c:v>
                </c:pt>
                <c:pt idx="8">
                  <c:v>18.75</c:v>
                </c:pt>
                <c:pt idx="9">
                  <c:v>23.25</c:v>
                </c:pt>
                <c:pt idx="10">
                  <c:v>27.5</c:v>
                </c:pt>
                <c:pt idx="11">
                  <c:v>31.5</c:v>
                </c:pt>
                <c:pt idx="12">
                  <c:v>35.5</c:v>
                </c:pt>
                <c:pt idx="13">
                  <c:v>39.25</c:v>
                </c:pt>
                <c:pt idx="14">
                  <c:v>43</c:v>
                </c:pt>
                <c:pt idx="15">
                  <c:v>46.5</c:v>
                </c:pt>
                <c:pt idx="16">
                  <c:v>50</c:v>
                </c:pt>
                <c:pt idx="17">
                  <c:v>53.25</c:v>
                </c:pt>
                <c:pt idx="18">
                  <c:v>56.5</c:v>
                </c:pt>
                <c:pt idx="19">
                  <c:v>59.75</c:v>
                </c:pt>
                <c:pt idx="20">
                  <c:v>62.75</c:v>
                </c:pt>
                <c:pt idx="21">
                  <c:v>65.75</c:v>
                </c:pt>
                <c:pt idx="22">
                  <c:v>68.75</c:v>
                </c:pt>
                <c:pt idx="23">
                  <c:v>71.5</c:v>
                </c:pt>
                <c:pt idx="24">
                  <c:v>74.25</c:v>
                </c:pt>
                <c:pt idx="25">
                  <c:v>77</c:v>
                </c:pt>
                <c:pt idx="26">
                  <c:v>79.75</c:v>
                </c:pt>
                <c:pt idx="27">
                  <c:v>82.25</c:v>
                </c:pt>
                <c:pt idx="28">
                  <c:v>84.75</c:v>
                </c:pt>
                <c:pt idx="29">
                  <c:v>87.25</c:v>
                </c:pt>
                <c:pt idx="30">
                  <c:v>89.75</c:v>
                </c:pt>
                <c:pt idx="31">
                  <c:v>92</c:v>
                </c:pt>
                <c:pt idx="32">
                  <c:v>94.25</c:v>
                </c:pt>
                <c:pt idx="33">
                  <c:v>96.5</c:v>
                </c:pt>
                <c:pt idx="34">
                  <c:v>98.75</c:v>
                </c:pt>
                <c:pt idx="35">
                  <c:v>101</c:v>
                </c:pt>
                <c:pt idx="36">
                  <c:v>102.75</c:v>
                </c:pt>
                <c:pt idx="37">
                  <c:v>103.5</c:v>
                </c:pt>
                <c:pt idx="38">
                  <c:v>103.5</c:v>
                </c:pt>
                <c:pt idx="39">
                  <c:v>102.75</c:v>
                </c:pt>
                <c:pt idx="40">
                  <c:v>101.25</c:v>
                </c:pt>
                <c:pt idx="41">
                  <c:v>99</c:v>
                </c:pt>
                <c:pt idx="42">
                  <c:v>96</c:v>
                </c:pt>
                <c:pt idx="43">
                  <c:v>92.25</c:v>
                </c:pt>
                <c:pt idx="44">
                  <c:v>88</c:v>
                </c:pt>
                <c:pt idx="45">
                  <c:v>84</c:v>
                </c:pt>
                <c:pt idx="46">
                  <c:v>80</c:v>
                </c:pt>
                <c:pt idx="47">
                  <c:v>76</c:v>
                </c:pt>
                <c:pt idx="48">
                  <c:v>72.25</c:v>
                </c:pt>
                <c:pt idx="49">
                  <c:v>68.5</c:v>
                </c:pt>
                <c:pt idx="50">
                  <c:v>65</c:v>
                </c:pt>
                <c:pt idx="51">
                  <c:v>61.5</c:v>
                </c:pt>
                <c:pt idx="52">
                  <c:v>58</c:v>
                </c:pt>
                <c:pt idx="53">
                  <c:v>54.75</c:v>
                </c:pt>
                <c:pt idx="54">
                  <c:v>51.5</c:v>
                </c:pt>
                <c:pt idx="55">
                  <c:v>48.5</c:v>
                </c:pt>
                <c:pt idx="56">
                  <c:v>45.5</c:v>
                </c:pt>
                <c:pt idx="57">
                  <c:v>42.5</c:v>
                </c:pt>
                <c:pt idx="58">
                  <c:v>39.75</c:v>
                </c:pt>
                <c:pt idx="59">
                  <c:v>37</c:v>
                </c:pt>
                <c:pt idx="60">
                  <c:v>34.25</c:v>
                </c:pt>
                <c:pt idx="61">
                  <c:v>31.75</c:v>
                </c:pt>
                <c:pt idx="62">
                  <c:v>29.25</c:v>
                </c:pt>
                <c:pt idx="63">
                  <c:v>27</c:v>
                </c:pt>
                <c:pt idx="64">
                  <c:v>24.75</c:v>
                </c:pt>
                <c:pt idx="65">
                  <c:v>22.5</c:v>
                </c:pt>
                <c:pt idx="66">
                  <c:v>20.5</c:v>
                </c:pt>
                <c:pt idx="67">
                  <c:v>18.5</c:v>
                </c:pt>
                <c:pt idx="68">
                  <c:v>16.75</c:v>
                </c:pt>
                <c:pt idx="69">
                  <c:v>15</c:v>
                </c:pt>
                <c:pt idx="70">
                  <c:v>13.25</c:v>
                </c:pt>
                <c:pt idx="71">
                  <c:v>11.75</c:v>
                </c:pt>
                <c:pt idx="72">
                  <c:v>10.25</c:v>
                </c:pt>
                <c:pt idx="73">
                  <c:v>9</c:v>
                </c:pt>
                <c:pt idx="74">
                  <c:v>7.75</c:v>
                </c:pt>
                <c:pt idx="75">
                  <c:v>6.5</c:v>
                </c:pt>
                <c:pt idx="76">
                  <c:v>5.5</c:v>
                </c:pt>
                <c:pt idx="77">
                  <c:v>4.5</c:v>
                </c:pt>
                <c:pt idx="78">
                  <c:v>3.75</c:v>
                </c:pt>
                <c:pt idx="79">
                  <c:v>3</c:v>
                </c:pt>
                <c:pt idx="80">
                  <c:v>2.5</c:v>
                </c:pt>
                <c:pt idx="81">
                  <c:v>2</c:v>
                </c:pt>
                <c:pt idx="82">
                  <c:v>1.75</c:v>
                </c:pt>
                <c:pt idx="83">
                  <c:v>1.75</c:v>
                </c:pt>
                <c:pt idx="84">
                  <c:v>1.75</c:v>
                </c:pt>
                <c:pt idx="85">
                  <c:v>1.75</c:v>
                </c:pt>
                <c:pt idx="86">
                  <c:v>1.75</c:v>
                </c:pt>
                <c:pt idx="87">
                  <c:v>1.75</c:v>
                </c:pt>
                <c:pt idx="88">
                  <c:v>1.75</c:v>
                </c:pt>
                <c:pt idx="89">
                  <c:v>1.75</c:v>
                </c:pt>
                <c:pt idx="90">
                  <c:v>1.75</c:v>
                </c:pt>
                <c:pt idx="91">
                  <c:v>1.75</c:v>
                </c:pt>
                <c:pt idx="92">
                  <c:v>1.75</c:v>
                </c:pt>
                <c:pt idx="93">
                  <c:v>1.75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1.75</c:v>
                </c:pt>
                <c:pt idx="105">
                  <c:v>1.75</c:v>
                </c:pt>
                <c:pt idx="106">
                  <c:v>1.75</c:v>
                </c:pt>
                <c:pt idx="107">
                  <c:v>1.75</c:v>
                </c:pt>
                <c:pt idx="108">
                  <c:v>1.75</c:v>
                </c:pt>
                <c:pt idx="109">
                  <c:v>1.75</c:v>
                </c:pt>
                <c:pt idx="110">
                  <c:v>1.75</c:v>
                </c:pt>
                <c:pt idx="111">
                  <c:v>1.75</c:v>
                </c:pt>
                <c:pt idx="112">
                  <c:v>1.75</c:v>
                </c:pt>
                <c:pt idx="113">
                  <c:v>1.75</c:v>
                </c:pt>
                <c:pt idx="114">
                  <c:v>1.75</c:v>
                </c:pt>
                <c:pt idx="115">
                  <c:v>1.75</c:v>
                </c:pt>
                <c:pt idx="116">
                  <c:v>1.75</c:v>
                </c:pt>
                <c:pt idx="117">
                  <c:v>1.75</c:v>
                </c:pt>
                <c:pt idx="118">
                  <c:v>1.75</c:v>
                </c:pt>
                <c:pt idx="119">
                  <c:v>1.75</c:v>
                </c:pt>
                <c:pt idx="120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DE-4984-B440-FA5E425FD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8320"/>
        <c:axId val="805597760"/>
      </c:scatterChart>
      <c:valAx>
        <c:axId val="80559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4176145061695637"/>
              <c:y val="0.807373103320868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7200"/>
        <c:crosses val="autoZero"/>
        <c:crossBetween val="midCat"/>
        <c:majorUnit val="10"/>
      </c:valAx>
      <c:valAx>
        <c:axId val="80559720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6640"/>
        <c:crosses val="autoZero"/>
        <c:crossBetween val="midCat"/>
      </c:valAx>
      <c:valAx>
        <c:axId val="8055977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Water level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98320"/>
        <c:crosses val="max"/>
        <c:crossBetween val="midCat"/>
      </c:valAx>
      <c:valAx>
        <c:axId val="805598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59776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Weir hydrograph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83603164294693"/>
          <c:y val="0.11153789551140544"/>
          <c:w val="0.73255556941239297"/>
          <c:h val="0.63024908020603387"/>
        </c:manualLayout>
      </c:layout>
      <c:scatterChart>
        <c:scatterStyle val="lineMarker"/>
        <c:varyColors val="0"/>
        <c:ser>
          <c:idx val="0"/>
          <c:order val="0"/>
          <c:tx>
            <c:v>Weir hydrograph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[0]!Vertedor</c:f>
              <c:numCache>
                <c:formatCode>0.00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14-408A-BF58-C167A66B9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49712"/>
        <c:axId val="805850272"/>
      </c:scatterChart>
      <c:scatterChart>
        <c:scatterStyle val="lineMarker"/>
        <c:varyColors val="0"/>
        <c:ser>
          <c:idx val="1"/>
          <c:order val="1"/>
          <c:tx>
            <c:v>Water level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4.75</c:v>
                </c:pt>
                <c:pt idx="5">
                  <c:v>7.5</c:v>
                </c:pt>
                <c:pt idx="6">
                  <c:v>10.75</c:v>
                </c:pt>
                <c:pt idx="7">
                  <c:v>14.5</c:v>
                </c:pt>
                <c:pt idx="8">
                  <c:v>18.75</c:v>
                </c:pt>
                <c:pt idx="9">
                  <c:v>23.25</c:v>
                </c:pt>
                <c:pt idx="10">
                  <c:v>27.5</c:v>
                </c:pt>
                <c:pt idx="11">
                  <c:v>31.5</c:v>
                </c:pt>
                <c:pt idx="12">
                  <c:v>35.5</c:v>
                </c:pt>
                <c:pt idx="13">
                  <c:v>39.25</c:v>
                </c:pt>
                <c:pt idx="14">
                  <c:v>43</c:v>
                </c:pt>
                <c:pt idx="15">
                  <c:v>46.5</c:v>
                </c:pt>
                <c:pt idx="16">
                  <c:v>50</c:v>
                </c:pt>
                <c:pt idx="17">
                  <c:v>53.25</c:v>
                </c:pt>
                <c:pt idx="18">
                  <c:v>56.5</c:v>
                </c:pt>
                <c:pt idx="19">
                  <c:v>59.75</c:v>
                </c:pt>
                <c:pt idx="20">
                  <c:v>62.75</c:v>
                </c:pt>
                <c:pt idx="21">
                  <c:v>65.75</c:v>
                </c:pt>
                <c:pt idx="22">
                  <c:v>68.75</c:v>
                </c:pt>
                <c:pt idx="23">
                  <c:v>71.5</c:v>
                </c:pt>
                <c:pt idx="24">
                  <c:v>74.25</c:v>
                </c:pt>
                <c:pt idx="25">
                  <c:v>77</c:v>
                </c:pt>
                <c:pt idx="26">
                  <c:v>79.75</c:v>
                </c:pt>
                <c:pt idx="27">
                  <c:v>82.25</c:v>
                </c:pt>
                <c:pt idx="28">
                  <c:v>84.75</c:v>
                </c:pt>
                <c:pt idx="29">
                  <c:v>87.25</c:v>
                </c:pt>
                <c:pt idx="30">
                  <c:v>89.75</c:v>
                </c:pt>
                <c:pt idx="31">
                  <c:v>92</c:v>
                </c:pt>
                <c:pt idx="32">
                  <c:v>94.25</c:v>
                </c:pt>
                <c:pt idx="33">
                  <c:v>96.5</c:v>
                </c:pt>
                <c:pt idx="34">
                  <c:v>98.75</c:v>
                </c:pt>
                <c:pt idx="35">
                  <c:v>101</c:v>
                </c:pt>
                <c:pt idx="36">
                  <c:v>102.75</c:v>
                </c:pt>
                <c:pt idx="37">
                  <c:v>103.5</c:v>
                </c:pt>
                <c:pt idx="38">
                  <c:v>103.5</c:v>
                </c:pt>
                <c:pt idx="39">
                  <c:v>102.75</c:v>
                </c:pt>
                <c:pt idx="40">
                  <c:v>101.25</c:v>
                </c:pt>
                <c:pt idx="41">
                  <c:v>99</c:v>
                </c:pt>
                <c:pt idx="42">
                  <c:v>96</c:v>
                </c:pt>
                <c:pt idx="43">
                  <c:v>92.25</c:v>
                </c:pt>
                <c:pt idx="44">
                  <c:v>88</c:v>
                </c:pt>
                <c:pt idx="45">
                  <c:v>84</c:v>
                </c:pt>
                <c:pt idx="46">
                  <c:v>80</c:v>
                </c:pt>
                <c:pt idx="47">
                  <c:v>76</c:v>
                </c:pt>
                <c:pt idx="48">
                  <c:v>72.25</c:v>
                </c:pt>
                <c:pt idx="49">
                  <c:v>68.5</c:v>
                </c:pt>
                <c:pt idx="50">
                  <c:v>65</c:v>
                </c:pt>
                <c:pt idx="51">
                  <c:v>61.5</c:v>
                </c:pt>
                <c:pt idx="52">
                  <c:v>58</c:v>
                </c:pt>
                <c:pt idx="53">
                  <c:v>54.75</c:v>
                </c:pt>
                <c:pt idx="54">
                  <c:v>51.5</c:v>
                </c:pt>
                <c:pt idx="55">
                  <c:v>48.5</c:v>
                </c:pt>
                <c:pt idx="56">
                  <c:v>45.5</c:v>
                </c:pt>
                <c:pt idx="57">
                  <c:v>42.5</c:v>
                </c:pt>
                <c:pt idx="58">
                  <c:v>39.75</c:v>
                </c:pt>
                <c:pt idx="59">
                  <c:v>37</c:v>
                </c:pt>
                <c:pt idx="60">
                  <c:v>34.25</c:v>
                </c:pt>
                <c:pt idx="61">
                  <c:v>31.75</c:v>
                </c:pt>
                <c:pt idx="62">
                  <c:v>29.25</c:v>
                </c:pt>
                <c:pt idx="63">
                  <c:v>27</c:v>
                </c:pt>
                <c:pt idx="64">
                  <c:v>24.75</c:v>
                </c:pt>
                <c:pt idx="65">
                  <c:v>22.5</c:v>
                </c:pt>
                <c:pt idx="66">
                  <c:v>20.5</c:v>
                </c:pt>
                <c:pt idx="67">
                  <c:v>18.5</c:v>
                </c:pt>
                <c:pt idx="68">
                  <c:v>16.75</c:v>
                </c:pt>
                <c:pt idx="69">
                  <c:v>15</c:v>
                </c:pt>
                <c:pt idx="70">
                  <c:v>13.25</c:v>
                </c:pt>
                <c:pt idx="71">
                  <c:v>11.75</c:v>
                </c:pt>
                <c:pt idx="72">
                  <c:v>10.25</c:v>
                </c:pt>
                <c:pt idx="73">
                  <c:v>9</c:v>
                </c:pt>
                <c:pt idx="74">
                  <c:v>7.75</c:v>
                </c:pt>
                <c:pt idx="75">
                  <c:v>6.5</c:v>
                </c:pt>
                <c:pt idx="76">
                  <c:v>5.5</c:v>
                </c:pt>
                <c:pt idx="77">
                  <c:v>4.5</c:v>
                </c:pt>
                <c:pt idx="78">
                  <c:v>3.75</c:v>
                </c:pt>
                <c:pt idx="79">
                  <c:v>3</c:v>
                </c:pt>
                <c:pt idx="80">
                  <c:v>2.5</c:v>
                </c:pt>
                <c:pt idx="81">
                  <c:v>2</c:v>
                </c:pt>
                <c:pt idx="82">
                  <c:v>1.75</c:v>
                </c:pt>
                <c:pt idx="83">
                  <c:v>1.75</c:v>
                </c:pt>
                <c:pt idx="84">
                  <c:v>1.75</c:v>
                </c:pt>
                <c:pt idx="85">
                  <c:v>1.75</c:v>
                </c:pt>
                <c:pt idx="86">
                  <c:v>1.75</c:v>
                </c:pt>
                <c:pt idx="87">
                  <c:v>1.75</c:v>
                </c:pt>
                <c:pt idx="88">
                  <c:v>1.75</c:v>
                </c:pt>
                <c:pt idx="89">
                  <c:v>1.75</c:v>
                </c:pt>
                <c:pt idx="90">
                  <c:v>1.75</c:v>
                </c:pt>
                <c:pt idx="91">
                  <c:v>1.75</c:v>
                </c:pt>
                <c:pt idx="92">
                  <c:v>1.75</c:v>
                </c:pt>
                <c:pt idx="93">
                  <c:v>1.75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1.75</c:v>
                </c:pt>
                <c:pt idx="105">
                  <c:v>1.75</c:v>
                </c:pt>
                <c:pt idx="106">
                  <c:v>1.75</c:v>
                </c:pt>
                <c:pt idx="107">
                  <c:v>1.75</c:v>
                </c:pt>
                <c:pt idx="108">
                  <c:v>1.75</c:v>
                </c:pt>
                <c:pt idx="109">
                  <c:v>1.75</c:v>
                </c:pt>
                <c:pt idx="110">
                  <c:v>1.75</c:v>
                </c:pt>
                <c:pt idx="111">
                  <c:v>1.75</c:v>
                </c:pt>
                <c:pt idx="112">
                  <c:v>1.75</c:v>
                </c:pt>
                <c:pt idx="113">
                  <c:v>1.75</c:v>
                </c:pt>
                <c:pt idx="114">
                  <c:v>1.75</c:v>
                </c:pt>
                <c:pt idx="115">
                  <c:v>1.75</c:v>
                </c:pt>
                <c:pt idx="116">
                  <c:v>1.75</c:v>
                </c:pt>
                <c:pt idx="117">
                  <c:v>1.75</c:v>
                </c:pt>
                <c:pt idx="118">
                  <c:v>1.75</c:v>
                </c:pt>
                <c:pt idx="119">
                  <c:v>1.75</c:v>
                </c:pt>
                <c:pt idx="120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14-408A-BF58-C167A66B9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1392"/>
        <c:axId val="805850832"/>
      </c:scatterChart>
      <c:valAx>
        <c:axId val="80584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3581468330822754"/>
              <c:y val="0.823996320824135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0272"/>
        <c:crosses val="autoZero"/>
        <c:crossBetween val="midCat"/>
        <c:majorUnit val="10"/>
      </c:valAx>
      <c:valAx>
        <c:axId val="80585027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49712"/>
        <c:crosses val="autoZero"/>
        <c:crossBetween val="midCat"/>
      </c:valAx>
      <c:valAx>
        <c:axId val="8058508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baseline="0">
                    <a:solidFill>
                      <a:sysClr val="windowText" lastClr="000000"/>
                    </a:solidFill>
                  </a:rPr>
                  <a:t>Water level [cm]</a:t>
                </a:r>
                <a:endParaRPr lang="pt-BR" sz="1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1392"/>
        <c:crosses val="max"/>
        <c:crossBetween val="midCat"/>
      </c:valAx>
      <c:valAx>
        <c:axId val="805851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85083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5.8976579872319058E-2"/>
          <c:y val="0.89823196955826623"/>
          <c:w val="0.87663833297467897"/>
          <c:h val="7.8345842531273011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Auxiliary</a:t>
            </a:r>
            <a:r>
              <a:rPr lang="pt-BR" sz="1600" b="1" baseline="0">
                <a:solidFill>
                  <a:sysClr val="windowText" lastClr="000000"/>
                </a:solidFill>
              </a:rPr>
              <a:t> Curve</a:t>
            </a:r>
            <a:endParaRPr lang="pt-BR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8178326262401"/>
          <c:y val="0.10894963714279109"/>
          <c:w val="0.79454737186497792"/>
          <c:h val="0.695173263888889"/>
        </c:manualLayout>
      </c:layout>
      <c:scatterChart>
        <c:scatterStyle val="lineMarker"/>
        <c:varyColors val="0"/>
        <c:ser>
          <c:idx val="0"/>
          <c:order val="0"/>
          <c:tx>
            <c:v>Curva auxiliar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[0]!Vazão_de_saida</c:f>
              <c:numCache>
                <c:formatCode>0.00</c:formatCode>
                <c:ptCount val="34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0.13198067587013479</c:v>
                </c:pt>
                <c:pt idx="5">
                  <c:v>0.18858309854386707</c:v>
                </c:pt>
                <c:pt idx="6">
                  <c:v>0.23175045050587106</c:v>
                </c:pt>
                <c:pt idx="7">
                  <c:v>0.26805401985969635</c:v>
                </c:pt>
                <c:pt idx="8">
                  <c:v>0.29999607300131581</c:v>
                </c:pt>
                <c:pt idx="9">
                  <c:v>0.32885001150901477</c:v>
                </c:pt>
                <c:pt idx="10">
                  <c:v>0.35536884545883796</c:v>
                </c:pt>
                <c:pt idx="11">
                  <c:v>0.38004171162652095</c:v>
                </c:pt>
                <c:pt idx="12">
                  <c:v>0.40320762496421625</c:v>
                </c:pt>
                <c:pt idx="13">
                  <c:v>0.42511301448268124</c:v>
                </c:pt>
                <c:pt idx="14">
                  <c:v>0.44594367507098998</c:v>
                </c:pt>
                <c:pt idx="15">
                  <c:v>0.46584380170727718</c:v>
                </c:pt>
                <c:pt idx="16">
                  <c:v>0.48492796768422969</c:v>
                </c:pt>
                <c:pt idx="17">
                  <c:v>0.5032890025578004</c:v>
                </c:pt>
                <c:pt idx="18">
                  <c:v>0.52100336500726552</c:v>
                </c:pt>
                <c:pt idx="19">
                  <c:v>0.53813492044482891</c:v>
                </c:pt>
                <c:pt idx="20">
                  <c:v>0.55473766669970281</c:v>
                </c:pt>
                <c:pt idx="21">
                  <c:v>0.57085774507200904</c:v>
                </c:pt>
                <c:pt idx="22">
                  <c:v>0.58653495323123517</c:v>
                </c:pt>
                <c:pt idx="23">
                  <c:v>0.60180390295779529</c:v>
                </c:pt>
                <c:pt idx="24">
                  <c:v>0.61669491960652945</c:v>
                </c:pt>
                <c:pt idx="25">
                  <c:v>0.63123475040730448</c:v>
                </c:pt>
                <c:pt idx="26">
                  <c:v>0.64544712903152668</c:v>
                </c:pt>
                <c:pt idx="27">
                  <c:v>0.65935323054362049</c:v>
                </c:pt>
                <c:pt idx="28">
                  <c:v>0.67297204167898161</c:v>
                </c:pt>
                <c:pt idx="29">
                  <c:v>0.68632066494813138</c:v>
                </c:pt>
                <c:pt idx="30">
                  <c:v>0.69941457047170064</c:v>
                </c:pt>
                <c:pt idx="31">
                  <c:v>0.71226780612448137</c:v>
                </c:pt>
                <c:pt idx="32">
                  <c:v>0.72489317412612619</c:v>
                </c:pt>
                <c:pt idx="33">
                  <c:v>0.73730238040299223</c:v>
                </c:pt>
                <c:pt idx="34">
                  <c:v>0.74950616168326922</c:v>
                </c:pt>
                <c:pt idx="35">
                  <c:v>0.76151439425296163</c:v>
                </c:pt>
                <c:pt idx="36">
                  <c:v>0.77333618750691047</c:v>
                </c:pt>
                <c:pt idx="37">
                  <c:v>0.78497996481502108</c:v>
                </c:pt>
                <c:pt idx="38">
                  <c:v>0.7964535337445996</c:v>
                </c:pt>
                <c:pt idx="39">
                  <c:v>0.80776414730261969</c:v>
                </c:pt>
                <c:pt idx="40">
                  <c:v>0.81891855756283649</c:v>
                </c:pt>
                <c:pt idx="41">
                  <c:v>0.82992306280405592</c:v>
                </c:pt>
                <c:pt idx="42">
                  <c:v>0.84078354909413711</c:v>
                </c:pt>
                <c:pt idx="43">
                  <c:v>0.85150552709926763</c:v>
                </c:pt>
                <c:pt idx="44">
                  <c:v>0.86209416477196388</c:v>
                </c:pt>
                <c:pt idx="45">
                  <c:v>0.87255431646811443</c:v>
                </c:pt>
                <c:pt idx="46">
                  <c:v>0.88289054895859342</c:v>
                </c:pt>
                <c:pt idx="47">
                  <c:v>0.89310716473090446</c:v>
                </c:pt>
                <c:pt idx="48">
                  <c:v>0.90320822291813929</c:v>
                </c:pt>
                <c:pt idx="49">
                  <c:v>0.91319755814402581</c:v>
                </c:pt>
                <c:pt idx="50">
                  <c:v>0.92307879753219335</c:v>
                </c:pt>
                <c:pt idx="51">
                  <c:v>0.93285537609360869</c:v>
                </c:pt>
                <c:pt idx="52">
                  <c:v>0.94253055067727998</c:v>
                </c:pt>
                <c:pt idx="53">
                  <c:v>0.95210741264485743</c:v>
                </c:pt>
                <c:pt idx="54">
                  <c:v>0.96158889940896941</c:v>
                </c:pt>
                <c:pt idx="55">
                  <c:v>0.97097780495736441</c:v>
                </c:pt>
                <c:pt idx="56">
                  <c:v>0.98027678946973418</c:v>
                </c:pt>
                <c:pt idx="57">
                  <c:v>0.98948838812103201</c:v>
                </c:pt>
                <c:pt idx="58">
                  <c:v>0.9986150191538411</c:v>
                </c:pt>
                <c:pt idx="59">
                  <c:v>1.007658991292637</c:v>
                </c:pt>
                <c:pt idx="60">
                  <c:v>1.0166225105643505</c:v>
                </c:pt>
                <c:pt idx="61">
                  <c:v>1.0255076865823245</c:v>
                </c:pt>
                <c:pt idx="62">
                  <c:v>1.0343165383443791</c:v>
                </c:pt>
                <c:pt idx="63">
                  <c:v>1.0430509995901294</c:v>
                </c:pt>
                <c:pt idx="64">
                  <c:v>1.0517129237578267</c:v>
                </c:pt>
                <c:pt idx="65">
                  <c:v>1.0603040885767181</c:v>
                </c:pt>
                <c:pt idx="66">
                  <c:v>1.0688262003271498</c:v>
                </c:pt>
                <c:pt idx="67">
                  <c:v>1.0772808977973392</c:v>
                </c:pt>
                <c:pt idx="68">
                  <c:v>1.0856697559627924</c:v>
                </c:pt>
                <c:pt idx="69">
                  <c:v>1.0939942894117765</c:v>
                </c:pt>
                <c:pt idx="70">
                  <c:v>1.102255955537935</c:v>
                </c:pt>
                <c:pt idx="71">
                  <c:v>1.1104561575191136</c:v>
                </c:pt>
                <c:pt idx="72">
                  <c:v>1.1185962470996327</c:v>
                </c:pt>
                <c:pt idx="73">
                  <c:v>1.1266775271916321</c:v>
                </c:pt>
                <c:pt idx="74">
                  <c:v>1.1347012543096615</c:v>
                </c:pt>
                <c:pt idx="75">
                  <c:v>1.1426686408514009</c:v>
                </c:pt>
                <c:pt idx="76">
                  <c:v>1.150580857236229</c:v>
                </c:pt>
                <c:pt idx="77">
                  <c:v>1.1584390339123263</c:v>
                </c:pt>
                <c:pt idx="78">
                  <c:v>1.1662442632420502</c:v>
                </c:pt>
                <c:pt idx="79">
                  <c:v>1.1739976012744917</c:v>
                </c:pt>
                <c:pt idx="80">
                  <c:v>1.1817000694133555</c:v>
                </c:pt>
                <c:pt idx="81">
                  <c:v>1.1893526559876164</c:v>
                </c:pt>
                <c:pt idx="82">
                  <c:v>1.1969563177317983</c:v>
                </c:pt>
                <c:pt idx="83">
                  <c:v>1.2045119811821443</c:v>
                </c:pt>
                <c:pt idx="84">
                  <c:v>1.21202054399445</c:v>
                </c:pt>
                <c:pt idx="85">
                  <c:v>1.2194828761888667</c:v>
                </c:pt>
                <c:pt idx="86">
                  <c:v>1.2268998213265576</c:v>
                </c:pt>
                <c:pt idx="87">
                  <c:v>1.2342721976227153</c:v>
                </c:pt>
                <c:pt idx="88">
                  <c:v>1.2416007990000955</c:v>
                </c:pt>
                <c:pt idx="89">
                  <c:v>1.2488863960869074</c:v>
                </c:pt>
                <c:pt idx="90">
                  <c:v>1.2561297371626117</c:v>
                </c:pt>
                <c:pt idx="91">
                  <c:v>1.2633315490549106</c:v>
                </c:pt>
                <c:pt idx="92">
                  <c:v>1.2704925379909748</c:v>
                </c:pt>
                <c:pt idx="93">
                  <c:v>1.2776133904057272</c:v>
                </c:pt>
                <c:pt idx="94">
                  <c:v>1.2846947737098044</c:v>
                </c:pt>
                <c:pt idx="95">
                  <c:v>1.2917373370196257</c:v>
                </c:pt>
                <c:pt idx="96">
                  <c:v>1.2987417118518301</c:v>
                </c:pt>
                <c:pt idx="97">
                  <c:v>1.3057085127841859</c:v>
                </c:pt>
                <c:pt idx="98">
                  <c:v>1.3126383380849267</c:v>
                </c:pt>
                <c:pt idx="99">
                  <c:v>1.3195317703123435</c:v>
                </c:pt>
                <c:pt idx="100">
                  <c:v>1.3263893768863255</c:v>
                </c:pt>
                <c:pt idx="101">
                  <c:v>1.3332117106334476</c:v>
                </c:pt>
                <c:pt idx="102">
                  <c:v>1.3399993103070731</c:v>
                </c:pt>
                <c:pt idx="103">
                  <c:v>1.34675270108387</c:v>
                </c:pt>
                <c:pt idx="104">
                  <c:v>1.3534723950380254</c:v>
                </c:pt>
                <c:pt idx="105">
                  <c:v>1.3601588915943745</c:v>
                </c:pt>
                <c:pt idx="106">
                  <c:v>1.3668126779615799</c:v>
                </c:pt>
                <c:pt idx="107">
                  <c:v>1.3734342295464217</c:v>
                </c:pt>
                <c:pt idx="108">
                  <c:v>1.3800240103501975</c:v>
                </c:pt>
                <c:pt idx="109">
                  <c:v>1.3865824733481633</c:v>
                </c:pt>
                <c:pt idx="110">
                  <c:v>1.3931100608529028</c:v>
                </c:pt>
                <c:pt idx="111">
                  <c:v>1.3996072048624382</c:v>
                </c:pt>
                <c:pt idx="112">
                  <c:v>1.4060743273938667</c:v>
                </c:pt>
                <c:pt idx="113">
                  <c:v>1.4125118408032491</c:v>
                </c:pt>
                <c:pt idx="114">
                  <c:v>1.4189201480924327</c:v>
                </c:pt>
                <c:pt idx="115">
                  <c:v>1.4252996432034635</c:v>
                </c:pt>
                <c:pt idx="116">
                  <c:v>1.4316507113011847</c:v>
                </c:pt>
                <c:pt idx="117">
                  <c:v>1.4379737290446082</c:v>
                </c:pt>
                <c:pt idx="118">
                  <c:v>1.4442690648475873</c:v>
                </c:pt>
                <c:pt idx="119">
                  <c:v>1.4505370791293111</c:v>
                </c:pt>
                <c:pt idx="120">
                  <c:v>1.4567781245550955</c:v>
                </c:pt>
                <c:pt idx="121">
                  <c:v>1.462992546267933</c:v>
                </c:pt>
                <c:pt idx="122">
                  <c:v>1.4691806821112228</c:v>
                </c:pt>
                <c:pt idx="123">
                  <c:v>1.4753428628430976</c:v>
                </c:pt>
                <c:pt idx="124">
                  <c:v>1.4814794123427215</c:v>
                </c:pt>
                <c:pt idx="125">
                  <c:v>1.4875906478089336</c:v>
                </c:pt>
                <c:pt idx="126">
                  <c:v>1.4936768799515749</c:v>
                </c:pt>
                <c:pt idx="127">
                  <c:v>1.4997384131758245</c:v>
                </c:pt>
                <c:pt idx="128">
                  <c:v>1.5057755457598614</c:v>
                </c:pt>
                <c:pt idx="129">
                  <c:v>1.5117885700261384</c:v>
                </c:pt>
                <c:pt idx="130">
                  <c:v>1.5177777725065502</c:v>
                </c:pt>
                <c:pt idx="131">
                  <c:v>1.5237434341017562</c:v>
                </c:pt>
                <c:pt idx="132">
                  <c:v>1.5296858302349152</c:v>
                </c:pt>
                <c:pt idx="133">
                  <c:v>1.5356052310000607</c:v>
                </c:pt>
                <c:pt idx="134">
                  <c:v>1.5415019013053528</c:v>
                </c:pt>
                <c:pt idx="135">
                  <c:v>1.5473761010114142</c:v>
                </c:pt>
                <c:pt idx="136">
                  <c:v>1.5532280850649574</c:v>
                </c:pt>
                <c:pt idx="137">
                  <c:v>1.5590581036278996</c:v>
                </c:pt>
                <c:pt idx="138">
                  <c:v>1.5648664022021466</c:v>
                </c:pt>
                <c:pt idx="139">
                  <c:v>1.5706532217502243</c:v>
                </c:pt>
                <c:pt idx="140">
                  <c:v>1.5764187988119236</c:v>
                </c:pt>
                <c:pt idx="141">
                  <c:v>1.582163365617121</c:v>
                </c:pt>
                <c:pt idx="142">
                  <c:v>1.5878871501949263</c:v>
                </c:pt>
                <c:pt idx="143">
                  <c:v>1.5935903764792987</c:v>
                </c:pt>
                <c:pt idx="144">
                  <c:v>1.5992732644112766</c:v>
                </c:pt>
                <c:pt idx="145">
                  <c:v>1.6049360300379483</c:v>
                </c:pt>
                <c:pt idx="146">
                  <c:v>1.610578885608289</c:v>
                </c:pt>
                <c:pt idx="147">
                  <c:v>1.61620203966599</c:v>
                </c:pt>
                <c:pt idx="148">
                  <c:v>1.6218056971393873</c:v>
                </c:pt>
                <c:pt idx="149">
                  <c:v>1.6273900594286064</c:v>
                </c:pt>
                <c:pt idx="150">
                  <c:v>1.6329553244900215</c:v>
                </c:pt>
                <c:pt idx="151">
                  <c:v>1.6385016869181364</c:v>
                </c:pt>
                <c:pt idx="152">
                  <c:v>1.644029338024978</c:v>
                </c:pt>
                <c:pt idx="153">
                  <c:v>1.6495384659170929</c:v>
                </c:pt>
                <c:pt idx="154">
                  <c:v>1.6550292555702402</c:v>
                </c:pt>
                <c:pt idx="155">
                  <c:v>1.6605018889018621</c:v>
                </c:pt>
                <c:pt idx="156">
                  <c:v>1.6659565448414078</c:v>
                </c:pt>
                <c:pt idx="157">
                  <c:v>1.6713933993985943</c:v>
                </c:pt>
                <c:pt idx="158">
                  <c:v>1.676812625729678</c:v>
                </c:pt>
                <c:pt idx="159">
                  <c:v>1.6822143942017991</c:v>
                </c:pt>
                <c:pt idx="160">
                  <c:v>1.687598872455476</c:v>
                </c:pt>
                <c:pt idx="161">
                  <c:v>1.6929662254653111</c:v>
                </c:pt>
                <c:pt idx="162">
                  <c:v>1.6983166155989675</c:v>
                </c:pt>
                <c:pt idx="163">
                  <c:v>1.7036502026744806</c:v>
                </c:pt>
                <c:pt idx="164">
                  <c:v>1.7089671440159602</c:v>
                </c:pt>
                <c:pt idx="165">
                  <c:v>1.7142675945077348</c:v>
                </c:pt>
                <c:pt idx="166">
                  <c:v>1.7195517066469983</c:v>
                </c:pt>
                <c:pt idx="167">
                  <c:v>1.7248196305949999</c:v>
                </c:pt>
                <c:pt idx="168">
                  <c:v>1.7300715142268368</c:v>
                </c:pt>
                <c:pt idx="169">
                  <c:v>1.7353075031798855</c:v>
                </c:pt>
                <c:pt idx="170">
                  <c:v>1.7405277409009248</c:v>
                </c:pt>
                <c:pt idx="171">
                  <c:v>1.7457323686919897</c:v>
                </c:pt>
                <c:pt idx="172">
                  <c:v>1.750921525754999</c:v>
                </c:pt>
                <c:pt idx="173">
                  <c:v>1.7560953492351952</c:v>
                </c:pt>
                <c:pt idx="174">
                  <c:v>1.7612539742634366</c:v>
                </c:pt>
                <c:pt idx="175">
                  <c:v>1.7663975339973781</c:v>
                </c:pt>
                <c:pt idx="176">
                  <c:v>1.7715261596615746</c:v>
                </c:pt>
                <c:pt idx="177">
                  <c:v>1.776639980586544</c:v>
                </c:pt>
                <c:pt idx="178">
                  <c:v>1.7817391242468195</c:v>
                </c:pt>
                <c:pt idx="179">
                  <c:v>1.7868237162980272</c:v>
                </c:pt>
                <c:pt idx="180">
                  <c:v>1.791893880613012</c:v>
                </c:pt>
                <c:pt idx="181">
                  <c:v>1.7969497393170539</c:v>
                </c:pt>
                <c:pt idx="182">
                  <c:v>1.8019914128221859</c:v>
                </c:pt>
                <c:pt idx="183">
                  <c:v>1.8070190198606559</c:v>
                </c:pt>
                <c:pt idx="184">
                  <c:v>1.8120326775175533</c:v>
                </c:pt>
                <c:pt idx="185">
                  <c:v>1.8170325012626225</c:v>
                </c:pt>
                <c:pt idx="186">
                  <c:v>1.8220186049812912</c:v>
                </c:pt>
                <c:pt idx="187">
                  <c:v>1.8269911010049387</c:v>
                </c:pt>
                <c:pt idx="188">
                  <c:v>1.8319501001404233</c:v>
                </c:pt>
                <c:pt idx="189">
                  <c:v>1.8368957116988911</c:v>
                </c:pt>
                <c:pt idx="190">
                  <c:v>1.841828043523891</c:v>
                </c:pt>
                <c:pt idx="191">
                  <c:v>1.8467472020188123</c:v>
                </c:pt>
                <c:pt idx="192">
                  <c:v>1.8516532921736673</c:v>
                </c:pt>
                <c:pt idx="193">
                  <c:v>1.856546417591235</c:v>
                </c:pt>
                <c:pt idx="194">
                  <c:v>1.8614266805125892</c:v>
                </c:pt>
                <c:pt idx="195">
                  <c:v>1.8662941818420227</c:v>
                </c:pt>
                <c:pt idx="196">
                  <c:v>1.8711490211713906</c:v>
                </c:pt>
                <c:pt idx="197">
                  <c:v>1.8759912968038848</c:v>
                </c:pt>
                <c:pt idx="198">
                  <c:v>1.8808211057772586</c:v>
                </c:pt>
                <c:pt idx="199">
                  <c:v>1.8856385438865153</c:v>
                </c:pt>
                <c:pt idx="200">
                  <c:v>1.8904437057060774</c:v>
                </c:pt>
                <c:pt idx="201">
                  <c:v>1.8952366846114481</c:v>
                </c:pt>
                <c:pt idx="202">
                  <c:v>1.9000175728003841</c:v>
                </c:pt>
                <c:pt idx="203">
                  <c:v>1.9047864613135854</c:v>
                </c:pt>
                <c:pt idx="204">
                  <c:v>1.909543440054926</c:v>
                </c:pt>
                <c:pt idx="205">
                  <c:v>1.9142885978112256</c:v>
                </c:pt>
                <c:pt idx="206">
                  <c:v>1.9190220222715884</c:v>
                </c:pt>
                <c:pt idx="207">
                  <c:v>1.923743800046307</c:v>
                </c:pt>
                <c:pt idx="208">
                  <c:v>1.9284540166853534</c:v>
                </c:pt>
                <c:pt idx="209">
                  <c:v>1.9331527566964648</c:v>
                </c:pt>
                <c:pt idx="210">
                  <c:v>1.9378401035628328</c:v>
                </c:pt>
                <c:pt idx="211">
                  <c:v>1.9425161397604083</c:v>
                </c:pt>
                <c:pt idx="212">
                  <c:v>1.947180946774836</c:v>
                </c:pt>
                <c:pt idx="213">
                  <c:v>1.9518346051180195</c:v>
                </c:pt>
                <c:pt idx="214">
                  <c:v>1.9564771943443355</c:v>
                </c:pt>
                <c:pt idx="215">
                  <c:v>1.9611087930665019</c:v>
                </c:pt>
                <c:pt idx="216">
                  <c:v>1.9657294789711071</c:v>
                </c:pt>
                <c:pt idx="217">
                  <c:v>1.9703393288338149</c:v>
                </c:pt>
                <c:pt idx="218">
                  <c:v>1.974938418534248</c:v>
                </c:pt>
                <c:pt idx="219">
                  <c:v>1.9795268230705603</c:v>
                </c:pt>
                <c:pt idx="220">
                  <c:v>1.9841046165737062</c:v>
                </c:pt>
                <c:pt idx="221">
                  <c:v>1.9886718723214147</c:v>
                </c:pt>
                <c:pt idx="222">
                  <c:v>1.9932286627518752</c:v>
                </c:pt>
                <c:pt idx="223">
                  <c:v>1.9977750594771417</c:v>
                </c:pt>
                <c:pt idx="224">
                  <c:v>2.0023111332962635</c:v>
                </c:pt>
                <c:pt idx="225">
                  <c:v>2.0068369542081474</c:v>
                </c:pt>
                <c:pt idx="226">
                  <c:v>2.0113525914241648</c:v>
                </c:pt>
                <c:pt idx="227">
                  <c:v>2.0158581133804958</c:v>
                </c:pt>
                <c:pt idx="228">
                  <c:v>2.020353587750233</c:v>
                </c:pt>
                <c:pt idx="229">
                  <c:v>2.0248390814552417</c:v>
                </c:pt>
                <c:pt idx="230">
                  <c:v>2.0293146606777808</c:v>
                </c:pt>
                <c:pt idx="231">
                  <c:v>2.0337803908718968</c:v>
                </c:pt>
                <c:pt idx="232">
                  <c:v>2.038236336774593</c:v>
                </c:pt>
                <c:pt idx="233">
                  <c:v>2.0426825624167799</c:v>
                </c:pt>
                <c:pt idx="234">
                  <c:v>2.0471191311340062</c:v>
                </c:pt>
                <c:pt idx="235">
                  <c:v>2.0515461055769912</c:v>
                </c:pt>
                <c:pt idx="236">
                  <c:v>2.0493844643692296</c:v>
                </c:pt>
                <c:pt idx="237">
                  <c:v>2.0537783300202554</c:v>
                </c:pt>
                <c:pt idx="238">
                  <c:v>2.058162815455479</c:v>
                </c:pt>
                <c:pt idx="239">
                  <c:v>2.0625379804955011</c:v>
                </c:pt>
                <c:pt idx="240">
                  <c:v>2.0669038843277869</c:v>
                </c:pt>
                <c:pt idx="241">
                  <c:v>2.0712605855160109</c:v>
                </c:pt>
                <c:pt idx="242">
                  <c:v>2.0756081420092189</c:v>
                </c:pt>
                <c:pt idx="243">
                  <c:v>2.0799466111508238</c:v>
                </c:pt>
                <c:pt idx="244">
                  <c:v>2.084276049687428</c:v>
                </c:pt>
                <c:pt idx="245">
                  <c:v>2.0885965137774858</c:v>
                </c:pt>
                <c:pt idx="246">
                  <c:v>2.0929080589997979</c:v>
                </c:pt>
                <c:pt idx="247">
                  <c:v>2.0972107403618585</c:v>
                </c:pt>
                <c:pt idx="248">
                  <c:v>2.1015046123080414</c:v>
                </c:pt>
                <c:pt idx="249">
                  <c:v>2.1057897287276344</c:v>
                </c:pt>
                <c:pt idx="250">
                  <c:v>2.1100661429627365</c:v>
                </c:pt>
                <c:pt idx="251">
                  <c:v>2.1143339078159991</c:v>
                </c:pt>
                <c:pt idx="252">
                  <c:v>2.1185930755582367</c:v>
                </c:pt>
                <c:pt idx="253">
                  <c:v>2.1228436979358944</c:v>
                </c:pt>
                <c:pt idx="254">
                  <c:v>2.127085826178384</c:v>
                </c:pt>
                <c:pt idx="255">
                  <c:v>2.1313195110052865</c:v>
                </c:pt>
                <c:pt idx="256">
                  <c:v>2.1355448026334281</c:v>
                </c:pt>
                <c:pt idx="257">
                  <c:v>2.1397617507838302</c:v>
                </c:pt>
                <c:pt idx="258">
                  <c:v>2.1439704046885342</c:v>
                </c:pt>
                <c:pt idx="259">
                  <c:v>2.1481708130973085</c:v>
                </c:pt>
                <c:pt idx="260">
                  <c:v>2.1523630242842371</c:v>
                </c:pt>
                <c:pt idx="261">
                  <c:v>2.1565470860541902</c:v>
                </c:pt>
                <c:pt idx="262">
                  <c:v>2.1607230457491897</c:v>
                </c:pt>
                <c:pt idx="263">
                  <c:v>2.1648909502546521</c:v>
                </c:pt>
                <c:pt idx="264">
                  <c:v>2.1690508460055344</c:v>
                </c:pt>
                <c:pt idx="265">
                  <c:v>2.1732027789923696</c:v>
                </c:pt>
                <c:pt idx="266">
                  <c:v>2.1773467947671987</c:v>
                </c:pt>
                <c:pt idx="267">
                  <c:v>2.1814829384493999</c:v>
                </c:pt>
                <c:pt idx="268">
                  <c:v>2.1856112547314228</c:v>
                </c:pt>
                <c:pt idx="269">
                  <c:v>2.1897317878844196</c:v>
                </c:pt>
                <c:pt idx="270">
                  <c:v>2.1938445817637886</c:v>
                </c:pt>
                <c:pt idx="271">
                  <c:v>2.1979496798146148</c:v>
                </c:pt>
                <c:pt idx="272">
                  <c:v>2.2020471250770273</c:v>
                </c:pt>
                <c:pt idx="273">
                  <c:v>2.2061369601914644</c:v>
                </c:pt>
                <c:pt idx="274">
                  <c:v>2.2102192274038499</c:v>
                </c:pt>
                <c:pt idx="275">
                  <c:v>2.2142939685706833</c:v>
                </c:pt>
                <c:pt idx="276">
                  <c:v>2.2183612251640485</c:v>
                </c:pt>
                <c:pt idx="277">
                  <c:v>2.2224210382765399</c:v>
                </c:pt>
                <c:pt idx="278">
                  <c:v>2.226473448626102</c:v>
                </c:pt>
                <c:pt idx="279">
                  <c:v>2.2305184965607978</c:v>
                </c:pt>
                <c:pt idx="280">
                  <c:v>2.2345562220634947</c:v>
                </c:pt>
                <c:pt idx="281">
                  <c:v>2.2385866647564736</c:v>
                </c:pt>
                <c:pt idx="282">
                  <c:v>2.2426098639059688</c:v>
                </c:pt>
                <c:pt idx="283">
                  <c:v>2.2466258584266279</c:v>
                </c:pt>
                <c:pt idx="284">
                  <c:v>2.2506346868859048</c:v>
                </c:pt>
                <c:pt idx="285">
                  <c:v>2.2546363875083828</c:v>
                </c:pt>
                <c:pt idx="286">
                  <c:v>2.2586309981800228</c:v>
                </c:pt>
                <c:pt idx="287">
                  <c:v>2.2626185564523507</c:v>
                </c:pt>
                <c:pt idx="288">
                  <c:v>2.2665990995465775</c:v>
                </c:pt>
                <c:pt idx="289">
                  <c:v>2.2705726643576485</c:v>
                </c:pt>
                <c:pt idx="290">
                  <c:v>2.2745392874582366</c:v>
                </c:pt>
                <c:pt idx="291">
                  <c:v>2.2784990051026703</c:v>
                </c:pt>
                <c:pt idx="292">
                  <c:v>2.2824518532307954</c:v>
                </c:pt>
                <c:pt idx="293">
                  <c:v>2.2863978674717851</c:v>
                </c:pt>
                <c:pt idx="294">
                  <c:v>2.2903370831478851</c:v>
                </c:pt>
                <c:pt idx="295">
                  <c:v>2.2942695352781017</c:v>
                </c:pt>
                <c:pt idx="296">
                  <c:v>2.2981952585818357</c:v>
                </c:pt>
                <c:pt idx="297">
                  <c:v>2.3021142874824583</c:v>
                </c:pt>
                <c:pt idx="298">
                  <c:v>2.3060266561108311</c:v>
                </c:pt>
                <c:pt idx="299">
                  <c:v>2.3099323983087765</c:v>
                </c:pt>
                <c:pt idx="300">
                  <c:v>2.3138315476324918</c:v>
                </c:pt>
                <c:pt idx="301">
                  <c:v>2.3177241373559117</c:v>
                </c:pt>
                <c:pt idx="302">
                  <c:v>2.3216102004740247</c:v>
                </c:pt>
                <c:pt idx="303">
                  <c:v>2.3254897697061314</c:v>
                </c:pt>
                <c:pt idx="304">
                  <c:v>2.329362877499062</c:v>
                </c:pt>
                <c:pt idx="305">
                  <c:v>2.3332295560303411</c:v>
                </c:pt>
                <c:pt idx="306">
                  <c:v>2.337089837211308</c:v>
                </c:pt>
                <c:pt idx="307">
                  <c:v>2.3409437526901864</c:v>
                </c:pt>
                <c:pt idx="308">
                  <c:v>2.3447913338551145</c:v>
                </c:pt>
                <c:pt idx="309">
                  <c:v>2.3486326118371261</c:v>
                </c:pt>
                <c:pt idx="310">
                  <c:v>2.3524676175130907</c:v>
                </c:pt>
                <c:pt idx="311">
                  <c:v>2.3562963815086064</c:v>
                </c:pt>
                <c:pt idx="312">
                  <c:v>2.3601189342008566</c:v>
                </c:pt>
                <c:pt idx="313">
                  <c:v>2.3639353057214199</c:v>
                </c:pt>
                <c:pt idx="314">
                  <c:v>2.367745525959041</c:v>
                </c:pt>
                <c:pt idx="315">
                  <c:v>2.371549624562364</c:v>
                </c:pt>
                <c:pt idx="316">
                  <c:v>2.3715348739106106</c:v>
                </c:pt>
                <c:pt idx="317">
                  <c:v>2.3753207306578674</c:v>
                </c:pt>
                <c:pt idx="318">
                  <c:v>2.3791005629884237</c:v>
                </c:pt>
                <c:pt idx="319">
                  <c:v>2.3828743995709556</c:v>
                </c:pt>
                <c:pt idx="320">
                  <c:v>2.3866422688474809</c:v>
                </c:pt>
                <c:pt idx="321">
                  <c:v>2.3904041990358573</c:v>
                </c:pt>
                <c:pt idx="322">
                  <c:v>2.3941602181322508</c:v>
                </c:pt>
                <c:pt idx="323">
                  <c:v>2.3979103539135642</c:v>
                </c:pt>
                <c:pt idx="324">
                  <c:v>2.4016546339398346</c:v>
                </c:pt>
                <c:pt idx="325">
                  <c:v>2.4053930855565979</c:v>
                </c:pt>
                <c:pt idx="326">
                  <c:v>2.4091257358972151</c:v>
                </c:pt>
                <c:pt idx="327">
                  <c:v>2.4128526118851741</c:v>
                </c:pt>
                <c:pt idx="328">
                  <c:v>2.4165737402363527</c:v>
                </c:pt>
                <c:pt idx="329">
                  <c:v>2.4202891474612542</c:v>
                </c:pt>
                <c:pt idx="330">
                  <c:v>2.4239988598672095</c:v>
                </c:pt>
                <c:pt idx="331">
                  <c:v>2.4277029035605526</c:v>
                </c:pt>
                <c:pt idx="332">
                  <c:v>2.4314013044487632</c:v>
                </c:pt>
                <c:pt idx="333">
                  <c:v>2.4350940882425789</c:v>
                </c:pt>
                <c:pt idx="334">
                  <c:v>2.4387812804580826</c:v>
                </c:pt>
                <c:pt idx="335">
                  <c:v>2.4424629064187595</c:v>
                </c:pt>
                <c:pt idx="336">
                  <c:v>2.4461389912575249</c:v>
                </c:pt>
                <c:pt idx="337">
                  <c:v>2.4498095599187271</c:v>
                </c:pt>
                <c:pt idx="338">
                  <c:v>2.4534746371601228</c:v>
                </c:pt>
                <c:pt idx="339">
                  <c:v>2.4571342475548232</c:v>
                </c:pt>
                <c:pt idx="340">
                  <c:v>2.4607884154932163</c:v>
                </c:pt>
                <c:pt idx="341">
                  <c:v>2.4644371651848664</c:v>
                </c:pt>
                <c:pt idx="342">
                  <c:v>2.4680805206603833</c:v>
                </c:pt>
                <c:pt idx="343">
                  <c:v>2.4717185057732687</c:v>
                </c:pt>
                <c:pt idx="344">
                  <c:v>2.4753511442017366</c:v>
                </c:pt>
                <c:pt idx="345">
                  <c:v>2.4789784594505164</c:v>
                </c:pt>
                <c:pt idx="346">
                  <c:v>2.4826004748526218</c:v>
                </c:pt>
                <c:pt idx="347">
                  <c:v>2.4862172135711056</c:v>
                </c:pt>
                <c:pt idx="348">
                  <c:v>2.4898286986007854</c:v>
                </c:pt>
                <c:pt idx="349">
                  <c:v>2.4934349527699511</c:v>
                </c:pt>
                <c:pt idx="350">
                  <c:v>2.4970359987420476</c:v>
                </c:pt>
                <c:pt idx="351">
                  <c:v>2.5006318590173371</c:v>
                </c:pt>
                <c:pt idx="352">
                  <c:v>2.5042225559345384</c:v>
                </c:pt>
                <c:pt idx="353">
                  <c:v>2.5078081116724462</c:v>
                </c:pt>
                <c:pt idx="354">
                  <c:v>2.5113885482515306</c:v>
                </c:pt>
                <c:pt idx="355">
                  <c:v>2.514963887535512</c:v>
                </c:pt>
                <c:pt idx="356">
                  <c:v>2.5185341512329238</c:v>
                </c:pt>
                <c:pt idx="357">
                  <c:v>2.5220993608986451</c:v>
                </c:pt>
                <c:pt idx="358">
                  <c:v>2.5256595379354212</c:v>
                </c:pt>
                <c:pt idx="359">
                  <c:v>2.5292147035953607</c:v>
                </c:pt>
                <c:pt idx="360">
                  <c:v>2.5327648789814221</c:v>
                </c:pt>
                <c:pt idx="361">
                  <c:v>2.5363100850488665</c:v>
                </c:pt>
                <c:pt idx="362">
                  <c:v>2.5398503426067043</c:v>
                </c:pt>
                <c:pt idx="363">
                  <c:v>2.5433856723191242</c:v>
                </c:pt>
                <c:pt idx="364">
                  <c:v>2.546916094706893</c:v>
                </c:pt>
                <c:pt idx="365">
                  <c:v>2.5504416301487511</c:v>
                </c:pt>
                <c:pt idx="366">
                  <c:v>2.5539622988827824</c:v>
                </c:pt>
                <c:pt idx="367">
                  <c:v>2.5574781210077706</c:v>
                </c:pt>
                <c:pt idx="368">
                  <c:v>2.560989116484536</c:v>
                </c:pt>
                <c:pt idx="369">
                  <c:v>2.5644953051372608</c:v>
                </c:pt>
                <c:pt idx="370">
                  <c:v>2.5679967066547924</c:v>
                </c:pt>
                <c:pt idx="371">
                  <c:v>2.5714933405919345</c:v>
                </c:pt>
                <c:pt idx="372">
                  <c:v>2.5749852263707216</c:v>
                </c:pt>
                <c:pt idx="373">
                  <c:v>2.5784723832816754</c:v>
                </c:pt>
                <c:pt idx="374">
                  <c:v>2.5819548304850519</c:v>
                </c:pt>
                <c:pt idx="375">
                  <c:v>2.5854325870120651</c:v>
                </c:pt>
                <c:pt idx="376">
                  <c:v>2.588905671766105</c:v>
                </c:pt>
                <c:pt idx="377">
                  <c:v>2.5923741035239334</c:v>
                </c:pt>
                <c:pt idx="378">
                  <c:v>2.5958379009368682</c:v>
                </c:pt>
                <c:pt idx="379">
                  <c:v>2.599297082531955</c:v>
                </c:pt>
                <c:pt idx="380">
                  <c:v>2.6027516667131234</c:v>
                </c:pt>
                <c:pt idx="381">
                  <c:v>2.6062016717623275</c:v>
                </c:pt>
                <c:pt idx="382">
                  <c:v>2.609647115840676</c:v>
                </c:pt>
                <c:pt idx="383">
                  <c:v>2.6130880169895478</c:v>
                </c:pt>
                <c:pt idx="384">
                  <c:v>2.6165243931316935</c:v>
                </c:pt>
                <c:pt idx="385">
                  <c:v>2.619956262072324</c:v>
                </c:pt>
                <c:pt idx="386">
                  <c:v>2.623383641500189</c:v>
                </c:pt>
                <c:pt idx="387">
                  <c:v>2.6268065489886383</c:v>
                </c:pt>
                <c:pt idx="388">
                  <c:v>2.6302250019966746</c:v>
                </c:pt>
                <c:pt idx="389">
                  <c:v>2.6336390178699922</c:v>
                </c:pt>
                <c:pt idx="390">
                  <c:v>2.6370486138420017</c:v>
                </c:pt>
                <c:pt idx="391">
                  <c:v>2.64045380703485</c:v>
                </c:pt>
                <c:pt idx="392">
                  <c:v>2.6438546144604169</c:v>
                </c:pt>
                <c:pt idx="393">
                  <c:v>2.6472510530213129</c:v>
                </c:pt>
                <c:pt idx="394">
                  <c:v>2.6506431395118537</c:v>
                </c:pt>
                <c:pt idx="395">
                  <c:v>2.6540308906190346</c:v>
                </c:pt>
                <c:pt idx="396">
                  <c:v>2.6574143229234828</c:v>
                </c:pt>
                <c:pt idx="397">
                  <c:v>2.6607934529004087</c:v>
                </c:pt>
                <c:pt idx="398">
                  <c:v>2.6641682969205394</c:v>
                </c:pt>
                <c:pt idx="399">
                  <c:v>2.6675388712510451</c:v>
                </c:pt>
                <c:pt idx="400">
                  <c:v>2.670905192056451</c:v>
                </c:pt>
                <c:pt idx="401">
                  <c:v>2.6742672753995462</c:v>
                </c:pt>
                <c:pt idx="402">
                  <c:v>2.677625137242277</c:v>
                </c:pt>
                <c:pt idx="403">
                  <c:v>2.6809787934466272</c:v>
                </c:pt>
                <c:pt idx="404">
                  <c:v>2.6843282597754956</c:v>
                </c:pt>
                <c:pt idx="405">
                  <c:v>2.6876735518935604</c:v>
                </c:pt>
                <c:pt idx="406">
                  <c:v>2.6910146853681334</c:v>
                </c:pt>
                <c:pt idx="407">
                  <c:v>2.6943516756700054</c:v>
                </c:pt>
                <c:pt idx="408">
                  <c:v>2.6976845381742787</c:v>
                </c:pt>
                <c:pt idx="409">
                  <c:v>2.7010132881612003</c:v>
                </c:pt>
                <c:pt idx="410">
                  <c:v>2.7043379408169734</c:v>
                </c:pt>
                <c:pt idx="411">
                  <c:v>2.7076585112345675</c:v>
                </c:pt>
                <c:pt idx="412">
                  <c:v>2.7109750144145202</c:v>
                </c:pt>
                <c:pt idx="413">
                  <c:v>2.7142874652657212</c:v>
                </c:pt>
                <c:pt idx="414">
                  <c:v>2.7175958786062027</c:v>
                </c:pt>
                <c:pt idx="415">
                  <c:v>2.7209002691639084</c:v>
                </c:pt>
                <c:pt idx="416">
                  <c:v>2.7242006515774566</c:v>
                </c:pt>
                <c:pt idx="417">
                  <c:v>2.7274970403968992</c:v>
                </c:pt>
                <c:pt idx="418">
                  <c:v>2.730789450084472</c:v>
                </c:pt>
                <c:pt idx="419">
                  <c:v>2.7340778950153308</c:v>
                </c:pt>
                <c:pt idx="420">
                  <c:v>2.7373623894782857</c:v>
                </c:pt>
                <c:pt idx="421">
                  <c:v>2.7406429476765264</c:v>
                </c:pt>
                <c:pt idx="422">
                  <c:v>2.7439195837283363</c:v>
                </c:pt>
                <c:pt idx="423">
                  <c:v>2.7471923116678041</c:v>
                </c:pt>
                <c:pt idx="424">
                  <c:v>2.7504611454455237</c:v>
                </c:pt>
                <c:pt idx="425">
                  <c:v>2.7537260989292873</c:v>
                </c:pt>
                <c:pt idx="426">
                  <c:v>2.756987185904773</c:v>
                </c:pt>
                <c:pt idx="427">
                  <c:v>2.7602444200762237</c:v>
                </c:pt>
                <c:pt idx="428">
                  <c:v>2.7634978150671188</c:v>
                </c:pt>
                <c:pt idx="429">
                  <c:v>2.766747384420837</c:v>
                </c:pt>
                <c:pt idx="430">
                  <c:v>2.7699931416013204</c:v>
                </c:pt>
                <c:pt idx="431">
                  <c:v>2.7732350999937165</c:v>
                </c:pt>
                <c:pt idx="432">
                  <c:v>2.7764732729050294</c:v>
                </c:pt>
                <c:pt idx="433">
                  <c:v>2.7797076735647539</c:v>
                </c:pt>
                <c:pt idx="434">
                  <c:v>2.7829383151255049</c:v>
                </c:pt>
                <c:pt idx="435">
                  <c:v>2.7861652106636452</c:v>
                </c:pt>
                <c:pt idx="436">
                  <c:v>2.7893883731798983</c:v>
                </c:pt>
                <c:pt idx="437">
                  <c:v>2.7926078155999652</c:v>
                </c:pt>
                <c:pt idx="438">
                  <c:v>2.7958235507751228</c:v>
                </c:pt>
                <c:pt idx="439">
                  <c:v>2.799035591482828</c:v>
                </c:pt>
                <c:pt idx="440">
                  <c:v>2.802243950427306</c:v>
                </c:pt>
                <c:pt idx="441">
                  <c:v>2.8054486402401384</c:v>
                </c:pt>
                <c:pt idx="442">
                  <c:v>2.8086496734808435</c:v>
                </c:pt>
                <c:pt idx="443">
                  <c:v>2.8118470626374505</c:v>
                </c:pt>
                <c:pt idx="444">
                  <c:v>2.8150408201270665</c:v>
                </c:pt>
                <c:pt idx="445">
                  <c:v>2.8182309582964407</c:v>
                </c:pt>
                <c:pt idx="446">
                  <c:v>2.8214174894225215</c:v>
                </c:pt>
                <c:pt idx="447">
                  <c:v>2.8246004257130051</c:v>
                </c:pt>
                <c:pt idx="448">
                  <c:v>2.8277797793068853</c:v>
                </c:pt>
                <c:pt idx="449">
                  <c:v>2.8309555622749905</c:v>
                </c:pt>
                <c:pt idx="450">
                  <c:v>2.8341277866205181</c:v>
                </c:pt>
                <c:pt idx="451">
                  <c:v>2.8372964642795653</c:v>
                </c:pt>
                <c:pt idx="452">
                  <c:v>2.8404616071216546</c:v>
                </c:pt>
                <c:pt idx="453">
                  <c:v>2.8436232269502479</c:v>
                </c:pt>
                <c:pt idx="454">
                  <c:v>2.8467813355032643</c:v>
                </c:pt>
                <c:pt idx="455">
                  <c:v>2.8499359444535863</c:v>
                </c:pt>
                <c:pt idx="456">
                  <c:v>2.8530870654095652</c:v>
                </c:pt>
                <c:pt idx="457">
                  <c:v>2.8562347099155163</c:v>
                </c:pt>
                <c:pt idx="458">
                  <c:v>2.859378889452215</c:v>
                </c:pt>
                <c:pt idx="459">
                  <c:v>2.862519615437384</c:v>
                </c:pt>
                <c:pt idx="460">
                  <c:v>2.8656568992261788</c:v>
                </c:pt>
                <c:pt idx="461">
                  <c:v>2.8687907521116642</c:v>
                </c:pt>
                <c:pt idx="462">
                  <c:v>2.8719211853252893</c:v>
                </c:pt>
                <c:pt idx="463">
                  <c:v>2.8750482100373591</c:v>
                </c:pt>
                <c:pt idx="464">
                  <c:v>2.8781718373574967</c:v>
                </c:pt>
                <c:pt idx="465">
                  <c:v>2.881292078335107</c:v>
                </c:pt>
                <c:pt idx="466">
                  <c:v>2.8844089439598277</c:v>
                </c:pt>
                <c:pt idx="467">
                  <c:v>2.8875224451619861</c:v>
                </c:pt>
                <c:pt idx="468">
                  <c:v>2.8906325928130441</c:v>
                </c:pt>
                <c:pt idx="469">
                  <c:v>2.8937393977260415</c:v>
                </c:pt>
                <c:pt idx="470">
                  <c:v>2.8968428706560316</c:v>
                </c:pt>
                <c:pt idx="471">
                  <c:v>2.8999430223005223</c:v>
                </c:pt>
                <c:pt idx="472">
                  <c:v>2.9030398632998993</c:v>
                </c:pt>
                <c:pt idx="473">
                  <c:v>2.9061334042378548</c:v>
                </c:pt>
                <c:pt idx="474">
                  <c:v>2.9092236556418127</c:v>
                </c:pt>
                <c:pt idx="475">
                  <c:v>2.9123106279833411</c:v>
                </c:pt>
                <c:pt idx="476">
                  <c:v>2.9153943316785687</c:v>
                </c:pt>
                <c:pt idx="477">
                  <c:v>2.9184747770885973</c:v>
                </c:pt>
                <c:pt idx="478">
                  <c:v>2.9215519745199039</c:v>
                </c:pt>
                <c:pt idx="479">
                  <c:v>2.9246259342247436</c:v>
                </c:pt>
                <c:pt idx="480">
                  <c:v>2.9276966664015527</c:v>
                </c:pt>
                <c:pt idx="481">
                  <c:v>2.9307641811953369</c:v>
                </c:pt>
                <c:pt idx="482">
                  <c:v>2.9338284886980661</c:v>
                </c:pt>
                <c:pt idx="483">
                  <c:v>2.9368895989490631</c:v>
                </c:pt>
                <c:pt idx="484">
                  <c:v>3.0712946905613405</c:v>
                </c:pt>
                <c:pt idx="485">
                  <c:v>3.1306801672630513</c:v>
                </c:pt>
                <c:pt idx="486">
                  <c:v>3.1766918941466082</c:v>
                </c:pt>
                <c:pt idx="487">
                  <c:v>3.2158696269651856</c:v>
                </c:pt>
                <c:pt idx="488">
                  <c:v>3.2507036310178172</c:v>
                </c:pt>
                <c:pt idx="489">
                  <c:v>3.2824612052865754</c:v>
                </c:pt>
                <c:pt idx="490">
                  <c:v>3.3118917550804654</c:v>
                </c:pt>
                <c:pt idx="491">
                  <c:v>3.3394820789503412</c:v>
                </c:pt>
                <c:pt idx="492">
                  <c:v>3.3655695741589122</c:v>
                </c:pt>
                <c:pt idx="493">
                  <c:v>3.3903994963910415</c:v>
                </c:pt>
                <c:pt idx="494">
                  <c:v>3.4141567582050749</c:v>
                </c:pt>
                <c:pt idx="495">
                  <c:v>3.436984871879714</c:v>
                </c:pt>
                <c:pt idx="496">
                  <c:v>3.4589978701443793</c:v>
                </c:pt>
                <c:pt idx="497">
                  <c:v>3.4802881463141015</c:v>
                </c:pt>
                <c:pt idx="498">
                  <c:v>3.500931801360192</c:v>
                </c:pt>
                <c:pt idx="499">
                  <c:v>3.5209924033876563</c:v>
                </c:pt>
                <c:pt idx="500">
                  <c:v>3.5405237002363115</c:v>
                </c:pt>
                <c:pt idx="501">
                  <c:v>3.559571620881973</c:v>
                </c:pt>
                <c:pt idx="502">
                  <c:v>3.5781757810733099</c:v>
                </c:pt>
                <c:pt idx="503">
                  <c:v>3.5963706355165783</c:v>
                </c:pt>
                <c:pt idx="504">
                  <c:v>3.6141863730220036</c:v>
                </c:pt>
                <c:pt idx="505">
                  <c:v>3.6316496214048639</c:v>
                </c:pt>
                <c:pt idx="506">
                  <c:v>3.6487840093423975</c:v>
                </c:pt>
                <c:pt idx="507">
                  <c:v>3.665610619141817</c:v>
                </c:pt>
                <c:pt idx="508">
                  <c:v>3.6821483552412424</c:v>
                </c:pt>
                <c:pt idx="509">
                  <c:v>3.6984142468544605</c:v>
                </c:pt>
                <c:pt idx="510">
                  <c:v>3.7144236985974</c:v>
                </c:pt>
                <c:pt idx="511">
                  <c:v>3.7301906996237961</c:v>
                </c:pt>
                <c:pt idx="512">
                  <c:v>3.7457279993685439</c:v>
                </c:pt>
                <c:pt idx="513">
                  <c:v>3.7610472561929096</c:v>
                </c:pt>
                <c:pt idx="514">
                  <c:v>3.7761591638698895</c:v>
                </c:pt>
                <c:pt idx="515">
                  <c:v>3.7910735598184488</c:v>
                </c:pt>
                <c:pt idx="516">
                  <c:v>3.8057995182057907</c:v>
                </c:pt>
                <c:pt idx="517">
                  <c:v>3.820345430425709</c:v>
                </c:pt>
                <c:pt idx="518">
                  <c:v>3.8347190749841378</c:v>
                </c:pt>
                <c:pt idx="519">
                  <c:v>3.8489276784477391</c:v>
                </c:pt>
                <c:pt idx="520">
                  <c:v>3.862977968813873</c:v>
                </c:pt>
                <c:pt idx="521">
                  <c:v>3.876876222422891</c:v>
                </c:pt>
                <c:pt idx="522">
                  <c:v>3.8906283053427986</c:v>
                </c:pt>
                <c:pt idx="523">
                  <c:v>3.9042397100021193</c:v>
                </c:pt>
                <c:pt idx="524">
                  <c:v>3.9177155877212582</c:v>
                </c:pt>
                <c:pt idx="525">
                  <c:v>3.9310607776900461</c:v>
                </c:pt>
                <c:pt idx="526">
                  <c:v>3.944279832854769</c:v>
                </c:pt>
                <c:pt idx="527">
                  <c:v>3.957377043108214</c:v>
                </c:pt>
                <c:pt idx="528">
                  <c:v>3.9703564561184348</c:v>
                </c:pt>
                <c:pt idx="529">
                  <c:v>3.983221896083593</c:v>
                </c:pt>
                <c:pt idx="530">
                  <c:v>3.9959769806598402</c:v>
                </c:pt>
                <c:pt idx="531">
                  <c:v>4.0086251362751391</c:v>
                </c:pt>
                <c:pt idx="532">
                  <c:v>4.0211696120132618</c:v>
                </c:pt>
                <c:pt idx="533">
                  <c:v>4.0336134922277873</c:v>
                </c:pt>
                <c:pt idx="534">
                  <c:v>4.0459597080253138</c:v>
                </c:pt>
                <c:pt idx="535">
                  <c:v>4.0582110477393147</c:v>
                </c:pt>
                <c:pt idx="536">
                  <c:v>4.0703701665010543</c:v>
                </c:pt>
                <c:pt idx="537">
                  <c:v>4.0824395950008778</c:v>
                </c:pt>
                <c:pt idx="538">
                  <c:v>4.0944217475220768</c:v>
                </c:pt>
                <c:pt idx="539">
                  <c:v>4.1063189293197979</c:v>
                </c:pt>
                <c:pt idx="540">
                  <c:v>4.1181333434090979</c:v>
                </c:pt>
                <c:pt idx="541">
                  <c:v>4.1298670968189679</c:v>
                </c:pt>
                <c:pt idx="542">
                  <c:v>4.1415222063628008</c:v>
                </c:pt>
                <c:pt idx="543">
                  <c:v>4.1531006039702199</c:v>
                </c:pt>
                <c:pt idx="544">
                  <c:v>4.1646041416203516</c:v>
                </c:pt>
                <c:pt idx="545">
                  <c:v>4.1760345959123644</c:v>
                </c:pt>
                <c:pt idx="546">
                  <c:v>4.1873936723053475</c:v>
                </c:pt>
                <c:pt idx="547">
                  <c:v>4.198683009056313</c:v>
                </c:pt>
                <c:pt idx="548">
                  <c:v>4.2099041808821633</c:v>
                </c:pt>
                <c:pt idx="549">
                  <c:v>4.2210587023689428</c:v>
                </c:pt>
                <c:pt idx="550">
                  <c:v>4.2321480311493413</c:v>
                </c:pt>
                <c:pt idx="551">
                  <c:v>4.2431735708674374</c:v>
                </c:pt>
                <c:pt idx="552">
                  <c:v>4.2541366739478184</c:v>
                </c:pt>
                <c:pt idx="553">
                  <c:v>4.2650386441846599</c:v>
                </c:pt>
                <c:pt idx="554">
                  <c:v>4.2758807391648288</c:v>
                </c:pt>
                <c:pt idx="555">
                  <c:v>4.2866641725378649</c:v>
                </c:pt>
                <c:pt idx="556">
                  <c:v>4.2973901161444896</c:v>
                </c:pt>
                <c:pt idx="557">
                  <c:v>4.308059702014277</c:v>
                </c:pt>
                <c:pt idx="558">
                  <c:v>4.3186740242421777</c:v>
                </c:pt>
                <c:pt idx="559">
                  <c:v>4.3292341407527672</c:v>
                </c:pt>
                <c:pt idx="560">
                  <c:v>4.3397410749603242</c:v>
                </c:pt>
                <c:pt idx="561">
                  <c:v>4.3501958173321338</c:v>
                </c:pt>
                <c:pt idx="562">
                  <c:v>4.3605993268618608</c:v>
                </c:pt>
                <c:pt idx="563">
                  <c:v>4.3709525324592136</c:v>
                </c:pt>
                <c:pt idx="564">
                  <c:v>4.3812563342616375</c:v>
                </c:pt>
                <c:pt idx="565">
                  <c:v>4.3915116048733385</c:v>
                </c:pt>
                <c:pt idx="566">
                  <c:v>4.4017191905364745</c:v>
                </c:pt>
                <c:pt idx="567">
                  <c:v>4.4118799122390193</c:v>
                </c:pt>
                <c:pt idx="568">
                  <c:v>4.4219945667634279</c:v>
                </c:pt>
                <c:pt idx="569">
                  <c:v>4.4320639276799172</c:v>
                </c:pt>
                <c:pt idx="570">
                  <c:v>4.4420887462879026</c:v>
                </c:pt>
                <c:pt idx="571">
                  <c:v>4.4520697525088755</c:v>
                </c:pt>
                <c:pt idx="572">
                  <c:v>4.4620076557337116</c:v>
                </c:pt>
                <c:pt idx="573">
                  <c:v>4.471903145627258</c:v>
                </c:pt>
                <c:pt idx="574">
                  <c:v>4.481756892892788</c:v>
                </c:pt>
                <c:pt idx="575">
                  <c:v>4.4915695499987338</c:v>
                </c:pt>
                <c:pt idx="576">
                  <c:v>4.5013417518699717</c:v>
                </c:pt>
                <c:pt idx="577">
                  <c:v>4.5110741165457284</c:v>
                </c:pt>
                <c:pt idx="578">
                  <c:v>4.5207672458060655</c:v>
                </c:pt>
                <c:pt idx="579">
                  <c:v>4.5304217257687647</c:v>
                </c:pt>
                <c:pt idx="580">
                  <c:v>4.540038127458299</c:v>
                </c:pt>
                <c:pt idx="581">
                  <c:v>4.549617007348461</c:v>
                </c:pt>
                <c:pt idx="582">
                  <c:v>4.5591589078801471</c:v>
                </c:pt>
                <c:pt idx="583">
                  <c:v>4.5686643579556385</c:v>
                </c:pt>
                <c:pt idx="584">
                  <c:v>4.5781338734107226</c:v>
                </c:pt>
                <c:pt idx="585">
                  <c:v>4.5875679574657928</c:v>
                </c:pt>
                <c:pt idx="586">
                  <c:v>4.5969671011571211</c:v>
                </c:pt>
                <c:pt idx="587">
                  <c:v>4.6063317837493081</c:v>
                </c:pt>
                <c:pt idx="588">
                  <c:v>4.6156624731299463</c:v>
                </c:pt>
                <c:pt idx="589">
                  <c:v>4.6249596261873975</c:v>
                </c:pt>
                <c:pt idx="590">
                  <c:v>4.6342236891725701</c:v>
                </c:pt>
                <c:pt idx="591">
                  <c:v>4.6434550980455116</c:v>
                </c:pt>
                <c:pt idx="592">
                  <c:v>4.6526542788076029</c:v>
                </c:pt>
                <c:pt idx="593">
                  <c:v>4.6618216478200623</c:v>
                </c:pt>
                <c:pt idx="594">
                  <c:v>4.6709576121094454</c:v>
                </c:pt>
                <c:pt idx="595">
                  <c:v>4.6800625696607909</c:v>
                </c:pt>
                <c:pt idx="596">
                  <c:v>4.6891369096990232</c:v>
                </c:pt>
                <c:pt idx="597">
                  <c:v>4.6981810129591528</c:v>
                </c:pt>
                <c:pt idx="598">
                  <c:v>4.7071952519458593</c:v>
                </c:pt>
                <c:pt idx="599">
                  <c:v>4.7161799911829192</c:v>
                </c:pt>
                <c:pt idx="600">
                  <c:v>4.7251355874529892</c:v>
                </c:pt>
                <c:pt idx="601">
                  <c:v>4.73406239002819</c:v>
                </c:pt>
                <c:pt idx="602">
                  <c:v>4.7429607408919052</c:v>
                </c:pt>
                <c:pt idx="603">
                  <c:v>4.7518309749522221</c:v>
                </c:pt>
                <c:pt idx="604">
                  <c:v>4.7606734202473815</c:v>
                </c:pt>
                <c:pt idx="605">
                  <c:v>4.7694883981436069</c:v>
                </c:pt>
                <c:pt idx="606">
                  <c:v>4.778276223525646</c:v>
                </c:pt>
                <c:pt idx="607">
                  <c:v>4.7870372049803684</c:v>
                </c:pt>
                <c:pt idx="608">
                  <c:v>4.7957716449736996</c:v>
                </c:pt>
                <c:pt idx="609">
                  <c:v>4.8044798400212159</c:v>
                </c:pt>
                <c:pt idx="610">
                  <c:v>4.8131620808526492</c:v>
                </c:pt>
                <c:pt idx="611">
                  <c:v>4.8218186525705882</c:v>
                </c:pt>
                <c:pt idx="612">
                  <c:v>4.830449834803586</c:v>
                </c:pt>
                <c:pt idx="613">
                  <c:v>4.8390559018539783</c:v>
                </c:pt>
                <c:pt idx="614">
                  <c:v>4.8476371228405615</c:v>
                </c:pt>
                <c:pt idx="615">
                  <c:v>4.8561937618364013</c:v>
                </c:pt>
                <c:pt idx="616">
                  <c:v>4.8647260780019437</c:v>
                </c:pt>
                <c:pt idx="617">
                  <c:v>4.8732343257136383</c:v>
                </c:pt>
                <c:pt idx="618">
                  <c:v>4.8817187546882499</c:v>
                </c:pt>
                <c:pt idx="619">
                  <c:v>4.8901796101030364</c:v>
                </c:pt>
                <c:pt idx="620">
                  <c:v>4.898617132711955</c:v>
                </c:pt>
                <c:pt idx="621">
                  <c:v>4.9070315589580744</c:v>
                </c:pt>
                <c:pt idx="622">
                  <c:v>4.9154231210823065</c:v>
                </c:pt>
                <c:pt idx="623">
                  <c:v>4.9237920472286509</c:v>
                </c:pt>
                <c:pt idx="624">
                  <c:v>4.9321385615460498</c:v>
                </c:pt>
                <c:pt idx="625">
                  <c:v>4.9404628842869975</c:v>
                </c:pt>
                <c:pt idx="626">
                  <c:v>4.9487652319030477</c:v>
                </c:pt>
                <c:pt idx="627">
                  <c:v>4.9570458171373106</c:v>
                </c:pt>
                <c:pt idx="628">
                  <c:v>4.9653048491140632</c:v>
                </c:pt>
                <c:pt idx="629">
                  <c:v>4.9735425334255963</c:v>
                </c:pt>
                <c:pt idx="630">
                  <c:v>4.981759072216386</c:v>
                </c:pt>
                <c:pt idx="631">
                  <c:v>4.9899546642646939</c:v>
                </c:pt>
                <c:pt idx="632">
                  <c:v>4.9981295050616934</c:v>
                </c:pt>
                <c:pt idx="633">
                  <c:v>5.0062837868882069</c:v>
                </c:pt>
                <c:pt idx="634">
                  <c:v>5.0144176988891633</c:v>
                </c:pt>
                <c:pt idx="635">
                  <c:v>5.0225314271458199</c:v>
                </c:pt>
                <c:pt idx="636">
                  <c:v>5.0306251547458674</c:v>
                </c:pt>
                <c:pt idx="637">
                  <c:v>5.03869906185147</c:v>
                </c:pt>
                <c:pt idx="638">
                  <c:v>5.0467533257653274</c:v>
                </c:pt>
                <c:pt idx="639">
                  <c:v>5.0547881209948242</c:v>
                </c:pt>
                <c:pt idx="640">
                  <c:v>5.0628036193143267</c:v>
                </c:pt>
                <c:pt idx="641">
                  <c:v>5.0707999898257032</c:v>
                </c:pt>
                <c:pt idx="642">
                  <c:v>5.0787773990171319</c:v>
                </c:pt>
                <c:pt idx="643">
                  <c:v>5.0867360108202329</c:v>
                </c:pt>
                <c:pt idx="644">
                  <c:v>5.0946759866656155</c:v>
                </c:pt>
                <c:pt idx="645">
                  <c:v>5.1025974855368625</c:v>
                </c:pt>
                <c:pt idx="646">
                  <c:v>5.1105006640230286</c:v>
                </c:pt>
                <c:pt idx="647">
                  <c:v>5.1183856763696873</c:v>
                </c:pt>
                <c:pt idx="648">
                  <c:v>5.1262526745285868</c:v>
                </c:pt>
                <c:pt idx="649">
                  <c:v>5.1341018082059495</c:v>
                </c:pt>
                <c:pt idx="650">
                  <c:v>5.1419332249094678</c:v>
                </c:pt>
                <c:pt idx="651">
                  <c:v>5.1497470699940404</c:v>
                </c:pt>
                <c:pt idx="652">
                  <c:v>5.1575434867062864</c:v>
                </c:pt>
                <c:pt idx="653">
                  <c:v>5.1653226162278649</c:v>
                </c:pt>
                <c:pt idx="654">
                  <c:v>5.1730845977176765</c:v>
                </c:pt>
                <c:pt idx="655">
                  <c:v>5.180829568352932</c:v>
                </c:pt>
                <c:pt idx="656">
                  <c:v>5.1885576633691626</c:v>
                </c:pt>
                <c:pt idx="657">
                  <c:v>5.1962690160991976</c:v>
                </c:pt>
                <c:pt idx="658">
                  <c:v>5.2039637580111169</c:v>
                </c:pt>
                <c:pt idx="659">
                  <c:v>5.2116420187452555</c:v>
                </c:pt>
                <c:pt idx="660">
                  <c:v>5.2193039261502463</c:v>
                </c:pt>
                <c:pt idx="661">
                  <c:v>5.2269496063181595</c:v>
                </c:pt>
                <c:pt idx="662">
                  <c:v>5.2345791836187452</c:v>
                </c:pt>
                <c:pt idx="663">
                  <c:v>5.2421927807328368</c:v>
                </c:pt>
                <c:pt idx="664">
                  <c:v>5.2497905186848994</c:v>
                </c:pt>
                <c:pt idx="665">
                  <c:v>5.257372516874792</c:v>
                </c:pt>
                <c:pt idx="666">
                  <c:v>5.2649388931087273</c:v>
                </c:pt>
                <c:pt idx="667">
                  <c:v>5.2724897636294923</c:v>
                </c:pt>
                <c:pt idx="668">
                  <c:v>5.2800252431459178</c:v>
                </c:pt>
                <c:pt idx="669">
                  <c:v>5.2875454448616406</c:v>
                </c:pt>
                <c:pt idx="670">
                  <c:v>5.2950504805031642</c:v>
                </c:pt>
                <c:pt idx="671">
                  <c:v>5.302540460347263</c:v>
                </c:pt>
                <c:pt idx="672">
                  <c:v>5.3100154932477093</c:v>
                </c:pt>
                <c:pt idx="673">
                  <c:v>5.3174756866613881</c:v>
                </c:pt>
                <c:pt idx="674">
                  <c:v>5.3249211466737858</c:v>
                </c:pt>
                <c:pt idx="675">
                  <c:v>5.3323519780238708</c:v>
                </c:pt>
                <c:pt idx="676">
                  <c:v>5.339768284128418</c:v>
                </c:pt>
                <c:pt idx="677">
                  <c:v>5.347170167105741</c:v>
                </c:pt>
                <c:pt idx="678">
                  <c:v>5.3545577277988938</c:v>
                </c:pt>
                <c:pt idx="679">
                  <c:v>5.3619310657983315</c:v>
                </c:pt>
                <c:pt idx="680">
                  <c:v>5.3692902794640549</c:v>
                </c:pt>
                <c:pt idx="681">
                  <c:v>5.3766354659472499</c:v>
                </c:pt>
                <c:pt idx="682">
                  <c:v>5.3839667212114417</c:v>
                </c:pt>
                <c:pt idx="683">
                  <c:v>5.3912841400531564</c:v>
                </c:pt>
                <c:pt idx="684">
                  <c:v>5.3985878161221477</c:v>
                </c:pt>
                <c:pt idx="685">
                  <c:v>5.4058778419411411</c:v>
                </c:pt>
                <c:pt idx="686">
                  <c:v>5.4131543089251677</c:v>
                </c:pt>
                <c:pt idx="687">
                  <c:v>5.420417307400446</c:v>
                </c:pt>
                <c:pt idx="688">
                  <c:v>5.427666926622873</c:v>
                </c:pt>
                <c:pt idx="689">
                  <c:v>5.4349032547960885</c:v>
                </c:pt>
                <c:pt idx="690">
                  <c:v>5.4421263790891645</c:v>
                </c:pt>
                <c:pt idx="691">
                  <c:v>5.4493363856539023</c:v>
                </c:pt>
                <c:pt idx="692">
                  <c:v>5.4565333596417549</c:v>
                </c:pt>
                <c:pt idx="693">
                  <c:v>5.463717385220396</c:v>
                </c:pt>
                <c:pt idx="694">
                  <c:v>5.4708885455899257</c:v>
                </c:pt>
                <c:pt idx="695">
                  <c:v>5.4780469229987396</c:v>
                </c:pt>
                <c:pt idx="696">
                  <c:v>5.4851925987590526</c:v>
                </c:pt>
                <c:pt idx="697">
                  <c:v>5.4923256532621085</c:v>
                </c:pt>
                <c:pt idx="698">
                  <c:v>5.4994461659930671</c:v>
                </c:pt>
                <c:pt idx="699">
                  <c:v>5.5065542155455702</c:v>
                </c:pt>
                <c:pt idx="700">
                  <c:v>5.5136498796360174</c:v>
                </c:pt>
                <c:pt idx="701">
                  <c:v>5.5207332351175546</c:v>
                </c:pt>
                <c:pt idx="702">
                  <c:v>5.5278043579937473</c:v>
                </c:pt>
                <c:pt idx="703">
                  <c:v>5.5348633234320053</c:v>
                </c:pt>
                <c:pt idx="704">
                  <c:v>5.5419102057767127</c:v>
                </c:pt>
                <c:pt idx="705">
                  <c:v>5.5489450785621006</c:v>
                </c:pt>
                <c:pt idx="706">
                  <c:v>5.555968014524864</c:v>
                </c:pt>
                <c:pt idx="707">
                  <c:v>5.5629790856165098</c:v>
                </c:pt>
                <c:pt idx="708">
                  <c:v>5.5699783630154789</c:v>
                </c:pt>
                <c:pt idx="709">
                  <c:v>5.5769659171390078</c:v>
                </c:pt>
                <c:pt idx="710">
                  <c:v>5.5839418176547682</c:v>
                </c:pt>
                <c:pt idx="711">
                  <c:v>5.5909061334922736</c:v>
                </c:pt>
                <c:pt idx="712">
                  <c:v>5.5978589328540522</c:v>
                </c:pt>
                <c:pt idx="713">
                  <c:v>5.6048002832266235</c:v>
                </c:pt>
                <c:pt idx="714">
                  <c:v>5.6117302513912328</c:v>
                </c:pt>
                <c:pt idx="715">
                  <c:v>5.6186489034344032</c:v>
                </c:pt>
                <c:pt idx="716">
                  <c:v>5.6255563047582688</c:v>
                </c:pt>
                <c:pt idx="717">
                  <c:v>5.6324525200907107</c:v>
                </c:pt>
                <c:pt idx="718">
                  <c:v>5.639337613495309</c:v>
                </c:pt>
                <c:pt idx="719">
                  <c:v>5.6462116483810938</c:v>
                </c:pt>
                <c:pt idx="720">
                  <c:v>5.6530746875121114</c:v>
                </c:pt>
                <c:pt idx="721">
                  <c:v>5.6599267930168224</c:v>
                </c:pt>
                <c:pt idx="722">
                  <c:v>5.6667680263973139</c:v>
                </c:pt>
                <c:pt idx="723">
                  <c:v>5.673598448538332</c:v>
                </c:pt>
                <c:pt idx="724">
                  <c:v>5.6804181197161618</c:v>
                </c:pt>
                <c:pt idx="725">
                  <c:v>5.6872270996073304</c:v>
                </c:pt>
                <c:pt idx="726">
                  <c:v>5.6940254472971557</c:v>
                </c:pt>
                <c:pt idx="727">
                  <c:v>5.7008132212881328</c:v>
                </c:pt>
                <c:pt idx="728">
                  <c:v>5.7075904795081716</c:v>
                </c:pt>
                <c:pt idx="729">
                  <c:v>5.7143572793186781</c:v>
                </c:pt>
                <c:pt idx="730">
                  <c:v>5.721113677522494</c:v>
                </c:pt>
                <c:pt idx="731">
                  <c:v>5.7278597303716916</c:v>
                </c:pt>
                <c:pt idx="732">
                  <c:v>5.7345954935752257</c:v>
                </c:pt>
                <c:pt idx="733">
                  <c:v>5.7413210223064475</c:v>
                </c:pt>
                <c:pt idx="734">
                  <c:v>5.7480363712104863</c:v>
                </c:pt>
                <c:pt idx="735">
                  <c:v>5.7547415944115041</c:v>
                </c:pt>
                <c:pt idx="736">
                  <c:v>5.7614367455198092</c:v>
                </c:pt>
                <c:pt idx="737">
                  <c:v>5.7681218776388565</c:v>
                </c:pt>
                <c:pt idx="738">
                  <c:v>5.7747970433721152</c:v>
                </c:pt>
                <c:pt idx="739">
                  <c:v>5.7814622948298258</c:v>
                </c:pt>
                <c:pt idx="740">
                  <c:v>5.7881176836356296</c:v>
                </c:pt>
                <c:pt idx="741">
                  <c:v>5.7947632609330846</c:v>
                </c:pt>
                <c:pt idx="742">
                  <c:v>5.8013990773920741</c:v>
                </c:pt>
                <c:pt idx="743">
                  <c:v>5.808025183215106</c:v>
                </c:pt>
                <c:pt idx="744">
                  <c:v>5.8146416281434856</c:v>
                </c:pt>
                <c:pt idx="745">
                  <c:v>5.8212484614634086</c:v>
                </c:pt>
                <c:pt idx="746">
                  <c:v>5.8278457320119301</c:v>
                </c:pt>
                <c:pt idx="747">
                  <c:v>5.8344334881828459</c:v>
                </c:pt>
                <c:pt idx="748">
                  <c:v>5.841011777932458</c:v>
                </c:pt>
                <c:pt idx="749">
                  <c:v>5.8475806487852653</c:v>
                </c:pt>
                <c:pt idx="750">
                  <c:v>5.8541401478395372</c:v>
                </c:pt>
                <c:pt idx="751">
                  <c:v>5.860690321772803</c:v>
                </c:pt>
                <c:pt idx="752">
                  <c:v>5.8672312168472569</c:v>
                </c:pt>
                <c:pt idx="753">
                  <c:v>5.8737628789150564</c:v>
                </c:pt>
                <c:pt idx="754">
                  <c:v>5.8802853534235497</c:v>
                </c:pt>
                <c:pt idx="755">
                  <c:v>5.8867986854204046</c:v>
                </c:pt>
                <c:pt idx="756">
                  <c:v>5.8933029195586641</c:v>
                </c:pt>
                <c:pt idx="757">
                  <c:v>5.8997981001017088</c:v>
                </c:pt>
                <c:pt idx="758">
                  <c:v>5.9062842709281416</c:v>
                </c:pt>
                <c:pt idx="759">
                  <c:v>5.9127614755366</c:v>
                </c:pt>
                <c:pt idx="760">
                  <c:v>5.9192297570504824</c:v>
                </c:pt>
                <c:pt idx="761">
                  <c:v>5.9256891582225988</c:v>
                </c:pt>
                <c:pt idx="762">
                  <c:v>5.9321397214397482</c:v>
                </c:pt>
                <c:pt idx="763">
                  <c:v>5.938581488727233</c:v>
                </c:pt>
                <c:pt idx="764">
                  <c:v>5.9450145017532758</c:v>
                </c:pt>
                <c:pt idx="765">
                  <c:v>5.9514388018333939</c:v>
                </c:pt>
                <c:pt idx="766">
                  <c:v>5.9578544299346881</c:v>
                </c:pt>
                <c:pt idx="767">
                  <c:v>5.9642614266800686</c:v>
                </c:pt>
                <c:pt idx="768">
                  <c:v>5.9706598323524158</c:v>
                </c:pt>
                <c:pt idx="769">
                  <c:v>5.9770496868986722</c:v>
                </c:pt>
                <c:pt idx="770">
                  <c:v>5.98343102993387</c:v>
                </c:pt>
                <c:pt idx="771">
                  <c:v>5.9898039007451036</c:v>
                </c:pt>
                <c:pt idx="772">
                  <c:v>5.9961683382954352</c:v>
                </c:pt>
                <c:pt idx="773">
                  <c:v>6.0025243812277331</c:v>
                </c:pt>
                <c:pt idx="774">
                  <c:v>6.0088720678684684</c:v>
                </c:pt>
                <c:pt idx="775">
                  <c:v>6.0152114362314348</c:v>
                </c:pt>
                <c:pt idx="776">
                  <c:v>6.0215425240214255</c:v>
                </c:pt>
                <c:pt idx="777">
                  <c:v>6.0278653686378423</c:v>
                </c:pt>
                <c:pt idx="778">
                  <c:v>6.0341800071782652</c:v>
                </c:pt>
                <c:pt idx="779">
                  <c:v>6.0404864764419486</c:v>
                </c:pt>
                <c:pt idx="780">
                  <c:v>6.0467848129332813</c:v>
                </c:pt>
                <c:pt idx="781">
                  <c:v>6.0530750528651911</c:v>
                </c:pt>
                <c:pt idx="782">
                  <c:v>6.0593572321624869</c:v>
                </c:pt>
                <c:pt idx="783">
                  <c:v>6.065631386465169</c:v>
                </c:pt>
                <c:pt idx="784">
                  <c:v>6.0718975511316735</c:v>
                </c:pt>
                <c:pt idx="785">
                  <c:v>6.0781557612420798</c:v>
                </c:pt>
                <c:pt idx="786">
                  <c:v>6.0844060516012668</c:v>
                </c:pt>
                <c:pt idx="787">
                  <c:v>6.0906484567420218</c:v>
                </c:pt>
                <c:pt idx="788">
                  <c:v>6.0968830109281056</c:v>
                </c:pt>
                <c:pt idx="789">
                  <c:v>6.103109748157272</c:v>
                </c:pt>
                <c:pt idx="790">
                  <c:v>6.1093287021642428</c:v>
                </c:pt>
                <c:pt idx="791">
                  <c:v>6.1155399064236402</c:v>
                </c:pt>
                <c:pt idx="792">
                  <c:v>6.1217433941528752</c:v>
                </c:pt>
                <c:pt idx="793">
                  <c:v>6.1279391983150004</c:v>
                </c:pt>
                <c:pt idx="794">
                  <c:v>6.13412735162151</c:v>
                </c:pt>
                <c:pt idx="795">
                  <c:v>6.1403078865351155</c:v>
                </c:pt>
                <c:pt idx="796">
                  <c:v>6.1404117903185043</c:v>
                </c:pt>
                <c:pt idx="797">
                  <c:v>6.1465733592294214</c:v>
                </c:pt>
                <c:pt idx="798">
                  <c:v>6.1527274080783592</c:v>
                </c:pt>
                <c:pt idx="799">
                  <c:v>6.158873968355226</c:v>
                </c:pt>
                <c:pt idx="800">
                  <c:v>6.1650130713144087</c:v>
                </c:pt>
                <c:pt idx="801">
                  <c:v>6.1711447479773156</c:v>
                </c:pt>
                <c:pt idx="802">
                  <c:v>6.1772690291348802</c:v>
                </c:pt>
                <c:pt idx="803">
                  <c:v>6.1833859453500359</c:v>
                </c:pt>
                <c:pt idx="804">
                  <c:v>6.1894955269601422</c:v>
                </c:pt>
                <c:pt idx="805">
                  <c:v>6.1955978040793926</c:v>
                </c:pt>
                <c:pt idx="806">
                  <c:v>6.2016928066011765</c:v>
                </c:pt>
                <c:pt idx="807">
                  <c:v>6.2077805642004229</c:v>
                </c:pt>
                <c:pt idx="808">
                  <c:v>6.2138611063358926</c:v>
                </c:pt>
                <c:pt idx="809">
                  <c:v>6.2199344622524597</c:v>
                </c:pt>
                <c:pt idx="810">
                  <c:v>6.2260006609833454</c:v>
                </c:pt>
                <c:pt idx="811">
                  <c:v>6.2320597313523294</c:v>
                </c:pt>
                <c:pt idx="812">
                  <c:v>6.238111701975936</c:v>
                </c:pt>
                <c:pt idx="813">
                  <c:v>6.2441566012655745</c:v>
                </c:pt>
                <c:pt idx="814">
                  <c:v>6.2501944574296679</c:v>
                </c:pt>
                <c:pt idx="815">
                  <c:v>6.2562252984757443</c:v>
                </c:pt>
                <c:pt idx="816">
                  <c:v>6.2622491522124974</c:v>
                </c:pt>
                <c:pt idx="817">
                  <c:v>6.2682660462518331</c:v>
                </c:pt>
                <c:pt idx="818">
                  <c:v>6.2742760080108688</c:v>
                </c:pt>
                <c:pt idx="819">
                  <c:v>6.2802790647139268</c:v>
                </c:pt>
                <c:pt idx="820">
                  <c:v>6.2862752433944813</c:v>
                </c:pt>
                <c:pt idx="821">
                  <c:v>6.2922645708971014</c:v>
                </c:pt>
                <c:pt idx="822">
                  <c:v>6.298247073879347</c:v>
                </c:pt>
                <c:pt idx="823">
                  <c:v>6.3042227788136529</c:v>
                </c:pt>
                <c:pt idx="824">
                  <c:v>6.3101917119891882</c:v>
                </c:pt>
                <c:pt idx="825">
                  <c:v>6.316153899513683</c:v>
                </c:pt>
                <c:pt idx="826">
                  <c:v>6.3221093673152424</c:v>
                </c:pt>
                <c:pt idx="827">
                  <c:v>6.3280581411441243</c:v>
                </c:pt>
                <c:pt idx="828">
                  <c:v>6.334000246574508</c:v>
                </c:pt>
                <c:pt idx="829">
                  <c:v>6.3399357090062303</c:v>
                </c:pt>
                <c:pt idx="830">
                  <c:v>6.345864553666499</c:v>
                </c:pt>
                <c:pt idx="831">
                  <c:v>6.351786805611594</c:v>
                </c:pt>
                <c:pt idx="832">
                  <c:v>6.3577024897285357</c:v>
                </c:pt>
                <c:pt idx="833">
                  <c:v>6.3636116307367363</c:v>
                </c:pt>
                <c:pt idx="834">
                  <c:v>6.3695142531896352</c:v>
                </c:pt>
                <c:pt idx="835">
                  <c:v>6.3754103814762999</c:v>
                </c:pt>
                <c:pt idx="836">
                  <c:v>6.381300039823028</c:v>
                </c:pt>
                <c:pt idx="837">
                  <c:v>6.3871832522949061</c:v>
                </c:pt>
                <c:pt idx="838">
                  <c:v>6.3930600427973685</c:v>
                </c:pt>
                <c:pt idx="839">
                  <c:v>6.3989304350777161</c:v>
                </c:pt>
                <c:pt idx="840">
                  <c:v>6.4047944527266427</c:v>
                </c:pt>
                <c:pt idx="841">
                  <c:v>6.4106521191797157</c:v>
                </c:pt>
                <c:pt idx="842">
                  <c:v>6.4165034577188562</c:v>
                </c:pt>
                <c:pt idx="843">
                  <c:v>6.4223484914737909</c:v>
                </c:pt>
                <c:pt idx="844">
                  <c:v>6.4281872434234959</c:v>
                </c:pt>
                <c:pt idx="845">
                  <c:v>6.4340197363976097</c:v>
                </c:pt>
                <c:pt idx="846">
                  <c:v>6.4398459930778422</c:v>
                </c:pt>
                <c:pt idx="847">
                  <c:v>6.4456660359993574</c:v>
                </c:pt>
                <c:pt idx="848">
                  <c:v>6.4514798875521393</c:v>
                </c:pt>
                <c:pt idx="849">
                  <c:v>6.4572875699823502</c:v>
                </c:pt>
                <c:pt idx="850">
                  <c:v>6.4630891053936654</c:v>
                </c:pt>
                <c:pt idx="851">
                  <c:v>6.4688845157485835</c:v>
                </c:pt>
                <c:pt idx="852">
                  <c:v>6.4746738228697414</c:v>
                </c:pt>
                <c:pt idx="853">
                  <c:v>6.4804570484411981</c:v>
                </c:pt>
                <c:pt idx="854">
                  <c:v>6.4862342140097056</c:v>
                </c:pt>
                <c:pt idx="855">
                  <c:v>6.4920053409859655</c:v>
                </c:pt>
                <c:pt idx="856">
                  <c:v>6.4977704506458762</c:v>
                </c:pt>
                <c:pt idx="857">
                  <c:v>6.5035295641317532</c:v>
                </c:pt>
                <c:pt idx="858">
                  <c:v>6.509282702453552</c:v>
                </c:pt>
                <c:pt idx="859">
                  <c:v>6.5150298864900513</c:v>
                </c:pt>
                <c:pt idx="860">
                  <c:v>6.5207711369900512</c:v>
                </c:pt>
                <c:pt idx="861">
                  <c:v>6.5265064745735426</c:v>
                </c:pt>
                <c:pt idx="862">
                  <c:v>6.5322359197328517</c:v>
                </c:pt>
                <c:pt idx="863">
                  <c:v>6.5379594928337994</c:v>
                </c:pt>
                <c:pt idx="864">
                  <c:v>6.5436772141168156</c:v>
                </c:pt>
                <c:pt idx="865">
                  <c:v>6.5493891036980685</c:v>
                </c:pt>
                <c:pt idx="866">
                  <c:v>6.5550951815705627</c:v>
                </c:pt>
                <c:pt idx="867">
                  <c:v>6.5607954676052298</c:v>
                </c:pt>
                <c:pt idx="868">
                  <c:v>6.5664899815520039</c:v>
                </c:pt>
                <c:pt idx="869">
                  <c:v>6.5721787430408938</c:v>
                </c:pt>
                <c:pt idx="870">
                  <c:v>6.5778617715830361</c:v>
                </c:pt>
                <c:pt idx="871">
                  <c:v>6.5835390865717294</c:v>
                </c:pt>
                <c:pt idx="872">
                  <c:v>6.5892107072834722</c:v>
                </c:pt>
                <c:pt idx="873">
                  <c:v>6.5948766528789768</c:v>
                </c:pt>
                <c:pt idx="874">
                  <c:v>6.6005369424041742</c:v>
                </c:pt>
                <c:pt idx="875">
                  <c:v>6.6061915947912127</c:v>
                </c:pt>
                <c:pt idx="876">
                  <c:v>6.6118406288594418</c:v>
                </c:pt>
                <c:pt idx="877">
                  <c:v>6.6174840633163781</c:v>
                </c:pt>
                <c:pt idx="878">
                  <c:v>6.6231219167586737</c:v>
                </c:pt>
                <c:pt idx="879">
                  <c:v>6.628754207673067</c:v>
                </c:pt>
                <c:pt idx="880">
                  <c:v>6.6343809544373196</c:v>
                </c:pt>
                <c:pt idx="881">
                  <c:v>6.6400021753211469</c:v>
                </c:pt>
                <c:pt idx="882">
                  <c:v>6.6456178884871377</c:v>
                </c:pt>
                <c:pt idx="883">
                  <c:v>6.6512281119916636</c:v>
                </c:pt>
                <c:pt idx="884">
                  <c:v>6.6568328637857803</c:v>
                </c:pt>
                <c:pt idx="885">
                  <c:v>6.6624321617161097</c:v>
                </c:pt>
                <c:pt idx="886">
                  <c:v>6.6680260235257283</c:v>
                </c:pt>
                <c:pt idx="887">
                  <c:v>6.6736144668550308</c:v>
                </c:pt>
                <c:pt idx="888">
                  <c:v>6.6791975092425906</c:v>
                </c:pt>
                <c:pt idx="889">
                  <c:v>6.6847751681260137</c:v>
                </c:pt>
                <c:pt idx="890">
                  <c:v>6.69034746084278</c:v>
                </c:pt>
                <c:pt idx="891">
                  <c:v>6.6959144046310701</c:v>
                </c:pt>
                <c:pt idx="892">
                  <c:v>6.7014760166305978</c:v>
                </c:pt>
                <c:pt idx="893">
                  <c:v>6.7070323138834107</c:v>
                </c:pt>
                <c:pt idx="894">
                  <c:v>6.7125833133347115</c:v>
                </c:pt>
                <c:pt idx="895">
                  <c:v>6.7181290318336462</c:v>
                </c:pt>
                <c:pt idx="896">
                  <c:v>6.7236694861340931</c:v>
                </c:pt>
                <c:pt idx="897">
                  <c:v>6.7292046928954417</c:v>
                </c:pt>
                <c:pt idx="898">
                  <c:v>6.7347346686833696</c:v>
                </c:pt>
                <c:pt idx="899">
                  <c:v>6.7402594299705978</c:v>
                </c:pt>
                <c:pt idx="900">
                  <c:v>6.7457789931376553</c:v>
                </c:pt>
                <c:pt idx="901">
                  <c:v>6.7512933744736188</c:v>
                </c:pt>
                <c:pt idx="902">
                  <c:v>6.75680259017685</c:v>
                </c:pt>
                <c:pt idx="903">
                  <c:v>6.7623066563557419</c:v>
                </c:pt>
                <c:pt idx="904">
                  <c:v>6.7678055890294218</c:v>
                </c:pt>
                <c:pt idx="905">
                  <c:v>6.7732994041284842</c:v>
                </c:pt>
                <c:pt idx="906">
                  <c:v>6.7787881174956901</c:v>
                </c:pt>
                <c:pt idx="907">
                  <c:v>6.7842717448866736</c:v>
                </c:pt>
                <c:pt idx="908">
                  <c:v>6.7897503019706305</c:v>
                </c:pt>
                <c:pt idx="909">
                  <c:v>6.7952238043310116</c:v>
                </c:pt>
                <c:pt idx="910">
                  <c:v>6.8006922674661965</c:v>
                </c:pt>
                <c:pt idx="911">
                  <c:v>6.8061557067901663</c:v>
                </c:pt>
                <c:pt idx="912">
                  <c:v>6.8116141376331774</c:v>
                </c:pt>
                <c:pt idx="913">
                  <c:v>6.8170675752424081</c:v>
                </c:pt>
                <c:pt idx="914">
                  <c:v>6.8225160347826188</c:v>
                </c:pt>
                <c:pt idx="915">
                  <c:v>6.8279595313367976</c:v>
                </c:pt>
                <c:pt idx="916">
                  <c:v>6.8333980799067904</c:v>
                </c:pt>
                <c:pt idx="917">
                  <c:v>6.8388316954139459</c:v>
                </c:pt>
                <c:pt idx="918">
                  <c:v>6.8442603926997299</c:v>
                </c:pt>
                <c:pt idx="919">
                  <c:v>6.8496841865263498</c:v>
                </c:pt>
                <c:pt idx="920">
                  <c:v>6.8551030915773694</c:v>
                </c:pt>
                <c:pt idx="921">
                  <c:v>6.8605171224583117</c:v>
                </c:pt>
                <c:pt idx="922">
                  <c:v>6.8659262936972638</c:v>
                </c:pt>
                <c:pt idx="923">
                  <c:v>6.871330619745466</c:v>
                </c:pt>
                <c:pt idx="924">
                  <c:v>6.8767301149779083</c:v>
                </c:pt>
                <c:pt idx="925">
                  <c:v>6.8821247936939027</c:v>
                </c:pt>
                <c:pt idx="926">
                  <c:v>6.8875146701176746</c:v>
                </c:pt>
                <c:pt idx="927">
                  <c:v>6.8928997583989187</c:v>
                </c:pt>
                <c:pt idx="928">
                  <c:v>6.8982800726133755</c:v>
                </c:pt>
                <c:pt idx="929">
                  <c:v>6.9036556267633893</c:v>
                </c:pt>
                <c:pt idx="930">
                  <c:v>6.909026434778454</c:v>
                </c:pt>
                <c:pt idx="931">
                  <c:v>6.9143925105157775</c:v>
                </c:pt>
                <c:pt idx="932">
                  <c:v>6.9197538677608126</c:v>
                </c:pt>
                <c:pt idx="933">
                  <c:v>6.9251105202277987</c:v>
                </c:pt>
                <c:pt idx="934">
                  <c:v>6.9304624815602978</c:v>
                </c:pt>
                <c:pt idx="935">
                  <c:v>6.935809765331717</c:v>
                </c:pt>
                <c:pt idx="936">
                  <c:v>6.9411523850458394</c:v>
                </c:pt>
                <c:pt idx="937">
                  <c:v>6.94649035413733</c:v>
                </c:pt>
                <c:pt idx="938">
                  <c:v>6.9518236859722595</c:v>
                </c:pt>
                <c:pt idx="939">
                  <c:v>6.9571523938486006</c:v>
                </c:pt>
                <c:pt idx="940">
                  <c:v>6.9624764909967443</c:v>
                </c:pt>
                <c:pt idx="941">
                  <c:v>6.9677959905799813</c:v>
                </c:pt>
                <c:pt idx="942">
                  <c:v>6.9731109056950125</c:v>
                </c:pt>
                <c:pt idx="943">
                  <c:v>6.9784212493724205</c:v>
                </c:pt>
                <c:pt idx="944">
                  <c:v>6.9837270345771669</c:v>
                </c:pt>
                <c:pt idx="945">
                  <c:v>6.9890282742090601</c:v>
                </c:pt>
                <c:pt idx="946">
                  <c:v>6.9943249811032366</c:v>
                </c:pt>
                <c:pt idx="947">
                  <c:v>6.9996171680306318</c:v>
                </c:pt>
                <c:pt idx="948">
                  <c:v>7.0049048476984375</c:v>
                </c:pt>
                <c:pt idx="949">
                  <c:v>7.0101880327505697</c:v>
                </c:pt>
                <c:pt idx="950">
                  <c:v>7.0154667357681255</c:v>
                </c:pt>
                <c:pt idx="951">
                  <c:v>7.0207409692698315</c:v>
                </c:pt>
                <c:pt idx="952">
                  <c:v>7.0260107457124885</c:v>
                </c:pt>
                <c:pt idx="953">
                  <c:v>7.0312760774914249</c:v>
                </c:pt>
                <c:pt idx="954">
                  <c:v>7.0365369769409343</c:v>
                </c:pt>
                <c:pt idx="955">
                  <c:v>7.0417934563347035</c:v>
                </c:pt>
                <c:pt idx="956">
                  <c:v>7.0470455278862474</c:v>
                </c:pt>
                <c:pt idx="957">
                  <c:v>7.0522932037493415</c:v>
                </c:pt>
                <c:pt idx="958">
                  <c:v>7.0575364960184404</c:v>
                </c:pt>
                <c:pt idx="959">
                  <c:v>7.0627754167290995</c:v>
                </c:pt>
                <c:pt idx="960">
                  <c:v>7.0680099778583845</c:v>
                </c:pt>
                <c:pt idx="961">
                  <c:v>7.0732401913252954</c:v>
                </c:pt>
                <c:pt idx="962">
                  <c:v>7.0784660689911609</c:v>
                </c:pt>
                <c:pt idx="963">
                  <c:v>7.0836876226600527</c:v>
                </c:pt>
                <c:pt idx="964">
                  <c:v>7.0889048640791827</c:v>
                </c:pt>
                <c:pt idx="965">
                  <c:v>7.0941178049392972</c:v>
                </c:pt>
                <c:pt idx="966">
                  <c:v>7.099326456875076</c:v>
                </c:pt>
                <c:pt idx="967">
                  <c:v>7.1045308314655147</c:v>
                </c:pt>
                <c:pt idx="968">
                  <c:v>7.109730940234317</c:v>
                </c:pt>
                <c:pt idx="969">
                  <c:v>7.114926794650275</c:v>
                </c:pt>
                <c:pt idx="970">
                  <c:v>7.1201184061276486</c:v>
                </c:pt>
                <c:pt idx="971">
                  <c:v>7.1253057860265399</c:v>
                </c:pt>
                <c:pt idx="972">
                  <c:v>7.1304889456532656</c:v>
                </c:pt>
                <c:pt idx="973">
                  <c:v>7.1356678962607329</c:v>
                </c:pt>
                <c:pt idx="974">
                  <c:v>7.1408426490487908</c:v>
                </c:pt>
                <c:pt idx="975">
                  <c:v>7.1460132151646087</c:v>
                </c:pt>
                <c:pt idx="976">
                  <c:v>7.1511796057030246</c:v>
                </c:pt>
                <c:pt idx="977">
                  <c:v>7.1563418317069001</c:v>
                </c:pt>
                <c:pt idx="978">
                  <c:v>7.1614999041674832</c:v>
                </c:pt>
                <c:pt idx="979">
                  <c:v>7.1666538340247516</c:v>
                </c:pt>
                <c:pt idx="980">
                  <c:v>7.1718036321677587</c:v>
                </c:pt>
                <c:pt idx="981">
                  <c:v>7.1769493094349759</c:v>
                </c:pt>
                <c:pt idx="982">
                  <c:v>7.1820908766146392</c:v>
                </c:pt>
                <c:pt idx="983">
                  <c:v>7.1872283444450797</c:v>
                </c:pt>
                <c:pt idx="984">
                  <c:v>7.1923617236150639</c:v>
                </c:pt>
                <c:pt idx="985">
                  <c:v>7.1974910247641173</c:v>
                </c:pt>
                <c:pt idx="986">
                  <c:v>7.2026162584828652</c:v>
                </c:pt>
                <c:pt idx="987">
                  <c:v>7.2077374353133443</c:v>
                </c:pt>
                <c:pt idx="988">
                  <c:v>7.2128545657493373</c:v>
                </c:pt>
                <c:pt idx="989">
                  <c:v>7.2179676602366873</c:v>
                </c:pt>
                <c:pt idx="990">
                  <c:v>7.2230767291736164</c:v>
                </c:pt>
                <c:pt idx="991">
                  <c:v>7.2281817829110384</c:v>
                </c:pt>
                <c:pt idx="992">
                  <c:v>7.2332828317528746</c:v>
                </c:pt>
                <c:pt idx="993">
                  <c:v>7.2383798859563591</c:v>
                </c:pt>
                <c:pt idx="994">
                  <c:v>7.243472955732349</c:v>
                </c:pt>
                <c:pt idx="995">
                  <c:v>7.2485620512456217</c:v>
                </c:pt>
                <c:pt idx="996">
                  <c:v>7.2536471826151869</c:v>
                </c:pt>
                <c:pt idx="997">
                  <c:v>7.2587283599145742</c:v>
                </c:pt>
                <c:pt idx="998">
                  <c:v>7.263805593172135</c:v>
                </c:pt>
                <c:pt idx="999">
                  <c:v>7.2688788923713359</c:v>
                </c:pt>
                <c:pt idx="1000">
                  <c:v>7.2739482674510505</c:v>
                </c:pt>
                <c:pt idx="1001">
                  <c:v>7.2790137283058414</c:v>
                </c:pt>
                <c:pt idx="1002">
                  <c:v>7.2840752847862564</c:v>
                </c:pt>
                <c:pt idx="1003">
                  <c:v>7.2891329466991044</c:v>
                </c:pt>
                <c:pt idx="1004">
                  <c:v>7.2941867238077442</c:v>
                </c:pt>
                <c:pt idx="1005">
                  <c:v>7.2992366258323509</c:v>
                </c:pt>
                <c:pt idx="1006">
                  <c:v>7.3042826624502091</c:v>
                </c:pt>
                <c:pt idx="1007">
                  <c:v>7.3093248432959754</c:v>
                </c:pt>
                <c:pt idx="1008">
                  <c:v>7.3143631779619502</c:v>
                </c:pt>
                <c:pt idx="1009">
                  <c:v>7.3193976759983572</c:v>
                </c:pt>
                <c:pt idx="1010">
                  <c:v>7.3244283469135976</c:v>
                </c:pt>
                <c:pt idx="1011">
                  <c:v>7.3294552001745288</c:v>
                </c:pt>
                <c:pt idx="1012">
                  <c:v>7.3344782452067214</c:v>
                </c:pt>
                <c:pt idx="1013">
                  <c:v>7.3394974913947122</c:v>
                </c:pt>
                <c:pt idx="1014">
                  <c:v>7.3445129480822775</c:v>
                </c:pt>
                <c:pt idx="1015">
                  <c:v>7.3495246245726804</c:v>
                </c:pt>
                <c:pt idx="1016">
                  <c:v>7.3545325301289282</c:v>
                </c:pt>
                <c:pt idx="1017">
                  <c:v>7.3595366739740236</c:v>
                </c:pt>
                <c:pt idx="1018">
                  <c:v>7.3645370652912137</c:v>
                </c:pt>
                <c:pt idx="1019">
                  <c:v>7.3695337132242429</c:v>
                </c:pt>
                <c:pt idx="1020">
                  <c:v>7.3745266268775946</c:v>
                </c:pt>
                <c:pt idx="1021">
                  <c:v>7.3795158153167391</c:v>
                </c:pt>
                <c:pt idx="1022">
                  <c:v>7.3845012875683693</c:v>
                </c:pt>
                <c:pt idx="1023">
                  <c:v>7.3894830526206494</c:v>
                </c:pt>
                <c:pt idx="1024">
                  <c:v>7.3944611194234486</c:v>
                </c:pt>
                <c:pt idx="1025">
                  <c:v>7.3994354968885778</c:v>
                </c:pt>
                <c:pt idx="1026">
                  <c:v>7.4044061938900239</c:v>
                </c:pt>
                <c:pt idx="1027">
                  <c:v>7.4093732192641806</c:v>
                </c:pt>
                <c:pt idx="1028">
                  <c:v>7.414336581810085</c:v>
                </c:pt>
                <c:pt idx="1029">
                  <c:v>7.4192962902896413</c:v>
                </c:pt>
                <c:pt idx="1030">
                  <c:v>7.4242523534278471</c:v>
                </c:pt>
                <c:pt idx="1031">
                  <c:v>7.4292047799130252</c:v>
                </c:pt>
                <c:pt idx="1032">
                  <c:v>7.4341535783970354</c:v>
                </c:pt>
                <c:pt idx="1033">
                  <c:v>7.4390987574955094</c:v>
                </c:pt>
                <c:pt idx="1034">
                  <c:v>7.4440403257880625</c:v>
                </c:pt>
                <c:pt idx="1035">
                  <c:v>7.448978291818511</c:v>
                </c:pt>
                <c:pt idx="1036">
                  <c:v>7.4539126640950943</c:v>
                </c:pt>
                <c:pt idx="1037">
                  <c:v>7.458843451090682</c:v>
                </c:pt>
                <c:pt idx="1038">
                  <c:v>7.4637706612429966</c:v>
                </c:pt>
                <c:pt idx="1039">
                  <c:v>7.4686943029548143</c:v>
                </c:pt>
                <c:pt idx="1040">
                  <c:v>7.4736143845941818</c:v>
                </c:pt>
                <c:pt idx="1041">
                  <c:v>7.4785309144946215</c:v>
                </c:pt>
                <c:pt idx="1042">
                  <c:v>7.4834439009553382</c:v>
                </c:pt>
                <c:pt idx="1043">
                  <c:v>7.4883533522414227</c:v>
                </c:pt>
                <c:pt idx="1044">
                  <c:v>7.493259276584058</c:v>
                </c:pt>
                <c:pt idx="1045">
                  <c:v>7.4981616821807151</c:v>
                </c:pt>
                <c:pt idx="1046">
                  <c:v>7.5030605771953622</c:v>
                </c:pt>
                <c:pt idx="1047">
                  <c:v>7.5079559697586529</c:v>
                </c:pt>
                <c:pt idx="1048">
                  <c:v>7.5128478679681265</c:v>
                </c:pt>
                <c:pt idx="1049">
                  <c:v>7.5177362798884113</c:v>
                </c:pt>
                <c:pt idx="1050">
                  <c:v>7.5226212135514032</c:v>
                </c:pt>
                <c:pt idx="1051">
                  <c:v>7.5275026769564732</c:v>
                </c:pt>
                <c:pt idx="1052">
                  <c:v>7.5323806780706457</c:v>
                </c:pt>
                <c:pt idx="1053">
                  <c:v>7.5372552248287974</c:v>
                </c:pt>
                <c:pt idx="1054">
                  <c:v>7.5421263251338395</c:v>
                </c:pt>
                <c:pt idx="1055">
                  <c:v>7.546993986856906</c:v>
                </c:pt>
                <c:pt idx="1056">
                  <c:v>7.5518582178375393</c:v>
                </c:pt>
                <c:pt idx="1057">
                  <c:v>7.5567190258838739</c:v>
                </c:pt>
                <c:pt idx="1058">
                  <c:v>7.5615764187728143</c:v>
                </c:pt>
                <c:pt idx="1059">
                  <c:v>7.5664304042502248</c:v>
                </c:pt>
                <c:pt idx="1060">
                  <c:v>7.5712809900310987</c:v>
                </c:pt>
                <c:pt idx="1061">
                  <c:v>7.5761281837997458</c:v>
                </c:pt>
                <c:pt idx="1062">
                  <c:v>7.5809719932099613</c:v>
                </c:pt>
                <c:pt idx="1063">
                  <c:v>7.5858124258852051</c:v>
                </c:pt>
                <c:pt idx="1064">
                  <c:v>7.5906494894187766</c:v>
                </c:pt>
                <c:pt idx="1065">
                  <c:v>7.5954831913739849</c:v>
                </c:pt>
                <c:pt idx="1066">
                  <c:v>7.6003135392843255</c:v>
                </c:pt>
                <c:pt idx="1067">
                  <c:v>7.6051405406536396</c:v>
                </c:pt>
                <c:pt idx="1068">
                  <c:v>7.6099642029562968</c:v>
                </c:pt>
                <c:pt idx="1069">
                  <c:v>7.6147845336373514</c:v>
                </c:pt>
                <c:pt idx="1070">
                  <c:v>7.6196015401127184</c:v>
                </c:pt>
                <c:pt idx="1071">
                  <c:v>7.624415229769328</c:v>
                </c:pt>
                <c:pt idx="1072">
                  <c:v>7.6292256099652995</c:v>
                </c:pt>
                <c:pt idx="1073">
                  <c:v>7.6340326880300999</c:v>
                </c:pt>
                <c:pt idx="1074">
                  <c:v>7.6388364712647014</c:v>
                </c:pt>
                <c:pt idx="1075">
                  <c:v>7.6436369669417505</c:v>
                </c:pt>
                <c:pt idx="1076">
                  <c:v>7.6484341823057189</c:v>
                </c:pt>
                <c:pt idx="1077">
                  <c:v>7.6532281245730669</c:v>
                </c:pt>
                <c:pt idx="1078">
                  <c:v>7.6580188009323971</c:v>
                </c:pt>
                <c:pt idx="1079">
                  <c:v>7.6628062185446106</c:v>
                </c:pt>
                <c:pt idx="1080">
                  <c:v>7.6675903845430664</c:v>
                </c:pt>
                <c:pt idx="1081">
                  <c:v>7.6723713060337246</c:v>
                </c:pt>
                <c:pt idx="1082">
                  <c:v>7.6771489900953096</c:v>
                </c:pt>
                <c:pt idx="1083">
                  <c:v>7.6819234437794535</c:v>
                </c:pt>
                <c:pt idx="1084">
                  <c:v>7.6866946741108482</c:v>
                </c:pt>
                <c:pt idx="1085">
                  <c:v>7.6914626880873955</c:v>
                </c:pt>
                <c:pt idx="1086">
                  <c:v>7.6962274926803573</c:v>
                </c:pt>
                <c:pt idx="1087">
                  <c:v>7.7009890948344992</c:v>
                </c:pt>
                <c:pt idx="1088">
                  <c:v>7.7057475014682328</c:v>
                </c:pt>
                <c:pt idx="1089">
                  <c:v>7.7105027194737685</c:v>
                </c:pt>
                <c:pt idx="1090">
                  <c:v>7.7152547557172522</c:v>
                </c:pt>
                <c:pt idx="1091">
                  <c:v>7.7200036170389144</c:v>
                </c:pt>
                <c:pt idx="1092">
                  <c:v>7.7247493102532037</c:v>
                </c:pt>
                <c:pt idx="1093">
                  <c:v>7.7294918421489349</c:v>
                </c:pt>
                <c:pt idx="1094">
                  <c:v>7.7342312194894252</c:v>
                </c:pt>
                <c:pt idx="1095">
                  <c:v>7.7389674490126312</c:v>
                </c:pt>
                <c:pt idx="1096">
                  <c:v>7.7437005374312911</c:v>
                </c:pt>
                <c:pt idx="1097">
                  <c:v>7.7484304914330568</c:v>
                </c:pt>
                <c:pt idx="1098">
                  <c:v>7.7531573176806337</c:v>
                </c:pt>
                <c:pt idx="1099">
                  <c:v>7.7578810228119082</c:v>
                </c:pt>
                <c:pt idx="1100">
                  <c:v>7.7626016134400926</c:v>
                </c:pt>
                <c:pt idx="1101">
                  <c:v>7.7673190961538499</c:v>
                </c:pt>
                <c:pt idx="1102">
                  <c:v>7.7720334775174225</c:v>
                </c:pt>
                <c:pt idx="1103">
                  <c:v>7.7767447640707719</c:v>
                </c:pt>
                <c:pt idx="1104">
                  <c:v>7.7814529623297073</c:v>
                </c:pt>
                <c:pt idx="1105">
                  <c:v>7.7861580787860065</c:v>
                </c:pt>
                <c:pt idx="1106">
                  <c:v>7.7908601199075544</c:v>
                </c:pt>
                <c:pt idx="1107">
                  <c:v>7.7955590921384648</c:v>
                </c:pt>
                <c:pt idx="1108">
                  <c:v>7.8002550018992043</c:v>
                </c:pt>
                <c:pt idx="1109">
                  <c:v>7.8049478555867262</c:v>
                </c:pt>
                <c:pt idx="1110">
                  <c:v>7.8096376595745856</c:v>
                </c:pt>
                <c:pt idx="1111">
                  <c:v>7.8143244202130706</c:v>
                </c:pt>
                <c:pt idx="1112">
                  <c:v>7.8190081438293202</c:v>
                </c:pt>
                <c:pt idx="1113">
                  <c:v>7.8236888367274524</c:v>
                </c:pt>
                <c:pt idx="1114">
                  <c:v>7.8283665051886775</c:v>
                </c:pt>
                <c:pt idx="1115">
                  <c:v>7.8330411554714221</c:v>
                </c:pt>
                <c:pt idx="1116">
                  <c:v>7.8377127938114519</c:v>
                </c:pt>
                <c:pt idx="1117">
                  <c:v>7.842381426421988</c:v>
                </c:pt>
                <c:pt idx="1118">
                  <c:v>7.8470470594938195</c:v>
                </c:pt>
                <c:pt idx="1119">
                  <c:v>7.85170969919543</c:v>
                </c:pt>
                <c:pt idx="1120">
                  <c:v>7.8563693516731092</c:v>
                </c:pt>
                <c:pt idx="1121">
                  <c:v>7.8610260230510658</c:v>
                </c:pt>
                <c:pt idx="1122">
                  <c:v>7.8656797194315473</c:v>
                </c:pt>
                <c:pt idx="1123">
                  <c:v>7.8703304468949504</c:v>
                </c:pt>
                <c:pt idx="1124">
                  <c:v>7.8749782114999363</c:v>
                </c:pt>
                <c:pt idx="1125">
                  <c:v>7.8796230192835406</c:v>
                </c:pt>
                <c:pt idx="1126">
                  <c:v>7.8842648762612901</c:v>
                </c:pt>
                <c:pt idx="1127">
                  <c:v>7.8889037884273048</c:v>
                </c:pt>
                <c:pt idx="1128">
                  <c:v>7.8935397617544183</c:v>
                </c:pt>
                <c:pt idx="1129">
                  <c:v>7.8981728021942796</c:v>
                </c:pt>
                <c:pt idx="1130">
                  <c:v>7.9028029156774622</c:v>
                </c:pt>
                <c:pt idx="1131">
                  <c:v>7.9074301081135792</c:v>
                </c:pt>
                <c:pt idx="1132">
                  <c:v>7.9120543853913823</c:v>
                </c:pt>
                <c:pt idx="1133">
                  <c:v>7.9166757533788727</c:v>
                </c:pt>
                <c:pt idx="1134">
                  <c:v>7.9212942179234034</c:v>
                </c:pt>
                <c:pt idx="1135">
                  <c:v>7.9259097848517879</c:v>
                </c:pt>
                <c:pt idx="1136">
                  <c:v>7.9305224599704029</c:v>
                </c:pt>
                <c:pt idx="1137">
                  <c:v>7.9351322490652931</c:v>
                </c:pt>
                <c:pt idx="1138">
                  <c:v>7.9397391579022685</c:v>
                </c:pt>
                <c:pt idx="1139">
                  <c:v>7.94434319222702</c:v>
                </c:pt>
                <c:pt idx="1140">
                  <c:v>7.9489443577652033</c:v>
                </c:pt>
                <c:pt idx="1141">
                  <c:v>7.9535426602225536</c:v>
                </c:pt>
                <c:pt idx="1142">
                  <c:v>7.9581381052849816</c:v>
                </c:pt>
                <c:pt idx="1143">
                  <c:v>7.9627306986186692</c:v>
                </c:pt>
                <c:pt idx="1144">
                  <c:v>7.9673204458701736</c:v>
                </c:pt>
                <c:pt idx="1145">
                  <c:v>7.9719073526665252</c:v>
                </c:pt>
                <c:pt idx="1146">
                  <c:v>7.9764914246153218</c:v>
                </c:pt>
                <c:pt idx="1147">
                  <c:v>7.9810726673048293</c:v>
                </c:pt>
                <c:pt idx="1148">
                  <c:v>7.9856510863040739</c:v>
                </c:pt>
                <c:pt idx="1149">
                  <c:v>7.990226687162945</c:v>
                </c:pt>
                <c:pt idx="1150">
                  <c:v>7.9947994754122789</c:v>
                </c:pt>
                <c:pt idx="1151">
                  <c:v>7.9993694565639659</c:v>
                </c:pt>
                <c:pt idx="1152">
                  <c:v>8.0039366361110353</c:v>
                </c:pt>
                <c:pt idx="1153">
                  <c:v>8.0085010195277526</c:v>
                </c:pt>
                <c:pt idx="1154">
                  <c:v>8.0130626122697119</c:v>
                </c:pt>
                <c:pt idx="1155">
                  <c:v>8.0176214197739277</c:v>
                </c:pt>
                <c:pt idx="1156">
                  <c:v>8.0221774474589207</c:v>
                </c:pt>
                <c:pt idx="1157">
                  <c:v>8.0267307007248228</c:v>
                </c:pt>
                <c:pt idx="1158">
                  <c:v>8.0312811849534498</c:v>
                </c:pt>
                <c:pt idx="1159">
                  <c:v>8.0358289055084065</c:v>
                </c:pt>
                <c:pt idx="1160">
                  <c:v>8.0403738677351662</c:v>
                </c:pt>
                <c:pt idx="1161">
                  <c:v>8.0449160769611634</c:v>
                </c:pt>
                <c:pt idx="1162">
                  <c:v>8.0494555384958772</c:v>
                </c:pt>
                <c:pt idx="1163">
                  <c:v>8.0539922576309237</c:v>
                </c:pt>
                <c:pt idx="1164">
                  <c:v>8.0585262396401465</c:v>
                </c:pt>
                <c:pt idx="1165">
                  <c:v>8.0630574897796894</c:v>
                </c:pt>
                <c:pt idx="1166">
                  <c:v>8.0675860132880963</c:v>
                </c:pt>
                <c:pt idx="1167">
                  <c:v>8.0721118153863927</c:v>
                </c:pt>
                <c:pt idx="1168">
                  <c:v>8.0766349012781582</c:v>
                </c:pt>
                <c:pt idx="1169">
                  <c:v>8.0811552761496301</c:v>
                </c:pt>
                <c:pt idx="1170">
                  <c:v>8.085672945169776</c:v>
                </c:pt>
                <c:pt idx="1171">
                  <c:v>8.0901879134903769</c:v>
                </c:pt>
                <c:pt idx="1172">
                  <c:v>8.0947001862461114</c:v>
                </c:pt>
                <c:pt idx="1173">
                  <c:v>8.0992097685546369</c:v>
                </c:pt>
                <c:pt idx="1174">
                  <c:v>8.103716665516675</c:v>
                </c:pt>
                <c:pt idx="1175">
                  <c:v>8.1082208822160897</c:v>
                </c:pt>
                <c:pt idx="1176">
                  <c:v>8.1127224237199638</c:v>
                </c:pt>
                <c:pt idx="1177">
                  <c:v>8.117221295078684</c:v>
                </c:pt>
                <c:pt idx="1178">
                  <c:v>8.121717501326021</c:v>
                </c:pt>
                <c:pt idx="1179">
                  <c:v>8.126211047479206</c:v>
                </c:pt>
                <c:pt idx="1180">
                  <c:v>8.1307019385390085</c:v>
                </c:pt>
                <c:pt idx="1181">
                  <c:v>8.1351901794898183</c:v>
                </c:pt>
                <c:pt idx="1182">
                  <c:v>8.1396757752997182</c:v>
                </c:pt>
                <c:pt idx="1183">
                  <c:v>8.1441587309205605</c:v>
                </c:pt>
                <c:pt idx="1184">
                  <c:v>8.148639051288054</c:v>
                </c:pt>
                <c:pt idx="1185">
                  <c:v>8.1531167413218277</c:v>
                </c:pt>
                <c:pt idx="1186">
                  <c:v>8.1575918059255095</c:v>
                </c:pt>
                <c:pt idx="1187">
                  <c:v>8.1620642499868019</c:v>
                </c:pt>
                <c:pt idx="1188">
                  <c:v>8.1665340783775662</c:v>
                </c:pt>
                <c:pt idx="1189">
                  <c:v>8.1710012959538822</c:v>
                </c:pt>
                <c:pt idx="1190">
                  <c:v>8.1754659075561236</c:v>
                </c:pt>
                <c:pt idx="1191">
                  <c:v>8.1799279180090476</c:v>
                </c:pt>
                <c:pt idx="1192">
                  <c:v>8.1843873321218457</c:v>
                </c:pt>
                <c:pt idx="1193">
                  <c:v>8.1888441546882298</c:v>
                </c:pt>
                <c:pt idx="1194">
                  <c:v>8.1932983904865004</c:v>
                </c:pt>
                <c:pt idx="1195">
                  <c:v>8.1977500442796192</c:v>
                </c:pt>
                <c:pt idx="1196">
                  <c:v>8.1964443597508705</c:v>
                </c:pt>
                <c:pt idx="1197">
                  <c:v>8.2008868293525108</c:v>
                </c:pt>
                <c:pt idx="1198">
                  <c:v>8.2053267339709439</c:v>
                </c:pt>
                <c:pt idx="1199">
                  <c:v>8.2097640783025554</c:v>
                </c:pt>
                <c:pt idx="1200">
                  <c:v>8.2141988670287684</c:v>
                </c:pt>
                <c:pt idx="1201">
                  <c:v>8.2186311048161027</c:v>
                </c:pt>
                <c:pt idx="1202">
                  <c:v>8.223060796316247</c:v>
                </c:pt>
                <c:pt idx="1203">
                  <c:v>8.2274879461661286</c:v>
                </c:pt>
                <c:pt idx="1204">
                  <c:v>8.2319125589879842</c:v>
                </c:pt>
                <c:pt idx="1205">
                  <c:v>8.2363346393894208</c:v>
                </c:pt>
                <c:pt idx="1206">
                  <c:v>8.2407541919634841</c:v>
                </c:pt>
                <c:pt idx="1207">
                  <c:v>8.2451712212887251</c:v>
                </c:pt>
                <c:pt idx="1208">
                  <c:v>8.2495857319292689</c:v>
                </c:pt>
                <c:pt idx="1209">
                  <c:v>8.2539977284348804</c:v>
                </c:pt>
                <c:pt idx="1210">
                  <c:v>8.2584072153410215</c:v>
                </c:pt>
                <c:pt idx="1211">
                  <c:v>8.2628141971689253</c:v>
                </c:pt>
                <c:pt idx="1212">
                  <c:v>8.2672186784256567</c:v>
                </c:pt>
                <c:pt idx="1213">
                  <c:v>8.2716206636041782</c:v>
                </c:pt>
                <c:pt idx="1214">
                  <c:v>8.276020157183412</c:v>
                </c:pt>
                <c:pt idx="1215">
                  <c:v>8.2804171636282984</c:v>
                </c:pt>
                <c:pt idx="1216">
                  <c:v>8.2848116873898761</c:v>
                </c:pt>
                <c:pt idx="1217">
                  <c:v>8.2892037329053174</c:v>
                </c:pt>
                <c:pt idx="1218">
                  <c:v>8.2935933045980192</c:v>
                </c:pt>
                <c:pt idx="1219">
                  <c:v>8.2979804068776417</c:v>
                </c:pt>
                <c:pt idx="1220">
                  <c:v>8.3023650441401866</c:v>
                </c:pt>
                <c:pt idx="1221">
                  <c:v>8.3067472207680471</c:v>
                </c:pt>
                <c:pt idx="1222">
                  <c:v>8.3111269411300714</c:v>
                </c:pt>
                <c:pt idx="1223">
                  <c:v>8.3155042095816292</c:v>
                </c:pt>
                <c:pt idx="1224">
                  <c:v>8.3198790304646657</c:v>
                </c:pt>
                <c:pt idx="1225">
                  <c:v>8.3242514081077594</c:v>
                </c:pt>
                <c:pt idx="1226">
                  <c:v>8.3286213468261856</c:v>
                </c:pt>
                <c:pt idx="1227">
                  <c:v>8.3329888509219803</c:v>
                </c:pt>
                <c:pt idx="1228">
                  <c:v>8.337353924683983</c:v>
                </c:pt>
                <c:pt idx="1229">
                  <c:v>8.341716572387913</c:v>
                </c:pt>
                <c:pt idx="1230">
                  <c:v>8.3460767982964157</c:v>
                </c:pt>
                <c:pt idx="1231">
                  <c:v>8.3504346066591264</c:v>
                </c:pt>
                <c:pt idx="1232">
                  <c:v>8.3547900017127219</c:v>
                </c:pt>
                <c:pt idx="1233">
                  <c:v>8.3591429876809862</c:v>
                </c:pt>
                <c:pt idx="1234">
                  <c:v>8.3634935687748566</c:v>
                </c:pt>
                <c:pt idx="1235">
                  <c:v>8.3678417491924844</c:v>
                </c:pt>
                <c:pt idx="1236">
                  <c:v>8.3721875331192983</c:v>
                </c:pt>
                <c:pt idx="1237">
                  <c:v>8.3765309247280459</c:v>
                </c:pt>
                <c:pt idx="1238">
                  <c:v>8.3808719281788608</c:v>
                </c:pt>
                <c:pt idx="1239">
                  <c:v>8.3852105476193124</c:v>
                </c:pt>
                <c:pt idx="1240">
                  <c:v>8.3895467871844627</c:v>
                </c:pt>
                <c:pt idx="1241">
                  <c:v>8.3938806509969197</c:v>
                </c:pt>
                <c:pt idx="1242">
                  <c:v>8.3982121431668908</c:v>
                </c:pt>
                <c:pt idx="1243">
                  <c:v>8.4025412677922358</c:v>
                </c:pt>
                <c:pt idx="1244">
                  <c:v>8.406868028958522</c:v>
                </c:pt>
                <c:pt idx="1245">
                  <c:v>8.4111924307390815</c:v>
                </c:pt>
                <c:pt idx="1246">
                  <c:v>8.4155144771950567</c:v>
                </c:pt>
                <c:pt idx="1247">
                  <c:v>8.4198341723754542</c:v>
                </c:pt>
                <c:pt idx="1248">
                  <c:v>8.4241515203172028</c:v>
                </c:pt>
                <c:pt idx="1249">
                  <c:v>8.4284665250452004</c:v>
                </c:pt>
                <c:pt idx="1250">
                  <c:v>8.432779190572365</c:v>
                </c:pt>
                <c:pt idx="1251">
                  <c:v>8.4370895208996917</c:v>
                </c:pt>
                <c:pt idx="1252">
                  <c:v>8.4413975200162952</c:v>
                </c:pt>
                <c:pt idx="1253">
                  <c:v>8.4457031918994687</c:v>
                </c:pt>
                <c:pt idx="1254">
                  <c:v>8.4500065405147353</c:v>
                </c:pt>
                <c:pt idx="1255">
                  <c:v>8.4543075698158852</c:v>
                </c:pt>
                <c:pt idx="1256">
                  <c:v>8.4586062837450413</c:v>
                </c:pt>
                <c:pt idx="1257">
                  <c:v>8.4629026862327006</c:v>
                </c:pt>
                <c:pt idx="1258">
                  <c:v>8.4671967811977851</c:v>
                </c:pt>
                <c:pt idx="1259">
                  <c:v>8.4714885725476954</c:v>
                </c:pt>
                <c:pt idx="1260">
                  <c:v>8.4757780641783445</c:v>
                </c:pt>
                <c:pt idx="1261">
                  <c:v>8.4800652599742321</c:v>
                </c:pt>
                <c:pt idx="1262">
                  <c:v>8.4843501638084646</c:v>
                </c:pt>
                <c:pt idx="1263">
                  <c:v>8.4886327795428258</c:v>
                </c:pt>
                <c:pt idx="1264">
                  <c:v>8.4929131110278142</c:v>
                </c:pt>
                <c:pt idx="1265">
                  <c:v>8.4971911621026841</c:v>
                </c:pt>
                <c:pt idx="1266">
                  <c:v>8.5014669365955147</c:v>
                </c:pt>
                <c:pt idx="1267">
                  <c:v>8.5057404383232296</c:v>
                </c:pt>
                <c:pt idx="1268">
                  <c:v>8.5100116710916662</c:v>
                </c:pt>
                <c:pt idx="1269">
                  <c:v>8.5142806386956078</c:v>
                </c:pt>
                <c:pt idx="1270">
                  <c:v>8.5185473449188365</c:v>
                </c:pt>
                <c:pt idx="1271">
                  <c:v>8.5228117935341814</c:v>
                </c:pt>
                <c:pt idx="1272">
                  <c:v>8.527073988303556</c:v>
                </c:pt>
                <c:pt idx="1273">
                  <c:v>8.5313339329780078</c:v>
                </c:pt>
                <c:pt idx="1274">
                  <c:v>8.5355916312977698</c:v>
                </c:pt>
                <c:pt idx="1275">
                  <c:v>8.539847086992296</c:v>
                </c:pt>
                <c:pt idx="1276">
                  <c:v>8.5441003037803078</c:v>
                </c:pt>
                <c:pt idx="1277">
                  <c:v>8.5483512853698471</c:v>
                </c:pt>
                <c:pt idx="1278">
                  <c:v>8.5526000354583047</c:v>
                </c:pt>
                <c:pt idx="1279">
                  <c:v>8.5568465577324844</c:v>
                </c:pt>
                <c:pt idx="1280">
                  <c:v>8.5610908558686294</c:v>
                </c:pt>
                <c:pt idx="1281">
                  <c:v>8.5653329335324742</c:v>
                </c:pt>
                <c:pt idx="1282">
                  <c:v>8.569572794379285</c:v>
                </c:pt>
                <c:pt idx="1283">
                  <c:v>8.5738104420539063</c:v>
                </c:pt>
                <c:pt idx="1284">
                  <c:v>8.5780458801908015</c:v>
                </c:pt>
                <c:pt idx="1285">
                  <c:v>8.582279112414092</c:v>
                </c:pt>
                <c:pt idx="1286">
                  <c:v>8.5865101423376053</c:v>
                </c:pt>
                <c:pt idx="1287">
                  <c:v>8.5907389735649176</c:v>
                </c:pt>
                <c:pt idx="1288">
                  <c:v>8.5949656096893889</c:v>
                </c:pt>
                <c:pt idx="1289">
                  <c:v>8.5991900542942084</c:v>
                </c:pt>
                <c:pt idx="1290">
                  <c:v>8.6034123109524394</c:v>
                </c:pt>
                <c:pt idx="1291">
                  <c:v>8.607632383227056</c:v>
                </c:pt>
                <c:pt idx="1292">
                  <c:v>8.6118502746709886</c:v>
                </c:pt>
                <c:pt idx="1293">
                  <c:v>8.6160659888271542</c:v>
                </c:pt>
                <c:pt idx="1294">
                  <c:v>8.6202795292285099</c:v>
                </c:pt>
                <c:pt idx="1295">
                  <c:v>8.6244908993980918</c:v>
                </c:pt>
                <c:pt idx="1296">
                  <c:v>8.6287001028490433</c:v>
                </c:pt>
                <c:pt idx="1297">
                  <c:v>8.6329071430846671</c:v>
                </c:pt>
                <c:pt idx="1298">
                  <c:v>8.637112023598462</c:v>
                </c:pt>
                <c:pt idx="1299">
                  <c:v>8.6413147478741568</c:v>
                </c:pt>
                <c:pt idx="1300">
                  <c:v>8.6455153193857583</c:v>
                </c:pt>
                <c:pt idx="1301">
                  <c:v>8.6497137415975871</c:v>
                </c:pt>
                <c:pt idx="1302">
                  <c:v>8.6539100179643107</c:v>
                </c:pt>
                <c:pt idx="1303">
                  <c:v>8.6581041519309885</c:v>
                </c:pt>
                <c:pt idx="1304">
                  <c:v>8.6622961469331141</c:v>
                </c:pt>
                <c:pt idx="1305">
                  <c:v>8.6664860063966422</c:v>
                </c:pt>
                <c:pt idx="1306">
                  <c:v>8.6706737337380382</c:v>
                </c:pt>
                <c:pt idx="1307">
                  <c:v>8.6748593323643046</c:v>
                </c:pt>
                <c:pt idx="1308">
                  <c:v>8.6790428056730295</c:v>
                </c:pt>
                <c:pt idx="1309">
                  <c:v>8.68322415705242</c:v>
                </c:pt>
                <c:pt idx="1310">
                  <c:v>8.6874033898813359</c:v>
                </c:pt>
                <c:pt idx="1311">
                  <c:v>8.6915805075293306</c:v>
                </c:pt>
                <c:pt idx="1312">
                  <c:v>8.6957555133566871</c:v>
                </c:pt>
                <c:pt idx="1313">
                  <c:v>8.6999284107144597</c:v>
                </c:pt>
                <c:pt idx="1314">
                  <c:v>8.7040992029444997</c:v>
                </c:pt>
                <c:pt idx="1315">
                  <c:v>8.7082678933794995</c:v>
                </c:pt>
                <c:pt idx="1316">
                  <c:v>8.712434485343028</c:v>
                </c:pt>
                <c:pt idx="1317">
                  <c:v>8.7165989821495664</c:v>
                </c:pt>
                <c:pt idx="1318">
                  <c:v>8.7207613871045435</c:v>
                </c:pt>
                <c:pt idx="1319">
                  <c:v>8.7249217035043678</c:v>
                </c:pt>
                <c:pt idx="1320">
                  <c:v>8.7290799346364683</c:v>
                </c:pt>
                <c:pt idx="1321">
                  <c:v>8.7332360837793246</c:v>
                </c:pt>
                <c:pt idx="1322">
                  <c:v>8.7373901542025134</c:v>
                </c:pt>
                <c:pt idx="1323">
                  <c:v>8.7415421491667242</c:v>
                </c:pt>
                <c:pt idx="1324">
                  <c:v>8.7456920719238127</c:v>
                </c:pt>
                <c:pt idx="1325">
                  <c:v>8.7498399257168238</c:v>
                </c:pt>
                <c:pt idx="1326">
                  <c:v>8.7539857137800272</c:v>
                </c:pt>
                <c:pt idx="1327">
                  <c:v>8.7581294393389584</c:v>
                </c:pt>
                <c:pt idx="1328">
                  <c:v>8.7622711056104485</c:v>
                </c:pt>
                <c:pt idx="1329">
                  <c:v>8.7664107158026514</c:v>
                </c:pt>
                <c:pt idx="1330">
                  <c:v>8.7705482731150894</c:v>
                </c:pt>
                <c:pt idx="1331">
                  <c:v>8.7746837807386751</c:v>
                </c:pt>
                <c:pt idx="1332">
                  <c:v>8.7788172418557604</c:v>
                </c:pt>
                <c:pt idx="1333">
                  <c:v>8.782948659640148</c:v>
                </c:pt>
                <c:pt idx="1334">
                  <c:v>8.787078037257146</c:v>
                </c:pt>
                <c:pt idx="1335">
                  <c:v>8.7912053778635855</c:v>
                </c:pt>
                <c:pt idx="1336">
                  <c:v>8.7953306846078565</c:v>
                </c:pt>
                <c:pt idx="1337">
                  <c:v>8.7994539606299469</c:v>
                </c:pt>
                <c:pt idx="1338">
                  <c:v>8.8035752090614707</c:v>
                </c:pt>
                <c:pt idx="1339">
                  <c:v>8.807694433025695</c:v>
                </c:pt>
                <c:pt idx="1340">
                  <c:v>8.8118116356375786</c:v>
                </c:pt>
                <c:pt idx="1341">
                  <c:v>8.8159268200038081</c:v>
                </c:pt>
                <c:pt idx="1342">
                  <c:v>8.8200399892228134</c:v>
                </c:pt>
                <c:pt idx="1343">
                  <c:v>8.8241511463848106</c:v>
                </c:pt>
                <c:pt idx="1344">
                  <c:v>8.8282602945718427</c:v>
                </c:pt>
                <c:pt idx="1345">
                  <c:v>8.8323674368577851</c:v>
                </c:pt>
                <c:pt idx="1346">
                  <c:v>8.8364725763084024</c:v>
                </c:pt>
                <c:pt idx="1347">
                  <c:v>8.840575715981366</c:v>
                </c:pt>
                <c:pt idx="1348">
                  <c:v>8.844676858926281</c:v>
                </c:pt>
                <c:pt idx="1349">
                  <c:v>8.848776008184732</c:v>
                </c:pt>
                <c:pt idx="1350">
                  <c:v>8.852873166790296</c:v>
                </c:pt>
                <c:pt idx="1351">
                  <c:v>8.8569683377685902</c:v>
                </c:pt>
                <c:pt idx="1352">
                  <c:v>8.8610615241372841</c:v>
                </c:pt>
                <c:pt idx="1353">
                  <c:v>8.8651527289061445</c:v>
                </c:pt>
                <c:pt idx="1354">
                  <c:v>8.8692419550770545</c:v>
                </c:pt>
                <c:pt idx="1355">
                  <c:v>8.8733292056440511</c:v>
                </c:pt>
                <c:pt idx="1356">
                  <c:v>8.8774144835933555</c:v>
                </c:pt>
                <c:pt idx="1357">
                  <c:v>8.8814977919033886</c:v>
                </c:pt>
                <c:pt idx="1358">
                  <c:v>8.8855791335448178</c:v>
                </c:pt>
                <c:pt idx="1359">
                  <c:v>8.889658511480576</c:v>
                </c:pt>
                <c:pt idx="1360">
                  <c:v>8.8937359286658904</c:v>
                </c:pt>
                <c:pt idx="1361">
                  <c:v>8.8978113880483196</c:v>
                </c:pt>
                <c:pt idx="1362">
                  <c:v>8.9018848925677698</c:v>
                </c:pt>
                <c:pt idx="1363">
                  <c:v>8.9059564451565354</c:v>
                </c:pt>
                <c:pt idx="1364">
                  <c:v>8.9100260487393204</c:v>
                </c:pt>
                <c:pt idx="1365">
                  <c:v>8.9140937062332668</c:v>
                </c:pt>
                <c:pt idx="1366">
                  <c:v>8.9181594205479886</c:v>
                </c:pt>
                <c:pt idx="1367">
                  <c:v>8.9222231945855874</c:v>
                </c:pt>
                <c:pt idx="1368">
                  <c:v>8.9262850312406936</c:v>
                </c:pt>
                <c:pt idx="1369">
                  <c:v>8.9303449334004856</c:v>
                </c:pt>
                <c:pt idx="1370">
                  <c:v>8.9344029039447292</c:v>
                </c:pt>
                <c:pt idx="1371">
                  <c:v>8.9384589457457828</c:v>
                </c:pt>
                <c:pt idx="1372">
                  <c:v>8.9425130616686506</c:v>
                </c:pt>
                <c:pt idx="1373">
                  <c:v>8.9465652545709862</c:v>
                </c:pt>
                <c:pt idx="1374">
                  <c:v>8.9506155273031389</c:v>
                </c:pt>
                <c:pt idx="1375">
                  <c:v>8.9546638827081662</c:v>
                </c:pt>
                <c:pt idx="1376">
                  <c:v>8.9587103236218759</c:v>
                </c:pt>
                <c:pt idx="1377">
                  <c:v>8.9627548528728322</c:v>
                </c:pt>
                <c:pt idx="1378">
                  <c:v>8.9667974732824014</c:v>
                </c:pt>
                <c:pt idx="1379">
                  <c:v>8.9708381876647714</c:v>
                </c:pt>
                <c:pt idx="1380">
                  <c:v>8.9748769988269714</c:v>
                </c:pt>
                <c:pt idx="1381">
                  <c:v>8.9789139095689023</c:v>
                </c:pt>
                <c:pt idx="1382">
                  <c:v>8.9829489226833736</c:v>
                </c:pt>
                <c:pt idx="1383">
                  <c:v>8.9869820409561143</c:v>
                </c:pt>
                <c:pt idx="1384">
                  <c:v>8.9910132671658047</c:v>
                </c:pt>
                <c:pt idx="1385">
                  <c:v>8.9950426040840945</c:v>
                </c:pt>
                <c:pt idx="1386">
                  <c:v>8.9990700544756521</c:v>
                </c:pt>
                <c:pt idx="1387">
                  <c:v>9.0030956210981543</c:v>
                </c:pt>
                <c:pt idx="1388">
                  <c:v>9.007119306702343</c:v>
                </c:pt>
                <c:pt idx="1389">
                  <c:v>9.0111411140320339</c:v>
                </c:pt>
                <c:pt idx="1390">
                  <c:v>9.0151610458241471</c:v>
                </c:pt>
                <c:pt idx="1391">
                  <c:v>9.0191791048087246</c:v>
                </c:pt>
                <c:pt idx="1392">
                  <c:v>9.023195293708973</c:v>
                </c:pt>
                <c:pt idx="1393">
                  <c:v>9.0272096152412598</c:v>
                </c:pt>
                <c:pt idx="1394">
                  <c:v>9.0312220721151668</c:v>
                </c:pt>
                <c:pt idx="1395">
                  <c:v>9.0352326670334975</c:v>
                </c:pt>
                <c:pt idx="1396">
                  <c:v>9.0392414026923067</c:v>
                </c:pt>
                <c:pt idx="1397">
                  <c:v>9.0432482817809241</c:v>
                </c:pt>
                <c:pt idx="1398">
                  <c:v>9.0472533069819754</c:v>
                </c:pt>
                <c:pt idx="1399">
                  <c:v>9.051256480971416</c:v>
                </c:pt>
                <c:pt idx="1400">
                  <c:v>9.0552578064185383</c:v>
                </c:pt>
                <c:pt idx="1401">
                  <c:v>9.0592572859860123</c:v>
                </c:pt>
                <c:pt idx="1402">
                  <c:v>9.0632549223299019</c:v>
                </c:pt>
                <c:pt idx="1403">
                  <c:v>9.0672507180996824</c:v>
                </c:pt>
                <c:pt idx="1404">
                  <c:v>9.0712446759382814</c:v>
                </c:pt>
                <c:pt idx="1405">
                  <c:v>9.0752367984820772</c:v>
                </c:pt>
                <c:pt idx="1406">
                  <c:v>9.07922708836095</c:v>
                </c:pt>
                <c:pt idx="1407">
                  <c:v>9.083215548198277</c:v>
                </c:pt>
                <c:pt idx="1408">
                  <c:v>9.08720218061098</c:v>
                </c:pt>
                <c:pt idx="1409">
                  <c:v>9.0911869882095324</c:v>
                </c:pt>
                <c:pt idx="1410">
                  <c:v>9.095169973597983</c:v>
                </c:pt>
                <c:pt idx="1411">
                  <c:v>9.0991511393739959</c:v>
                </c:pt>
                <c:pt idx="1412">
                  <c:v>9.103130488128846</c:v>
                </c:pt>
                <c:pt idx="1413">
                  <c:v>9.1071080224474628</c:v>
                </c:pt>
                <c:pt idx="1414">
                  <c:v>9.1110837449084379</c:v>
                </c:pt>
                <c:pt idx="1415">
                  <c:v>9.1150576580840692</c:v>
                </c:pt>
                <c:pt idx="1416">
                  <c:v>9.119029764540354</c:v>
                </c:pt>
                <c:pt idx="1417">
                  <c:v>9.123000066837033</c:v>
                </c:pt>
                <c:pt idx="1418">
                  <c:v>9.1269685675276051</c:v>
                </c:pt>
                <c:pt idx="1419">
                  <c:v>9.1309352691593411</c:v>
                </c:pt>
                <c:pt idx="1420">
                  <c:v>9.1349001742733229</c:v>
                </c:pt>
                <c:pt idx="1421">
                  <c:v>9.1388632854044509</c:v>
                </c:pt>
                <c:pt idx="1422">
                  <c:v>9.1428246050814739</c:v>
                </c:pt>
                <c:pt idx="1423">
                  <c:v>9.146784135827005</c:v>
                </c:pt>
                <c:pt idx="1424">
                  <c:v>9.1507418801575398</c:v>
                </c:pt>
                <c:pt idx="1425">
                  <c:v>9.1546978405834913</c:v>
                </c:pt>
                <c:pt idx="1426">
                  <c:v>9.1586520196091961</c:v>
                </c:pt>
                <c:pt idx="1427">
                  <c:v>9.1626044197329506</c:v>
                </c:pt>
                <c:pt idx="1428">
                  <c:v>9.1665550434470084</c:v>
                </c:pt>
                <c:pt idx="1429">
                  <c:v>9.1705038932376333</c:v>
                </c:pt>
                <c:pt idx="1430">
                  <c:v>9.1744509715850882</c:v>
                </c:pt>
                <c:pt idx="1431">
                  <c:v>9.1783962809636819</c:v>
                </c:pt>
                <c:pt idx="1432">
                  <c:v>9.1823398238417688</c:v>
                </c:pt>
                <c:pt idx="1433">
                  <c:v>9.1862816026817882</c:v>
                </c:pt>
                <c:pt idx="1434">
                  <c:v>9.1902216199402673</c:v>
                </c:pt>
                <c:pt idx="1435">
                  <c:v>9.1941598780678557</c:v>
                </c:pt>
                <c:pt idx="1436">
                  <c:v>9.1980963795093338</c:v>
                </c:pt>
                <c:pt idx="1437">
                  <c:v>9.2020311267036412</c:v>
                </c:pt>
                <c:pt idx="1438">
                  <c:v>9.2059641220838984</c:v>
                </c:pt>
                <c:pt idx="1439">
                  <c:v>9.2098953680774152</c:v>
                </c:pt>
                <c:pt idx="1440">
                  <c:v>9.213824867105723</c:v>
                </c:pt>
                <c:pt idx="1441">
                  <c:v>9.2177526215845891</c:v>
                </c:pt>
                <c:pt idx="1442">
                  <c:v>9.2216786339240358</c:v>
                </c:pt>
                <c:pt idx="1443">
                  <c:v>9.2256029065283602</c:v>
                </c:pt>
                <c:pt idx="1444">
                  <c:v>9.2295254417961559</c:v>
                </c:pt>
                <c:pt idx="1445">
                  <c:v>9.2334462421203263</c:v>
                </c:pt>
                <c:pt idx="1446">
                  <c:v>9.2373653098881228</c:v>
                </c:pt>
                <c:pt idx="1447">
                  <c:v>9.2412826474811283</c:v>
                </c:pt>
                <c:pt idx="1448">
                  <c:v>9.2451982572753195</c:v>
                </c:pt>
                <c:pt idx="1449">
                  <c:v>9.2491121416410493</c:v>
                </c:pt>
                <c:pt idx="1450">
                  <c:v>9.2530243029430892</c:v>
                </c:pt>
                <c:pt idx="1451">
                  <c:v>9.2569347435406399</c:v>
                </c:pt>
                <c:pt idx="1452">
                  <c:v>9.2608434657873389</c:v>
                </c:pt>
                <c:pt idx="1453">
                  <c:v>9.2647504720313094</c:v>
                </c:pt>
                <c:pt idx="1454">
                  <c:v>9.2686557646151435</c:v>
                </c:pt>
                <c:pt idx="1455">
                  <c:v>9.2725593458759477</c:v>
                </c:pt>
                <c:pt idx="1456">
                  <c:v>9.2764612181453447</c:v>
                </c:pt>
                <c:pt idx="1457">
                  <c:v>9.2803613837495025</c:v>
                </c:pt>
                <c:pt idx="1458">
                  <c:v>9.2842598450091476</c:v>
                </c:pt>
                <c:pt idx="1459">
                  <c:v>9.2881566042395853</c:v>
                </c:pt>
                <c:pt idx="1460">
                  <c:v>9.292051663750712</c:v>
                </c:pt>
                <c:pt idx="1461">
                  <c:v>9.2959450258470415</c:v>
                </c:pt>
                <c:pt idx="1462">
                  <c:v>9.2998366928277179</c:v>
                </c:pt>
                <c:pt idx="1463">
                  <c:v>9.3037266669865417</c:v>
                </c:pt>
                <c:pt idx="1464">
                  <c:v>9.3076149506119705</c:v>
                </c:pt>
                <c:pt idx="1465">
                  <c:v>9.3115015459871557</c:v>
                </c:pt>
                <c:pt idx="1466">
                  <c:v>9.3153864553899499</c:v>
                </c:pt>
                <c:pt idx="1467">
                  <c:v>9.3192696810929228</c:v>
                </c:pt>
                <c:pt idx="1468">
                  <c:v>9.3231512253633841</c:v>
                </c:pt>
                <c:pt idx="1469">
                  <c:v>9.3270310904634037</c:v>
                </c:pt>
                <c:pt idx="1470">
                  <c:v>9.3309092786498198</c:v>
                </c:pt>
                <c:pt idx="1471">
                  <c:v>9.3347857921742659</c:v>
                </c:pt>
                <c:pt idx="1472">
                  <c:v>9.3386606332831761</c:v>
                </c:pt>
                <c:pt idx="1473">
                  <c:v>9.3425338042178172</c:v>
                </c:pt>
                <c:pt idx="1474">
                  <c:v>9.3464053072142939</c:v>
                </c:pt>
                <c:pt idx="1475">
                  <c:v>9.3502751445035699</c:v>
                </c:pt>
                <c:pt idx="1476">
                  <c:v>9.3541433183114879</c:v>
                </c:pt>
                <c:pt idx="1477">
                  <c:v>9.3580098308587765</c:v>
                </c:pt>
                <c:pt idx="1478">
                  <c:v>9.3618746843610872</c:v>
                </c:pt>
                <c:pt idx="1479">
                  <c:v>9.3657378810289842</c:v>
                </c:pt>
                <c:pt idx="1480">
                  <c:v>9.3695994230679815</c:v>
                </c:pt>
                <c:pt idx="1481">
                  <c:v>9.3734593126785519</c:v>
                </c:pt>
                <c:pt idx="1482">
                  <c:v>9.3773175520561445</c:v>
                </c:pt>
                <c:pt idx="1483">
                  <c:v>9.381174143391199</c:v>
                </c:pt>
                <c:pt idx="1484">
                  <c:v>9.3850290888691728</c:v>
                </c:pt>
                <c:pt idx="1485">
                  <c:v>9.3888823906705348</c:v>
                </c:pt>
                <c:pt idx="1486">
                  <c:v>9.3927340509708053</c:v>
                </c:pt>
                <c:pt idx="1487">
                  <c:v>9.3965840719405591</c:v>
                </c:pt>
                <c:pt idx="1488">
                  <c:v>9.4004324557454488</c:v>
                </c:pt>
                <c:pt idx="1489">
                  <c:v>9.4042792045462065</c:v>
                </c:pt>
                <c:pt idx="1490">
                  <c:v>9.4081243204986862</c:v>
                </c:pt>
                <c:pt idx="1491">
                  <c:v>9.4119678057538465</c:v>
                </c:pt>
                <c:pt idx="1492">
                  <c:v>9.4158096624577983</c:v>
                </c:pt>
                <c:pt idx="1493">
                  <c:v>9.4196498927517975</c:v>
                </c:pt>
                <c:pt idx="1494">
                  <c:v>9.4234884987722651</c:v>
                </c:pt>
                <c:pt idx="1495">
                  <c:v>9.4273254826508222</c:v>
                </c:pt>
                <c:pt idx="1496">
                  <c:v>9.4311608465142704</c:v>
                </c:pt>
                <c:pt idx="1497">
                  <c:v>9.4349945924846459</c:v>
                </c:pt>
                <c:pt idx="1498">
                  <c:v>9.4388267226791989</c:v>
                </c:pt>
                <c:pt idx="1499">
                  <c:v>9.4426572392104422</c:v>
                </c:pt>
                <c:pt idx="1500">
                  <c:v>9.4464861441861352</c:v>
                </c:pt>
                <c:pt idx="1501">
                  <c:v>9.4503134397093298</c:v>
                </c:pt>
                <c:pt idx="1502">
                  <c:v>9.4541391278783511</c:v>
                </c:pt>
                <c:pt idx="1503">
                  <c:v>9.4579632107868488</c:v>
                </c:pt>
                <c:pt idx="1504">
                  <c:v>9.4617856905237865</c:v>
                </c:pt>
                <c:pt idx="1505">
                  <c:v>9.4656065691734703</c:v>
                </c:pt>
                <c:pt idx="1506">
                  <c:v>9.4694258488155505</c:v>
                </c:pt>
                <c:pt idx="1507">
                  <c:v>9.4732435315250481</c:v>
                </c:pt>
                <c:pt idx="1508">
                  <c:v>9.4770596193723726</c:v>
                </c:pt>
                <c:pt idx="1509">
                  <c:v>9.4808741144233188</c:v>
                </c:pt>
                <c:pt idx="1510">
                  <c:v>9.4846870187390984</c:v>
                </c:pt>
                <c:pt idx="1511">
                  <c:v>9.488498334376354</c:v>
                </c:pt>
                <c:pt idx="1512">
                  <c:v>9.4923080633871599</c:v>
                </c:pt>
                <c:pt idx="1513">
                  <c:v>9.4961162078190462</c:v>
                </c:pt>
                <c:pt idx="1514">
                  <c:v>9.4999227697150204</c:v>
                </c:pt>
                <c:pt idx="1515">
                  <c:v>9.5037277511135638</c:v>
                </c:pt>
                <c:pt idx="1516">
                  <c:v>9.507531154048662</c:v>
                </c:pt>
                <c:pt idx="1517">
                  <c:v>9.5113329805498097</c:v>
                </c:pt>
                <c:pt idx="1518">
                  <c:v>9.5151332326420288</c:v>
                </c:pt>
                <c:pt idx="1519">
                  <c:v>9.5189319123458844</c:v>
                </c:pt>
                <c:pt idx="1520">
                  <c:v>9.5227290216774918</c:v>
                </c:pt>
                <c:pt idx="1521">
                  <c:v>9.526524562648536</c:v>
                </c:pt>
                <c:pt idx="1522">
                  <c:v>9.5303185372662877</c:v>
                </c:pt>
                <c:pt idx="1523">
                  <c:v>9.534110947533609</c:v>
                </c:pt>
                <c:pt idx="1524">
                  <c:v>9.5379017954489811</c:v>
                </c:pt>
                <c:pt idx="1525">
                  <c:v>9.5416910830064943</c:v>
                </c:pt>
                <c:pt idx="1526">
                  <c:v>9.5454788121958956</c:v>
                </c:pt>
                <c:pt idx="1527">
                  <c:v>9.5492649850025657</c:v>
                </c:pt>
                <c:pt idx="1528">
                  <c:v>9.5530496034075618</c:v>
                </c:pt>
                <c:pt idx="1529">
                  <c:v>9.5568326693876138</c:v>
                </c:pt>
                <c:pt idx="1530">
                  <c:v>9.5606141849151491</c:v>
                </c:pt>
                <c:pt idx="1531">
                  <c:v>9.5643941519582967</c:v>
                </c:pt>
                <c:pt idx="1532">
                  <c:v>9.5681725724809059</c:v>
                </c:pt>
                <c:pt idx="1533">
                  <c:v>9.571949448442556</c:v>
                </c:pt>
                <c:pt idx="1534">
                  <c:v>9.5757247817985771</c:v>
                </c:pt>
                <c:pt idx="1535">
                  <c:v>9.5794985745000503</c:v>
                </c:pt>
                <c:pt idx="1536">
                  <c:v>9.5832708284938395</c:v>
                </c:pt>
                <c:pt idx="1537">
                  <c:v>9.5870415457225828</c:v>
                </c:pt>
                <c:pt idx="1538">
                  <c:v>9.5908107281247226</c:v>
                </c:pt>
                <c:pt idx="1539">
                  <c:v>9.5945783776345088</c:v>
                </c:pt>
                <c:pt idx="1540">
                  <c:v>9.5983444961820226</c:v>
                </c:pt>
                <c:pt idx="1541">
                  <c:v>9.6021090856931757</c:v>
                </c:pt>
                <c:pt idx="1542">
                  <c:v>9.6058721480897304</c:v>
                </c:pt>
                <c:pt idx="1543">
                  <c:v>9.6096336852893121</c:v>
                </c:pt>
                <c:pt idx="1544">
                  <c:v>9.6133936992054227</c:v>
                </c:pt>
                <c:pt idx="1545">
                  <c:v>9.6171521917474525</c:v>
                </c:pt>
                <c:pt idx="1546">
                  <c:v>9.6209091648206932</c:v>
                </c:pt>
                <c:pt idx="1547">
                  <c:v>9.6246646203263495</c:v>
                </c:pt>
                <c:pt idx="1548">
                  <c:v>9.6284185601615473</c:v>
                </c:pt>
                <c:pt idx="1549">
                  <c:v>9.6321709862193607</c:v>
                </c:pt>
                <c:pt idx="1550">
                  <c:v>9.6359219003888015</c:v>
                </c:pt>
                <c:pt idx="1551">
                  <c:v>9.6396713045548594</c:v>
                </c:pt>
                <c:pt idx="1552">
                  <c:v>9.6434192005984922</c:v>
                </c:pt>
                <c:pt idx="1553">
                  <c:v>9.6471655903966447</c:v>
                </c:pt>
                <c:pt idx="1554">
                  <c:v>9.6509104758222648</c:v>
                </c:pt>
                <c:pt idx="1555">
                  <c:v>9.6546538587443056</c:v>
                </c:pt>
                <c:pt idx="1556">
                  <c:v>9.6583957410277606</c:v>
                </c:pt>
                <c:pt idx="1557">
                  <c:v>9.6621361245336388</c:v>
                </c:pt>
                <c:pt idx="1558">
                  <c:v>9.6658750111190237</c:v>
                </c:pt>
                <c:pt idx="1559">
                  <c:v>9.669612402637032</c:v>
                </c:pt>
                <c:pt idx="1560">
                  <c:v>9.6733483009368744</c:v>
                </c:pt>
                <c:pt idx="1561">
                  <c:v>9.6770827078638337</c:v>
                </c:pt>
                <c:pt idx="1562">
                  <c:v>9.6808156252592941</c:v>
                </c:pt>
                <c:pt idx="1563">
                  <c:v>9.6845470549607526</c:v>
                </c:pt>
                <c:pt idx="1564">
                  <c:v>9.6882769988018111</c:v>
                </c:pt>
                <c:pt idx="1565">
                  <c:v>9.6920054586122237</c:v>
                </c:pt>
                <c:pt idx="1566">
                  <c:v>9.6957324362178738</c:v>
                </c:pt>
                <c:pt idx="1567">
                  <c:v>9.6994579334408044</c:v>
                </c:pt>
                <c:pt idx="1568">
                  <c:v>9.7031819520992215</c:v>
                </c:pt>
                <c:pt idx="1569">
                  <c:v>9.7069044940075173</c:v>
                </c:pt>
                <c:pt idx="1570">
                  <c:v>9.7106255609762648</c:v>
                </c:pt>
                <c:pt idx="1571">
                  <c:v>9.7143451548122464</c:v>
                </c:pt>
                <c:pt idx="1572">
                  <c:v>9.7180632773184517</c:v>
                </c:pt>
                <c:pt idx="1573">
                  <c:v>9.7217799302940939</c:v>
                </c:pt>
                <c:pt idx="1574">
                  <c:v>9.7254951155346241</c:v>
                </c:pt>
                <c:pt idx="1575">
                  <c:v>9.7292088348317414</c:v>
                </c:pt>
                <c:pt idx="1576">
                  <c:v>9.7329210899733951</c:v>
                </c:pt>
                <c:pt idx="1577">
                  <c:v>9.7366318827438132</c:v>
                </c:pt>
                <c:pt idx="1578">
                  <c:v>9.7403412149234985</c:v>
                </c:pt>
                <c:pt idx="1579">
                  <c:v>9.7440490882892448</c:v>
                </c:pt>
                <c:pt idx="1580">
                  <c:v>9.7477555046141475</c:v>
                </c:pt>
                <c:pt idx="1581">
                  <c:v>9.7514604656676198</c:v>
                </c:pt>
                <c:pt idx="1582">
                  <c:v>9.7551639732153959</c:v>
                </c:pt>
                <c:pt idx="1583">
                  <c:v>9.7588660290195435</c:v>
                </c:pt>
                <c:pt idx="1584">
                  <c:v>9.7625666348384783</c:v>
                </c:pt>
                <c:pt idx="1585">
                  <c:v>9.7662657924269745</c:v>
                </c:pt>
                <c:pt idx="1586">
                  <c:v>9.7699635035361716</c:v>
                </c:pt>
                <c:pt idx="1587">
                  <c:v>9.7736597699135856</c:v>
                </c:pt>
                <c:pt idx="1588">
                  <c:v>9.7773545933031301</c:v>
                </c:pt>
                <c:pt idx="1589">
                  <c:v>9.7810479754451087</c:v>
                </c:pt>
                <c:pt idx="1590">
                  <c:v>9.7847399180762373</c:v>
                </c:pt>
                <c:pt idx="1591">
                  <c:v>9.7884304229296575</c:v>
                </c:pt>
                <c:pt idx="1592">
                  <c:v>9.7921194917349403</c:v>
                </c:pt>
                <c:pt idx="1593">
                  <c:v>9.7958071262180972</c:v>
                </c:pt>
                <c:pt idx="1594">
                  <c:v>9.7994933281015939</c:v>
                </c:pt>
                <c:pt idx="1595">
                  <c:v>9.8031780991043576</c:v>
                </c:pt>
                <c:pt idx="1596">
                  <c:v>9.8068614409417911</c:v>
                </c:pt>
                <c:pt idx="1597">
                  <c:v>9.8105433553257804</c:v>
                </c:pt>
                <c:pt idx="1598">
                  <c:v>9.8142238439646992</c:v>
                </c:pt>
                <c:pt idx="1599">
                  <c:v>9.8179029085634397</c:v>
                </c:pt>
                <c:pt idx="1600">
                  <c:v>9.8215805508233913</c:v>
                </c:pt>
                <c:pt idx="1601">
                  <c:v>9.8252567724424864</c:v>
                </c:pt>
                <c:pt idx="1602">
                  <c:v>9.828931575115174</c:v>
                </c:pt>
                <c:pt idx="1603">
                  <c:v>9.8326049605324606</c:v>
                </c:pt>
                <c:pt idx="1604">
                  <c:v>9.8362769303818993</c:v>
                </c:pt>
                <c:pt idx="1605">
                  <c:v>9.8399474863476222</c:v>
                </c:pt>
                <c:pt idx="1606">
                  <c:v>9.8436166301103221</c:v>
                </c:pt>
                <c:pt idx="1607">
                  <c:v>9.847284363347276</c:v>
                </c:pt>
                <c:pt idx="1608">
                  <c:v>9.8509506877323716</c:v>
                </c:pt>
                <c:pt idx="1609">
                  <c:v>9.854615604936086</c:v>
                </c:pt>
                <c:pt idx="1610">
                  <c:v>9.8582791166255177</c:v>
                </c:pt>
                <c:pt idx="1611">
                  <c:v>9.8619412244643883</c:v>
                </c:pt>
                <c:pt idx="1612">
                  <c:v>9.8656019301130549</c:v>
                </c:pt>
                <c:pt idx="1613">
                  <c:v>9.8692612352285174</c:v>
                </c:pt>
                <c:pt idx="1614">
                  <c:v>9.8729191414644291</c:v>
                </c:pt>
                <c:pt idx="1615">
                  <c:v>9.8765756504711071</c:v>
                </c:pt>
                <c:pt idx="1616">
                  <c:v>9.8802307638955416</c:v>
                </c:pt>
                <c:pt idx="1617">
                  <c:v>9.8838844833814079</c:v>
                </c:pt>
                <c:pt idx="1618">
                  <c:v>9.8875368105690669</c:v>
                </c:pt>
                <c:pt idx="1619">
                  <c:v>9.8911877470955893</c:v>
                </c:pt>
                <c:pt idx="1620">
                  <c:v>9.8948372945947476</c:v>
                </c:pt>
                <c:pt idx="1621">
                  <c:v>9.8984854546970453</c:v>
                </c:pt>
                <c:pt idx="1622">
                  <c:v>9.9021322290297107</c:v>
                </c:pt>
                <c:pt idx="1623">
                  <c:v>9.9057776192167051</c:v>
                </c:pt>
                <c:pt idx="1624">
                  <c:v>9.9094216268787534</c:v>
                </c:pt>
                <c:pt idx="1625">
                  <c:v>9.9130642536333227</c:v>
                </c:pt>
                <c:pt idx="1626">
                  <c:v>9.9167055010946576</c:v>
                </c:pt>
                <c:pt idx="1627">
                  <c:v>9.9203453708737754</c:v>
                </c:pt>
                <c:pt idx="1628">
                  <c:v>9.923983864578485</c:v>
                </c:pt>
                <c:pt idx="1629">
                  <c:v>9.9276209838133802</c:v>
                </c:pt>
                <c:pt idx="1630">
                  <c:v>9.9312567301798644</c:v>
                </c:pt>
                <c:pt idx="1631">
                  <c:v>9.9348911052761526</c:v>
                </c:pt>
                <c:pt idx="1632">
                  <c:v>9.9385241106972835</c:v>
                </c:pt>
                <c:pt idx="1633">
                  <c:v>9.9421557480351286</c:v>
                </c:pt>
                <c:pt idx="1634">
                  <c:v>9.9457860188783922</c:v>
                </c:pt>
                <c:pt idx="1635">
                  <c:v>9.9494149248126398</c:v>
                </c:pt>
                <c:pt idx="1636">
                  <c:v>9.9530424674202802</c:v>
                </c:pt>
                <c:pt idx="1637">
                  <c:v>9.9566686482806048</c:v>
                </c:pt>
                <c:pt idx="1638">
                  <c:v>9.9602934689697662</c:v>
                </c:pt>
                <c:pt idx="1639">
                  <c:v>9.9639169310608136</c:v>
                </c:pt>
                <c:pt idx="1640">
                  <c:v>9.9675390361236822</c:v>
                </c:pt>
                <c:pt idx="1641">
                  <c:v>9.9711597857252094</c:v>
                </c:pt>
                <c:pt idx="1642">
                  <c:v>9.9747791814291524</c:v>
                </c:pt>
                <c:pt idx="1643">
                  <c:v>9.9783972247961792</c:v>
                </c:pt>
                <c:pt idx="1644">
                  <c:v>9.9820139173838847</c:v>
                </c:pt>
                <c:pt idx="1645">
                  <c:v>9.9856292607468085</c:v>
                </c:pt>
                <c:pt idx="1646">
                  <c:v>9.9892432564364313</c:v>
                </c:pt>
                <c:pt idx="1647">
                  <c:v>9.992855906001191</c:v>
                </c:pt>
                <c:pt idx="1648">
                  <c:v>9.9964672109864807</c:v>
                </c:pt>
                <c:pt idx="1649">
                  <c:v>10.000077172934677</c:v>
                </c:pt>
                <c:pt idx="1650">
                  <c:v>10.003685793385122</c:v>
                </c:pt>
                <c:pt idx="1651">
                  <c:v>10.007293073874157</c:v>
                </c:pt>
                <c:pt idx="1652">
                  <c:v>10.010899015935115</c:v>
                </c:pt>
                <c:pt idx="1653">
                  <c:v>10.014503621098335</c:v>
                </c:pt>
                <c:pt idx="1654">
                  <c:v>10.018106890891168</c:v>
                </c:pt>
                <c:pt idx="1655">
                  <c:v>10.021708826837992</c:v>
                </c:pt>
                <c:pt idx="1656">
                  <c:v>10.025309430460208</c:v>
                </c:pt>
                <c:pt idx="1657">
                  <c:v>10.028908703276256</c:v>
                </c:pt>
                <c:pt idx="1658">
                  <c:v>10.032506646801629</c:v>
                </c:pt>
                <c:pt idx="1659">
                  <c:v>10.036103262548867</c:v>
                </c:pt>
                <c:pt idx="1660">
                  <c:v>10.039698552027573</c:v>
                </c:pt>
                <c:pt idx="1661">
                  <c:v>10.04329251674443</c:v>
                </c:pt>
                <c:pt idx="1662">
                  <c:v>10.046885158203194</c:v>
                </c:pt>
                <c:pt idx="1663">
                  <c:v>10.050476477904706</c:v>
                </c:pt>
                <c:pt idx="1664">
                  <c:v>10.0540664773469</c:v>
                </c:pt>
                <c:pt idx="1665">
                  <c:v>10.057655158024822</c:v>
                </c:pt>
                <c:pt idx="1666">
                  <c:v>10.061242521430627</c:v>
                </c:pt>
                <c:pt idx="1667">
                  <c:v>10.064828569053585</c:v>
                </c:pt>
                <c:pt idx="1668">
                  <c:v>10.068413302380092</c:v>
                </c:pt>
                <c:pt idx="1669">
                  <c:v>10.071996722893688</c:v>
                </c:pt>
                <c:pt idx="1670">
                  <c:v>10.075578832075045</c:v>
                </c:pt>
                <c:pt idx="1671">
                  <c:v>10.079159631401998</c:v>
                </c:pt>
                <c:pt idx="1672">
                  <c:v>10.08273912234953</c:v>
                </c:pt>
                <c:pt idx="1673">
                  <c:v>10.086317306389791</c:v>
                </c:pt>
                <c:pt idx="1674">
                  <c:v>10.089894184992115</c:v>
                </c:pt>
                <c:pt idx="1675">
                  <c:v>10.093469759623005</c:v>
                </c:pt>
                <c:pt idx="1676">
                  <c:v>10.097044031746165</c:v>
                </c:pt>
                <c:pt idx="1677">
                  <c:v>10.10061700282249</c:v>
                </c:pt>
                <c:pt idx="1678">
                  <c:v>10.104188674310084</c:v>
                </c:pt>
                <c:pt idx="1679">
                  <c:v>10.107759047664256</c:v>
                </c:pt>
                <c:pt idx="1680">
                  <c:v>10.111328124337549</c:v>
                </c:pt>
                <c:pt idx="1681">
                  <c:v>10.114895905779717</c:v>
                </c:pt>
                <c:pt idx="1682">
                  <c:v>10.118462393437763</c:v>
                </c:pt>
                <c:pt idx="1683">
                  <c:v>10.122027588755925</c:v>
                </c:pt>
                <c:pt idx="1684">
                  <c:v>10.125591493175696</c:v>
                </c:pt>
                <c:pt idx="1685">
                  <c:v>10.129154108135825</c:v>
                </c:pt>
                <c:pt idx="1686">
                  <c:v>10.132715435072328</c:v>
                </c:pt>
                <c:pt idx="1687">
                  <c:v>10.136275475418492</c:v>
                </c:pt>
                <c:pt idx="1688">
                  <c:v>10.139834230604883</c:v>
                </c:pt>
                <c:pt idx="1689">
                  <c:v>10.143391702059358</c:v>
                </c:pt>
                <c:pt idx="1690">
                  <c:v>10.146947891207065</c:v>
                </c:pt>
                <c:pt idx="1691">
                  <c:v>10.150502799470456</c:v>
                </c:pt>
                <c:pt idx="1692">
                  <c:v>10.154056428269296</c:v>
                </c:pt>
                <c:pt idx="1693">
                  <c:v>10.157608779020659</c:v>
                </c:pt>
                <c:pt idx="1694">
                  <c:v>10.161159853138958</c:v>
                </c:pt>
                <c:pt idx="1695">
                  <c:v>10.164709652035912</c:v>
                </c:pt>
                <c:pt idx="1696">
                  <c:v>10.168258177120604</c:v>
                </c:pt>
                <c:pt idx="1697">
                  <c:v>10.171805429799448</c:v>
                </c:pt>
                <c:pt idx="1698">
                  <c:v>10.175351411476214</c:v>
                </c:pt>
                <c:pt idx="1699">
                  <c:v>10.178896123552033</c:v>
                </c:pt>
                <c:pt idx="1700">
                  <c:v>10.182439567425401</c:v>
                </c:pt>
                <c:pt idx="1701">
                  <c:v>10.185981744492192</c:v>
                </c:pt>
                <c:pt idx="1702">
                  <c:v>10.189522656145657</c:v>
                </c:pt>
                <c:pt idx="1703">
                  <c:v>10.193062303776436</c:v>
                </c:pt>
                <c:pt idx="1704">
                  <c:v>10.196600688772563</c:v>
                </c:pt>
                <c:pt idx="1705">
                  <c:v>10.200137812519475</c:v>
                </c:pt>
                <c:pt idx="1706">
                  <c:v>10.203673676400022</c:v>
                </c:pt>
                <c:pt idx="1707">
                  <c:v>10.207208281794461</c:v>
                </c:pt>
                <c:pt idx="1708">
                  <c:v>10.210741630080477</c:v>
                </c:pt>
                <c:pt idx="1709">
                  <c:v>10.214273722633189</c:v>
                </c:pt>
                <c:pt idx="1710">
                  <c:v>10.217804560825144</c:v>
                </c:pt>
                <c:pt idx="1711">
                  <c:v>10.221334146026333</c:v>
                </c:pt>
                <c:pt idx="1712">
                  <c:v>10.224862479604207</c:v>
                </c:pt>
                <c:pt idx="1713">
                  <c:v>10.228389562923663</c:v>
                </c:pt>
                <c:pt idx="1714">
                  <c:v>10.231915397347063</c:v>
                </c:pt>
                <c:pt idx="1715">
                  <c:v>10.235439984234244</c:v>
                </c:pt>
                <c:pt idx="1716">
                  <c:v>10.238963324942517</c:v>
                </c:pt>
                <c:pt idx="1717">
                  <c:v>10.242485420826682</c:v>
                </c:pt>
                <c:pt idx="1718">
                  <c:v>10.246006273239015</c:v>
                </c:pt>
                <c:pt idx="1719">
                  <c:v>10.249525883529305</c:v>
                </c:pt>
                <c:pt idx="1720">
                  <c:v>10.253044253044834</c:v>
                </c:pt>
                <c:pt idx="1721">
                  <c:v>10.256561383130407</c:v>
                </c:pt>
                <c:pt idx="1722">
                  <c:v>10.260077275128328</c:v>
                </c:pt>
                <c:pt idx="1723">
                  <c:v>10.263591930378432</c:v>
                </c:pt>
                <c:pt idx="1724">
                  <c:v>10.267105350218094</c:v>
                </c:pt>
                <c:pt idx="1725">
                  <c:v>10.270617535982209</c:v>
                </c:pt>
                <c:pt idx="1726">
                  <c:v>10.274128489003225</c:v>
                </c:pt>
                <c:pt idx="1727">
                  <c:v>10.277638210611137</c:v>
                </c:pt>
                <c:pt idx="1728">
                  <c:v>10.281146702133492</c:v>
                </c:pt>
                <c:pt idx="1729">
                  <c:v>10.284653964895403</c:v>
                </c:pt>
                <c:pt idx="1730">
                  <c:v>10.288160000219552</c:v>
                </c:pt>
                <c:pt idx="1731">
                  <c:v>10.291664809426193</c:v>
                </c:pt>
                <c:pt idx="1732">
                  <c:v>10.29516839383316</c:v>
                </c:pt>
                <c:pt idx="1733">
                  <c:v>10.298670754755882</c:v>
                </c:pt>
                <c:pt idx="1734">
                  <c:v>10.302171893507369</c:v>
                </c:pt>
                <c:pt idx="1735">
                  <c:v>10.305671811398248</c:v>
                </c:pt>
                <c:pt idx="1736">
                  <c:v>10.309170509736735</c:v>
                </c:pt>
                <c:pt idx="1737">
                  <c:v>10.312667989828668</c:v>
                </c:pt>
                <c:pt idx="1738">
                  <c:v>10.316164252977508</c:v>
                </c:pt>
                <c:pt idx="1739">
                  <c:v>10.319659300484325</c:v>
                </c:pt>
                <c:pt idx="1740">
                  <c:v>10.323153133647839</c:v>
                </c:pt>
                <c:pt idx="1741">
                  <c:v>10.326645753764391</c:v>
                </c:pt>
                <c:pt idx="1742">
                  <c:v>10.330137162127979</c:v>
                </c:pt>
                <c:pt idx="1743">
                  <c:v>10.333627360030242</c:v>
                </c:pt>
                <c:pt idx="1744">
                  <c:v>10.337116348760478</c:v>
                </c:pt>
                <c:pt idx="1745">
                  <c:v>10.340604129605643</c:v>
                </c:pt>
                <c:pt idx="1746">
                  <c:v>10.344090703850366</c:v>
                </c:pt>
                <c:pt idx="1747">
                  <c:v>10.347576072776945</c:v>
                </c:pt>
                <c:pt idx="1748">
                  <c:v>10.351060237665358</c:v>
                </c:pt>
                <c:pt idx="1749">
                  <c:v>10.354543199793277</c:v>
                </c:pt>
                <c:pt idx="1750">
                  <c:v>10.358024960436051</c:v>
                </c:pt>
                <c:pt idx="1751">
                  <c:v>10.361505520866739</c:v>
                </c:pt>
                <c:pt idx="1752">
                  <c:v>10.364984882356101</c:v>
                </c:pt>
                <c:pt idx="1753">
                  <c:v>10.368463046172604</c:v>
                </c:pt>
                <c:pt idx="1754">
                  <c:v>10.371940013582428</c:v>
                </c:pt>
                <c:pt idx="1755">
                  <c:v>10.37541578584948</c:v>
                </c:pt>
                <c:pt idx="1756">
                  <c:v>10.378890364235392</c:v>
                </c:pt>
                <c:pt idx="1757">
                  <c:v>10.382363749999525</c:v>
                </c:pt>
                <c:pt idx="1758">
                  <c:v>10.385835944398988</c:v>
                </c:pt>
                <c:pt idx="1759">
                  <c:v>10.38930694868862</c:v>
                </c:pt>
                <c:pt idx="1760">
                  <c:v>10.392776764121029</c:v>
                </c:pt>
                <c:pt idx="1761">
                  <c:v>10.396245391946561</c:v>
                </c:pt>
                <c:pt idx="1762">
                  <c:v>10.399712833413336</c:v>
                </c:pt>
                <c:pt idx="1763">
                  <c:v>10.403179089767235</c:v>
                </c:pt>
                <c:pt idx="1764">
                  <c:v>10.406644162251915</c:v>
                </c:pt>
                <c:pt idx="1765">
                  <c:v>10.410108052108811</c:v>
                </c:pt>
                <c:pt idx="1766">
                  <c:v>10.413570760577141</c:v>
                </c:pt>
                <c:pt idx="1767">
                  <c:v>10.417032288893918</c:v>
                </c:pt>
                <c:pt idx="1768">
                  <c:v>10.420492638293942</c:v>
                </c:pt>
                <c:pt idx="1769">
                  <c:v>10.423951810009827</c:v>
                </c:pt>
                <c:pt idx="1770">
                  <c:v>10.427409805271981</c:v>
                </c:pt>
                <c:pt idx="1771">
                  <c:v>10.430866625308632</c:v>
                </c:pt>
                <c:pt idx="1772">
                  <c:v>10.434322271345826</c:v>
                </c:pt>
                <c:pt idx="1773">
                  <c:v>10.437776744607426</c:v>
                </c:pt>
                <c:pt idx="1774">
                  <c:v>10.441230046315134</c:v>
                </c:pt>
                <c:pt idx="1775">
                  <c:v>10.444682177688478</c:v>
                </c:pt>
                <c:pt idx="1776">
                  <c:v>10.448133139944829</c:v>
                </c:pt>
                <c:pt idx="1777">
                  <c:v>10.451582934299406</c:v>
                </c:pt>
                <c:pt idx="1778">
                  <c:v>10.455031561965278</c:v>
                </c:pt>
                <c:pt idx="1779">
                  <c:v>10.458479024153366</c:v>
                </c:pt>
                <c:pt idx="1780">
                  <c:v>10.461925322072455</c:v>
                </c:pt>
                <c:pt idx="1781">
                  <c:v>10.4653704569292</c:v>
                </c:pt>
                <c:pt idx="1782">
                  <c:v>10.468814429928123</c:v>
                </c:pt>
                <c:pt idx="1783">
                  <c:v>10.472257242271633</c:v>
                </c:pt>
                <c:pt idx="1784">
                  <c:v>10.475698895160011</c:v>
                </c:pt>
                <c:pt idx="1785">
                  <c:v>10.479139389791435</c:v>
                </c:pt>
                <c:pt idx="1786">
                  <c:v>10.482578727361972</c:v>
                </c:pt>
                <c:pt idx="1787">
                  <c:v>10.48601690906559</c:v>
                </c:pt>
                <c:pt idx="1788">
                  <c:v>10.489453936094158</c:v>
                </c:pt>
                <c:pt idx="1789">
                  <c:v>10.492889809637461</c:v>
                </c:pt>
                <c:pt idx="1790">
                  <c:v>10.496324530883193</c:v>
                </c:pt>
                <c:pt idx="1791">
                  <c:v>10.499758101016969</c:v>
                </c:pt>
                <c:pt idx="1792">
                  <c:v>10.503190521222331</c:v>
                </c:pt>
                <c:pt idx="1793">
                  <c:v>10.50662179268075</c:v>
                </c:pt>
                <c:pt idx="1794">
                  <c:v>10.510051916571637</c:v>
                </c:pt>
                <c:pt idx="1795">
                  <c:v>10.513480894072334</c:v>
                </c:pt>
                <c:pt idx="1796">
                  <c:v>10.516908726358135</c:v>
                </c:pt>
                <c:pt idx="1797">
                  <c:v>10.520335414602286</c:v>
                </c:pt>
                <c:pt idx="1798">
                  <c:v>10.523760959975988</c:v>
                </c:pt>
                <c:pt idx="1799">
                  <c:v>10.527185363648396</c:v>
                </c:pt>
                <c:pt idx="1800">
                  <c:v>10.530608626786641</c:v>
                </c:pt>
                <c:pt idx="1801">
                  <c:v>10.534030750555825</c:v>
                </c:pt>
                <c:pt idx="1802">
                  <c:v>10.537451736119017</c:v>
                </c:pt>
                <c:pt idx="1803">
                  <c:v>10.540871584637273</c:v>
                </c:pt>
                <c:pt idx="1804">
                  <c:v>10.544290297269635</c:v>
                </c:pt>
                <c:pt idx="1805">
                  <c:v>10.547707875173138</c:v>
                </c:pt>
                <c:pt idx="1806">
                  <c:v>10.551124319502806</c:v>
                </c:pt>
                <c:pt idx="1807">
                  <c:v>10.554539631411672</c:v>
                </c:pt>
                <c:pt idx="1808">
                  <c:v>10.557953812050773</c:v>
                </c:pt>
                <c:pt idx="1809">
                  <c:v>10.561366862569148</c:v>
                </c:pt>
                <c:pt idx="1810">
                  <c:v>10.564778784113869</c:v>
                </c:pt>
                <c:pt idx="1811">
                  <c:v>10.568189577830012</c:v>
                </c:pt>
                <c:pt idx="1812">
                  <c:v>10.571599244860693</c:v>
                </c:pt>
                <c:pt idx="1813">
                  <c:v>10.575007786347042</c:v>
                </c:pt>
                <c:pt idx="1814">
                  <c:v>10.578415203428236</c:v>
                </c:pt>
                <c:pt idx="1815">
                  <c:v>10.58182149724149</c:v>
                </c:pt>
                <c:pt idx="1816">
                  <c:v>10.585226668922061</c:v>
                </c:pt>
                <c:pt idx="1817">
                  <c:v>10.588630719603261</c:v>
                </c:pt>
                <c:pt idx="1818">
                  <c:v>10.592033650416447</c:v>
                </c:pt>
                <c:pt idx="1819">
                  <c:v>10.595435462491043</c:v>
                </c:pt>
                <c:pt idx="1820">
                  <c:v>10.598836156954537</c:v>
                </c:pt>
                <c:pt idx="1821">
                  <c:v>10.602235734932481</c:v>
                </c:pt>
                <c:pt idx="1822">
                  <c:v>10.605634197548504</c:v>
                </c:pt>
                <c:pt idx="1823">
                  <c:v>10.609031545924308</c:v>
                </c:pt>
                <c:pt idx="1824">
                  <c:v>10.612427781179685</c:v>
                </c:pt>
                <c:pt idx="1825">
                  <c:v>10.615822904432505</c:v>
                </c:pt>
                <c:pt idx="1826">
                  <c:v>10.619216916798745</c:v>
                </c:pt>
                <c:pt idx="1827">
                  <c:v>10.622609819392462</c:v>
                </c:pt>
                <c:pt idx="1828">
                  <c:v>10.626001613325823</c:v>
                </c:pt>
                <c:pt idx="1829">
                  <c:v>10.629392299709096</c:v>
                </c:pt>
                <c:pt idx="1830">
                  <c:v>10.632781879650668</c:v>
                </c:pt>
                <c:pt idx="1831">
                  <c:v>10.636170354257036</c:v>
                </c:pt>
                <c:pt idx="1832">
                  <c:v>10.639557724632811</c:v>
                </c:pt>
                <c:pt idx="1833">
                  <c:v>10.642943991880738</c:v>
                </c:pt>
                <c:pt idx="1834">
                  <c:v>10.646329157101682</c:v>
                </c:pt>
                <c:pt idx="1835">
                  <c:v>10.649713221394649</c:v>
                </c:pt>
                <c:pt idx="1836">
                  <c:v>10.653096185856779</c:v>
                </c:pt>
                <c:pt idx="1837">
                  <c:v>10.656478051583354</c:v>
                </c:pt>
                <c:pt idx="1838">
                  <c:v>10.659858819667802</c:v>
                </c:pt>
                <c:pt idx="1839">
                  <c:v>10.663238491201703</c:v>
                </c:pt>
                <c:pt idx="1840">
                  <c:v>10.666617067274796</c:v>
                </c:pt>
                <c:pt idx="1841">
                  <c:v>10.669994548974969</c:v>
                </c:pt>
                <c:pt idx="1842">
                  <c:v>10.673370937388292</c:v>
                </c:pt>
                <c:pt idx="1843">
                  <c:v>10.676746233598987</c:v>
                </c:pt>
                <c:pt idx="1844">
                  <c:v>10.680120438689464</c:v>
                </c:pt>
                <c:pt idx="1845">
                  <c:v>10.683493553740291</c:v>
                </c:pt>
                <c:pt idx="1846">
                  <c:v>10.686865579830243</c:v>
                </c:pt>
                <c:pt idx="1847">
                  <c:v>10.690236518036262</c:v>
                </c:pt>
                <c:pt idx="1848">
                  <c:v>10.693606369433486</c:v>
                </c:pt>
                <c:pt idx="1849">
                  <c:v>10.696975135095251</c:v>
                </c:pt>
                <c:pt idx="1850">
                  <c:v>10.700342816093091</c:v>
                </c:pt>
                <c:pt idx="1851">
                  <c:v>10.703709413496743</c:v>
                </c:pt>
                <c:pt idx="1852">
                  <c:v>10.707074928374155</c:v>
                </c:pt>
                <c:pt idx="1853">
                  <c:v>10.710439361791479</c:v>
                </c:pt>
                <c:pt idx="1854">
                  <c:v>10.713802714813092</c:v>
                </c:pt>
                <c:pt idx="1855">
                  <c:v>10.717164988501587</c:v>
                </c:pt>
                <c:pt idx="1856">
                  <c:v>10.720526183917787</c:v>
                </c:pt>
                <c:pt idx="1857">
                  <c:v>10.723886302120736</c:v>
                </c:pt>
                <c:pt idx="1858">
                  <c:v>10.72724534416772</c:v>
                </c:pt>
                <c:pt idx="1859">
                  <c:v>10.730603311114255</c:v>
                </c:pt>
                <c:pt idx="1860">
                  <c:v>10.73396020401411</c:v>
                </c:pt>
                <c:pt idx="1861">
                  <c:v>10.737316023919281</c:v>
                </c:pt>
                <c:pt idx="1862">
                  <c:v>10.740670771880033</c:v>
                </c:pt>
                <c:pt idx="1863">
                  <c:v>10.744024448944879</c:v>
                </c:pt>
                <c:pt idx="1864">
                  <c:v>10.747377056160584</c:v>
                </c:pt>
                <c:pt idx="1865">
                  <c:v>10.750728594572184</c:v>
                </c:pt>
                <c:pt idx="1866">
                  <c:v>10.754079065222975</c:v>
                </c:pt>
                <c:pt idx="1867">
                  <c:v>10.757428469154529</c:v>
                </c:pt>
                <c:pt idx="1868">
                  <c:v>10.760776807406691</c:v>
                </c:pt>
                <c:pt idx="1869">
                  <c:v>10.764124081017584</c:v>
                </c:pt>
                <c:pt idx="1870">
                  <c:v>10.767470291023614</c:v>
                </c:pt>
                <c:pt idx="1871">
                  <c:v>10.770815438459474</c:v>
                </c:pt>
                <c:pt idx="1872">
                  <c:v>10.774159524358147</c:v>
                </c:pt>
                <c:pt idx="1873">
                  <c:v>10.777502549750913</c:v>
                </c:pt>
                <c:pt idx="1874">
                  <c:v>10.780844515667351</c:v>
                </c:pt>
                <c:pt idx="1875">
                  <c:v>10.784185423135341</c:v>
                </c:pt>
                <c:pt idx="1876">
                  <c:v>10.787525273181068</c:v>
                </c:pt>
                <c:pt idx="1877">
                  <c:v>10.790864066829037</c:v>
                </c:pt>
                <c:pt idx="1878">
                  <c:v>10.794201805102057</c:v>
                </c:pt>
                <c:pt idx="1879">
                  <c:v>10.79753848902126</c:v>
                </c:pt>
                <c:pt idx="1880">
                  <c:v>10.800874119606107</c:v>
                </c:pt>
                <c:pt idx="1881">
                  <c:v>10.804208697874376</c:v>
                </c:pt>
                <c:pt idx="1882">
                  <c:v>10.807542224842177</c:v>
                </c:pt>
                <c:pt idx="1883">
                  <c:v>10.810874701523959</c:v>
                </c:pt>
                <c:pt idx="1884">
                  <c:v>10.814206128932508</c:v>
                </c:pt>
                <c:pt idx="1885">
                  <c:v>10.817536508078952</c:v>
                </c:pt>
                <c:pt idx="1886">
                  <c:v>10.820865839972763</c:v>
                </c:pt>
                <c:pt idx="1887">
                  <c:v>10.824194125621764</c:v>
                </c:pt>
                <c:pt idx="1888">
                  <c:v>10.827521366032135</c:v>
                </c:pt>
                <c:pt idx="1889">
                  <c:v>10.830847562208408</c:v>
                </c:pt>
                <c:pt idx="1890">
                  <c:v>10.834172715153478</c:v>
                </c:pt>
                <c:pt idx="1891">
                  <c:v>10.837496825868612</c:v>
                </c:pt>
                <c:pt idx="1892">
                  <c:v>10.840819895353437</c:v>
                </c:pt>
                <c:pt idx="1893">
                  <c:v>10.844141924605955</c:v>
                </c:pt>
                <c:pt idx="1894">
                  <c:v>10.847462914622547</c:v>
                </c:pt>
                <c:pt idx="1895">
                  <c:v>10.850782866397974</c:v>
                </c:pt>
                <c:pt idx="1896">
                  <c:v>10.854101780925379</c:v>
                </c:pt>
                <c:pt idx="1897">
                  <c:v>10.857419659196296</c:v>
                </c:pt>
                <c:pt idx="1898">
                  <c:v>10.860736502200645</c:v>
                </c:pt>
                <c:pt idx="1899">
                  <c:v>10.864052310926745</c:v>
                </c:pt>
                <c:pt idx="1900">
                  <c:v>10.867367086361313</c:v>
                </c:pt>
                <c:pt idx="1901">
                  <c:v>10.870680829489476</c:v>
                </c:pt>
                <c:pt idx="1902">
                  <c:v>10.873993541294752</c:v>
                </c:pt>
                <c:pt idx="1903">
                  <c:v>10.877305222759084</c:v>
                </c:pt>
                <c:pt idx="1904">
                  <c:v>10.880615874862816</c:v>
                </c:pt>
                <c:pt idx="1905">
                  <c:v>10.88392549858472</c:v>
                </c:pt>
                <c:pt idx="1906">
                  <c:v>10.887234094901981</c:v>
                </c:pt>
                <c:pt idx="1907">
                  <c:v>10.890541664790213</c:v>
                </c:pt>
                <c:pt idx="1908">
                  <c:v>10.893848209223455</c:v>
                </c:pt>
                <c:pt idx="1909">
                  <c:v>10.897153729174182</c:v>
                </c:pt>
                <c:pt idx="1910">
                  <c:v>10.900458225613299</c:v>
                </c:pt>
                <c:pt idx="1911">
                  <c:v>10.903761699510159</c:v>
                </c:pt>
                <c:pt idx="1912">
                  <c:v>10.907064151832543</c:v>
                </c:pt>
                <c:pt idx="1913">
                  <c:v>10.910365583546694</c:v>
                </c:pt>
                <c:pt idx="1914">
                  <c:v>10.913665995617288</c:v>
                </c:pt>
                <c:pt idx="1915">
                  <c:v>10.916965389007471</c:v>
                </c:pt>
                <c:pt idx="1916">
                  <c:v>10.920263764678834</c:v>
                </c:pt>
                <c:pt idx="1917">
                  <c:v>10.92356112359143</c:v>
                </c:pt>
                <c:pt idx="1918">
                  <c:v>10.926857466703781</c:v>
                </c:pt>
                <c:pt idx="1919">
                  <c:v>10.930152794972873</c:v>
                </c:pt>
                <c:pt idx="1920">
                  <c:v>10.933447109354157</c:v>
                </c:pt>
                <c:pt idx="1921">
                  <c:v>10.936740410801567</c:v>
                </c:pt>
                <c:pt idx="1922">
                  <c:v>10.940032700267512</c:v>
                </c:pt>
                <c:pt idx="1923">
                  <c:v>10.943323978702876</c:v>
                </c:pt>
                <c:pt idx="1924">
                  <c:v>10.94661424705704</c:v>
                </c:pt>
                <c:pt idx="1925">
                  <c:v>10.949903506277856</c:v>
                </c:pt>
                <c:pt idx="1926">
                  <c:v>10.953191757311686</c:v>
                </c:pt>
                <c:pt idx="1927">
                  <c:v>10.956479001103371</c:v>
                </c:pt>
                <c:pt idx="1928">
                  <c:v>10.95976523859626</c:v>
                </c:pt>
                <c:pt idx="1929">
                  <c:v>10.963050470732199</c:v>
                </c:pt>
                <c:pt idx="1930">
                  <c:v>10.96633469845154</c:v>
                </c:pt>
                <c:pt idx="1931">
                  <c:v>10.969617922693143</c:v>
                </c:pt>
                <c:pt idx="1932">
                  <c:v>10.97290014439438</c:v>
                </c:pt>
                <c:pt idx="1933">
                  <c:v>10.97618136449114</c:v>
                </c:pt>
                <c:pt idx="1934">
                  <c:v>10.979461583917828</c:v>
                </c:pt>
                <c:pt idx="1935">
                  <c:v>10.982740803607371</c:v>
                </c:pt>
                <c:pt idx="1936">
                  <c:v>10.986019024491217</c:v>
                </c:pt>
                <c:pt idx="1937">
                  <c:v>10.989296247499354</c:v>
                </c:pt>
                <c:pt idx="1938">
                  <c:v>10.992572473560291</c:v>
                </c:pt>
                <c:pt idx="1939">
                  <c:v>10.995847703601076</c:v>
                </c:pt>
                <c:pt idx="1940">
                  <c:v>10.99912193854729</c:v>
                </c:pt>
                <c:pt idx="1941">
                  <c:v>11.002395179323067</c:v>
                </c:pt>
                <c:pt idx="1942">
                  <c:v>11.005667426851076</c:v>
                </c:pt>
                <c:pt idx="1943">
                  <c:v>11.008938682052534</c:v>
                </c:pt>
                <c:pt idx="1944">
                  <c:v>11.012208945847217</c:v>
                </c:pt>
                <c:pt idx="1945">
                  <c:v>11.015478219153444</c:v>
                </c:pt>
                <c:pt idx="1946">
                  <c:v>11.018746502888106</c:v>
                </c:pt>
                <c:pt idx="1947">
                  <c:v>11.022013797966645</c:v>
                </c:pt>
                <c:pt idx="1948">
                  <c:v>11.025280105303068</c:v>
                </c:pt>
                <c:pt idx="1949">
                  <c:v>11.02854542580995</c:v>
                </c:pt>
                <c:pt idx="1950">
                  <c:v>11.03180976039844</c:v>
                </c:pt>
                <c:pt idx="1951">
                  <c:v>11.03507310997826</c:v>
                </c:pt>
                <c:pt idx="1952">
                  <c:v>11.038335475457702</c:v>
                </c:pt>
                <c:pt idx="1953">
                  <c:v>11.041596857743649</c:v>
                </c:pt>
                <c:pt idx="1954">
                  <c:v>11.044857257741558</c:v>
                </c:pt>
                <c:pt idx="1955">
                  <c:v>11.048116676355477</c:v>
                </c:pt>
                <c:pt idx="1956">
                  <c:v>11.051375114488042</c:v>
                </c:pt>
                <c:pt idx="1957">
                  <c:v>11.054632573040482</c:v>
                </c:pt>
                <c:pt idx="1958">
                  <c:v>11.057889052912628</c:v>
                </c:pt>
                <c:pt idx="1959">
                  <c:v>11.061144555002896</c:v>
                </c:pt>
                <c:pt idx="1960">
                  <c:v>11.064399080208316</c:v>
                </c:pt>
                <c:pt idx="1961">
                  <c:v>11.067652629424515</c:v>
                </c:pt>
                <c:pt idx="1962">
                  <c:v>11.070905203545736</c:v>
                </c:pt>
                <c:pt idx="1963">
                  <c:v>11.074156803464831</c:v>
                </c:pt>
                <c:pt idx="1964">
                  <c:v>11.07740743007326</c:v>
                </c:pt>
                <c:pt idx="1965">
                  <c:v>11.080657084261109</c:v>
                </c:pt>
                <c:pt idx="1966">
                  <c:v>11.083905766917077</c:v>
                </c:pt>
                <c:pt idx="1967">
                  <c:v>11.087153478928494</c:v>
                </c:pt>
                <c:pt idx="1968">
                  <c:v>11.090400221181309</c:v>
                </c:pt>
                <c:pt idx="1969">
                  <c:v>11.093645994560108</c:v>
                </c:pt>
                <c:pt idx="1970">
                  <c:v>11.096890799948099</c:v>
                </c:pt>
                <c:pt idx="1971">
                  <c:v>11.100134638227139</c:v>
                </c:pt>
                <c:pt idx="1972">
                  <c:v>11.103377510277713</c:v>
                </c:pt>
                <c:pt idx="1973">
                  <c:v>11.106619416978948</c:v>
                </c:pt>
                <c:pt idx="1974">
                  <c:v>11.109860359208628</c:v>
                </c:pt>
                <c:pt idx="1975">
                  <c:v>11.113100337843164</c:v>
                </c:pt>
                <c:pt idx="1976">
                  <c:v>11.116339353757635</c:v>
                </c:pt>
                <c:pt idx="1977">
                  <c:v>11.119577407825762</c:v>
                </c:pt>
                <c:pt idx="1978">
                  <c:v>11.122814500919933</c:v>
                </c:pt>
                <c:pt idx="1979">
                  <c:v>11.126050633911186</c:v>
                </c:pt>
                <c:pt idx="1980">
                  <c:v>11.129285807669227</c:v>
                </c:pt>
                <c:pt idx="1981">
                  <c:v>11.132520023062419</c:v>
                </c:pt>
                <c:pt idx="1982">
                  <c:v>11.1357532809578</c:v>
                </c:pt>
                <c:pt idx="1983">
                  <c:v>11.138985582221082</c:v>
                </c:pt>
                <c:pt idx="1984">
                  <c:v>11.142216927716643</c:v>
                </c:pt>
                <c:pt idx="1985">
                  <c:v>11.145447318307543</c:v>
                </c:pt>
                <c:pt idx="1986">
                  <c:v>11.148676754855515</c:v>
                </c:pt>
                <c:pt idx="1987">
                  <c:v>11.151905238220984</c:v>
                </c:pt>
                <c:pt idx="1988">
                  <c:v>11.155132769263052</c:v>
                </c:pt>
                <c:pt idx="1989">
                  <c:v>11.158359348839513</c:v>
                </c:pt>
                <c:pt idx="1990">
                  <c:v>11.161584977806852</c:v>
                </c:pt>
                <c:pt idx="1991">
                  <c:v>11.164809657020246</c:v>
                </c:pt>
                <c:pt idx="1992">
                  <c:v>11.168033387333573</c:v>
                </c:pt>
                <c:pt idx="1993">
                  <c:v>11.171256169599404</c:v>
                </c:pt>
                <c:pt idx="1994">
                  <c:v>11.17447800466902</c:v>
                </c:pt>
                <c:pt idx="1995">
                  <c:v>11.177698893392392</c:v>
                </c:pt>
                <c:pt idx="1996">
                  <c:v>11.180918836618225</c:v>
                </c:pt>
                <c:pt idx="1997">
                  <c:v>11.184137835193908</c:v>
                </c:pt>
                <c:pt idx="1998">
                  <c:v>11.187355889965559</c:v>
                </c:pt>
                <c:pt idx="1999">
                  <c:v>11.190573001778008</c:v>
                </c:pt>
                <c:pt idx="2000">
                  <c:v>11.193789171474801</c:v>
                </c:pt>
                <c:pt idx="2001">
                  <c:v>11.197004399898216</c:v>
                </c:pt>
                <c:pt idx="2002">
                  <c:v>11.20021868788924</c:v>
                </c:pt>
                <c:pt idx="2003">
                  <c:v>11.203432036287605</c:v>
                </c:pt>
                <c:pt idx="2004">
                  <c:v>11.206644445931753</c:v>
                </c:pt>
                <c:pt idx="2005">
                  <c:v>11.209855917658878</c:v>
                </c:pt>
                <c:pt idx="2006">
                  <c:v>11.213066452304897</c:v>
                </c:pt>
                <c:pt idx="2007">
                  <c:v>11.216276050704469</c:v>
                </c:pt>
                <c:pt idx="2008">
                  <c:v>11.219484713690992</c:v>
                </c:pt>
                <c:pt idx="2009">
                  <c:v>11.222692442096616</c:v>
                </c:pt>
                <c:pt idx="2010">
                  <c:v>11.225899236752223</c:v>
                </c:pt>
                <c:pt idx="2011">
                  <c:v>11.229105098487459</c:v>
                </c:pt>
                <c:pt idx="2012">
                  <c:v>11.23231002813071</c:v>
                </c:pt>
                <c:pt idx="2013">
                  <c:v>11.23551402650912</c:v>
                </c:pt>
                <c:pt idx="2014">
                  <c:v>11.238717094448592</c:v>
                </c:pt>
                <c:pt idx="2015">
                  <c:v>11.241919232773789</c:v>
                </c:pt>
                <c:pt idx="2016">
                  <c:v>11.245120442308131</c:v>
                </c:pt>
                <c:pt idx="2017">
                  <c:v>11.248320723873807</c:v>
                </c:pt>
                <c:pt idx="2018">
                  <c:v>11.251520078291772</c:v>
                </c:pt>
                <c:pt idx="2019">
                  <c:v>11.254718506381757</c:v>
                </c:pt>
                <c:pt idx="2020">
                  <c:v>11.257916008962255</c:v>
                </c:pt>
                <c:pt idx="2021">
                  <c:v>11.26111258685054</c:v>
                </c:pt>
                <c:pt idx="2022">
                  <c:v>11.264308240862672</c:v>
                </c:pt>
                <c:pt idx="2023">
                  <c:v>11.267502971813473</c:v>
                </c:pt>
                <c:pt idx="2024">
                  <c:v>11.270696780516566</c:v>
                </c:pt>
                <c:pt idx="2025">
                  <c:v>11.273889667784346</c:v>
                </c:pt>
                <c:pt idx="2026">
                  <c:v>11.277081634428008</c:v>
                </c:pt>
                <c:pt idx="2027">
                  <c:v>11.280272681257532</c:v>
                </c:pt>
                <c:pt idx="2028">
                  <c:v>11.283462809081691</c:v>
                </c:pt>
                <c:pt idx="2029">
                  <c:v>11.286652018708054</c:v>
                </c:pt>
                <c:pt idx="2030">
                  <c:v>11.289840310942992</c:v>
                </c:pt>
                <c:pt idx="2031">
                  <c:v>11.293027686591673</c:v>
                </c:pt>
                <c:pt idx="2032">
                  <c:v>11.29621414645807</c:v>
                </c:pt>
                <c:pt idx="2033">
                  <c:v>11.299399691344963</c:v>
                </c:pt>
                <c:pt idx="2034">
                  <c:v>11.302584322053942</c:v>
                </c:pt>
                <c:pt idx="2035">
                  <c:v>11.3057680393854</c:v>
                </c:pt>
                <c:pt idx="2036">
                  <c:v>11.308950844138556</c:v>
                </c:pt>
                <c:pt idx="2037">
                  <c:v>11.312132737111437</c:v>
                </c:pt>
                <c:pt idx="2038">
                  <c:v>11.315313719100889</c:v>
                </c:pt>
                <c:pt idx="2039">
                  <c:v>11.318493790902579</c:v>
                </c:pt>
                <c:pt idx="2040">
                  <c:v>11.321672953311005</c:v>
                </c:pt>
                <c:pt idx="2041">
                  <c:v>11.324851207119483</c:v>
                </c:pt>
                <c:pt idx="2042">
                  <c:v>11.328028553120156</c:v>
                </c:pt>
                <c:pt idx="2043">
                  <c:v>11.331204992104004</c:v>
                </c:pt>
                <c:pt idx="2044">
                  <c:v>11.33438052486084</c:v>
                </c:pt>
                <c:pt idx="2045">
                  <c:v>11.337555152179313</c:v>
                </c:pt>
                <c:pt idx="2046">
                  <c:v>11.340728874846903</c:v>
                </c:pt>
                <c:pt idx="2047">
                  <c:v>11.34390169364994</c:v>
                </c:pt>
                <c:pt idx="2048">
                  <c:v>11.34707360937359</c:v>
                </c:pt>
                <c:pt idx="2049">
                  <c:v>11.350244622801871</c:v>
                </c:pt>
                <c:pt idx="2050">
                  <c:v>11.353414734717642</c:v>
                </c:pt>
                <c:pt idx="2051">
                  <c:v>11.356583945902624</c:v>
                </c:pt>
                <c:pt idx="2052">
                  <c:v>11.359752257137373</c:v>
                </c:pt>
                <c:pt idx="2053">
                  <c:v>11.362919669201318</c:v>
                </c:pt>
                <c:pt idx="2054">
                  <c:v>11.366086182872733</c:v>
                </c:pt>
                <c:pt idx="2055">
                  <c:v>11.369251798928762</c:v>
                </c:pt>
                <c:pt idx="2056">
                  <c:v>11.3724165181454</c:v>
                </c:pt>
                <c:pt idx="2057">
                  <c:v>11.375580341297514</c:v>
                </c:pt>
                <c:pt idx="2058">
                  <c:v>11.378743269158839</c:v>
                </c:pt>
                <c:pt idx="2059">
                  <c:v>11.381905302501979</c:v>
                </c:pt>
                <c:pt idx="2060">
                  <c:v>11.385066442098402</c:v>
                </c:pt>
                <c:pt idx="2061">
                  <c:v>11.388226688718458</c:v>
                </c:pt>
                <c:pt idx="2062">
                  <c:v>11.391386043131373</c:v>
                </c:pt>
                <c:pt idx="2063">
                  <c:v>11.394544506105252</c:v>
                </c:pt>
                <c:pt idx="2064">
                  <c:v>11.397702078407074</c:v>
                </c:pt>
                <c:pt idx="2065">
                  <c:v>11.400858760802707</c:v>
                </c:pt>
                <c:pt idx="2066">
                  <c:v>11.404014554056905</c:v>
                </c:pt>
                <c:pt idx="2067">
                  <c:v>11.407169458933312</c:v>
                </c:pt>
                <c:pt idx="2068">
                  <c:v>11.410323476194456</c:v>
                </c:pt>
                <c:pt idx="2069">
                  <c:v>11.413476606601762</c:v>
                </c:pt>
                <c:pt idx="2070">
                  <c:v>11.416628850915545</c:v>
                </c:pt>
                <c:pt idx="2071">
                  <c:v>11.419780209895027</c:v>
                </c:pt>
                <c:pt idx="2072">
                  <c:v>11.42293068429832</c:v>
                </c:pt>
                <c:pt idx="2073">
                  <c:v>11.426080274882441</c:v>
                </c:pt>
                <c:pt idx="2074">
                  <c:v>11.429228982403309</c:v>
                </c:pt>
                <c:pt idx="2075">
                  <c:v>11.43237680761575</c:v>
                </c:pt>
                <c:pt idx="2076">
                  <c:v>11.435523751273506</c:v>
                </c:pt>
                <c:pt idx="2077">
                  <c:v>11.438669814129213</c:v>
                </c:pt>
                <c:pt idx="2078">
                  <c:v>11.44181499693444</c:v>
                </c:pt>
                <c:pt idx="2079">
                  <c:v>11.444959300439654</c:v>
                </c:pt>
                <c:pt idx="2080">
                  <c:v>11.448102725394246</c:v>
                </c:pt>
                <c:pt idx="2081">
                  <c:v>11.451245272546533</c:v>
                </c:pt>
                <c:pt idx="2082">
                  <c:v>11.454386942643739</c:v>
                </c:pt>
                <c:pt idx="2083">
                  <c:v>11.457527736432024</c:v>
                </c:pt>
                <c:pt idx="2084">
                  <c:v>11.460667654656472</c:v>
                </c:pt>
                <c:pt idx="2085">
                  <c:v>11.463806698061092</c:v>
                </c:pt>
                <c:pt idx="2086">
                  <c:v>11.466944867388825</c:v>
                </c:pt>
                <c:pt idx="2087">
                  <c:v>11.470082163381546</c:v>
                </c:pt>
                <c:pt idx="2088">
                  <c:v>11.473218586780067</c:v>
                </c:pt>
                <c:pt idx="2089">
                  <c:v>11.47635413832413</c:v>
                </c:pt>
                <c:pt idx="2090">
                  <c:v>11.479488818752419</c:v>
                </c:pt>
                <c:pt idx="2091">
                  <c:v>11.482622628802565</c:v>
                </c:pt>
                <c:pt idx="2092">
                  <c:v>11.485755569211136</c:v>
                </c:pt>
                <c:pt idx="2093">
                  <c:v>11.488887640713646</c:v>
                </c:pt>
                <c:pt idx="2094">
                  <c:v>11.492018844044562</c:v>
                </c:pt>
                <c:pt idx="2095">
                  <c:v>11.495149179937297</c:v>
                </c:pt>
                <c:pt idx="2096">
                  <c:v>11.498278649124213</c:v>
                </c:pt>
                <c:pt idx="2097">
                  <c:v>11.501407252336637</c:v>
                </c:pt>
                <c:pt idx="2098">
                  <c:v>11.504534990304839</c:v>
                </c:pt>
                <c:pt idx="2099">
                  <c:v>11.507661863758056</c:v>
                </c:pt>
                <c:pt idx="2100">
                  <c:v>11.510787873424482</c:v>
                </c:pt>
                <c:pt idx="2101">
                  <c:v>11.513913020031278</c:v>
                </c:pt>
                <c:pt idx="2102">
                  <c:v>11.517037304304562</c:v>
                </c:pt>
                <c:pt idx="2103">
                  <c:v>11.520160726969428</c:v>
                </c:pt>
                <c:pt idx="2104">
                  <c:v>11.52328328874993</c:v>
                </c:pt>
                <c:pt idx="2105">
                  <c:v>11.526404990369102</c:v>
                </c:pt>
                <c:pt idx="2106">
                  <c:v>11.529525832548943</c:v>
                </c:pt>
                <c:pt idx="2107">
                  <c:v>11.532645816010431</c:v>
                </c:pt>
                <c:pt idx="2108">
                  <c:v>11.535764941473523</c:v>
                </c:pt>
                <c:pt idx="2109">
                  <c:v>11.538883209657154</c:v>
                </c:pt>
                <c:pt idx="2110">
                  <c:v>11.542000621279232</c:v>
                </c:pt>
                <c:pt idx="2111">
                  <c:v>11.545117177056664</c:v>
                </c:pt>
                <c:pt idx="2112">
                  <c:v>11.548232877705331</c:v>
                </c:pt>
                <c:pt idx="2113">
                  <c:v>11.551347723940104</c:v>
                </c:pt>
                <c:pt idx="2114">
                  <c:v>11.554461716474844</c:v>
                </c:pt>
                <c:pt idx="2115">
                  <c:v>11.557574856022406</c:v>
                </c:pt>
                <c:pt idx="2116">
                  <c:v>11.560687143294635</c:v>
                </c:pt>
                <c:pt idx="2117">
                  <c:v>11.563798579002372</c:v>
                </c:pt>
                <c:pt idx="2118">
                  <c:v>11.566909163855454</c:v>
                </c:pt>
                <c:pt idx="2119">
                  <c:v>11.570018898562726</c:v>
                </c:pt>
                <c:pt idx="2120">
                  <c:v>11.573127783832021</c:v>
                </c:pt>
                <c:pt idx="2121">
                  <c:v>11.57623582037019</c:v>
                </c:pt>
                <c:pt idx="2122">
                  <c:v>11.579343008883077</c:v>
                </c:pt>
                <c:pt idx="2123">
                  <c:v>11.582449350075542</c:v>
                </c:pt>
                <c:pt idx="2124">
                  <c:v>11.585554844651449</c:v>
                </c:pt>
                <c:pt idx="2125">
                  <c:v>11.588659493313678</c:v>
                </c:pt>
                <c:pt idx="2126">
                  <c:v>11.591763296764121</c:v>
                </c:pt>
                <c:pt idx="2127">
                  <c:v>11.594866255703682</c:v>
                </c:pt>
                <c:pt idx="2128">
                  <c:v>11.597968370832287</c:v>
                </c:pt>
                <c:pt idx="2129">
                  <c:v>11.601069642848881</c:v>
                </c:pt>
                <c:pt idx="2130">
                  <c:v>11.604170072451426</c:v>
                </c:pt>
                <c:pt idx="2131">
                  <c:v>11.607269660336911</c:v>
                </c:pt>
                <c:pt idx="2132">
                  <c:v>11.610368407201349</c:v>
                </c:pt>
                <c:pt idx="2133">
                  <c:v>11.61346631373978</c:v>
                </c:pt>
                <c:pt idx="2134">
                  <c:v>11.616563380646273</c:v>
                </c:pt>
                <c:pt idx="2135">
                  <c:v>11.619659608613931</c:v>
                </c:pt>
                <c:pt idx="2136">
                  <c:v>11.622754998334882</c:v>
                </c:pt>
                <c:pt idx="2137">
                  <c:v>11.625849550500298</c:v>
                </c:pt>
                <c:pt idx="2138">
                  <c:v>11.628943265800384</c:v>
                </c:pt>
                <c:pt idx="2139">
                  <c:v>11.632036144924381</c:v>
                </c:pt>
                <c:pt idx="2140">
                  <c:v>11.635128188560572</c:v>
                </c:pt>
                <c:pt idx="2141">
                  <c:v>11.638219397396281</c:v>
                </c:pt>
                <c:pt idx="2142">
                  <c:v>11.641309772117884</c:v>
                </c:pt>
                <c:pt idx="2143">
                  <c:v>11.644399313410794</c:v>
                </c:pt>
                <c:pt idx="2144">
                  <c:v>11.647488021959475</c:v>
                </c:pt>
                <c:pt idx="2145">
                  <c:v>11.650575898447443</c:v>
                </c:pt>
                <c:pt idx="2146">
                  <c:v>11.653662943557261</c:v>
                </c:pt>
                <c:pt idx="2147">
                  <c:v>11.656749157970555</c:v>
                </c:pt>
                <c:pt idx="2148">
                  <c:v>11.659834542367991</c:v>
                </c:pt>
                <c:pt idx="2149">
                  <c:v>11.66291909742931</c:v>
                </c:pt>
                <c:pt idx="2150">
                  <c:v>11.666002823833297</c:v>
                </c:pt>
                <c:pt idx="2151">
                  <c:v>11.669085722257812</c:v>
                </c:pt>
                <c:pt idx="2152">
                  <c:v>11.672167793379764</c:v>
                </c:pt>
                <c:pt idx="2153">
                  <c:v>11.675249037875139</c:v>
                </c:pt>
                <c:pt idx="2154">
                  <c:v>11.678329456418979</c:v>
                </c:pt>
                <c:pt idx="2155">
                  <c:v>11.681409049685403</c:v>
                </c:pt>
                <c:pt idx="2156">
                  <c:v>11.684487818347595</c:v>
                </c:pt>
                <c:pt idx="2157">
                  <c:v>11.687565763077814</c:v>
                </c:pt>
                <c:pt idx="2158">
                  <c:v>11.690642884547389</c:v>
                </c:pt>
                <c:pt idx="2159">
                  <c:v>11.693719183426728</c:v>
                </c:pt>
                <c:pt idx="2160">
                  <c:v>11.69679466038532</c:v>
                </c:pt>
                <c:pt idx="2161">
                  <c:v>11.699869316091723</c:v>
                </c:pt>
                <c:pt idx="2162">
                  <c:v>11.702943151213585</c:v>
                </c:pt>
                <c:pt idx="2163">
                  <c:v>11.706016166417633</c:v>
                </c:pt>
                <c:pt idx="2164">
                  <c:v>11.70908836236968</c:v>
                </c:pt>
                <c:pt idx="2165">
                  <c:v>11.712159739734624</c:v>
                </c:pt>
                <c:pt idx="2166">
                  <c:v>11.715230299176451</c:v>
                </c:pt>
                <c:pt idx="2167">
                  <c:v>11.718300041358241</c:v>
                </c:pt>
                <c:pt idx="2168">
                  <c:v>11.721368966942158</c:v>
                </c:pt>
                <c:pt idx="2169">
                  <c:v>11.724437076589471</c:v>
                </c:pt>
                <c:pt idx="2170">
                  <c:v>11.727504370960531</c:v>
                </c:pt>
                <c:pt idx="2171">
                  <c:v>11.730570850714797</c:v>
                </c:pt>
                <c:pt idx="2172">
                  <c:v>11.733636516510821</c:v>
                </c:pt>
                <c:pt idx="2173">
                  <c:v>11.736701369006251</c:v>
                </c:pt>
                <c:pt idx="2174">
                  <c:v>11.739765408857856</c:v>
                </c:pt>
                <c:pt idx="2175">
                  <c:v>11.742828636721482</c:v>
                </c:pt>
                <c:pt idx="2176">
                  <c:v>11.745891053252102</c:v>
                </c:pt>
                <c:pt idx="2177">
                  <c:v>11.748952659103789</c:v>
                </c:pt>
                <c:pt idx="2178">
                  <c:v>11.752013454929724</c:v>
                </c:pt>
                <c:pt idx="2179">
                  <c:v>11.755073441382201</c:v>
                </c:pt>
                <c:pt idx="2180">
                  <c:v>11.758132619112622</c:v>
                </c:pt>
                <c:pt idx="2181">
                  <c:v>11.761190988771514</c:v>
                </c:pt>
                <c:pt idx="2182">
                  <c:v>11.764248551008508</c:v>
                </c:pt>
                <c:pt idx="2183">
                  <c:v>11.767305306472359</c:v>
                </c:pt>
                <c:pt idx="2184">
                  <c:v>11.770361255810938</c:v>
                </c:pt>
                <c:pt idx="2185">
                  <c:v>11.773416399671245</c:v>
                </c:pt>
                <c:pt idx="2186">
                  <c:v>11.776470738699391</c:v>
                </c:pt>
                <c:pt idx="2187">
                  <c:v>11.779524273540627</c:v>
                </c:pt>
                <c:pt idx="2188">
                  <c:v>11.782577004839307</c:v>
                </c:pt>
                <c:pt idx="2189">
                  <c:v>11.785628933238939</c:v>
                </c:pt>
                <c:pt idx="2190">
                  <c:v>11.788680059382141</c:v>
                </c:pt>
                <c:pt idx="2191">
                  <c:v>11.791730383910672</c:v>
                </c:pt>
                <c:pt idx="2192">
                  <c:v>11.794779907465422</c:v>
                </c:pt>
                <c:pt idx="2193">
                  <c:v>11.797828630686414</c:v>
                </c:pt>
                <c:pt idx="2194">
                  <c:v>11.800876554212808</c:v>
                </c:pt>
                <c:pt idx="2195">
                  <c:v>11.803923678682899</c:v>
                </c:pt>
                <c:pt idx="2196">
                  <c:v>11.806970004734129</c:v>
                </c:pt>
                <c:pt idx="2197">
                  <c:v>11.810015533003076</c:v>
                </c:pt>
                <c:pt idx="2198">
                  <c:v>11.813060264125456</c:v>
                </c:pt>
                <c:pt idx="2199">
                  <c:v>11.816104198736141</c:v>
                </c:pt>
                <c:pt idx="2200">
                  <c:v>11.819147337469138</c:v>
                </c:pt>
                <c:pt idx="2201">
                  <c:v>11.822189680957607</c:v>
                </c:pt>
                <c:pt idx="2202">
                  <c:v>11.825231229833857</c:v>
                </c:pt>
                <c:pt idx="2203">
                  <c:v>11.828271984729348</c:v>
                </c:pt>
                <c:pt idx="2204">
                  <c:v>11.831311946274692</c:v>
                </c:pt>
                <c:pt idx="2205">
                  <c:v>11.834351115099654</c:v>
                </c:pt>
                <c:pt idx="2206">
                  <c:v>11.837389491833157</c:v>
                </c:pt>
                <c:pt idx="2207">
                  <c:v>11.840427077103278</c:v>
                </c:pt>
                <c:pt idx="2208">
                  <c:v>11.84346387153726</c:v>
                </c:pt>
                <c:pt idx="2209">
                  <c:v>11.846499875761491</c:v>
                </c:pt>
                <c:pt idx="2210">
                  <c:v>11.849535090401545</c:v>
                </c:pt>
                <c:pt idx="2211">
                  <c:v>11.852569516082134</c:v>
                </c:pt>
                <c:pt idx="2212">
                  <c:v>11.855603153427158</c:v>
                </c:pt>
                <c:pt idx="2213">
                  <c:v>11.858636003059669</c:v>
                </c:pt>
                <c:pt idx="2214">
                  <c:v>11.86166806560189</c:v>
                </c:pt>
                <c:pt idx="2215">
                  <c:v>11.86469934167522</c:v>
                </c:pt>
                <c:pt idx="2216">
                  <c:v>11.867729831900224</c:v>
                </c:pt>
                <c:pt idx="2217">
                  <c:v>11.870759536896639</c:v>
                </c:pt>
                <c:pt idx="2218">
                  <c:v>11.873788457283386</c:v>
                </c:pt>
                <c:pt idx="2219">
                  <c:v>11.876816593678548</c:v>
                </c:pt>
                <c:pt idx="2220">
                  <c:v>11.879843946699399</c:v>
                </c:pt>
                <c:pt idx="2221">
                  <c:v>11.882870516962386</c:v>
                </c:pt>
                <c:pt idx="2222">
                  <c:v>11.885896305083136</c:v>
                </c:pt>
                <c:pt idx="2223">
                  <c:v>11.888921311676462</c:v>
                </c:pt>
                <c:pt idx="2224">
                  <c:v>11.89194553735636</c:v>
                </c:pt>
                <c:pt idx="2225">
                  <c:v>11.89496898273601</c:v>
                </c:pt>
                <c:pt idx="2226">
                  <c:v>11.897991648427782</c:v>
                </c:pt>
                <c:pt idx="2227">
                  <c:v>11.901013535043226</c:v>
                </c:pt>
                <c:pt idx="2228">
                  <c:v>11.904034643193096</c:v>
                </c:pt>
                <c:pt idx="2229">
                  <c:v>11.907054973487329</c:v>
                </c:pt>
                <c:pt idx="2230">
                  <c:v>11.910074526535052</c:v>
                </c:pt>
                <c:pt idx="2231">
                  <c:v>11.913093302944597</c:v>
                </c:pt>
                <c:pt idx="2232">
                  <c:v>11.916111303323483</c:v>
                </c:pt>
                <c:pt idx="2233">
                  <c:v>11.919128528278431</c:v>
                </c:pt>
                <c:pt idx="2234">
                  <c:v>11.922144978415357</c:v>
                </c:pt>
                <c:pt idx="2235">
                  <c:v>11.925160654339388</c:v>
                </c:pt>
                <c:pt idx="2236">
                  <c:v>11.928175556654839</c:v>
                </c:pt>
                <c:pt idx="2237">
                  <c:v>11.931189685965238</c:v>
                </c:pt>
                <c:pt idx="2238">
                  <c:v>11.934203042873319</c:v>
                </c:pt>
                <c:pt idx="2239">
                  <c:v>11.937215627981013</c:v>
                </c:pt>
                <c:pt idx="2240">
                  <c:v>11.940227441889473</c:v>
                </c:pt>
                <c:pt idx="2241">
                  <c:v>11.943238485199046</c:v>
                </c:pt>
                <c:pt idx="2242">
                  <c:v>11.946248758509309</c:v>
                </c:pt>
                <c:pt idx="2243">
                  <c:v>11.949258262419029</c:v>
                </c:pt>
                <c:pt idx="2244">
                  <c:v>11.952266997526209</c:v>
                </c:pt>
                <c:pt idx="2245">
                  <c:v>11.95527496442805</c:v>
                </c:pt>
                <c:pt idx="2246">
                  <c:v>11.95828216372098</c:v>
                </c:pt>
                <c:pt idx="2247">
                  <c:v>11.961288596000642</c:v>
                </c:pt>
                <c:pt idx="2248">
                  <c:v>11.964294261861898</c:v>
                </c:pt>
                <c:pt idx="2249">
                  <c:v>11.967299161898836</c:v>
                </c:pt>
                <c:pt idx="2250">
                  <c:v>11.97030329670476</c:v>
                </c:pt>
                <c:pt idx="2251">
                  <c:v>11.973306666872205</c:v>
                </c:pt>
                <c:pt idx="2252">
                  <c:v>11.976309272992923</c:v>
                </c:pt>
                <c:pt idx="2253">
                  <c:v>11.9793111156579</c:v>
                </c:pt>
                <c:pt idx="2254">
                  <c:v>11.98231219545735</c:v>
                </c:pt>
                <c:pt idx="2255">
                  <c:v>11.985312512980714</c:v>
                </c:pt>
                <c:pt idx="2256">
                  <c:v>11.988312068816668</c:v>
                </c:pt>
                <c:pt idx="2257">
                  <c:v>11.991310863553116</c:v>
                </c:pt>
                <c:pt idx="2258">
                  <c:v>11.994308897777199</c:v>
                </c:pt>
                <c:pt idx="2259">
                  <c:v>11.997306172075291</c:v>
                </c:pt>
                <c:pt idx="2260">
                  <c:v>12.000302687033008</c:v>
                </c:pt>
                <c:pt idx="2261">
                  <c:v>12.003298443235199</c:v>
                </c:pt>
                <c:pt idx="2262">
                  <c:v>12.00629344126596</c:v>
                </c:pt>
                <c:pt idx="2263">
                  <c:v>12.009287681708615</c:v>
                </c:pt>
                <c:pt idx="2264">
                  <c:v>12.012281165145746</c:v>
                </c:pt>
                <c:pt idx="2265">
                  <c:v>12.01527389215917</c:v>
                </c:pt>
                <c:pt idx="2266">
                  <c:v>12.018265863329948</c:v>
                </c:pt>
                <c:pt idx="2267">
                  <c:v>12.021257079238396</c:v>
                </c:pt>
                <c:pt idx="2268">
                  <c:v>12.024247540464067</c:v>
                </c:pt>
                <c:pt idx="2269">
                  <c:v>12.027237247585777</c:v>
                </c:pt>
                <c:pt idx="2270">
                  <c:v>12.030226201181579</c:v>
                </c:pt>
                <c:pt idx="2271">
                  <c:v>12.033214401828786</c:v>
                </c:pt>
                <c:pt idx="2272">
                  <c:v>12.036201850103964</c:v>
                </c:pt>
                <c:pt idx="2273">
                  <c:v>12.039188546582933</c:v>
                </c:pt>
                <c:pt idx="2274">
                  <c:v>12.042174491840772</c:v>
                </c:pt>
                <c:pt idx="2275">
                  <c:v>12.045159686451811</c:v>
                </c:pt>
                <c:pt idx="2276">
                  <c:v>12.048144130989645</c:v>
                </c:pt>
                <c:pt idx="2277">
                  <c:v>12.051127826027127</c:v>
                </c:pt>
                <c:pt idx="2278">
                  <c:v>12.054110772136374</c:v>
                </c:pt>
                <c:pt idx="2279">
                  <c:v>12.057092969888764</c:v>
                </c:pt>
                <c:pt idx="2280">
                  <c:v>12.060074419854939</c:v>
                </c:pt>
                <c:pt idx="2281">
                  <c:v>12.063055122604808</c:v>
                </c:pt>
                <c:pt idx="2282">
                  <c:v>12.06603507870755</c:v>
                </c:pt>
                <c:pt idx="2283">
                  <c:v>12.069014288731605</c:v>
                </c:pt>
                <c:pt idx="2284">
                  <c:v>12.071992753244688</c:v>
                </c:pt>
                <c:pt idx="2285">
                  <c:v>12.074970472813789</c:v>
                </c:pt>
                <c:pt idx="2286">
                  <c:v>12.077947448005157</c:v>
                </c:pt>
                <c:pt idx="2287">
                  <c:v>12.080923679384334</c:v>
                </c:pt>
                <c:pt idx="2288">
                  <c:v>12.083899167516119</c:v>
                </c:pt>
                <c:pt idx="2289">
                  <c:v>12.086873912964595</c:v>
                </c:pt>
                <c:pt idx="2290">
                  <c:v>12.089847916293127</c:v>
                </c:pt>
                <c:pt idx="2291">
                  <c:v>12.092821178064352</c:v>
                </c:pt>
                <c:pt idx="2292">
                  <c:v>12.095793698840193</c:v>
                </c:pt>
                <c:pt idx="2293">
                  <c:v>12.09876547918185</c:v>
                </c:pt>
                <c:pt idx="2294">
                  <c:v>12.101736519649805</c:v>
                </c:pt>
                <c:pt idx="2295">
                  <c:v>12.10470682080383</c:v>
                </c:pt>
                <c:pt idx="2296">
                  <c:v>12.10767638320298</c:v>
                </c:pt>
                <c:pt idx="2297">
                  <c:v>12.110645207405593</c:v>
                </c:pt>
                <c:pt idx="2298">
                  <c:v>12.113613293969301</c:v>
                </c:pt>
                <c:pt idx="2299">
                  <c:v>12.116580643451023</c:v>
                </c:pt>
                <c:pt idx="2300">
                  <c:v>12.119547256406968</c:v>
                </c:pt>
                <c:pt idx="2301">
                  <c:v>12.122513133392637</c:v>
                </c:pt>
                <c:pt idx="2302">
                  <c:v>12.12547827496282</c:v>
                </c:pt>
                <c:pt idx="2303">
                  <c:v>12.128442681671617</c:v>
                </c:pt>
                <c:pt idx="2304">
                  <c:v>12.131406354072404</c:v>
                </c:pt>
                <c:pt idx="2305">
                  <c:v>12.134369292717864</c:v>
                </c:pt>
                <c:pt idx="2306">
                  <c:v>12.13733149815998</c:v>
                </c:pt>
                <c:pt idx="2307">
                  <c:v>12.140292970950032</c:v>
                </c:pt>
                <c:pt idx="2308">
                  <c:v>12.143253711638597</c:v>
                </c:pt>
                <c:pt idx="2309">
                  <c:v>12.14621372077556</c:v>
                </c:pt>
                <c:pt idx="2310">
                  <c:v>12.14917299891011</c:v>
                </c:pt>
                <c:pt idx="2311">
                  <c:v>12.152131546590731</c:v>
                </c:pt>
                <c:pt idx="2312">
                  <c:v>12.155089364365224</c:v>
                </c:pt>
                <c:pt idx="2313">
                  <c:v>12.158046452780694</c:v>
                </c:pt>
                <c:pt idx="2314">
                  <c:v>12.161002812383547</c:v>
                </c:pt>
                <c:pt idx="2315">
                  <c:v>12.163958443719508</c:v>
                </c:pt>
                <c:pt idx="2316">
                  <c:v>12.166913347333608</c:v>
                </c:pt>
                <c:pt idx="2317">
                  <c:v>12.169867523770195</c:v>
                </c:pt>
                <c:pt idx="2318">
                  <c:v>12.172820973572922</c:v>
                </c:pt>
                <c:pt idx="2319">
                  <c:v>12.175773697284763</c:v>
                </c:pt>
                <c:pt idx="2320">
                  <c:v>12.178725695448005</c:v>
                </c:pt>
                <c:pt idx="2321">
                  <c:v>12.181676968604251</c:v>
                </c:pt>
                <c:pt idx="2322">
                  <c:v>12.184627517294425</c:v>
                </c:pt>
                <c:pt idx="2323">
                  <c:v>12.18757734205877</c:v>
                </c:pt>
                <c:pt idx="2324">
                  <c:v>12.190526443436848</c:v>
                </c:pt>
                <c:pt idx="2325">
                  <c:v>12.193474821967541</c:v>
                </c:pt>
                <c:pt idx="2326">
                  <c:v>12.19642247818906</c:v>
                </c:pt>
                <c:pt idx="2327">
                  <c:v>12.199369412638932</c:v>
                </c:pt>
                <c:pt idx="2328">
                  <c:v>12.202315625854018</c:v>
                </c:pt>
                <c:pt idx="2329">
                  <c:v>12.205261118370498</c:v>
                </c:pt>
                <c:pt idx="2330">
                  <c:v>12.208205890723889</c:v>
                </c:pt>
                <c:pt idx="2331">
                  <c:v>12.211149943449023</c:v>
                </c:pt>
                <c:pt idx="2332">
                  <c:v>12.214093277080076</c:v>
                </c:pt>
                <c:pt idx="2333">
                  <c:v>12.217035892150548</c:v>
                </c:pt>
                <c:pt idx="2334">
                  <c:v>12.219977789193274</c:v>
                </c:pt>
                <c:pt idx="2335">
                  <c:v>12.222918968740423</c:v>
                </c:pt>
                <c:pt idx="2336">
                  <c:v>12.225859431323492</c:v>
                </c:pt>
                <c:pt idx="2337">
                  <c:v>12.228799177473327</c:v>
                </c:pt>
                <c:pt idx="2338">
                  <c:v>12.231738207720099</c:v>
                </c:pt>
                <c:pt idx="2339">
                  <c:v>12.234676522593325</c:v>
                </c:pt>
                <c:pt idx="2340">
                  <c:v>12.237614122621862</c:v>
                </c:pt>
                <c:pt idx="2341">
                  <c:v>12.240551008333897</c:v>
                </c:pt>
                <c:pt idx="2342">
                  <c:v>12.243487180256974</c:v>
                </c:pt>
                <c:pt idx="2343">
                  <c:v>12.246422638917968</c:v>
                </c:pt>
                <c:pt idx="2344">
                  <c:v>12.249357384843107</c:v>
                </c:pt>
                <c:pt idx="2345">
                  <c:v>12.252291418557956</c:v>
                </c:pt>
                <c:pt idx="2346">
                  <c:v>12.255224740587437</c:v>
                </c:pt>
                <c:pt idx="2347">
                  <c:v>12.258157351455809</c:v>
                </c:pt>
                <c:pt idx="2348">
                  <c:v>12.261089251686684</c:v>
                </c:pt>
                <c:pt idx="2349">
                  <c:v>12.264020441803027</c:v>
                </c:pt>
                <c:pt idx="2350">
                  <c:v>12.266950922327151</c:v>
                </c:pt>
                <c:pt idx="2351">
                  <c:v>12.269880693780722</c:v>
                </c:pt>
                <c:pt idx="2352">
                  <c:v>12.272809756684758</c:v>
                </c:pt>
                <c:pt idx="2353">
                  <c:v>12.275738111559633</c:v>
                </c:pt>
                <c:pt idx="2354">
                  <c:v>12.278665758925076</c:v>
                </c:pt>
                <c:pt idx="2355">
                  <c:v>12.281592699300177</c:v>
                </c:pt>
                <c:pt idx="2356">
                  <c:v>12.284518933203376</c:v>
                </c:pt>
                <c:pt idx="2357">
                  <c:v>12.287444461152477</c:v>
                </c:pt>
                <c:pt idx="2358">
                  <c:v>12.290369283664646</c:v>
                </c:pt>
                <c:pt idx="2359">
                  <c:v>12.293293401256401</c:v>
                </c:pt>
                <c:pt idx="2360">
                  <c:v>12.296216814443635</c:v>
                </c:pt>
                <c:pt idx="2361">
                  <c:v>12.299139523741598</c:v>
                </c:pt>
                <c:pt idx="2362">
                  <c:v>12.302061529664904</c:v>
                </c:pt>
                <c:pt idx="2363">
                  <c:v>12.304982832727532</c:v>
                </c:pt>
                <c:pt idx="2364">
                  <c:v>12.30790343344283</c:v>
                </c:pt>
                <c:pt idx="2365">
                  <c:v>12.310823332323519</c:v>
                </c:pt>
                <c:pt idx="2366">
                  <c:v>12.313742529881678</c:v>
                </c:pt>
                <c:pt idx="2367">
                  <c:v>12.316661026628761</c:v>
                </c:pt>
                <c:pt idx="2368">
                  <c:v>12.319578823075599</c:v>
                </c:pt>
                <c:pt idx="2369">
                  <c:v>12.322495919732388</c:v>
                </c:pt>
                <c:pt idx="2370">
                  <c:v>12.325412317108697</c:v>
                </c:pt>
                <c:pt idx="2371">
                  <c:v>12.328328015713478</c:v>
                </c:pt>
                <c:pt idx="2372">
                  <c:v>12.331243016055048</c:v>
                </c:pt>
                <c:pt idx="2373">
                  <c:v>12.334157318641108</c:v>
                </c:pt>
                <c:pt idx="2374">
                  <c:v>12.337070923978732</c:v>
                </c:pt>
                <c:pt idx="2375">
                  <c:v>12.339983832574376</c:v>
                </c:pt>
                <c:pt idx="2376">
                  <c:v>12.342896044933878</c:v>
                </c:pt>
                <c:pt idx="2377">
                  <c:v>12.345807561562449</c:v>
                </c:pt>
                <c:pt idx="2378">
                  <c:v>12.348718382964693</c:v>
                </c:pt>
                <c:pt idx="2379">
                  <c:v>12.351628509644584</c:v>
                </c:pt>
                <c:pt idx="2380">
                  <c:v>12.354537942105495</c:v>
                </c:pt>
                <c:pt idx="2381">
                  <c:v>12.35744668085017</c:v>
                </c:pt>
                <c:pt idx="2382">
                  <c:v>12.360354726380752</c:v>
                </c:pt>
                <c:pt idx="2383">
                  <c:v>12.363262079198762</c:v>
                </c:pt>
                <c:pt idx="2384">
                  <c:v>12.36616873980511</c:v>
                </c:pt>
                <c:pt idx="2385">
                  <c:v>12.369074708700104</c:v>
                </c:pt>
                <c:pt idx="2386">
                  <c:v>12.371979986383433</c:v>
                </c:pt>
                <c:pt idx="2387">
                  <c:v>12.374884573354187</c:v>
                </c:pt>
                <c:pt idx="2388">
                  <c:v>12.377788470110834</c:v>
                </c:pt>
                <c:pt idx="2389">
                  <c:v>12.380691677151251</c:v>
                </c:pt>
                <c:pt idx="2390">
                  <c:v>12.383594194972703</c:v>
                </c:pt>
                <c:pt idx="2391">
                  <c:v>12.38649602407185</c:v>
                </c:pt>
                <c:pt idx="2392">
                  <c:v>12.38939716494475</c:v>
                </c:pt>
                <c:pt idx="2393">
                  <c:v>12.392297618086861</c:v>
                </c:pt>
                <c:pt idx="2394">
                  <c:v>12.395197383993036</c:v>
                </c:pt>
                <c:pt idx="2395">
                  <c:v>12.398096463157529</c:v>
                </c:pt>
                <c:pt idx="2396">
                  <c:v>12.400994856074</c:v>
                </c:pt>
                <c:pt idx="2397">
                  <c:v>12.4038925632355</c:v>
                </c:pt>
                <c:pt idx="2398">
                  <c:v>12.406789585134494</c:v>
                </c:pt>
                <c:pt idx="2399">
                  <c:v>12.409685922262847</c:v>
                </c:pt>
                <c:pt idx="2400">
                  <c:v>12.412581575111826</c:v>
                </c:pt>
                <c:pt idx="2401">
                  <c:v>12.415476544172108</c:v>
                </c:pt>
                <c:pt idx="2402">
                  <c:v>12.418370829933776</c:v>
                </c:pt>
                <c:pt idx="2403">
                  <c:v>12.421264432886323</c:v>
                </c:pt>
                <c:pt idx="2404">
                  <c:v>12.424157353518645</c:v>
                </c:pt>
                <c:pt idx="2405">
                  <c:v>12.427049592319054</c:v>
                </c:pt>
                <c:pt idx="2406">
                  <c:v>12.429941149775274</c:v>
                </c:pt>
                <c:pt idx="2407">
                  <c:v>12.432832026374435</c:v>
                </c:pt>
                <c:pt idx="2408">
                  <c:v>12.435722222603083</c:v>
                </c:pt>
                <c:pt idx="2409">
                  <c:v>12.438611738947181</c:v>
                </c:pt>
                <c:pt idx="2410">
                  <c:v>12.441500575892103</c:v>
                </c:pt>
                <c:pt idx="2411">
                  <c:v>12.444388733922636</c:v>
                </c:pt>
                <c:pt idx="2412">
                  <c:v>12.447276213523002</c:v>
                </c:pt>
                <c:pt idx="2413">
                  <c:v>12.450163015176818</c:v>
                </c:pt>
                <c:pt idx="2414">
                  <c:v>12.453049139367131</c:v>
                </c:pt>
                <c:pt idx="2415">
                  <c:v>12.455934586576412</c:v>
                </c:pt>
                <c:pt idx="2416">
                  <c:v>12.45881935728654</c:v>
                </c:pt>
                <c:pt idx="2417">
                  <c:v>12.461703451978831</c:v>
                </c:pt>
                <c:pt idx="2418">
                  <c:v>12.464586871134015</c:v>
                </c:pt>
                <c:pt idx="2419">
                  <c:v>12.46746961523225</c:v>
                </c:pt>
                <c:pt idx="2420">
                  <c:v>12.470351684753112</c:v>
                </c:pt>
                <c:pt idx="2421">
                  <c:v>12.473233080175618</c:v>
                </c:pt>
                <c:pt idx="2422">
                  <c:v>12.476113801978194</c:v>
                </c:pt>
                <c:pt idx="2423">
                  <c:v>12.4789938506387</c:v>
                </c:pt>
                <c:pt idx="2424">
                  <c:v>12.481873226634438</c:v>
                </c:pt>
                <c:pt idx="2425">
                  <c:v>12.484751930442114</c:v>
                </c:pt>
                <c:pt idx="2426">
                  <c:v>12.487629962537889</c:v>
                </c:pt>
                <c:pt idx="2427">
                  <c:v>12.490507323397349</c:v>
                </c:pt>
                <c:pt idx="2428">
                  <c:v>12.493384013495502</c:v>
                </c:pt>
                <c:pt idx="2429">
                  <c:v>12.4962600333068</c:v>
                </c:pt>
                <c:pt idx="2430">
                  <c:v>12.499135383305131</c:v>
                </c:pt>
                <c:pt idx="2431">
                  <c:v>12.502010063963811</c:v>
                </c:pt>
                <c:pt idx="2432">
                  <c:v>12.504884075755594</c:v>
                </c:pt>
                <c:pt idx="2433">
                  <c:v>12.507757419152682</c:v>
                </c:pt>
                <c:pt idx="2434">
                  <c:v>12.5106300946267</c:v>
                </c:pt>
                <c:pt idx="2435">
                  <c:v>12.513502102648721</c:v>
                </c:pt>
                <c:pt idx="2436">
                  <c:v>12.516373443689258</c:v>
                </c:pt>
                <c:pt idx="2437">
                  <c:v>12.519244118218264</c:v>
                </c:pt>
                <c:pt idx="2438">
                  <c:v>12.522114126705134</c:v>
                </c:pt>
                <c:pt idx="2439">
                  <c:v>12.524983469618705</c:v>
                </c:pt>
                <c:pt idx="2440">
                  <c:v>12.527852147427263</c:v>
                </c:pt>
                <c:pt idx="2441">
                  <c:v>12.530720160598529</c:v>
                </c:pt>
                <c:pt idx="2442">
                  <c:v>12.533587509599684</c:v>
                </c:pt>
                <c:pt idx="2443">
                  <c:v>12.536454194897344</c:v>
                </c:pt>
                <c:pt idx="2444">
                  <c:v>12.539320216957575</c:v>
                </c:pt>
                <c:pt idx="2445">
                  <c:v>12.542185576245899</c:v>
                </c:pt>
                <c:pt idx="2446">
                  <c:v>12.545050273227279</c:v>
                </c:pt>
                <c:pt idx="2447">
                  <c:v>12.547914308366131</c:v>
                </c:pt>
                <c:pt idx="2448">
                  <c:v>12.550777682126323</c:v>
                </c:pt>
                <c:pt idx="2449">
                  <c:v>12.553640394971181</c:v>
                </c:pt>
                <c:pt idx="2450">
                  <c:v>12.556502447363471</c:v>
                </c:pt>
                <c:pt idx="2451">
                  <c:v>12.559363839765428</c:v>
                </c:pt>
                <c:pt idx="2452">
                  <c:v>12.56222457263873</c:v>
                </c:pt>
                <c:pt idx="2453">
                  <c:v>12.565084646444518</c:v>
                </c:pt>
                <c:pt idx="2454">
                  <c:v>12.567944061643392</c:v>
                </c:pt>
                <c:pt idx="2455">
                  <c:v>12.570802818695398</c:v>
                </c:pt>
                <c:pt idx="2456">
                  <c:v>12.573660918060057</c:v>
                </c:pt>
                <c:pt idx="2457">
                  <c:v>12.576518360196332</c:v>
                </c:pt>
                <c:pt idx="2458">
                  <c:v>12.579375145562665</c:v>
                </c:pt>
                <c:pt idx="2459">
                  <c:v>12.582231274616944</c:v>
                </c:pt>
                <c:pt idx="2460">
                  <c:v>12.585086747816531</c:v>
                </c:pt>
                <c:pt idx="2461">
                  <c:v>12.587941565618241</c:v>
                </c:pt>
                <c:pt idx="2462">
                  <c:v>12.590795728478358</c:v>
                </c:pt>
                <c:pt idx="2463">
                  <c:v>12.593649236852633</c:v>
                </c:pt>
                <c:pt idx="2464">
                  <c:v>12.596502091196278</c:v>
                </c:pt>
                <c:pt idx="2465">
                  <c:v>12.59935429196398</c:v>
                </c:pt>
                <c:pt idx="2466">
                  <c:v>12.602205839609883</c:v>
                </c:pt>
                <c:pt idx="2467">
                  <c:v>12.605056734587606</c:v>
                </c:pt>
                <c:pt idx="2468">
                  <c:v>12.607906977350236</c:v>
                </c:pt>
                <c:pt idx="2469">
                  <c:v>12.610756568350331</c:v>
                </c:pt>
                <c:pt idx="2470">
                  <c:v>12.613605508039917</c:v>
                </c:pt>
                <c:pt idx="2471">
                  <c:v>12.616453796870498</c:v>
                </c:pt>
                <c:pt idx="2472">
                  <c:v>12.619301435293046</c:v>
                </c:pt>
                <c:pt idx="2473">
                  <c:v>12.622148423758007</c:v>
                </c:pt>
                <c:pt idx="2474">
                  <c:v>12.624994762715305</c:v>
                </c:pt>
                <c:pt idx="2475">
                  <c:v>12.627840452614334</c:v>
                </c:pt>
                <c:pt idx="2476">
                  <c:v>12.630685493903972</c:v>
                </c:pt>
                <c:pt idx="2477">
                  <c:v>12.633529887032566</c:v>
                </c:pt>
                <c:pt idx="2478">
                  <c:v>12.636373632447945</c:v>
                </c:pt>
                <c:pt idx="2479">
                  <c:v>12.639216730597422</c:v>
                </c:pt>
                <c:pt idx="2480">
                  <c:v>12.642059181927779</c:v>
                </c:pt>
                <c:pt idx="2481">
                  <c:v>12.644900986885288</c:v>
                </c:pt>
                <c:pt idx="2482">
                  <c:v>12.647742145915698</c:v>
                </c:pt>
                <c:pt idx="2483">
                  <c:v>12.650582659464241</c:v>
                </c:pt>
                <c:pt idx="2484">
                  <c:v>12.653422527975632</c:v>
                </c:pt>
                <c:pt idx="2485">
                  <c:v>12.656261751894071</c:v>
                </c:pt>
                <c:pt idx="2486">
                  <c:v>12.65910033166324</c:v>
                </c:pt>
                <c:pt idx="2487">
                  <c:v>12.661938267726317</c:v>
                </c:pt>
                <c:pt idx="2488">
                  <c:v>12.66477556052595</c:v>
                </c:pt>
                <c:pt idx="2489">
                  <c:v>12.667612210504288</c:v>
                </c:pt>
                <c:pt idx="2490">
                  <c:v>12.670448218102962</c:v>
                </c:pt>
                <c:pt idx="2491">
                  <c:v>12.673283583763094</c:v>
                </c:pt>
                <c:pt idx="2492">
                  <c:v>12.676118307925297</c:v>
                </c:pt>
                <c:pt idx="2493">
                  <c:v>12.67895239102967</c:v>
                </c:pt>
                <c:pt idx="2494">
                  <c:v>12.681785833515811</c:v>
                </c:pt>
                <c:pt idx="2495">
                  <c:v>12.684618635822805</c:v>
                </c:pt>
                <c:pt idx="2496">
                  <c:v>12.687450798389232</c:v>
                </c:pt>
                <c:pt idx="2497">
                  <c:v>12.690282321653164</c:v>
                </c:pt>
                <c:pt idx="2498">
                  <c:v>12.693113206052169</c:v>
                </c:pt>
                <c:pt idx="2499">
                  <c:v>12.695943452023318</c:v>
                </c:pt>
                <c:pt idx="2500">
                  <c:v>12.698773060003166</c:v>
                </c:pt>
                <c:pt idx="2501">
                  <c:v>12.70160203042777</c:v>
                </c:pt>
                <c:pt idx="2502">
                  <c:v>12.704430363732692</c:v>
                </c:pt>
                <c:pt idx="2503">
                  <c:v>12.707258060352986</c:v>
                </c:pt>
                <c:pt idx="2504">
                  <c:v>12.710085120723207</c:v>
                </c:pt>
                <c:pt idx="2505">
                  <c:v>12.712911545277409</c:v>
                </c:pt>
                <c:pt idx="2506">
                  <c:v>12.715737334449155</c:v>
                </c:pt>
                <c:pt idx="2507">
                  <c:v>12.718562488671502</c:v>
                </c:pt>
                <c:pt idx="2508">
                  <c:v>12.721387008377011</c:v>
                </c:pt>
                <c:pt idx="2509">
                  <c:v>12.72421089399775</c:v>
                </c:pt>
                <c:pt idx="2510">
                  <c:v>12.727034145965291</c:v>
                </c:pt>
                <c:pt idx="2511">
                  <c:v>12.729856764710711</c:v>
                </c:pt>
                <c:pt idx="2512">
                  <c:v>12.732678750664597</c:v>
                </c:pt>
                <c:pt idx="2513">
                  <c:v>12.735500104257033</c:v>
                </c:pt>
                <c:pt idx="2514">
                  <c:v>12.73832082591762</c:v>
                </c:pt>
                <c:pt idx="2515">
                  <c:v>12.741140916075468</c:v>
                </c:pt>
                <c:pt idx="2516">
                  <c:v>12.743960375159189</c:v>
                </c:pt>
                <c:pt idx="2517">
                  <c:v>12.746779203596912</c:v>
                </c:pt>
                <c:pt idx="2518">
                  <c:v>12.749597401816274</c:v>
                </c:pt>
                <c:pt idx="2519">
                  <c:v>12.752414970244423</c:v>
                </c:pt>
                <c:pt idx="2520">
                  <c:v>12.755231909308026</c:v>
                </c:pt>
                <c:pt idx="2521">
                  <c:v>12.758048219433256</c:v>
                </c:pt>
                <c:pt idx="2522">
                  <c:v>12.760863901045802</c:v>
                </c:pt>
                <c:pt idx="2523">
                  <c:v>12.763678954570869</c:v>
                </c:pt>
                <c:pt idx="2524">
                  <c:v>12.766493380433182</c:v>
                </c:pt>
                <c:pt idx="2525">
                  <c:v>12.76930717905697</c:v>
                </c:pt>
                <c:pt idx="2526">
                  <c:v>12.772120350865993</c:v>
                </c:pt>
                <c:pt idx="2527">
                  <c:v>12.774932896283527</c:v>
                </c:pt>
                <c:pt idx="2528">
                  <c:v>12.777744815732355</c:v>
                </c:pt>
                <c:pt idx="2529">
                  <c:v>12.780556109634794</c:v>
                </c:pt>
                <c:pt idx="2530">
                  <c:v>12.783366778412674</c:v>
                </c:pt>
                <c:pt idx="2531">
                  <c:v>12.786176822487352</c:v>
                </c:pt>
                <c:pt idx="2532">
                  <c:v>12.788986242279693</c:v>
                </c:pt>
                <c:pt idx="2533">
                  <c:v>12.791795038210104</c:v>
                </c:pt>
                <c:pt idx="2534">
                  <c:v>12.794603210698499</c:v>
                </c:pt>
                <c:pt idx="2535">
                  <c:v>12.797410760164329</c:v>
                </c:pt>
                <c:pt idx="2536">
                  <c:v>12.80021768702656</c:v>
                </c:pt>
                <c:pt idx="2537">
                  <c:v>12.803023991703691</c:v>
                </c:pt>
                <c:pt idx="2538">
                  <c:v>12.805829674613742</c:v>
                </c:pt>
                <c:pt idx="2539">
                  <c:v>12.808634736174266</c:v>
                </c:pt>
                <c:pt idx="2540">
                  <c:v>12.811439176802335</c:v>
                </c:pt>
                <c:pt idx="2541">
                  <c:v>12.814242996914562</c:v>
                </c:pt>
                <c:pt idx="2542">
                  <c:v>12.817046196927077</c:v>
                </c:pt>
                <c:pt idx="2543">
                  <c:v>12.819848777255554</c:v>
                </c:pt>
                <c:pt idx="2544">
                  <c:v>12.822650738315188</c:v>
                </c:pt>
                <c:pt idx="2545">
                  <c:v>12.825452080520705</c:v>
                </c:pt>
                <c:pt idx="2546">
                  <c:v>12.828252804286368</c:v>
                </c:pt>
                <c:pt idx="2547">
                  <c:v>12.831052910025974</c:v>
                </c:pt>
                <c:pt idx="2548">
                  <c:v>12.833852398152851</c:v>
                </c:pt>
                <c:pt idx="2549">
                  <c:v>12.836651269079866</c:v>
                </c:pt>
                <c:pt idx="2550">
                  <c:v>12.839449523219415</c:v>
                </c:pt>
                <c:pt idx="2551">
                  <c:v>12.842247160983431</c:v>
                </c:pt>
                <c:pt idx="2552">
                  <c:v>12.845044182783393</c:v>
                </c:pt>
                <c:pt idx="2553">
                  <c:v>12.84784058903031</c:v>
                </c:pt>
                <c:pt idx="2554">
                  <c:v>12.850636380134729</c:v>
                </c:pt>
                <c:pt idx="2555">
                  <c:v>12.853431556506738</c:v>
                </c:pt>
                <c:pt idx="2556">
                  <c:v>12.856226118555966</c:v>
                </c:pt>
                <c:pt idx="2557">
                  <c:v>12.859020066691581</c:v>
                </c:pt>
                <c:pt idx="2558">
                  <c:v>12.861813401322294</c:v>
                </c:pt>
                <c:pt idx="2559">
                  <c:v>12.864606122856358</c:v>
                </c:pt>
                <c:pt idx="2560">
                  <c:v>12.867398231701568</c:v>
                </c:pt>
                <c:pt idx="2561">
                  <c:v>12.870189728265258</c:v>
                </c:pt>
                <c:pt idx="2562">
                  <c:v>12.872980612954315</c:v>
                </c:pt>
                <c:pt idx="2563">
                  <c:v>12.875770886175166</c:v>
                </c:pt>
                <c:pt idx="2564">
                  <c:v>12.878560548333786</c:v>
                </c:pt>
                <c:pt idx="2565">
                  <c:v>12.881349599835691</c:v>
                </c:pt>
                <c:pt idx="2566">
                  <c:v>12.884138041085951</c:v>
                </c:pt>
                <c:pt idx="2567">
                  <c:v>12.886925872489179</c:v>
                </c:pt>
                <c:pt idx="2568">
                  <c:v>12.88971309444954</c:v>
                </c:pt>
                <c:pt idx="2569">
                  <c:v>12.892499707370749</c:v>
                </c:pt>
                <c:pt idx="2570">
                  <c:v>12.895285711656065</c:v>
                </c:pt>
                <c:pt idx="2571">
                  <c:v>12.898071107708304</c:v>
                </c:pt>
                <c:pt idx="2572">
                  <c:v>12.900855895929828</c:v>
                </c:pt>
                <c:pt idx="2573">
                  <c:v>12.903640076722557</c:v>
                </c:pt>
                <c:pt idx="2574">
                  <c:v>12.906423650487959</c:v>
                </c:pt>
                <c:pt idx="2575">
                  <c:v>12.909206617627055</c:v>
                </c:pt>
                <c:pt idx="2576">
                  <c:v>12.911988978540428</c:v>
                </c:pt>
                <c:pt idx="2577">
                  <c:v>12.91477073362821</c:v>
                </c:pt>
                <c:pt idx="2578">
                  <c:v>12.917551883290082</c:v>
                </c:pt>
                <c:pt idx="2579">
                  <c:v>12.920332427925295</c:v>
                </c:pt>
                <c:pt idx="2580">
                  <c:v>12.923112367932653</c:v>
                </c:pt>
                <c:pt idx="2581">
                  <c:v>12.925891703710507</c:v>
                </c:pt>
                <c:pt idx="2582">
                  <c:v>12.92867043565678</c:v>
                </c:pt>
                <c:pt idx="2583">
                  <c:v>12.931448564168946</c:v>
                </c:pt>
                <c:pt idx="2584">
                  <c:v>12.934226089644042</c:v>
                </c:pt>
                <c:pt idx="2585">
                  <c:v>12.937003012478666</c:v>
                </c:pt>
                <c:pt idx="2586">
                  <c:v>12.939779333068977</c:v>
                </c:pt>
                <c:pt idx="2587">
                  <c:v>12.942555051810693</c:v>
                </c:pt>
                <c:pt idx="2588">
                  <c:v>12.945330169099096</c:v>
                </c:pt>
                <c:pt idx="2589">
                  <c:v>12.948104685329033</c:v>
                </c:pt>
                <c:pt idx="2590">
                  <c:v>12.950878600894912</c:v>
                </c:pt>
                <c:pt idx="2591">
                  <c:v>12.953651916190708</c:v>
                </c:pt>
                <c:pt idx="2592">
                  <c:v>12.956424631609961</c:v>
                </c:pt>
                <c:pt idx="2593">
                  <c:v>12.959196747545775</c:v>
                </c:pt>
                <c:pt idx="2594">
                  <c:v>12.961968264390825</c:v>
                </c:pt>
                <c:pt idx="2595">
                  <c:v>12.964739182537345</c:v>
                </c:pt>
                <c:pt idx="2596">
                  <c:v>12.967509502377148</c:v>
                </c:pt>
                <c:pt idx="2597">
                  <c:v>12.970279224301603</c:v>
                </c:pt>
                <c:pt idx="2598">
                  <c:v>12.97304834870166</c:v>
                </c:pt>
                <c:pt idx="2599">
                  <c:v>12.975816875967833</c:v>
                </c:pt>
                <c:pt idx="2600">
                  <c:v>12.978584806490208</c:v>
                </c:pt>
                <c:pt idx="2601">
                  <c:v>12.981352140658441</c:v>
                </c:pt>
                <c:pt idx="2602">
                  <c:v>12.984118878861759</c:v>
                </c:pt>
                <c:pt idx="2603">
                  <c:v>12.986885021488968</c:v>
                </c:pt>
                <c:pt idx="2604">
                  <c:v>12.989650568928438</c:v>
                </c:pt>
                <c:pt idx="2605">
                  <c:v>12.992415521568123</c:v>
                </c:pt>
                <c:pt idx="2606">
                  <c:v>12.995179879795543</c:v>
                </c:pt>
                <c:pt idx="2607">
                  <c:v>12.997943643997798</c:v>
                </c:pt>
                <c:pt idx="2608">
                  <c:v>13.000706814561564</c:v>
                </c:pt>
                <c:pt idx="2609">
                  <c:v>13.003469391873086</c:v>
                </c:pt>
                <c:pt idx="2610">
                  <c:v>13.006231376318199</c:v>
                </c:pt>
                <c:pt idx="2611">
                  <c:v>13.008992768282308</c:v>
                </c:pt>
                <c:pt idx="2612">
                  <c:v>13.011753568150397</c:v>
                </c:pt>
                <c:pt idx="2613">
                  <c:v>13.014513776307028</c:v>
                </c:pt>
                <c:pt idx="2614">
                  <c:v>13.01727339313635</c:v>
                </c:pt>
                <c:pt idx="2615">
                  <c:v>13.020032419022083</c:v>
                </c:pt>
                <c:pt idx="2616">
                  <c:v>13.022790854347534</c:v>
                </c:pt>
                <c:pt idx="2617">
                  <c:v>13.025548699495589</c:v>
                </c:pt>
                <c:pt idx="2618">
                  <c:v>13.028305954848721</c:v>
                </c:pt>
                <c:pt idx="2619">
                  <c:v>13.031062620788981</c:v>
                </c:pt>
                <c:pt idx="2620">
                  <c:v>13.033818697698006</c:v>
                </c:pt>
                <c:pt idx="2621">
                  <c:v>13.036574185957017</c:v>
                </c:pt>
                <c:pt idx="2622">
                  <c:v>13.039329085946818</c:v>
                </c:pt>
                <c:pt idx="2623">
                  <c:v>13.042083398047804</c:v>
                </c:pt>
                <c:pt idx="2624">
                  <c:v>13.044837122639951</c:v>
                </c:pt>
                <c:pt idx="2625">
                  <c:v>13.047590260102822</c:v>
                </c:pt>
                <c:pt idx="2626">
                  <c:v>13.050342810815575</c:v>
                </c:pt>
                <c:pt idx="2627">
                  <c:v>13.053094775156943</c:v>
                </c:pt>
                <c:pt idx="2628">
                  <c:v>13.055846153505261</c:v>
                </c:pt>
                <c:pt idx="2629">
                  <c:v>13.058596946238444</c:v>
                </c:pt>
                <c:pt idx="2630">
                  <c:v>13.061347153734005</c:v>
                </c:pt>
                <c:pt idx="2631">
                  <c:v>13.064096776369041</c:v>
                </c:pt>
                <c:pt idx="2632">
                  <c:v>13.06684581452024</c:v>
                </c:pt>
                <c:pt idx="2633">
                  <c:v>13.06959426856389</c:v>
                </c:pt>
                <c:pt idx="2634">
                  <c:v>13.072342138875864</c:v>
                </c:pt>
                <c:pt idx="2635">
                  <c:v>13.07508942583163</c:v>
                </c:pt>
                <c:pt idx="2636">
                  <c:v>13.077836129806251</c:v>
                </c:pt>
                <c:pt idx="2637">
                  <c:v>13.080582251174382</c:v>
                </c:pt>
                <c:pt idx="2638">
                  <c:v>13.083327790310278</c:v>
                </c:pt>
                <c:pt idx="2639">
                  <c:v>13.086072747587785</c:v>
                </c:pt>
                <c:pt idx="2640">
                  <c:v>13.088817123380348</c:v>
                </c:pt>
                <c:pt idx="2641">
                  <c:v>13.091560918061003</c:v>
                </c:pt>
                <c:pt idx="2642">
                  <c:v>13.094304132002396</c:v>
                </c:pt>
                <c:pt idx="2643">
                  <c:v>13.097046765576756</c:v>
                </c:pt>
                <c:pt idx="2644">
                  <c:v>13.099788819155926</c:v>
                </c:pt>
                <c:pt idx="2645">
                  <c:v>13.102530293111329</c:v>
                </c:pt>
                <c:pt idx="2646">
                  <c:v>13.105271187814008</c:v>
                </c:pt>
                <c:pt idx="2647">
                  <c:v>13.1080115036346</c:v>
                </c:pt>
                <c:pt idx="2648">
                  <c:v>13.110751240943333</c:v>
                </c:pt>
                <c:pt idx="2649">
                  <c:v>13.113490400110049</c:v>
                </c:pt>
                <c:pt idx="2650">
                  <c:v>13.116228981504189</c:v>
                </c:pt>
                <c:pt idx="2651">
                  <c:v>13.118966985494797</c:v>
                </c:pt>
                <c:pt idx="2652">
                  <c:v>13.121704412450519</c:v>
                </c:pt>
                <c:pt idx="2653">
                  <c:v>13.124441262739605</c:v>
                </c:pt>
                <c:pt idx="2654">
                  <c:v>13.127177536729912</c:v>
                </c:pt>
                <c:pt idx="2655">
                  <c:v>13.129913234788905</c:v>
                </c:pt>
                <c:pt idx="2656">
                  <c:v>13.132648357283642</c:v>
                </c:pt>
                <c:pt idx="2657">
                  <c:v>13.135382904580805</c:v>
                </c:pt>
                <c:pt idx="2658">
                  <c:v>13.138116877046674</c:v>
                </c:pt>
                <c:pt idx="2659">
                  <c:v>13.140850275047132</c:v>
                </c:pt>
                <c:pt idx="2660">
                  <c:v>13.143583098947683</c:v>
                </c:pt>
                <c:pt idx="2661">
                  <c:v>13.146315349113431</c:v>
                </c:pt>
                <c:pt idx="2662">
                  <c:v>13.149047025909093</c:v>
                </c:pt>
                <c:pt idx="2663">
                  <c:v>13.151778129698993</c:v>
                </c:pt>
                <c:pt idx="2664">
                  <c:v>13.154508660847064</c:v>
                </c:pt>
                <c:pt idx="2665">
                  <c:v>13.157238619716864</c:v>
                </c:pt>
                <c:pt idx="2666">
                  <c:v>13.159968006671543</c:v>
                </c:pt>
                <c:pt idx="2667">
                  <c:v>13.162696822073883</c:v>
                </c:pt>
                <c:pt idx="2668">
                  <c:v>13.165425066286257</c:v>
                </c:pt>
                <c:pt idx="2669">
                  <c:v>13.168152739670674</c:v>
                </c:pt>
                <c:pt idx="2670">
                  <c:v>13.170879842588745</c:v>
                </c:pt>
                <c:pt idx="2671">
                  <c:v>13.173606375401697</c:v>
                </c:pt>
                <c:pt idx="2672">
                  <c:v>13.176332338470374</c:v>
                </c:pt>
                <c:pt idx="2673">
                  <c:v>13.179057732155234</c:v>
                </c:pt>
                <c:pt idx="2674">
                  <c:v>13.181782556816358</c:v>
                </c:pt>
                <c:pt idx="2675">
                  <c:v>13.184506812813435</c:v>
                </c:pt>
                <c:pt idx="2676">
                  <c:v>13.187230500505773</c:v>
                </c:pt>
                <c:pt idx="2677">
                  <c:v>13.189953620252309</c:v>
                </c:pt>
                <c:pt idx="2678">
                  <c:v>13.192676172411586</c:v>
                </c:pt>
                <c:pt idx="2679">
                  <c:v>13.195398157341774</c:v>
                </c:pt>
                <c:pt idx="2680">
                  <c:v>13.198119575400657</c:v>
                </c:pt>
                <c:pt idx="2681">
                  <c:v>13.200840426945645</c:v>
                </c:pt>
                <c:pt idx="2682">
                  <c:v>13.203560712333765</c:v>
                </c:pt>
                <c:pt idx="2683">
                  <c:v>13.206280431921673</c:v>
                </c:pt>
                <c:pt idx="2684">
                  <c:v>13.208999586065639</c:v>
                </c:pt>
                <c:pt idx="2685">
                  <c:v>13.211718175121558</c:v>
                </c:pt>
                <c:pt idx="2686">
                  <c:v>13.21443619944495</c:v>
                </c:pt>
                <c:pt idx="2687">
                  <c:v>13.217153659390959</c:v>
                </c:pt>
                <c:pt idx="2688">
                  <c:v>13.219870555314355</c:v>
                </c:pt>
                <c:pt idx="2689">
                  <c:v>13.222586887569523</c:v>
                </c:pt>
                <c:pt idx="2690">
                  <c:v>13.225302656510491</c:v>
                </c:pt>
                <c:pt idx="2691">
                  <c:v>13.228017862490898</c:v>
                </c:pt>
                <c:pt idx="2692">
                  <c:v>13.230732505864017</c:v>
                </c:pt>
                <c:pt idx="2693">
                  <c:v>13.233446586982746</c:v>
                </c:pt>
                <c:pt idx="2694">
                  <c:v>13.236160106199614</c:v>
                </c:pt>
                <c:pt idx="2695">
                  <c:v>13.23887306386677</c:v>
                </c:pt>
                <c:pt idx="2696">
                  <c:v>13.241585460336005</c:v>
                </c:pt>
                <c:pt idx="2697">
                  <c:v>13.244297295958731</c:v>
                </c:pt>
                <c:pt idx="2698">
                  <c:v>13.247008571085987</c:v>
                </c:pt>
                <c:pt idx="2699">
                  <c:v>13.249719286068451</c:v>
                </c:pt>
                <c:pt idx="2700">
                  <c:v>13.25242944125643</c:v>
                </c:pt>
                <c:pt idx="2701">
                  <c:v>13.255139036999859</c:v>
                </c:pt>
                <c:pt idx="2702">
                  <c:v>13.257848073648304</c:v>
                </c:pt>
                <c:pt idx="2703">
                  <c:v>13.260556551550973</c:v>
                </c:pt>
                <c:pt idx="2704">
                  <c:v>13.263264471056695</c:v>
                </c:pt>
                <c:pt idx="2705">
                  <c:v>13.265971832513948</c:v>
                </c:pt>
                <c:pt idx="2706">
                  <c:v>13.268678636270829</c:v>
                </c:pt>
                <c:pt idx="2707">
                  <c:v>13.271384882675077</c:v>
                </c:pt>
                <c:pt idx="2708">
                  <c:v>13.274090572074069</c:v>
                </c:pt>
                <c:pt idx="2709">
                  <c:v>13.276795704814814</c:v>
                </c:pt>
                <c:pt idx="2710">
                  <c:v>13.27950028124396</c:v>
                </c:pt>
                <c:pt idx="2711">
                  <c:v>13.28220430170779</c:v>
                </c:pt>
                <c:pt idx="2712">
                  <c:v>13.284907766552227</c:v>
                </c:pt>
                <c:pt idx="2713">
                  <c:v>13.28761067612283</c:v>
                </c:pt>
                <c:pt idx="2714">
                  <c:v>13.290313030764796</c:v>
                </c:pt>
                <c:pt idx="2715">
                  <c:v>13.293014830822969</c:v>
                </c:pt>
                <c:pt idx="2716">
                  <c:v>13.295716076641821</c:v>
                </c:pt>
                <c:pt idx="2717">
                  <c:v>13.29841676856547</c:v>
                </c:pt>
                <c:pt idx="2718">
                  <c:v>13.301116906937676</c:v>
                </c:pt>
                <c:pt idx="2719">
                  <c:v>13.30381649210184</c:v>
                </c:pt>
                <c:pt idx="2720">
                  <c:v>13.306515524401005</c:v>
                </c:pt>
                <c:pt idx="2721">
                  <c:v>13.309214004177857</c:v>
                </c:pt>
                <c:pt idx="2722">
                  <c:v>13.311911931774722</c:v>
                </c:pt>
                <c:pt idx="2723">
                  <c:v>13.314609307533566</c:v>
                </c:pt>
                <c:pt idx="2724">
                  <c:v>13.317306131796016</c:v>
                </c:pt>
                <c:pt idx="2725">
                  <c:v>13.320002404903319</c:v>
                </c:pt>
                <c:pt idx="2726">
                  <c:v>13.322698127196389</c:v>
                </c:pt>
                <c:pt idx="2727">
                  <c:v>13.325393299015772</c:v>
                </c:pt>
                <c:pt idx="2728">
                  <c:v>13.328087920701668</c:v>
                </c:pt>
                <c:pt idx="2729">
                  <c:v>13.330781992593916</c:v>
                </c:pt>
                <c:pt idx="2730">
                  <c:v>13.333475515032006</c:v>
                </c:pt>
                <c:pt idx="2731">
                  <c:v>13.336168488355083</c:v>
                </c:pt>
                <c:pt idx="2732">
                  <c:v>13.338860912901925</c:v>
                </c:pt>
                <c:pt idx="2733">
                  <c:v>13.341552789010972</c:v>
                </c:pt>
                <c:pt idx="2734">
                  <c:v>13.344244117020304</c:v>
                </c:pt>
                <c:pt idx="2735">
                  <c:v>13.34693489726766</c:v>
                </c:pt>
                <c:pt idx="2736">
                  <c:v>13.34962513009042</c:v>
                </c:pt>
                <c:pt idx="2737">
                  <c:v>13.352314815825618</c:v>
                </c:pt>
                <c:pt idx="2738">
                  <c:v>13.355003954809945</c:v>
                </c:pt>
                <c:pt idx="2739">
                  <c:v>13.357692547379731</c:v>
                </c:pt>
                <c:pt idx="2740">
                  <c:v>13.360380593870975</c:v>
                </c:pt>
                <c:pt idx="2741">
                  <c:v>13.363068094619312</c:v>
                </c:pt>
                <c:pt idx="2742">
                  <c:v>13.365755049960043</c:v>
                </c:pt>
                <c:pt idx="2743">
                  <c:v>13.368441460228114</c:v>
                </c:pt>
                <c:pt idx="2744">
                  <c:v>13.371127325758135</c:v>
                </c:pt>
                <c:pt idx="2745">
                  <c:v>13.373812646884357</c:v>
                </c:pt>
                <c:pt idx="2746">
                  <c:v>13.376497423940702</c:v>
                </c:pt>
                <c:pt idx="2747">
                  <c:v>13.379181657260737</c:v>
                </c:pt>
                <c:pt idx="2748">
                  <c:v>13.381865347177689</c:v>
                </c:pt>
                <c:pt idx="2749">
                  <c:v>13.38454849402444</c:v>
                </c:pt>
                <c:pt idx="2750">
                  <c:v>13.38723109813353</c:v>
                </c:pt>
                <c:pt idx="2751">
                  <c:v>13.389913159837157</c:v>
                </c:pt>
                <c:pt idx="2752">
                  <c:v>13.39259467946718</c:v>
                </c:pt>
                <c:pt idx="2753">
                  <c:v>13.395275657355111</c:v>
                </c:pt>
                <c:pt idx="2754">
                  <c:v>13.397956093832128</c:v>
                </c:pt>
                <c:pt idx="2755">
                  <c:v>13.400635989229066</c:v>
                </c:pt>
                <c:pt idx="2756">
                  <c:v>13.403315343876418</c:v>
                </c:pt>
                <c:pt idx="2757">
                  <c:v>13.405994158104338</c:v>
                </c:pt>
                <c:pt idx="2758">
                  <c:v>13.408672432242644</c:v>
                </c:pt>
                <c:pt idx="2759">
                  <c:v>13.411350166620817</c:v>
                </c:pt>
                <c:pt idx="2760">
                  <c:v>13.414027361567992</c:v>
                </c:pt>
                <c:pt idx="2761">
                  <c:v>13.416704017412975</c:v>
                </c:pt>
                <c:pt idx="2762">
                  <c:v>13.419380134484236</c:v>
                </c:pt>
                <c:pt idx="2763">
                  <c:v>13.422055713109904</c:v>
                </c:pt>
                <c:pt idx="2764">
                  <c:v>13.424730753617769</c:v>
                </c:pt>
                <c:pt idx="2765">
                  <c:v>13.427405256335296</c:v>
                </c:pt>
                <c:pt idx="2766">
                  <c:v>13.430079221589605</c:v>
                </c:pt>
                <c:pt idx="2767">
                  <c:v>13.432752649707492</c:v>
                </c:pt>
                <c:pt idx="2768">
                  <c:v>13.435425541015405</c:v>
                </c:pt>
                <c:pt idx="2769">
                  <c:v>13.438097895839473</c:v>
                </c:pt>
                <c:pt idx="2770">
                  <c:v>13.440769714505482</c:v>
                </c:pt>
                <c:pt idx="2771">
                  <c:v>13.443440997338893</c:v>
                </c:pt>
                <c:pt idx="2772">
                  <c:v>13.44611174466483</c:v>
                </c:pt>
                <c:pt idx="2773">
                  <c:v>13.448781956808084</c:v>
                </c:pt>
                <c:pt idx="2774">
                  <c:v>13.45145163409312</c:v>
                </c:pt>
                <c:pt idx="2775">
                  <c:v>13.454120776844071</c:v>
                </c:pt>
                <c:pt idx="2776">
                  <c:v>13.456789385384742</c:v>
                </c:pt>
                <c:pt idx="2777">
                  <c:v>13.4594574600386</c:v>
                </c:pt>
                <c:pt idx="2778">
                  <c:v>13.462125001128793</c:v>
                </c:pt>
                <c:pt idx="2779">
                  <c:v>13.464792008978133</c:v>
                </c:pt>
                <c:pt idx="2780">
                  <c:v>13.467458483909109</c:v>
                </c:pt>
                <c:pt idx="2781">
                  <c:v>13.47012442624388</c:v>
                </c:pt>
                <c:pt idx="2782">
                  <c:v>13.472789836304276</c:v>
                </c:pt>
                <c:pt idx="2783">
                  <c:v>13.475454714411804</c:v>
                </c:pt>
                <c:pt idx="2784">
                  <c:v>13.478119060887645</c:v>
                </c:pt>
                <c:pt idx="2785">
                  <c:v>13.480782876052647</c:v>
                </c:pt>
                <c:pt idx="2786">
                  <c:v>13.483446160227341</c:v>
                </c:pt>
                <c:pt idx="2787">
                  <c:v>13.486108913731933</c:v>
                </c:pt>
                <c:pt idx="2788">
                  <c:v>13.488771136886292</c:v>
                </c:pt>
                <c:pt idx="2789">
                  <c:v>13.49143283000998</c:v>
                </c:pt>
                <c:pt idx="2790">
                  <c:v>13.494093993422227</c:v>
                </c:pt>
                <c:pt idx="2791">
                  <c:v>13.496754627441938</c:v>
                </c:pt>
                <c:pt idx="2792">
                  <c:v>13.499414732387702</c:v>
                </c:pt>
                <c:pt idx="2793">
                  <c:v>13.502074308577781</c:v>
                </c:pt>
                <c:pt idx="2794">
                  <c:v>13.504733356330117</c:v>
                </c:pt>
                <c:pt idx="2795">
                  <c:v>13.507391875962327</c:v>
                </c:pt>
                <c:pt idx="2796">
                  <c:v>13.510049867791714</c:v>
                </c:pt>
                <c:pt idx="2797">
                  <c:v>13.512707332135257</c:v>
                </c:pt>
                <c:pt idx="2798">
                  <c:v>13.515364269309616</c:v>
                </c:pt>
                <c:pt idx="2799">
                  <c:v>13.518020679631132</c:v>
                </c:pt>
                <c:pt idx="2800">
                  <c:v>13.520676563415822</c:v>
                </c:pt>
                <c:pt idx="2801">
                  <c:v>13.523331920979391</c:v>
                </c:pt>
                <c:pt idx="2802">
                  <c:v>13.525986752637227</c:v>
                </c:pt>
                <c:pt idx="2803">
                  <c:v>13.528641058704391</c:v>
                </c:pt>
                <c:pt idx="2804">
                  <c:v>13.53129483949564</c:v>
                </c:pt>
                <c:pt idx="2805">
                  <c:v>13.533948095325403</c:v>
                </c:pt>
                <c:pt idx="2806">
                  <c:v>13.536600826507801</c:v>
                </c:pt>
                <c:pt idx="2807">
                  <c:v>13.53925303335663</c:v>
                </c:pt>
                <c:pt idx="2808">
                  <c:v>13.541904716185378</c:v>
                </c:pt>
                <c:pt idx="2809">
                  <c:v>13.544555875307218</c:v>
                </c:pt>
                <c:pt idx="2810">
                  <c:v>13.547206511035009</c:v>
                </c:pt>
                <c:pt idx="2811">
                  <c:v>13.549856623681288</c:v>
                </c:pt>
                <c:pt idx="2812">
                  <c:v>13.552506213558292</c:v>
                </c:pt>
                <c:pt idx="2813">
                  <c:v>13.555155280977932</c:v>
                </c:pt>
                <c:pt idx="2814">
                  <c:v>13.55780382625181</c:v>
                </c:pt>
                <c:pt idx="2815">
                  <c:v>13.560451849691226</c:v>
                </c:pt>
                <c:pt idx="2816">
                  <c:v>13.56309935160715</c:v>
                </c:pt>
                <c:pt idx="2817">
                  <c:v>13.565746332310257</c:v>
                </c:pt>
                <c:pt idx="2818">
                  <c:v>13.568392792110899</c:v>
                </c:pt>
                <c:pt idx="2819">
                  <c:v>13.571038731319129</c:v>
                </c:pt>
                <c:pt idx="2820">
                  <c:v>13.573684150244681</c:v>
                </c:pt>
                <c:pt idx="2821">
                  <c:v>13.576329049196985</c:v>
                </c:pt>
                <c:pt idx="2822">
                  <c:v>13.578973428485156</c:v>
                </c:pt>
                <c:pt idx="2823">
                  <c:v>13.581617288418006</c:v>
                </c:pt>
                <c:pt idx="2824">
                  <c:v>13.584260629304033</c:v>
                </c:pt>
                <c:pt idx="2825">
                  <c:v>13.586903451451434</c:v>
                </c:pt>
                <c:pt idx="2826">
                  <c:v>13.589545755168096</c:v>
                </c:pt>
                <c:pt idx="2827">
                  <c:v>13.5921875407616</c:v>
                </c:pt>
                <c:pt idx="2828">
                  <c:v>13.594828808539212</c:v>
                </c:pt>
                <c:pt idx="2829">
                  <c:v>13.597469558807903</c:v>
                </c:pt>
                <c:pt idx="2830">
                  <c:v>13.600109791874335</c:v>
                </c:pt>
                <c:pt idx="2831">
                  <c:v>13.602749508044861</c:v>
                </c:pt>
                <c:pt idx="2832">
                  <c:v>13.605388707625533</c:v>
                </c:pt>
                <c:pt idx="2833">
                  <c:v>13.6080273909221</c:v>
                </c:pt>
                <c:pt idx="2834">
                  <c:v>13.610665558240001</c:v>
                </c:pt>
                <c:pt idx="2835">
                  <c:v>13.613303209884375</c:v>
                </c:pt>
                <c:pt idx="2836">
                  <c:v>13.615940346160063</c:v>
                </c:pt>
                <c:pt idx="2837">
                  <c:v>13.618576967371594</c:v>
                </c:pt>
                <c:pt idx="2838">
                  <c:v>13.621213073823199</c:v>
                </c:pt>
                <c:pt idx="2839">
                  <c:v>13.62384866581881</c:v>
                </c:pt>
                <c:pt idx="2840">
                  <c:v>13.626483743662053</c:v>
                </c:pt>
                <c:pt idx="2841">
                  <c:v>13.629118307656258</c:v>
                </c:pt>
                <c:pt idx="2842">
                  <c:v>13.631752358104446</c:v>
                </c:pt>
                <c:pt idx="2843">
                  <c:v>13.634385895309345</c:v>
                </c:pt>
                <c:pt idx="2844">
                  <c:v>13.637018919573382</c:v>
                </c:pt>
                <c:pt idx="2845">
                  <c:v>13.639651431198686</c:v>
                </c:pt>
                <c:pt idx="2846">
                  <c:v>13.642283430487085</c:v>
                </c:pt>
                <c:pt idx="2847">
                  <c:v>13.644914917740104</c:v>
                </c:pt>
                <c:pt idx="2848">
                  <c:v>13.647545893258981</c:v>
                </c:pt>
                <c:pt idx="2849">
                  <c:v>13.650176357344648</c:v>
                </c:pt>
                <c:pt idx="2850">
                  <c:v>13.65280631029774</c:v>
                </c:pt>
                <c:pt idx="2851">
                  <c:v>13.655435752418597</c:v>
                </c:pt>
                <c:pt idx="2852">
                  <c:v>13.658064684007265</c:v>
                </c:pt>
                <c:pt idx="2853">
                  <c:v>13.660693105363489</c:v>
                </c:pt>
                <c:pt idx="2854">
                  <c:v>13.663321016786725</c:v>
                </c:pt>
                <c:pt idx="2855">
                  <c:v>13.665948418576125</c:v>
                </c:pt>
                <c:pt idx="2856">
                  <c:v>13.668575311030557</c:v>
                </c:pt>
                <c:pt idx="2857">
                  <c:v>13.671201694448582</c:v>
                </c:pt>
                <c:pt idx="2858">
                  <c:v>13.673827569128481</c:v>
                </c:pt>
                <c:pt idx="2859">
                  <c:v>13.676452935368228</c:v>
                </c:pt>
                <c:pt idx="2860">
                  <c:v>13.679077793465515</c:v>
                </c:pt>
                <c:pt idx="2861">
                  <c:v>13.681702143717732</c:v>
                </c:pt>
                <c:pt idx="2862">
                  <c:v>13.684325986421989</c:v>
                </c:pt>
                <c:pt idx="2863">
                  <c:v>13.686949321875087</c:v>
                </c:pt>
                <c:pt idx="2864">
                  <c:v>13.68957215037355</c:v>
                </c:pt>
                <c:pt idx="2865">
                  <c:v>13.692194472213604</c:v>
                </c:pt>
                <c:pt idx="2866">
                  <c:v>13.694816287691189</c:v>
                </c:pt>
                <c:pt idx="2867">
                  <c:v>13.697437597101951</c:v>
                </c:pt>
                <c:pt idx="2868">
                  <c:v>13.700058400741241</c:v>
                </c:pt>
                <c:pt idx="2869">
                  <c:v>13.702678698904137</c:v>
                </c:pt>
                <c:pt idx="2870">
                  <c:v>13.705298491885406</c:v>
                </c:pt>
                <c:pt idx="2871">
                  <c:v>13.707917779979546</c:v>
                </c:pt>
                <c:pt idx="2872">
                  <c:v>13.710536563480755</c:v>
                </c:pt>
                <c:pt idx="2873">
                  <c:v>13.713154842682945</c:v>
                </c:pt>
                <c:pt idx="2874">
                  <c:v>13.715772617879745</c:v>
                </c:pt>
                <c:pt idx="2875">
                  <c:v>13.718389889364492</c:v>
                </c:pt>
                <c:pt idx="2876">
                  <c:v>13.721006657430241</c:v>
                </c:pt>
                <c:pt idx="2877">
                  <c:v>13.723622922369751</c:v>
                </c:pt>
                <c:pt idx="2878">
                  <c:v>13.72623868447551</c:v>
                </c:pt>
                <c:pt idx="2879">
                  <c:v>13.728853944039709</c:v>
                </c:pt>
                <c:pt idx="2880">
                  <c:v>13.731468701354256</c:v>
                </c:pt>
                <c:pt idx="2881">
                  <c:v>13.734082956710779</c:v>
                </c:pt>
                <c:pt idx="2882">
                  <c:v>13.736696710400613</c:v>
                </c:pt>
                <c:pt idx="2883">
                  <c:v>13.73930996271482</c:v>
                </c:pt>
                <c:pt idx="2884">
                  <c:v>13.74192271394417</c:v>
                </c:pt>
                <c:pt idx="2885">
                  <c:v>13.744534964379152</c:v>
                </c:pt>
                <c:pt idx="2886">
                  <c:v>13.747146714309974</c:v>
                </c:pt>
                <c:pt idx="2887">
                  <c:v>13.749757964026561</c:v>
                </c:pt>
                <c:pt idx="2888">
                  <c:v>13.752368713818552</c:v>
                </c:pt>
                <c:pt idx="2889">
                  <c:v>13.754978963975312</c:v>
                </c:pt>
                <c:pt idx="2890">
                  <c:v>13.757588714785918</c:v>
                </c:pt>
                <c:pt idx="2891">
                  <c:v>13.760197966539167</c:v>
                </c:pt>
                <c:pt idx="2892">
                  <c:v>13.762806719523581</c:v>
                </c:pt>
                <c:pt idx="2893">
                  <c:v>13.765414974027401</c:v>
                </c:pt>
                <c:pt idx="2894">
                  <c:v>13.768022730338576</c:v>
                </c:pt>
                <c:pt idx="2895">
                  <c:v>13.77062998874479</c:v>
                </c:pt>
                <c:pt idx="2896">
                  <c:v>13.773236749533446</c:v>
                </c:pt>
                <c:pt idx="2897">
                  <c:v>13.775843012991663</c:v>
                </c:pt>
                <c:pt idx="2898">
                  <c:v>13.778448779406284</c:v>
                </c:pt>
                <c:pt idx="2899">
                  <c:v>13.781054049063876</c:v>
                </c:pt>
                <c:pt idx="2900">
                  <c:v>13.783658822250725</c:v>
                </c:pt>
                <c:pt idx="2901">
                  <c:v>13.786263099252848</c:v>
                </c:pt>
                <c:pt idx="2902">
                  <c:v>13.788866880355972</c:v>
                </c:pt>
                <c:pt idx="2903">
                  <c:v>13.79147016584556</c:v>
                </c:pt>
                <c:pt idx="2904">
                  <c:v>13.794072956006794</c:v>
                </c:pt>
                <c:pt idx="2905">
                  <c:v>13.796675251124579</c:v>
                </c:pt>
                <c:pt idx="2906">
                  <c:v>13.79927705148355</c:v>
                </c:pt>
                <c:pt idx="2907">
                  <c:v>13.801878357368061</c:v>
                </c:pt>
                <c:pt idx="2908">
                  <c:v>13.804479169062194</c:v>
                </c:pt>
                <c:pt idx="2909">
                  <c:v>13.80707948684976</c:v>
                </c:pt>
                <c:pt idx="2910">
                  <c:v>13.809679311014296</c:v>
                </c:pt>
                <c:pt idx="2911">
                  <c:v>13.812278641839059</c:v>
                </c:pt>
                <c:pt idx="2912">
                  <c:v>13.814877479607041</c:v>
                </c:pt>
                <c:pt idx="2913">
                  <c:v>13.817475824600955</c:v>
                </c:pt>
                <c:pt idx="2914">
                  <c:v>13.820073677103247</c:v>
                </c:pt>
                <c:pt idx="2915">
                  <c:v>13.822671037396091</c:v>
                </c:pt>
                <c:pt idx="2916">
                  <c:v>13.825267905761384</c:v>
                </c:pt>
                <c:pt idx="2917">
                  <c:v>13.82786428248076</c:v>
                </c:pt>
                <c:pt idx="2918">
                  <c:v>13.830460167835572</c:v>
                </c:pt>
                <c:pt idx="2919">
                  <c:v>13.833055562106917</c:v>
                </c:pt>
                <c:pt idx="2920">
                  <c:v>13.835650465575604</c:v>
                </c:pt>
                <c:pt idx="2921">
                  <c:v>13.838244878522191</c:v>
                </c:pt>
                <c:pt idx="2922">
                  <c:v>13.840838801226957</c:v>
                </c:pt>
                <c:pt idx="2923">
                  <c:v>13.843432233969907</c:v>
                </c:pt>
                <c:pt idx="2924">
                  <c:v>13.846025177030786</c:v>
                </c:pt>
                <c:pt idx="2925">
                  <c:v>13.84861763068907</c:v>
                </c:pt>
                <c:pt idx="2926">
                  <c:v>13.851209595223965</c:v>
                </c:pt>
                <c:pt idx="2927">
                  <c:v>13.853801070914411</c:v>
                </c:pt>
                <c:pt idx="2928">
                  <c:v>13.856392058039079</c:v>
                </c:pt>
                <c:pt idx="2929">
                  <c:v>13.858982556876375</c:v>
                </c:pt>
                <c:pt idx="2930">
                  <c:v>13.861572567704439</c:v>
                </c:pt>
                <c:pt idx="2931">
                  <c:v>13.864162090801145</c:v>
                </c:pt>
                <c:pt idx="2932">
                  <c:v>13.866751126444093</c:v>
                </c:pt>
                <c:pt idx="2933">
                  <c:v>13.869339674910636</c:v>
                </c:pt>
                <c:pt idx="2934">
                  <c:v>13.871927736477843</c:v>
                </c:pt>
                <c:pt idx="2935">
                  <c:v>13.874515311422535</c:v>
                </c:pt>
                <c:pt idx="2936">
                  <c:v>13.877102400021251</c:v>
                </c:pt>
                <c:pt idx="2937">
                  <c:v>13.879689002550284</c:v>
                </c:pt>
                <c:pt idx="2938">
                  <c:v>13.882275119285653</c:v>
                </c:pt>
                <c:pt idx="2939">
                  <c:v>13.884860750503112</c:v>
                </c:pt>
                <c:pt idx="2940">
                  <c:v>13.887445896478162</c:v>
                </c:pt>
                <c:pt idx="2941">
                  <c:v>13.890030557486034</c:v>
                </c:pt>
                <c:pt idx="2942">
                  <c:v>13.892614733801697</c:v>
                </c:pt>
                <c:pt idx="2943">
                  <c:v>13.895198425699864</c:v>
                </c:pt>
                <c:pt idx="2944">
                  <c:v>13.897781633454979</c:v>
                </c:pt>
                <c:pt idx="2945">
                  <c:v>13.900364357341232</c:v>
                </c:pt>
                <c:pt idx="2946">
                  <c:v>13.902946597632548</c:v>
                </c:pt>
                <c:pt idx="2947">
                  <c:v>13.905528354602591</c:v>
                </c:pt>
                <c:pt idx="2948">
                  <c:v>13.908109628524771</c:v>
                </c:pt>
                <c:pt idx="2949">
                  <c:v>13.910690419672232</c:v>
                </c:pt>
                <c:pt idx="2950">
                  <c:v>13.913270728317858</c:v>
                </c:pt>
                <c:pt idx="2951">
                  <c:v>13.915850554734284</c:v>
                </c:pt>
                <c:pt idx="2952">
                  <c:v>13.918429899193875</c:v>
                </c:pt>
                <c:pt idx="2953">
                  <c:v>13.921008761968743</c:v>
                </c:pt>
                <c:pt idx="2954">
                  <c:v>13.923587143330741</c:v>
                </c:pt>
                <c:pt idx="2955">
                  <c:v>13.926165043551467</c:v>
                </c:pt>
                <c:pt idx="2956">
                  <c:v>13.928742462902255</c:v>
                </c:pt>
                <c:pt idx="2957">
                  <c:v>13.931319401654193</c:v>
                </c:pt>
                <c:pt idx="2958">
                  <c:v>13.933895860078103</c:v>
                </c:pt>
                <c:pt idx="2959">
                  <c:v>13.936471838444552</c:v>
                </c:pt>
                <c:pt idx="2960">
                  <c:v>13.939047337023858</c:v>
                </c:pt>
                <c:pt idx="2961">
                  <c:v>13.941622356086075</c:v>
                </c:pt>
                <c:pt idx="2962">
                  <c:v>13.944196895901008</c:v>
                </c:pt>
                <c:pt idx="2963">
                  <c:v>13.946770956738206</c:v>
                </c:pt>
                <c:pt idx="2964">
                  <c:v>13.949344538866958</c:v>
                </c:pt>
                <c:pt idx="2965">
                  <c:v>13.951917642556307</c:v>
                </c:pt>
                <c:pt idx="2966">
                  <c:v>13.954490268075038</c:v>
                </c:pt>
                <c:pt idx="2967">
                  <c:v>13.957062415691681</c:v>
                </c:pt>
                <c:pt idx="2968">
                  <c:v>13.959634085674516</c:v>
                </c:pt>
                <c:pt idx="2969">
                  <c:v>13.962205278291572</c:v>
                </c:pt>
                <c:pt idx="2970">
                  <c:v>13.964775993810619</c:v>
                </c:pt>
                <c:pt idx="2971">
                  <c:v>13.967346232499178</c:v>
                </c:pt>
                <c:pt idx="2972">
                  <c:v>13.969915994624525</c:v>
                </c:pt>
                <c:pt idx="2973">
                  <c:v>13.972485280453668</c:v>
                </c:pt>
                <c:pt idx="2974">
                  <c:v>13.975054090253385</c:v>
                </c:pt>
                <c:pt idx="2975">
                  <c:v>13.977622424290187</c:v>
                </c:pt>
                <c:pt idx="2976">
                  <c:v>13.980190282830339</c:v>
                </c:pt>
                <c:pt idx="2977">
                  <c:v>13.982757666139861</c:v>
                </c:pt>
                <c:pt idx="2978">
                  <c:v>13.985324574484517</c:v>
                </c:pt>
                <c:pt idx="2979">
                  <c:v>13.987891008129825</c:v>
                </c:pt>
                <c:pt idx="2980">
                  <c:v>13.990456967341046</c:v>
                </c:pt>
                <c:pt idx="2981">
                  <c:v>13.99302245238321</c:v>
                </c:pt>
                <c:pt idx="2982">
                  <c:v>13.995587463521078</c:v>
                </c:pt>
                <c:pt idx="2983">
                  <c:v>13.998152001019177</c:v>
                </c:pt>
                <c:pt idx="2984">
                  <c:v>14.000716065141781</c:v>
                </c:pt>
                <c:pt idx="2985">
                  <c:v>14.003279656152912</c:v>
                </c:pt>
                <c:pt idx="2986">
                  <c:v>14.005842774316358</c:v>
                </c:pt>
                <c:pt idx="2987">
                  <c:v>14.008405419895649</c:v>
                </c:pt>
                <c:pt idx="2988">
                  <c:v>14.010967593154067</c:v>
                </c:pt>
                <c:pt idx="2989">
                  <c:v>14.013529294354655</c:v>
                </c:pt>
                <c:pt idx="2990">
                  <c:v>14.016090523760209</c:v>
                </c:pt>
                <c:pt idx="2991">
                  <c:v>14.018651281633277</c:v>
                </c:pt>
                <c:pt idx="2992">
                  <c:v>14.021211568236165</c:v>
                </c:pt>
                <c:pt idx="2993">
                  <c:v>14.023771383830926</c:v>
                </c:pt>
                <c:pt idx="2994">
                  <c:v>14.02633072867938</c:v>
                </c:pt>
                <c:pt idx="2995">
                  <c:v>14.028889603043094</c:v>
                </c:pt>
                <c:pt idx="2996">
                  <c:v>14.031448007183393</c:v>
                </c:pt>
                <c:pt idx="2997">
                  <c:v>14.034005941361364</c:v>
                </c:pt>
                <c:pt idx="2998">
                  <c:v>14.036563405837843</c:v>
                </c:pt>
                <c:pt idx="2999">
                  <c:v>14.039120400873427</c:v>
                </c:pt>
                <c:pt idx="3000">
                  <c:v>14.041676926728471</c:v>
                </c:pt>
                <c:pt idx="3001">
                  <c:v>14.044232983663083</c:v>
                </c:pt>
                <c:pt idx="3002">
                  <c:v>14.046788571937132</c:v>
                </c:pt>
                <c:pt idx="3003">
                  <c:v>14.04934369181025</c:v>
                </c:pt>
                <c:pt idx="3004">
                  <c:v>14.051898343541824</c:v>
                </c:pt>
                <c:pt idx="3005">
                  <c:v>14.054452527390994</c:v>
                </c:pt>
                <c:pt idx="3006">
                  <c:v>14.057006243616668</c:v>
                </c:pt>
                <c:pt idx="3007">
                  <c:v>14.059559492477508</c:v>
                </c:pt>
                <c:pt idx="3008">
                  <c:v>14.062112274231939</c:v>
                </c:pt>
                <c:pt idx="3009">
                  <c:v>14.064664589138143</c:v>
                </c:pt>
                <c:pt idx="3010">
                  <c:v>14.067216437454071</c:v>
                </c:pt>
                <c:pt idx="3011">
                  <c:v>14.069767819437423</c:v>
                </c:pt>
                <c:pt idx="3012">
                  <c:v>14.072318735345668</c:v>
                </c:pt>
                <c:pt idx="3013">
                  <c:v>14.074869185436032</c:v>
                </c:pt>
                <c:pt idx="3014">
                  <c:v>14.077419169965507</c:v>
                </c:pt>
                <c:pt idx="3015">
                  <c:v>14.079968689190846</c:v>
                </c:pt>
                <c:pt idx="3016">
                  <c:v>14.082517743368557</c:v>
                </c:pt>
                <c:pt idx="3017">
                  <c:v>14.085066332754927</c:v>
                </c:pt>
                <c:pt idx="3018">
                  <c:v>14.087614457605989</c:v>
                </c:pt>
                <c:pt idx="3019">
                  <c:v>14.090162118177547</c:v>
                </c:pt>
                <c:pt idx="3020">
                  <c:v>14.09270931472517</c:v>
                </c:pt>
                <c:pt idx="3021">
                  <c:v>14.09525604750419</c:v>
                </c:pt>
                <c:pt idx="3022">
                  <c:v>14.0978023167697</c:v>
                </c:pt>
                <c:pt idx="3023">
                  <c:v>14.100348122776559</c:v>
                </c:pt>
                <c:pt idx="3024">
                  <c:v>14.102893465779395</c:v>
                </c:pt>
                <c:pt idx="3025">
                  <c:v>14.105438346032596</c:v>
                </c:pt>
                <c:pt idx="3026">
                  <c:v>14.107982763790318</c:v>
                </c:pt>
                <c:pt idx="3027">
                  <c:v>14.110526719306478</c:v>
                </c:pt>
                <c:pt idx="3028">
                  <c:v>14.113070212834771</c:v>
                </c:pt>
                <c:pt idx="3029">
                  <c:v>14.115613244628642</c:v>
                </c:pt>
                <c:pt idx="3030">
                  <c:v>14.11815581494132</c:v>
                </c:pt>
                <c:pt idx="3031">
                  <c:v>14.120697924025784</c:v>
                </c:pt>
                <c:pt idx="3032">
                  <c:v>14.123239572134793</c:v>
                </c:pt>
                <c:pt idx="3033">
                  <c:v>14.125780759520865</c:v>
                </c:pt>
                <c:pt idx="3034">
                  <c:v>14.128321486436295</c:v>
                </c:pt>
                <c:pt idx="3035">
                  <c:v>14.130861753133143</c:v>
                </c:pt>
                <c:pt idx="3036">
                  <c:v>14.133401559863227</c:v>
                </c:pt>
                <c:pt idx="3037">
                  <c:v>14.135940906878149</c:v>
                </c:pt>
                <c:pt idx="3038">
                  <c:v>14.138479794429273</c:v>
                </c:pt>
                <c:pt idx="3039">
                  <c:v>14.14101822276773</c:v>
                </c:pt>
                <c:pt idx="3040">
                  <c:v>14.143556192144427</c:v>
                </c:pt>
                <c:pt idx="3041">
                  <c:v>14.146093702810035</c:v>
                </c:pt>
                <c:pt idx="3042">
                  <c:v>14.148630755014997</c:v>
                </c:pt>
                <c:pt idx="3043">
                  <c:v>14.151167349009533</c:v>
                </c:pt>
                <c:pt idx="3044">
                  <c:v>14.153703485043621</c:v>
                </c:pt>
                <c:pt idx="3045">
                  <c:v>14.156239163367022</c:v>
                </c:pt>
                <c:pt idx="3046">
                  <c:v>14.158774384229265</c:v>
                </c:pt>
                <c:pt idx="3047">
                  <c:v>14.161309147879649</c:v>
                </c:pt>
                <c:pt idx="3048">
                  <c:v>14.163843454567239</c:v>
                </c:pt>
                <c:pt idx="3049">
                  <c:v>14.166377304540889</c:v>
                </c:pt>
                <c:pt idx="3050">
                  <c:v>14.16891069804921</c:v>
                </c:pt>
                <c:pt idx="3051">
                  <c:v>14.171443635340594</c:v>
                </c:pt>
                <c:pt idx="3052">
                  <c:v>14.173976116663201</c:v>
                </c:pt>
                <c:pt idx="3053">
                  <c:v>14.176508142264971</c:v>
                </c:pt>
                <c:pt idx="3054">
                  <c:v>14.179039712393614</c:v>
                </c:pt>
                <c:pt idx="3055">
                  <c:v>14.181570827296614</c:v>
                </c:pt>
                <c:pt idx="3056">
                  <c:v>14.184101487221227</c:v>
                </c:pt>
                <c:pt idx="3057">
                  <c:v>14.18663169241449</c:v>
                </c:pt>
                <c:pt idx="3058">
                  <c:v>14.189161443123208</c:v>
                </c:pt>
                <c:pt idx="3059">
                  <c:v>14.191690739593964</c:v>
                </c:pt>
                <c:pt idx="3060">
                  <c:v>14.194219582073124</c:v>
                </c:pt>
                <c:pt idx="3061">
                  <c:v>14.196747970806818</c:v>
                </c:pt>
                <c:pt idx="3062">
                  <c:v>14.199275906040956</c:v>
                </c:pt>
                <c:pt idx="3063">
                  <c:v>14.201803388021231</c:v>
                </c:pt>
                <c:pt idx="3064">
                  <c:v>14.204330416993098</c:v>
                </c:pt>
                <c:pt idx="3065">
                  <c:v>14.206856993201811</c:v>
                </c:pt>
                <c:pt idx="3066">
                  <c:v>14.209383116892376</c:v>
                </c:pt>
                <c:pt idx="3067">
                  <c:v>14.211908788309595</c:v>
                </c:pt>
                <c:pt idx="3068">
                  <c:v>14.214434007698044</c:v>
                </c:pt>
                <c:pt idx="3069">
                  <c:v>14.216958775302071</c:v>
                </c:pt>
                <c:pt idx="3070">
                  <c:v>14.219483091365806</c:v>
                </c:pt>
                <c:pt idx="3071">
                  <c:v>14.222006956133162</c:v>
                </c:pt>
                <c:pt idx="3072">
                  <c:v>14.224530369847827</c:v>
                </c:pt>
                <c:pt idx="3073">
                  <c:v>14.227053332753261</c:v>
                </c:pt>
                <c:pt idx="3074">
                  <c:v>14.229575845092722</c:v>
                </c:pt>
                <c:pt idx="3075">
                  <c:v>14.232097907109226</c:v>
                </c:pt>
                <c:pt idx="3076">
                  <c:v>14.234619519045587</c:v>
                </c:pt>
                <c:pt idx="3077">
                  <c:v>14.237140681144389</c:v>
                </c:pt>
                <c:pt idx="3078">
                  <c:v>14.239661393648001</c:v>
                </c:pt>
                <c:pt idx="3079">
                  <c:v>14.242181656798572</c:v>
                </c:pt>
                <c:pt idx="3080">
                  <c:v>14.244701470838031</c:v>
                </c:pt>
                <c:pt idx="3081">
                  <c:v>14.247220836008088</c:v>
                </c:pt>
                <c:pt idx="3082">
                  <c:v>14.249739752550239</c:v>
                </c:pt>
                <c:pt idx="3083">
                  <c:v>14.252258220705759</c:v>
                </c:pt>
                <c:pt idx="3084">
                  <c:v>14.254776240715703</c:v>
                </c:pt>
                <c:pt idx="3085">
                  <c:v>14.257293812820912</c:v>
                </c:pt>
                <c:pt idx="3086">
                  <c:v>14.259810937262014</c:v>
                </c:pt>
                <c:pt idx="3087">
                  <c:v>14.262327614279407</c:v>
                </c:pt>
                <c:pt idx="3088">
                  <c:v>14.264843844113287</c:v>
                </c:pt>
                <c:pt idx="3089">
                  <c:v>14.267359627003623</c:v>
                </c:pt>
                <c:pt idx="3090">
                  <c:v>14.269874963190176</c:v>
                </c:pt>
                <c:pt idx="3091">
                  <c:v>14.272389852912486</c:v>
                </c:pt>
                <c:pt idx="3092">
                  <c:v>14.274904296409881</c:v>
                </c:pt>
                <c:pt idx="3093">
                  <c:v>14.277418293921468</c:v>
                </c:pt>
                <c:pt idx="3094">
                  <c:v>14.279931845686145</c:v>
                </c:pt>
                <c:pt idx="3095">
                  <c:v>14.282444951942592</c:v>
                </c:pt>
                <c:pt idx="3096">
                  <c:v>14.284957612929279</c:v>
                </c:pt>
                <c:pt idx="3097">
                  <c:v>14.287469828884458</c:v>
                </c:pt>
                <c:pt idx="3098">
                  <c:v>14.289981600046165</c:v>
                </c:pt>
                <c:pt idx="3099">
                  <c:v>14.292492926652226</c:v>
                </c:pt>
                <c:pt idx="3100">
                  <c:v>14.295003808940258</c:v>
                </c:pt>
                <c:pt idx="3101">
                  <c:v>14.297514247147657</c:v>
                </c:pt>
                <c:pt idx="3102">
                  <c:v>14.300024241511604</c:v>
                </c:pt>
                <c:pt idx="3103">
                  <c:v>14.302533792269081</c:v>
                </c:pt>
                <c:pt idx="3104">
                  <c:v>14.305042899656847</c:v>
                </c:pt>
                <c:pt idx="3105">
                  <c:v>14.307551563911447</c:v>
                </c:pt>
                <c:pt idx="3106">
                  <c:v>14.310059785269228</c:v>
                </c:pt>
                <c:pt idx="3107">
                  <c:v>14.312567563966308</c:v>
                </c:pt>
                <c:pt idx="3108">
                  <c:v>14.315074900238605</c:v>
                </c:pt>
                <c:pt idx="3109">
                  <c:v>14.317581794321823</c:v>
                </c:pt>
                <c:pt idx="3110">
                  <c:v>14.320088246451462</c:v>
                </c:pt>
                <c:pt idx="3111">
                  <c:v>14.322594256862796</c:v>
                </c:pt>
                <c:pt idx="3112">
                  <c:v>14.325099825790902</c:v>
                </c:pt>
                <c:pt idx="3113">
                  <c:v>14.327604953470647</c:v>
                </c:pt>
                <c:pt idx="3114">
                  <c:v>14.33010964013668</c:v>
                </c:pt>
                <c:pt idx="3115">
                  <c:v>14.332613886023449</c:v>
                </c:pt>
                <c:pt idx="3116">
                  <c:v>14.335117691365184</c:v>
                </c:pt>
                <c:pt idx="3117">
                  <c:v>14.337621056395921</c:v>
                </c:pt>
                <c:pt idx="3118">
                  <c:v>14.340123981349471</c:v>
                </c:pt>
                <c:pt idx="3119">
                  <c:v>14.342626466459448</c:v>
                </c:pt>
                <c:pt idx="3120">
                  <c:v>14.345128511959253</c:v>
                </c:pt>
                <c:pt idx="3121">
                  <c:v>14.347630118082076</c:v>
                </c:pt>
                <c:pt idx="3122">
                  <c:v>14.350131285060911</c:v>
                </c:pt>
                <c:pt idx="3123">
                  <c:v>14.352632013128531</c:v>
                </c:pt>
                <c:pt idx="3124">
                  <c:v>14.355132302517518</c:v>
                </c:pt>
                <c:pt idx="3125">
                  <c:v>14.357632153460223</c:v>
                </c:pt>
                <c:pt idx="3126">
                  <c:v>14.360131566188821</c:v>
                </c:pt>
                <c:pt idx="3127">
                  <c:v>14.362630540935257</c:v>
                </c:pt>
                <c:pt idx="3128">
                  <c:v>14.365129077931279</c:v>
                </c:pt>
                <c:pt idx="3129">
                  <c:v>14.36762717740843</c:v>
                </c:pt>
                <c:pt idx="3130">
                  <c:v>14.370124839598049</c:v>
                </c:pt>
                <c:pt idx="3131">
                  <c:v>14.372622064731262</c:v>
                </c:pt>
                <c:pt idx="3132">
                  <c:v>14.375118853038998</c:v>
                </c:pt>
                <c:pt idx="3133">
                  <c:v>14.377615204751979</c:v>
                </c:pt>
                <c:pt idx="3134">
                  <c:v>14.38011112010072</c:v>
                </c:pt>
                <c:pt idx="3135">
                  <c:v>14.382606599315539</c:v>
                </c:pt>
                <c:pt idx="3136">
                  <c:v>14.385101642626537</c:v>
                </c:pt>
                <c:pt idx="3137">
                  <c:v>14.387596250263631</c:v>
                </c:pt>
                <c:pt idx="3138">
                  <c:v>14.390090422456513</c:v>
                </c:pt>
                <c:pt idx="3139">
                  <c:v>14.392584159434687</c:v>
                </c:pt>
                <c:pt idx="3140">
                  <c:v>14.395077461427451</c:v>
                </c:pt>
                <c:pt idx="3141">
                  <c:v>14.397570328663894</c:v>
                </c:pt>
                <c:pt idx="3142">
                  <c:v>14.400062761372912</c:v>
                </c:pt>
                <c:pt idx="3143">
                  <c:v>14.402554759783188</c:v>
                </c:pt>
                <c:pt idx="3144">
                  <c:v>14.405046324123218</c:v>
                </c:pt>
                <c:pt idx="3145">
                  <c:v>14.407537454621281</c:v>
                </c:pt>
                <c:pt idx="3146">
                  <c:v>14.410028151505463</c:v>
                </c:pt>
                <c:pt idx="3147">
                  <c:v>14.41251841500365</c:v>
                </c:pt>
                <c:pt idx="3148">
                  <c:v>14.415008245343522</c:v>
                </c:pt>
                <c:pt idx="3149">
                  <c:v>14.417497642752563</c:v>
                </c:pt>
                <c:pt idx="3150">
                  <c:v>14.41998660745805</c:v>
                </c:pt>
                <c:pt idx="3151">
                  <c:v>14.422475139687069</c:v>
                </c:pt>
                <c:pt idx="3152">
                  <c:v>14.424963239666504</c:v>
                </c:pt>
                <c:pt idx="3153">
                  <c:v>14.42745090762303</c:v>
                </c:pt>
                <c:pt idx="3154">
                  <c:v>14.429938143783129</c:v>
                </c:pt>
                <c:pt idx="3155">
                  <c:v>14.432424948373095</c:v>
                </c:pt>
                <c:pt idx="3156">
                  <c:v>14.434911321619005</c:v>
                </c:pt>
                <c:pt idx="3157">
                  <c:v>14.437397263746744</c:v>
                </c:pt>
                <c:pt idx="3158">
                  <c:v>14.439882774982003</c:v>
                </c:pt>
                <c:pt idx="3159">
                  <c:v>14.442367855550271</c:v>
                </c:pt>
                <c:pt idx="3160">
                  <c:v>14.444852505676838</c:v>
                </c:pt>
                <c:pt idx="3161">
                  <c:v>14.447336725586799</c:v>
                </c:pt>
                <c:pt idx="3162">
                  <c:v>14.449820515505053</c:v>
                </c:pt>
                <c:pt idx="3163">
                  <c:v>14.452303875656296</c:v>
                </c:pt>
                <c:pt idx="3164">
                  <c:v>14.45478680626503</c:v>
                </c:pt>
                <c:pt idx="3165">
                  <c:v>14.457269307555563</c:v>
                </c:pt>
                <c:pt idx="3166">
                  <c:v>14.459751379752007</c:v>
                </c:pt>
                <c:pt idx="3167">
                  <c:v>14.462233023078271</c:v>
                </c:pt>
                <c:pt idx="3168">
                  <c:v>14.464714237758074</c:v>
                </c:pt>
                <c:pt idx="3169">
                  <c:v>14.467195024014938</c:v>
                </c:pt>
                <c:pt idx="3170">
                  <c:v>14.469675382072188</c:v>
                </c:pt>
                <c:pt idx="3171">
                  <c:v>14.472155312152957</c:v>
                </c:pt>
                <c:pt idx="3172">
                  <c:v>14.474634814480179</c:v>
                </c:pt>
                <c:pt idx="3173">
                  <c:v>14.477113889276593</c:v>
                </c:pt>
                <c:pt idx="3174">
                  <c:v>14.479592536764752</c:v>
                </c:pt>
                <c:pt idx="3175">
                  <c:v>14.482070757167005</c:v>
                </c:pt>
                <c:pt idx="3176">
                  <c:v>14.484548550705508</c:v>
                </c:pt>
                <c:pt idx="3177">
                  <c:v>14.487025917602232</c:v>
                </c:pt>
                <c:pt idx="3178">
                  <c:v>14.489502858078943</c:v>
                </c:pt>
                <c:pt idx="3179">
                  <c:v>14.491979372357223</c:v>
                </c:pt>
                <c:pt idx="3180">
                  <c:v>14.494455460658454</c:v>
                </c:pt>
                <c:pt idx="3181">
                  <c:v>14.496931123203829</c:v>
                </c:pt>
                <c:pt idx="3182">
                  <c:v>14.499406360214346</c:v>
                </c:pt>
                <c:pt idx="3183">
                  <c:v>14.501881171910812</c:v>
                </c:pt>
                <c:pt idx="3184">
                  <c:v>14.504355558513842</c:v>
                </c:pt>
                <c:pt idx="3185">
                  <c:v>14.506829520243862</c:v>
                </c:pt>
                <c:pt idx="3186">
                  <c:v>14.5093030573211</c:v>
                </c:pt>
                <c:pt idx="3187">
                  <c:v>14.5117761699656</c:v>
                </c:pt>
                <c:pt idx="3188">
                  <c:v>14.514248858397206</c:v>
                </c:pt>
                <c:pt idx="3189">
                  <c:v>14.516721122835577</c:v>
                </c:pt>
                <c:pt idx="3190">
                  <c:v>14.519192963500183</c:v>
                </c:pt>
                <c:pt idx="3191">
                  <c:v>14.521664380610297</c:v>
                </c:pt>
                <c:pt idx="3192">
                  <c:v>14.524135374385009</c:v>
                </c:pt>
                <c:pt idx="3193">
                  <c:v>14.526605945043213</c:v>
                </c:pt>
                <c:pt idx="3194">
                  <c:v>14.529076092803614</c:v>
                </c:pt>
                <c:pt idx="3195">
                  <c:v>14.531545817884734</c:v>
                </c:pt>
                <c:pt idx="3196">
                  <c:v>14.534015120504897</c:v>
                </c:pt>
                <c:pt idx="3197">
                  <c:v>14.53648400088224</c:v>
                </c:pt>
                <c:pt idx="3198">
                  <c:v>14.538952459234718</c:v>
                </c:pt>
                <c:pt idx="3199">
                  <c:v>14.541420495780088</c:v>
                </c:pt>
                <c:pt idx="3200">
                  <c:v>14.543888110735924</c:v>
                </c:pt>
                <c:pt idx="3201">
                  <c:v>14.546355304319615</c:v>
                </c:pt>
                <c:pt idx="3202">
                  <c:v>14.548822076748351</c:v>
                </c:pt>
                <c:pt idx="3203">
                  <c:v>14.55128842823914</c:v>
                </c:pt>
                <c:pt idx="3204">
                  <c:v>14.55375435900881</c:v>
                </c:pt>
                <c:pt idx="3205">
                  <c:v>14.556219869273992</c:v>
                </c:pt>
                <c:pt idx="3206">
                  <c:v>14.558684959251131</c:v>
                </c:pt>
                <c:pt idx="3207">
                  <c:v>14.561149629156491</c:v>
                </c:pt>
                <c:pt idx="3208">
                  <c:v>14.563613879206144</c:v>
                </c:pt>
                <c:pt idx="3209">
                  <c:v>14.566077709615978</c:v>
                </c:pt>
                <c:pt idx="3210">
                  <c:v>14.568541120601694</c:v>
                </c:pt>
                <c:pt idx="3211">
                  <c:v>14.571004112378805</c:v>
                </c:pt>
                <c:pt idx="3212">
                  <c:v>14.573466685162646</c:v>
                </c:pt>
                <c:pt idx="3213">
                  <c:v>14.575928839168359</c:v>
                </c:pt>
                <c:pt idx="3214">
                  <c:v>14.578390574610903</c:v>
                </c:pt>
                <c:pt idx="3215">
                  <c:v>14.580851891705052</c:v>
                </c:pt>
                <c:pt idx="3216">
                  <c:v>14.583312790665394</c:v>
                </c:pt>
                <c:pt idx="3217">
                  <c:v>14.585773271706334</c:v>
                </c:pt>
                <c:pt idx="3218">
                  <c:v>14.588233335042093</c:v>
                </c:pt>
                <c:pt idx="3219">
                  <c:v>14.590692980886711</c:v>
                </c:pt>
                <c:pt idx="3220">
                  <c:v>14.593152209454036</c:v>
                </c:pt>
                <c:pt idx="3221">
                  <c:v>14.595611020957737</c:v>
                </c:pt>
                <c:pt idx="3222">
                  <c:v>14.598069415611299</c:v>
                </c:pt>
                <c:pt idx="3223">
                  <c:v>14.600527393628028</c:v>
                </c:pt>
                <c:pt idx="3224">
                  <c:v>14.602984955221039</c:v>
                </c:pt>
                <c:pt idx="3225">
                  <c:v>14.605442100603272</c:v>
                </c:pt>
                <c:pt idx="3226">
                  <c:v>14.607898829987477</c:v>
                </c:pt>
                <c:pt idx="3227">
                  <c:v>14.610355143586231</c:v>
                </c:pt>
                <c:pt idx="3228">
                  <c:v>14.61281104161192</c:v>
                </c:pt>
                <c:pt idx="3229">
                  <c:v>14.615266524276748</c:v>
                </c:pt>
                <c:pt idx="3230">
                  <c:v>14.617721591792748</c:v>
                </c:pt>
                <c:pt idx="3231">
                  <c:v>14.620176244371763</c:v>
                </c:pt>
                <c:pt idx="3232">
                  <c:v>14.62263048222545</c:v>
                </c:pt>
                <c:pt idx="3233">
                  <c:v>14.625084305565295</c:v>
                </c:pt>
                <c:pt idx="3234">
                  <c:v>14.627537714602605</c:v>
                </c:pt>
                <c:pt idx="3235">
                  <c:v>14.62999070954849</c:v>
                </c:pt>
                <c:pt idx="3236">
                  <c:v>14.632443290613901</c:v>
                </c:pt>
                <c:pt idx="3237">
                  <c:v>14.634895458009591</c:v>
                </c:pt>
                <c:pt idx="3238">
                  <c:v>14.637347211946146</c:v>
                </c:pt>
                <c:pt idx="3239">
                  <c:v>14.639798552633962</c:v>
                </c:pt>
                <c:pt idx="3240">
                  <c:v>14.642249480283258</c:v>
                </c:pt>
                <c:pt idx="3241">
                  <c:v>14.644699995104087</c:v>
                </c:pt>
                <c:pt idx="3242">
                  <c:v>14.647150097306302</c:v>
                </c:pt>
                <c:pt idx="3243">
                  <c:v>14.649599787099588</c:v>
                </c:pt>
                <c:pt idx="3244">
                  <c:v>14.652049064693454</c:v>
                </c:pt>
                <c:pt idx="3245">
                  <c:v>14.654497930297222</c:v>
                </c:pt>
                <c:pt idx="3246">
                  <c:v>14.656946384120047</c:v>
                </c:pt>
                <c:pt idx="3247">
                  <c:v>14.659394426370895</c:v>
                </c:pt>
                <c:pt idx="3248">
                  <c:v>14.661842057258564</c:v>
                </c:pt>
                <c:pt idx="3249">
                  <c:v>14.664289276991664</c:v>
                </c:pt>
                <c:pt idx="3250">
                  <c:v>14.666736085778634</c:v>
                </c:pt>
                <c:pt idx="3251">
                  <c:v>14.669182483827733</c:v>
                </c:pt>
                <c:pt idx="3252">
                  <c:v>14.671628471347056</c:v>
                </c:pt>
                <c:pt idx="3253">
                  <c:v>14.674074048544497</c:v>
                </c:pt>
                <c:pt idx="3254">
                  <c:v>14.676519215627792</c:v>
                </c:pt>
                <c:pt idx="3255">
                  <c:v>14.6789639728045</c:v>
                </c:pt>
                <c:pt idx="3256">
                  <c:v>14.681408320281989</c:v>
                </c:pt>
                <c:pt idx="3257">
                  <c:v>14.683852258267471</c:v>
                </c:pt>
                <c:pt idx="3258">
                  <c:v>14.686295786967968</c:v>
                </c:pt>
                <c:pt idx="3259">
                  <c:v>14.688738906590334</c:v>
                </c:pt>
                <c:pt idx="3260">
                  <c:v>14.691181617341242</c:v>
                </c:pt>
                <c:pt idx="3261">
                  <c:v>14.693623919427196</c:v>
                </c:pt>
                <c:pt idx="3262">
                  <c:v>14.696065813054522</c:v>
                </c:pt>
                <c:pt idx="3263">
                  <c:v>14.698507298429373</c:v>
                </c:pt>
                <c:pt idx="3264">
                  <c:v>14.700948375757722</c:v>
                </c:pt>
                <c:pt idx="3265">
                  <c:v>14.703389045245371</c:v>
                </c:pt>
                <c:pt idx="3266">
                  <c:v>14.705829307097959</c:v>
                </c:pt>
                <c:pt idx="3267">
                  <c:v>14.708269161520931</c:v>
                </c:pt>
                <c:pt idx="3268">
                  <c:v>14.710708608719571</c:v>
                </c:pt>
                <c:pt idx="3269">
                  <c:v>14.713147648898991</c:v>
                </c:pt>
                <c:pt idx="3270">
                  <c:v>14.715586282264127</c:v>
                </c:pt>
                <c:pt idx="3271">
                  <c:v>14.718024509019731</c:v>
                </c:pt>
                <c:pt idx="3272">
                  <c:v>14.720462329370406</c:v>
                </c:pt>
                <c:pt idx="3273">
                  <c:v>14.722899743520559</c:v>
                </c:pt>
                <c:pt idx="3274">
                  <c:v>14.72533675167444</c:v>
                </c:pt>
                <c:pt idx="3275">
                  <c:v>14.727773354036117</c:v>
                </c:pt>
                <c:pt idx="3276">
                  <c:v>14.730209550809494</c:v>
                </c:pt>
                <c:pt idx="3277">
                  <c:v>14.7326453421983</c:v>
                </c:pt>
                <c:pt idx="3278">
                  <c:v>14.735080728406089</c:v>
                </c:pt>
                <c:pt idx="3279">
                  <c:v>14.737515709636249</c:v>
                </c:pt>
                <c:pt idx="3280">
                  <c:v>14.739950286091993</c:v>
                </c:pt>
                <c:pt idx="3281">
                  <c:v>14.742384457976367</c:v>
                </c:pt>
                <c:pt idx="3282">
                  <c:v>14.744818225492246</c:v>
                </c:pt>
                <c:pt idx="3283">
                  <c:v>14.747251588842323</c:v>
                </c:pt>
                <c:pt idx="3284">
                  <c:v>14.749684548229144</c:v>
                </c:pt>
                <c:pt idx="3285">
                  <c:v>14.75211710385506</c:v>
                </c:pt>
                <c:pt idx="3286">
                  <c:v>14.754549255922271</c:v>
                </c:pt>
                <c:pt idx="3287">
                  <c:v>14.756981004632792</c:v>
                </c:pt>
                <c:pt idx="3288">
                  <c:v>14.759412350188482</c:v>
                </c:pt>
                <c:pt idx="3289">
                  <c:v>14.761843292791022</c:v>
                </c:pt>
                <c:pt idx="3290">
                  <c:v>14.764273832641928</c:v>
                </c:pt>
                <c:pt idx="3291">
                  <c:v>14.766703969942544</c:v>
                </c:pt>
                <c:pt idx="3292">
                  <c:v>14.769133704894047</c:v>
                </c:pt>
                <c:pt idx="3293">
                  <c:v>14.771563037697447</c:v>
                </c:pt>
                <c:pt idx="3294">
                  <c:v>14.773991968553581</c:v>
                </c:pt>
                <c:pt idx="3295">
                  <c:v>14.776420497663128</c:v>
                </c:pt>
                <c:pt idx="3296">
                  <c:v>14.778848625226585</c:v>
                </c:pt>
                <c:pt idx="3297">
                  <c:v>14.781276351444291</c:v>
                </c:pt>
                <c:pt idx="3298">
                  <c:v>14.783703676516415</c:v>
                </c:pt>
                <c:pt idx="3299">
                  <c:v>14.786130600642956</c:v>
                </c:pt>
                <c:pt idx="3300">
                  <c:v>14.788557124023754</c:v>
                </c:pt>
                <c:pt idx="3301">
                  <c:v>14.790983246858469</c:v>
                </c:pt>
                <c:pt idx="3302">
                  <c:v>14.79340896934661</c:v>
                </c:pt>
                <c:pt idx="3303">
                  <c:v>14.795834291687504</c:v>
                </c:pt>
                <c:pt idx="3304">
                  <c:v>14.79825921408032</c:v>
                </c:pt>
                <c:pt idx="3305">
                  <c:v>14.800683736724064</c:v>
                </c:pt>
                <c:pt idx="3306">
                  <c:v>14.803107859817569</c:v>
                </c:pt>
                <c:pt idx="3307">
                  <c:v>14.805531583559503</c:v>
                </c:pt>
                <c:pt idx="3308">
                  <c:v>14.807954908148373</c:v>
                </c:pt>
                <c:pt idx="3309">
                  <c:v>14.810377833782519</c:v>
                </c:pt>
                <c:pt idx="3310">
                  <c:v>14.812800360660113</c:v>
                </c:pt>
                <c:pt idx="3311">
                  <c:v>14.815222488979163</c:v>
                </c:pt>
                <c:pt idx="3312">
                  <c:v>14.817644218937513</c:v>
                </c:pt>
                <c:pt idx="3313">
                  <c:v>14.820065550732846</c:v>
                </c:pt>
                <c:pt idx="3314">
                  <c:v>14.822486484562674</c:v>
                </c:pt>
                <c:pt idx="3315">
                  <c:v>14.824907020624348</c:v>
                </c:pt>
                <c:pt idx="3316">
                  <c:v>14.827327159115057</c:v>
                </c:pt>
                <c:pt idx="3317">
                  <c:v>14.829746900231822</c:v>
                </c:pt>
                <c:pt idx="3318">
                  <c:v>14.8321662441715</c:v>
                </c:pt>
                <c:pt idx="3319">
                  <c:v>14.834585191130792</c:v>
                </c:pt>
                <c:pt idx="3320">
                  <c:v>14.837003741306228</c:v>
                </c:pt>
                <c:pt idx="3321">
                  <c:v>14.839421894894178</c:v>
                </c:pt>
                <c:pt idx="3322">
                  <c:v>14.841839652090847</c:v>
                </c:pt>
                <c:pt idx="3323">
                  <c:v>14.844257013092285</c:v>
                </c:pt>
                <c:pt idx="3324">
                  <c:v>14.846673978094366</c:v>
                </c:pt>
                <c:pt idx="3325">
                  <c:v>14.849090547292811</c:v>
                </c:pt>
                <c:pt idx="3326">
                  <c:v>14.851506720883181</c:v>
                </c:pt>
                <c:pt idx="3327">
                  <c:v>14.853922499060868</c:v>
                </c:pt>
                <c:pt idx="3328">
                  <c:v>14.856337882021108</c:v>
                </c:pt>
                <c:pt idx="3329">
                  <c:v>14.85875286995897</c:v>
                </c:pt>
                <c:pt idx="3330">
                  <c:v>14.86116746306937</c:v>
                </c:pt>
                <c:pt idx="3331">
                  <c:v>14.863581661547048</c:v>
                </c:pt>
                <c:pt idx="3332">
                  <c:v>14.8659954655866</c:v>
                </c:pt>
                <c:pt idx="3333">
                  <c:v>14.868408875382448</c:v>
                </c:pt>
                <c:pt idx="3334">
                  <c:v>14.870821891128866</c:v>
                </c:pt>
                <c:pt idx="3335">
                  <c:v>14.873234513019955</c:v>
                </c:pt>
                <c:pt idx="3336">
                  <c:v>14.875646741249664</c:v>
                </c:pt>
                <c:pt idx="3337">
                  <c:v>14.878058576011778</c:v>
                </c:pt>
                <c:pt idx="3338">
                  <c:v>14.880470017499924</c:v>
                </c:pt>
                <c:pt idx="3339">
                  <c:v>14.88288106590757</c:v>
                </c:pt>
                <c:pt idx="3340">
                  <c:v>14.885291721428018</c:v>
                </c:pt>
                <c:pt idx="3341">
                  <c:v>14.887701984254425</c:v>
                </c:pt>
                <c:pt idx="3342">
                  <c:v>14.890111854579771</c:v>
                </c:pt>
                <c:pt idx="3343">
                  <c:v>14.892521332596889</c:v>
                </c:pt>
                <c:pt idx="3344">
                  <c:v>14.894930418498454</c:v>
                </c:pt>
                <c:pt idx="3345">
                  <c:v>14.897339112476974</c:v>
                </c:pt>
                <c:pt idx="3346">
                  <c:v>14.899747414724807</c:v>
                </c:pt>
                <c:pt idx="3347">
                  <c:v>14.902155325434142</c:v>
                </c:pt>
                <c:pt idx="3348">
                  <c:v>14.904562844797024</c:v>
                </c:pt>
                <c:pt idx="3349">
                  <c:v>14.906969973005328</c:v>
                </c:pt>
                <c:pt idx="3350">
                  <c:v>14.909376710250779</c:v>
                </c:pt>
                <c:pt idx="3351">
                  <c:v>14.911783056724943</c:v>
                </c:pt>
                <c:pt idx="3352">
                  <c:v>14.914189012619229</c:v>
                </c:pt>
                <c:pt idx="3353">
                  <c:v>14.916594578124879</c:v>
                </c:pt>
                <c:pt idx="3354">
                  <c:v>14.918999753432995</c:v>
                </c:pt>
                <c:pt idx="3355">
                  <c:v>14.921404538734514</c:v>
                </c:pt>
                <c:pt idx="3356">
                  <c:v>14.923808934220212</c:v>
                </c:pt>
                <c:pt idx="3357">
                  <c:v>14.926212940080715</c:v>
                </c:pt>
                <c:pt idx="3358">
                  <c:v>14.928616556506491</c:v>
                </c:pt>
                <c:pt idx="3359">
                  <c:v>14.93101978368785</c:v>
                </c:pt>
                <c:pt idx="3360">
                  <c:v>14.933422621814952</c:v>
                </c:pt>
                <c:pt idx="3361">
                  <c:v>14.93582507107779</c:v>
                </c:pt>
                <c:pt idx="3362">
                  <c:v>14.938227131666213</c:v>
                </c:pt>
                <c:pt idx="3363">
                  <c:v>14.940628803769917</c:v>
                </c:pt>
                <c:pt idx="3364">
                  <c:v>14.943030087578425</c:v>
                </c:pt>
                <c:pt idx="3365">
                  <c:v>14.945430983281121</c:v>
                </c:pt>
                <c:pt idx="3366">
                  <c:v>14.94783149106723</c:v>
                </c:pt>
                <c:pt idx="3367">
                  <c:v>14.950231611125819</c:v>
                </c:pt>
                <c:pt idx="3368">
                  <c:v>14.952631343645809</c:v>
                </c:pt>
                <c:pt idx="3369">
                  <c:v>14.955030688815958</c:v>
                </c:pt>
                <c:pt idx="3370">
                  <c:v>14.957429646824874</c:v>
                </c:pt>
                <c:pt idx="3371">
                  <c:v>14.959828217861009</c:v>
                </c:pt>
                <c:pt idx="3372">
                  <c:v>14.962226402112663</c:v>
                </c:pt>
                <c:pt idx="3373">
                  <c:v>14.964624199767988</c:v>
                </c:pt>
                <c:pt idx="3374">
                  <c:v>14.967021611014964</c:v>
                </c:pt>
                <c:pt idx="3375">
                  <c:v>14.969418636041443</c:v>
                </c:pt>
                <c:pt idx="3376">
                  <c:v>14.971815275035105</c:v>
                </c:pt>
                <c:pt idx="3377">
                  <c:v>14.974211528183487</c:v>
                </c:pt>
                <c:pt idx="3378">
                  <c:v>14.976607395673966</c:v>
                </c:pt>
                <c:pt idx="3379">
                  <c:v>14.979002877693773</c:v>
                </c:pt>
                <c:pt idx="3380">
                  <c:v>14.981397974429987</c:v>
                </c:pt>
                <c:pt idx="3381">
                  <c:v>14.983792686069529</c:v>
                </c:pt>
                <c:pt idx="3382">
                  <c:v>14.986187012799169</c:v>
                </c:pt>
                <c:pt idx="3383">
                  <c:v>14.988580954805535</c:v>
                </c:pt>
                <c:pt idx="3384">
                  <c:v>14.990974512275088</c:v>
                </c:pt>
                <c:pt idx="3385">
                  <c:v>14.99336768539415</c:v>
                </c:pt>
                <c:pt idx="3386">
                  <c:v>14.995760474348884</c:v>
                </c:pt>
                <c:pt idx="3387">
                  <c:v>14.998152879325309</c:v>
                </c:pt>
                <c:pt idx="3388">
                  <c:v>15.000544900509285</c:v>
                </c:pt>
                <c:pt idx="3389">
                  <c:v>15.002936538086528</c:v>
                </c:pt>
                <c:pt idx="3390">
                  <c:v>15.0053277922426</c:v>
                </c:pt>
                <c:pt idx="3391">
                  <c:v>15.007718663162915</c:v>
                </c:pt>
                <c:pt idx="3392">
                  <c:v>15.010109151032735</c:v>
                </c:pt>
                <c:pt idx="3393">
                  <c:v>15.012499256037167</c:v>
                </c:pt>
                <c:pt idx="3394">
                  <c:v>15.014888978361178</c:v>
                </c:pt>
                <c:pt idx="3395">
                  <c:v>15.017278318189582</c:v>
                </c:pt>
                <c:pt idx="3396">
                  <c:v>15.01966727570704</c:v>
                </c:pt>
                <c:pt idx="3397">
                  <c:v>15.022055851098063</c:v>
                </c:pt>
                <c:pt idx="3398">
                  <c:v>15.024444044547021</c:v>
                </c:pt>
                <c:pt idx="3399">
                  <c:v>15.026831856238124</c:v>
                </c:pt>
                <c:pt idx="3400">
                  <c:v>15.029219286355438</c:v>
                </c:pt>
                <c:pt idx="3401">
                  <c:v>15.031606335082888</c:v>
                </c:pt>
                <c:pt idx="3402">
                  <c:v>15.033993002604239</c:v>
                </c:pt>
                <c:pt idx="3403">
                  <c:v>15.03637928910311</c:v>
                </c:pt>
                <c:pt idx="3404">
                  <c:v>15.038765194762975</c:v>
                </c:pt>
                <c:pt idx="3405">
                  <c:v>15.041150719767161</c:v>
                </c:pt>
                <c:pt idx="3406">
                  <c:v>15.043535864298843</c:v>
                </c:pt>
                <c:pt idx="3407">
                  <c:v>15.045920628541047</c:v>
                </c:pt>
                <c:pt idx="3408">
                  <c:v>15.048305012676661</c:v>
                </c:pt>
                <c:pt idx="3409">
                  <c:v>15.050689016888418</c:v>
                </c:pt>
                <c:pt idx="3410">
                  <c:v>15.0530726413589</c:v>
                </c:pt>
                <c:pt idx="3411">
                  <c:v>15.055455886270551</c:v>
                </c:pt>
                <c:pt idx="3412">
                  <c:v>15.057838751805665</c:v>
                </c:pt>
                <c:pt idx="3413">
                  <c:v>15.060221238146388</c:v>
                </c:pt>
                <c:pt idx="3414">
                  <c:v>15.062603345474718</c:v>
                </c:pt>
                <c:pt idx="3415">
                  <c:v>15.064985073972512</c:v>
                </c:pt>
                <c:pt idx="3416">
                  <c:v>15.067366423821476</c:v>
                </c:pt>
                <c:pt idx="3417">
                  <c:v>15.069747395203171</c:v>
                </c:pt>
                <c:pt idx="3418">
                  <c:v>15.072127988299012</c:v>
                </c:pt>
                <c:pt idx="3419">
                  <c:v>15.07450820329027</c:v>
                </c:pt>
                <c:pt idx="3420">
                  <c:v>15.076888040358071</c:v>
                </c:pt>
                <c:pt idx="3421">
                  <c:v>15.079267499683391</c:v>
                </c:pt>
                <c:pt idx="3422">
                  <c:v>15.081646581447064</c:v>
                </c:pt>
                <c:pt idx="3423">
                  <c:v>15.084025285829783</c:v>
                </c:pt>
                <c:pt idx="3424">
                  <c:v>15.086403613012086</c:v>
                </c:pt>
                <c:pt idx="3425">
                  <c:v>15.088781563174377</c:v>
                </c:pt>
                <c:pt idx="3426">
                  <c:v>15.091159136496911</c:v>
                </c:pt>
                <c:pt idx="3427">
                  <c:v>15.093536333159795</c:v>
                </c:pt>
                <c:pt idx="3428">
                  <c:v>15.095913153342995</c:v>
                </c:pt>
                <c:pt idx="3429">
                  <c:v>15.098289597226337</c:v>
                </c:pt>
                <c:pt idx="3430">
                  <c:v>15.100665664989497</c:v>
                </c:pt>
                <c:pt idx="3431">
                  <c:v>15.103041356812007</c:v>
                </c:pt>
                <c:pt idx="3432">
                  <c:v>15.105416672873263</c:v>
                </c:pt>
                <c:pt idx="3433">
                  <c:v>15.107791613352507</c:v>
                </c:pt>
                <c:pt idx="3434">
                  <c:v>15.11016617842885</c:v>
                </c:pt>
                <c:pt idx="3435">
                  <c:v>15.112540368281245</c:v>
                </c:pt>
                <c:pt idx="3436">
                  <c:v>15.114914183088516</c:v>
                </c:pt>
                <c:pt idx="3437">
                  <c:v>15.117287623029334</c:v>
                </c:pt>
                <c:pt idx="3438">
                  <c:v>15.119660688282238</c:v>
                </c:pt>
                <c:pt idx="3439">
                  <c:v>15.122033379025613</c:v>
                </c:pt>
                <c:pt idx="3440">
                  <c:v>15.124405695437709</c:v>
                </c:pt>
                <c:pt idx="3441">
                  <c:v>15.126777637696632</c:v>
                </c:pt>
                <c:pt idx="3442">
                  <c:v>15.129149205980347</c:v>
                </c:pt>
                <c:pt idx="3443">
                  <c:v>15.131520400466673</c:v>
                </c:pt>
                <c:pt idx="3444">
                  <c:v>15.133891221333297</c:v>
                </c:pt>
                <c:pt idx="3445">
                  <c:v>15.136261668757752</c:v>
                </c:pt>
                <c:pt idx="3446">
                  <c:v>15.138631742917436</c:v>
                </c:pt>
                <c:pt idx="3447">
                  <c:v>15.141001443989611</c:v>
                </c:pt>
                <c:pt idx="3448">
                  <c:v>15.143370772151385</c:v>
                </c:pt>
                <c:pt idx="3449">
                  <c:v>15.145739727579739</c:v>
                </c:pt>
                <c:pt idx="3450">
                  <c:v>15.148108310451505</c:v>
                </c:pt>
                <c:pt idx="3451">
                  <c:v>15.150476520943373</c:v>
                </c:pt>
                <c:pt idx="3452">
                  <c:v>15.152844359231903</c:v>
                </c:pt>
                <c:pt idx="3453">
                  <c:v>15.155211825493501</c:v>
                </c:pt>
                <c:pt idx="3454">
                  <c:v>15.157578919904445</c:v>
                </c:pt>
                <c:pt idx="3455">
                  <c:v>15.159945642640865</c:v>
                </c:pt>
                <c:pt idx="3456">
                  <c:v>15.162311993878756</c:v>
                </c:pt>
                <c:pt idx="3457">
                  <c:v>15.164677973793967</c:v>
                </c:pt>
                <c:pt idx="3458">
                  <c:v>15.167043582562222</c:v>
                </c:pt>
                <c:pt idx="3459">
                  <c:v>15.169408820359084</c:v>
                </c:pt>
                <c:pt idx="3460">
                  <c:v>15.171773687359995</c:v>
                </c:pt>
                <c:pt idx="3461">
                  <c:v>15.174138183740251</c:v>
                </c:pt>
                <c:pt idx="3462">
                  <c:v>15.176502309675008</c:v>
                </c:pt>
                <c:pt idx="3463">
                  <c:v>15.178866065339292</c:v>
                </c:pt>
                <c:pt idx="3464">
                  <c:v>15.181229450907974</c:v>
                </c:pt>
                <c:pt idx="3465">
                  <c:v>15.183592466555801</c:v>
                </c:pt>
                <c:pt idx="3466">
                  <c:v>15.185955112457378</c:v>
                </c:pt>
                <c:pt idx="3467">
                  <c:v>15.188317388787171</c:v>
                </c:pt>
                <c:pt idx="3468">
                  <c:v>15.190679295719505</c:v>
                </c:pt>
                <c:pt idx="3469">
                  <c:v>15.193040833428572</c:v>
                </c:pt>
                <c:pt idx="3470">
                  <c:v>15.195402002088429</c:v>
                </c:pt>
                <c:pt idx="3471">
                  <c:v>15.197762801872983</c:v>
                </c:pt>
                <c:pt idx="3472">
                  <c:v>15.20012323295602</c:v>
                </c:pt>
              </c:numCache>
            </c:numRef>
          </c:xVal>
          <c:yVal>
            <c:numRef>
              <c:f>[0]!Fator_armazenamento</c:f>
              <c:numCache>
                <c:formatCode>#,#00</c:formatCode>
                <c:ptCount val="3473"/>
                <c:pt idx="0">
                  <c:v>1.25</c:v>
                </c:pt>
                <c:pt idx="1">
                  <c:v>1.5625</c:v>
                </c:pt>
                <c:pt idx="2">
                  <c:v>1.8749999999999998</c:v>
                </c:pt>
                <c:pt idx="3">
                  <c:v>2.1875</c:v>
                </c:pt>
                <c:pt idx="4">
                  <c:v>2.631980675870135</c:v>
                </c:pt>
                <c:pt idx="5">
                  <c:v>3.0010830985438668</c:v>
                </c:pt>
                <c:pt idx="6">
                  <c:v>3.3567504505058712</c:v>
                </c:pt>
                <c:pt idx="7">
                  <c:v>3.7055540198596963</c:v>
                </c:pt>
                <c:pt idx="8">
                  <c:v>4.0499960730013154</c:v>
                </c:pt>
                <c:pt idx="9">
                  <c:v>4.391350011509016</c:v>
                </c:pt>
                <c:pt idx="10">
                  <c:v>4.7303688454588375</c:v>
                </c:pt>
                <c:pt idx="11">
                  <c:v>5.0675417116265207</c:v>
                </c:pt>
                <c:pt idx="12">
                  <c:v>5.4032076249642165</c:v>
                </c:pt>
                <c:pt idx="13">
                  <c:v>5.7376130144826822</c:v>
                </c:pt>
                <c:pt idx="14">
                  <c:v>6.0709436750709891</c:v>
                </c:pt>
                <c:pt idx="15">
                  <c:v>6.403343801707277</c:v>
                </c:pt>
                <c:pt idx="16">
                  <c:v>6.7349279676842295</c:v>
                </c:pt>
                <c:pt idx="17">
                  <c:v>7.0657890025578007</c:v>
                </c:pt>
                <c:pt idx="18">
                  <c:v>7.3960033650072656</c:v>
                </c:pt>
                <c:pt idx="19">
                  <c:v>7.7256349204448291</c:v>
                </c:pt>
                <c:pt idx="20">
                  <c:v>8.054737666699701</c:v>
                </c:pt>
                <c:pt idx="21">
                  <c:v>8.3833577450720096</c:v>
                </c:pt>
                <c:pt idx="22">
                  <c:v>8.7115349532312365</c:v>
                </c:pt>
                <c:pt idx="23">
                  <c:v>9.0393039029577977</c:v>
                </c:pt>
                <c:pt idx="24">
                  <c:v>9.3666949196065303</c:v>
                </c:pt>
                <c:pt idx="25">
                  <c:v>9.6937347504073053</c:v>
                </c:pt>
                <c:pt idx="26">
                  <c:v>10.020447129031528</c:v>
                </c:pt>
                <c:pt idx="27">
                  <c:v>10.346853230543621</c:v>
                </c:pt>
                <c:pt idx="28">
                  <c:v>10.672972041678982</c:v>
                </c:pt>
                <c:pt idx="29">
                  <c:v>10.998820664948131</c:v>
                </c:pt>
                <c:pt idx="30">
                  <c:v>11.324414570471703</c:v>
                </c:pt>
                <c:pt idx="31">
                  <c:v>11.649767806124482</c:v>
                </c:pt>
                <c:pt idx="32">
                  <c:v>11.974893174126125</c:v>
                </c:pt>
                <c:pt idx="33">
                  <c:v>12.299802380402992</c:v>
                </c:pt>
                <c:pt idx="34">
                  <c:v>12.62450616168327</c:v>
                </c:pt>
                <c:pt idx="35">
                  <c:v>12.949014394252963</c:v>
                </c:pt>
                <c:pt idx="36">
                  <c:v>13.27333618750691</c:v>
                </c:pt>
                <c:pt idx="37">
                  <c:v>13.597479964815019</c:v>
                </c:pt>
                <c:pt idx="38">
                  <c:v>13.9214535337446</c:v>
                </c:pt>
                <c:pt idx="39">
                  <c:v>14.24526414730262</c:v>
                </c:pt>
                <c:pt idx="40">
                  <c:v>14.568918557562837</c:v>
                </c:pt>
                <c:pt idx="41">
                  <c:v>14.892423062804056</c:v>
                </c:pt>
                <c:pt idx="42">
                  <c:v>15.215783549094137</c:v>
                </c:pt>
                <c:pt idx="43">
                  <c:v>15.539005527099267</c:v>
                </c:pt>
                <c:pt idx="44">
                  <c:v>15.862094164771962</c:v>
                </c:pt>
                <c:pt idx="45">
                  <c:v>16.185054316468115</c:v>
                </c:pt>
                <c:pt idx="46">
                  <c:v>16.507890548958592</c:v>
                </c:pt>
                <c:pt idx="47">
                  <c:v>16.830607164730903</c:v>
                </c:pt>
                <c:pt idx="48">
                  <c:v>17.153208222918142</c:v>
                </c:pt>
                <c:pt idx="49">
                  <c:v>17.475697558144027</c:v>
                </c:pt>
                <c:pt idx="50">
                  <c:v>17.798078797532195</c:v>
                </c:pt>
                <c:pt idx="51">
                  <c:v>18.12035537609361</c:v>
                </c:pt>
                <c:pt idx="52">
                  <c:v>18.442530550677279</c:v>
                </c:pt>
                <c:pt idx="53">
                  <c:v>18.764607412644853</c:v>
                </c:pt>
                <c:pt idx="54">
                  <c:v>19.086588899408969</c:v>
                </c:pt>
                <c:pt idx="55">
                  <c:v>19.408477804957364</c:v>
                </c:pt>
                <c:pt idx="56">
                  <c:v>19.730276789469734</c:v>
                </c:pt>
                <c:pt idx="57">
                  <c:v>20.051988388121032</c:v>
                </c:pt>
                <c:pt idx="58">
                  <c:v>20.373615019153842</c:v>
                </c:pt>
                <c:pt idx="59">
                  <c:v>20.695158991292637</c:v>
                </c:pt>
                <c:pt idx="60">
                  <c:v>21.01662251056435</c:v>
                </c:pt>
                <c:pt idx="61">
                  <c:v>21.338007686582323</c:v>
                </c:pt>
                <c:pt idx="62">
                  <c:v>21.659316538344378</c:v>
                </c:pt>
                <c:pt idx="63">
                  <c:v>21.980550999590129</c:v>
                </c:pt>
                <c:pt idx="64">
                  <c:v>22.30171292375783</c:v>
                </c:pt>
                <c:pt idx="65">
                  <c:v>22.622804088576718</c:v>
                </c:pt>
                <c:pt idx="66">
                  <c:v>22.943826200327148</c:v>
                </c:pt>
                <c:pt idx="67">
                  <c:v>23.264780897797337</c:v>
                </c:pt>
                <c:pt idx="68">
                  <c:v>23.58566975596279</c:v>
                </c:pt>
                <c:pt idx="69">
                  <c:v>23.906494289411775</c:v>
                </c:pt>
                <c:pt idx="70">
                  <c:v>24.227255955537935</c:v>
                </c:pt>
                <c:pt idx="71">
                  <c:v>24.547956157519113</c:v>
                </c:pt>
                <c:pt idx="72">
                  <c:v>24.868596247099632</c:v>
                </c:pt>
                <c:pt idx="73">
                  <c:v>25.189177527191632</c:v>
                </c:pt>
                <c:pt idx="74">
                  <c:v>25.509701254309665</c:v>
                </c:pt>
                <c:pt idx="75">
                  <c:v>25.830168640851404</c:v>
                </c:pt>
                <c:pt idx="76">
                  <c:v>26.150580857236228</c:v>
                </c:pt>
                <c:pt idx="77">
                  <c:v>26.470939033912327</c:v>
                </c:pt>
                <c:pt idx="78">
                  <c:v>26.791244263242046</c:v>
                </c:pt>
                <c:pt idx="79">
                  <c:v>27.111497601274493</c:v>
                </c:pt>
                <c:pt idx="80">
                  <c:v>27.431700069413356</c:v>
                </c:pt>
                <c:pt idx="81">
                  <c:v>27.751852655987616</c:v>
                </c:pt>
                <c:pt idx="82">
                  <c:v>28.071956317731797</c:v>
                </c:pt>
                <c:pt idx="83">
                  <c:v>28.392011981182144</c:v>
                </c:pt>
                <c:pt idx="84">
                  <c:v>28.712020543994448</c:v>
                </c:pt>
                <c:pt idx="85">
                  <c:v>29.031982876188867</c:v>
                </c:pt>
                <c:pt idx="86">
                  <c:v>29.351899821326558</c:v>
                </c:pt>
                <c:pt idx="87">
                  <c:v>29.671772197622715</c:v>
                </c:pt>
                <c:pt idx="88">
                  <c:v>29.991600799000096</c:v>
                </c:pt>
                <c:pt idx="89">
                  <c:v>30.31138639608691</c:v>
                </c:pt>
                <c:pt idx="90">
                  <c:v>30.631129737162613</c:v>
                </c:pt>
                <c:pt idx="91">
                  <c:v>30.950831549054911</c:v>
                </c:pt>
                <c:pt idx="92">
                  <c:v>31.270492537990972</c:v>
                </c:pt>
                <c:pt idx="93">
                  <c:v>31.590113390405723</c:v>
                </c:pt>
                <c:pt idx="94">
                  <c:v>31.909694773709806</c:v>
                </c:pt>
                <c:pt idx="95">
                  <c:v>32.229237337019626</c:v>
                </c:pt>
                <c:pt idx="96">
                  <c:v>32.548741711851832</c:v>
                </c:pt>
                <c:pt idx="97">
                  <c:v>32.868208512784186</c:v>
                </c:pt>
                <c:pt idx="98">
                  <c:v>33.187638338084923</c:v>
                </c:pt>
                <c:pt idx="99">
                  <c:v>33.507031770312352</c:v>
                </c:pt>
                <c:pt idx="100">
                  <c:v>33.826389376886333</c:v>
                </c:pt>
                <c:pt idx="101">
                  <c:v>34.145711710633449</c:v>
                </c:pt>
                <c:pt idx="102">
                  <c:v>34.464999310307071</c:v>
                </c:pt>
                <c:pt idx="103">
                  <c:v>34.784252701083872</c:v>
                </c:pt>
                <c:pt idx="104">
                  <c:v>35.103472395038033</c:v>
                </c:pt>
                <c:pt idx="105">
                  <c:v>35.422658891594381</c:v>
                </c:pt>
                <c:pt idx="106">
                  <c:v>35.741812677961583</c:v>
                </c:pt>
                <c:pt idx="107">
                  <c:v>36.060934229546426</c:v>
                </c:pt>
                <c:pt idx="108">
                  <c:v>36.380024010350198</c:v>
                </c:pt>
                <c:pt idx="109">
                  <c:v>36.699082473348163</c:v>
                </c:pt>
                <c:pt idx="110">
                  <c:v>37.018110060852898</c:v>
                </c:pt>
                <c:pt idx="111">
                  <c:v>37.337107204862441</c:v>
                </c:pt>
                <c:pt idx="112">
                  <c:v>37.656074327393867</c:v>
                </c:pt>
                <c:pt idx="113">
                  <c:v>37.975011840803241</c:v>
                </c:pt>
                <c:pt idx="114">
                  <c:v>38.293920148092432</c:v>
                </c:pt>
                <c:pt idx="115">
                  <c:v>38.612799643203459</c:v>
                </c:pt>
                <c:pt idx="116">
                  <c:v>38.931650711301188</c:v>
                </c:pt>
                <c:pt idx="117">
                  <c:v>39.250473729044607</c:v>
                </c:pt>
                <c:pt idx="118">
                  <c:v>39.569269064847589</c:v>
                </c:pt>
                <c:pt idx="119">
                  <c:v>39.888037079129312</c:v>
                </c:pt>
                <c:pt idx="120">
                  <c:v>40.206778124555093</c:v>
                </c:pt>
                <c:pt idx="121">
                  <c:v>40.525492546267934</c:v>
                </c:pt>
                <c:pt idx="122">
                  <c:v>40.844180682111222</c:v>
                </c:pt>
                <c:pt idx="123">
                  <c:v>41.1628428628431</c:v>
                </c:pt>
                <c:pt idx="124">
                  <c:v>41.481479412342722</c:v>
                </c:pt>
                <c:pt idx="125">
                  <c:v>41.800090647808936</c:v>
                </c:pt>
                <c:pt idx="126">
                  <c:v>42.118676879951572</c:v>
                </c:pt>
                <c:pt idx="127">
                  <c:v>42.437238413175834</c:v>
                </c:pt>
                <c:pt idx="128">
                  <c:v>42.75577554575986</c:v>
                </c:pt>
                <c:pt idx="129">
                  <c:v>43.074288570026148</c:v>
                </c:pt>
                <c:pt idx="130">
                  <c:v>43.392777772506548</c:v>
                </c:pt>
                <c:pt idx="131">
                  <c:v>43.711243434101753</c:v>
                </c:pt>
                <c:pt idx="132">
                  <c:v>44.029685830234925</c:v>
                </c:pt>
                <c:pt idx="133">
                  <c:v>44.348105231000062</c:v>
                </c:pt>
                <c:pt idx="134">
                  <c:v>44.666501901305352</c:v>
                </c:pt>
                <c:pt idx="135">
                  <c:v>44.984876101011409</c:v>
                </c:pt>
                <c:pt idx="136">
                  <c:v>45.303228085064958</c:v>
                </c:pt>
                <c:pt idx="137">
                  <c:v>45.621558103627898</c:v>
                </c:pt>
                <c:pt idx="138">
                  <c:v>45.939866402202142</c:v>
                </c:pt>
                <c:pt idx="139">
                  <c:v>46.258153221750227</c:v>
                </c:pt>
                <c:pt idx="140">
                  <c:v>46.576418798811915</c:v>
                </c:pt>
                <c:pt idx="141">
                  <c:v>46.89466336561712</c:v>
                </c:pt>
                <c:pt idx="142">
                  <c:v>47.212887150194923</c:v>
                </c:pt>
                <c:pt idx="143">
                  <c:v>47.531090376479298</c:v>
                </c:pt>
                <c:pt idx="144">
                  <c:v>47.849273264411273</c:v>
                </c:pt>
                <c:pt idx="145">
                  <c:v>48.167436030037948</c:v>
                </c:pt>
                <c:pt idx="146">
                  <c:v>48.485578885608291</c:v>
                </c:pt>
                <c:pt idx="147">
                  <c:v>48.803702039665993</c:v>
                </c:pt>
                <c:pt idx="148">
                  <c:v>49.121805697139386</c:v>
                </c:pt>
                <c:pt idx="149">
                  <c:v>49.439890059428606</c:v>
                </c:pt>
                <c:pt idx="150">
                  <c:v>49.75795532449002</c:v>
                </c:pt>
                <c:pt idx="151">
                  <c:v>50.076001686918133</c:v>
                </c:pt>
                <c:pt idx="152">
                  <c:v>50.394029338024986</c:v>
                </c:pt>
                <c:pt idx="153">
                  <c:v>50.71203846591709</c:v>
                </c:pt>
                <c:pt idx="154">
                  <c:v>51.030029255570248</c:v>
                </c:pt>
                <c:pt idx="155">
                  <c:v>51.348001888901862</c:v>
                </c:pt>
                <c:pt idx="156">
                  <c:v>51.665956544841407</c:v>
                </c:pt>
                <c:pt idx="157">
                  <c:v>51.983893399398603</c:v>
                </c:pt>
                <c:pt idx="158">
                  <c:v>52.301812625729681</c:v>
                </c:pt>
                <c:pt idx="159">
                  <c:v>52.6197143942018</c:v>
                </c:pt>
                <c:pt idx="160">
                  <c:v>52.937598872455467</c:v>
                </c:pt>
                <c:pt idx="161">
                  <c:v>53.255466225465312</c:v>
                </c:pt>
                <c:pt idx="162">
                  <c:v>53.573316615598969</c:v>
                </c:pt>
                <c:pt idx="163">
                  <c:v>53.891150202674474</c:v>
                </c:pt>
                <c:pt idx="164">
                  <c:v>54.208967144015958</c:v>
                </c:pt>
                <c:pt idx="165">
                  <c:v>54.526767594507724</c:v>
                </c:pt>
                <c:pt idx="166">
                  <c:v>54.844551706646996</c:v>
                </c:pt>
                <c:pt idx="167">
                  <c:v>55.162319630595</c:v>
                </c:pt>
                <c:pt idx="168">
                  <c:v>55.480071514226836</c:v>
                </c:pt>
                <c:pt idx="169">
                  <c:v>55.797807503179882</c:v>
                </c:pt>
                <c:pt idx="170">
                  <c:v>56.115527740900923</c:v>
                </c:pt>
                <c:pt idx="171">
                  <c:v>56.433232368691989</c:v>
                </c:pt>
                <c:pt idx="172">
                  <c:v>56.750921525754997</c:v>
                </c:pt>
                <c:pt idx="173">
                  <c:v>57.068595349235196</c:v>
                </c:pt>
                <c:pt idx="174">
                  <c:v>57.38625397426344</c:v>
                </c:pt>
                <c:pt idx="175">
                  <c:v>57.703897533997377</c:v>
                </c:pt>
                <c:pt idx="176">
                  <c:v>58.021526159661576</c:v>
                </c:pt>
                <c:pt idx="177">
                  <c:v>58.339139980586552</c:v>
                </c:pt>
                <c:pt idx="178">
                  <c:v>58.656739124246819</c:v>
                </c:pt>
                <c:pt idx="179">
                  <c:v>58.974323716298031</c:v>
                </c:pt>
                <c:pt idx="180">
                  <c:v>59.29189388061301</c:v>
                </c:pt>
                <c:pt idx="181">
                  <c:v>59.609449739317057</c:v>
                </c:pt>
                <c:pt idx="182">
                  <c:v>59.92699141282219</c:v>
                </c:pt>
                <c:pt idx="183">
                  <c:v>60.244519019860654</c:v>
                </c:pt>
                <c:pt idx="184">
                  <c:v>60.56203267751755</c:v>
                </c:pt>
                <c:pt idx="185">
                  <c:v>60.879532501262617</c:v>
                </c:pt>
                <c:pt idx="186">
                  <c:v>61.197018604981288</c:v>
                </c:pt>
                <c:pt idx="187">
                  <c:v>61.514491101004936</c:v>
                </c:pt>
                <c:pt idx="188">
                  <c:v>61.831950100140418</c:v>
                </c:pt>
                <c:pt idx="189">
                  <c:v>62.149395711698894</c:v>
                </c:pt>
                <c:pt idx="190">
                  <c:v>62.466828043523883</c:v>
                </c:pt>
                <c:pt idx="191">
                  <c:v>62.784247202018811</c:v>
                </c:pt>
                <c:pt idx="192">
                  <c:v>63.101653292173665</c:v>
                </c:pt>
                <c:pt idx="193">
                  <c:v>63.419046417591233</c:v>
                </c:pt>
                <c:pt idx="194">
                  <c:v>63.736426680512587</c:v>
                </c:pt>
                <c:pt idx="195">
                  <c:v>64.053794181842022</c:v>
                </c:pt>
                <c:pt idx="196">
                  <c:v>64.371149021171391</c:v>
                </c:pt>
                <c:pt idx="197">
                  <c:v>64.688491296803889</c:v>
                </c:pt>
                <c:pt idx="198">
                  <c:v>65.005821105777258</c:v>
                </c:pt>
                <c:pt idx="199">
                  <c:v>65.323138543886515</c:v>
                </c:pt>
                <c:pt idx="200">
                  <c:v>65.640443705706076</c:v>
                </c:pt>
                <c:pt idx="201">
                  <c:v>65.957736684611433</c:v>
                </c:pt>
                <c:pt idx="202">
                  <c:v>66.275017572800394</c:v>
                </c:pt>
                <c:pt idx="203">
                  <c:v>66.592286461313577</c:v>
                </c:pt>
                <c:pt idx="204">
                  <c:v>66.909543440054946</c:v>
                </c:pt>
                <c:pt idx="205">
                  <c:v>67.226788597811208</c:v>
                </c:pt>
                <c:pt idx="206">
                  <c:v>67.544022022271591</c:v>
                </c:pt>
                <c:pt idx="207">
                  <c:v>67.86124380004631</c:v>
                </c:pt>
                <c:pt idx="208">
                  <c:v>68.17845401668535</c:v>
                </c:pt>
                <c:pt idx="209">
                  <c:v>68.495652756696458</c:v>
                </c:pt>
                <c:pt idx="210">
                  <c:v>68.812840103562834</c:v>
                </c:pt>
                <c:pt idx="211">
                  <c:v>69.130016139760414</c:v>
                </c:pt>
                <c:pt idx="212">
                  <c:v>69.44718094677485</c:v>
                </c:pt>
                <c:pt idx="213">
                  <c:v>69.764334605118009</c:v>
                </c:pt>
                <c:pt idx="214">
                  <c:v>70.081477194344345</c:v>
                </c:pt>
                <c:pt idx="215">
                  <c:v>70.398608793066501</c:v>
                </c:pt>
                <c:pt idx="216">
                  <c:v>70.715729478971113</c:v>
                </c:pt>
                <c:pt idx="217">
                  <c:v>71.032839328833816</c:v>
                </c:pt>
                <c:pt idx="218">
                  <c:v>71.349938418534265</c:v>
                </c:pt>
                <c:pt idx="219">
                  <c:v>71.667026823070557</c:v>
                </c:pt>
                <c:pt idx="220">
                  <c:v>71.984104616573703</c:v>
                </c:pt>
                <c:pt idx="221">
                  <c:v>72.301171872321419</c:v>
                </c:pt>
                <c:pt idx="222">
                  <c:v>72.618228662751875</c:v>
                </c:pt>
                <c:pt idx="223">
                  <c:v>72.935275059477135</c:v>
                </c:pt>
                <c:pt idx="224">
                  <c:v>73.252311133296246</c:v>
                </c:pt>
                <c:pt idx="225">
                  <c:v>73.569336954208154</c:v>
                </c:pt>
                <c:pt idx="226">
                  <c:v>73.886352591424171</c:v>
                </c:pt>
                <c:pt idx="227">
                  <c:v>74.203358113380489</c:v>
                </c:pt>
                <c:pt idx="228">
                  <c:v>74.520353587750236</c:v>
                </c:pt>
                <c:pt idx="229">
                  <c:v>74.837339081455241</c:v>
                </c:pt>
                <c:pt idx="230">
                  <c:v>75.15431466067777</c:v>
                </c:pt>
                <c:pt idx="231">
                  <c:v>75.471280390871897</c:v>
                </c:pt>
                <c:pt idx="232">
                  <c:v>75.788236336774588</c:v>
                </c:pt>
                <c:pt idx="233">
                  <c:v>76.1051825624168</c:v>
                </c:pt>
                <c:pt idx="234">
                  <c:v>76.422119131133996</c:v>
                </c:pt>
                <c:pt idx="235">
                  <c:v>76.739046105576989</c:v>
                </c:pt>
                <c:pt idx="236">
                  <c:v>77.049384464369226</c:v>
                </c:pt>
                <c:pt idx="237">
                  <c:v>77.366278330020265</c:v>
                </c:pt>
                <c:pt idx="238">
                  <c:v>77.683162815455475</c:v>
                </c:pt>
                <c:pt idx="239">
                  <c:v>78.000037980495506</c:v>
                </c:pt>
                <c:pt idx="240">
                  <c:v>78.316903884327786</c:v>
                </c:pt>
                <c:pt idx="241">
                  <c:v>78.633760585516015</c:v>
                </c:pt>
                <c:pt idx="242">
                  <c:v>78.950608142009216</c:v>
                </c:pt>
                <c:pt idx="243">
                  <c:v>79.267446611150831</c:v>
                </c:pt>
                <c:pt idx="244">
                  <c:v>79.584276049687432</c:v>
                </c:pt>
                <c:pt idx="245">
                  <c:v>79.901096513777489</c:v>
                </c:pt>
                <c:pt idx="246">
                  <c:v>80.217908058999797</c:v>
                </c:pt>
                <c:pt idx="247">
                  <c:v>80.534710740361859</c:v>
                </c:pt>
                <c:pt idx="248">
                  <c:v>80.851504612308048</c:v>
                </c:pt>
                <c:pt idx="249">
                  <c:v>81.168289728727615</c:v>
                </c:pt>
                <c:pt idx="250">
                  <c:v>81.485066142962737</c:v>
                </c:pt>
                <c:pt idx="251">
                  <c:v>81.801833907816004</c:v>
                </c:pt>
                <c:pt idx="252">
                  <c:v>82.118593075558238</c:v>
                </c:pt>
                <c:pt idx="253">
                  <c:v>82.435343697935892</c:v>
                </c:pt>
                <c:pt idx="254">
                  <c:v>82.752085826178387</c:v>
                </c:pt>
                <c:pt idx="255">
                  <c:v>83.068819511005273</c:v>
                </c:pt>
                <c:pt idx="256">
                  <c:v>83.385544802633433</c:v>
                </c:pt>
                <c:pt idx="257">
                  <c:v>83.702261750783833</c:v>
                </c:pt>
                <c:pt idx="258">
                  <c:v>84.018970404688545</c:v>
                </c:pt>
                <c:pt idx="259">
                  <c:v>84.335670813097295</c:v>
                </c:pt>
                <c:pt idx="260">
                  <c:v>84.652363024284242</c:v>
                </c:pt>
                <c:pt idx="261">
                  <c:v>84.969047086054189</c:v>
                </c:pt>
                <c:pt idx="262">
                  <c:v>85.285723045749208</c:v>
                </c:pt>
                <c:pt idx="263">
                  <c:v>85.602390950254659</c:v>
                </c:pt>
                <c:pt idx="264">
                  <c:v>85.919050846005533</c:v>
                </c:pt>
                <c:pt idx="265">
                  <c:v>86.235702778992376</c:v>
                </c:pt>
                <c:pt idx="266">
                  <c:v>86.552346794767203</c:v>
                </c:pt>
                <c:pt idx="267">
                  <c:v>86.868982938449406</c:v>
                </c:pt>
                <c:pt idx="268">
                  <c:v>87.185611254731441</c:v>
                </c:pt>
                <c:pt idx="269">
                  <c:v>87.502231787884426</c:v>
                </c:pt>
                <c:pt idx="270">
                  <c:v>87.818844581763784</c:v>
                </c:pt>
                <c:pt idx="271">
                  <c:v>88.135449679814613</c:v>
                </c:pt>
                <c:pt idx="272">
                  <c:v>88.45204712507703</c:v>
                </c:pt>
                <c:pt idx="273">
                  <c:v>88.768636960191458</c:v>
                </c:pt>
                <c:pt idx="274">
                  <c:v>89.08521922740384</c:v>
                </c:pt>
                <c:pt idx="275">
                  <c:v>89.401793968570686</c:v>
                </c:pt>
                <c:pt idx="276">
                  <c:v>89.718361225164045</c:v>
                </c:pt>
                <c:pt idx="277">
                  <c:v>90.034921038276536</c:v>
                </c:pt>
                <c:pt idx="278">
                  <c:v>90.351473448626109</c:v>
                </c:pt>
                <c:pt idx="279">
                  <c:v>90.668018496560791</c:v>
                </c:pt>
                <c:pt idx="280">
                  <c:v>90.984556222063475</c:v>
                </c:pt>
                <c:pt idx="281">
                  <c:v>91.301086664756468</c:v>
                </c:pt>
                <c:pt idx="282">
                  <c:v>91.617609863905969</c:v>
                </c:pt>
                <c:pt idx="283">
                  <c:v>91.93412585842664</c:v>
                </c:pt>
                <c:pt idx="284">
                  <c:v>92.250634686885888</c:v>
                </c:pt>
                <c:pt idx="285">
                  <c:v>92.567136387508384</c:v>
                </c:pt>
                <c:pt idx="286">
                  <c:v>92.883630998180024</c:v>
                </c:pt>
                <c:pt idx="287">
                  <c:v>93.200118556452367</c:v>
                </c:pt>
                <c:pt idx="288">
                  <c:v>93.516599099546582</c:v>
                </c:pt>
                <c:pt idx="289">
                  <c:v>93.833072664357644</c:v>
                </c:pt>
                <c:pt idx="290">
                  <c:v>94.149539287458239</c:v>
                </c:pt>
                <c:pt idx="291">
                  <c:v>94.465999005102674</c:v>
                </c:pt>
                <c:pt idx="292">
                  <c:v>94.782451853230796</c:v>
                </c:pt>
                <c:pt idx="293">
                  <c:v>95.098897867471806</c:v>
                </c:pt>
                <c:pt idx="294">
                  <c:v>95.41533708314789</c:v>
                </c:pt>
                <c:pt idx="295">
                  <c:v>95.731769535278104</c:v>
                </c:pt>
                <c:pt idx="296">
                  <c:v>96.048195258581842</c:v>
                </c:pt>
                <c:pt idx="297">
                  <c:v>96.364614287482453</c:v>
                </c:pt>
                <c:pt idx="298">
                  <c:v>96.681026656110831</c:v>
                </c:pt>
                <c:pt idx="299">
                  <c:v>96.99743239830876</c:v>
                </c:pt>
                <c:pt idx="300">
                  <c:v>97.313831547632489</c:v>
                </c:pt>
                <c:pt idx="301">
                  <c:v>97.63022413735591</c:v>
                </c:pt>
                <c:pt idx="302">
                  <c:v>97.946610200474026</c:v>
                </c:pt>
                <c:pt idx="303">
                  <c:v>98.262989769706138</c:v>
                </c:pt>
                <c:pt idx="304">
                  <c:v>98.579362877499065</c:v>
                </c:pt>
                <c:pt idx="305">
                  <c:v>98.895729556030332</c:v>
                </c:pt>
                <c:pt idx="306">
                  <c:v>99.212089837211309</c:v>
                </c:pt>
                <c:pt idx="307">
                  <c:v>99.52844375269018</c:v>
                </c:pt>
                <c:pt idx="308">
                  <c:v>99.844791333855127</c:v>
                </c:pt>
                <c:pt idx="309">
                  <c:v>100.16113261183712</c:v>
                </c:pt>
                <c:pt idx="310">
                  <c:v>100.47746761751308</c:v>
                </c:pt>
                <c:pt idx="311">
                  <c:v>100.7937963815086</c:v>
                </c:pt>
                <c:pt idx="312">
                  <c:v>101.11011893420087</c:v>
                </c:pt>
                <c:pt idx="313">
                  <c:v>101.42643530572143</c:v>
                </c:pt>
                <c:pt idx="314">
                  <c:v>101.74274552595904</c:v>
                </c:pt>
                <c:pt idx="315">
                  <c:v>102.05904962456236</c:v>
                </c:pt>
                <c:pt idx="316">
                  <c:v>102.3715348739106</c:v>
                </c:pt>
                <c:pt idx="317">
                  <c:v>102.68782073065786</c:v>
                </c:pt>
                <c:pt idx="318">
                  <c:v>103.00410056298844</c:v>
                </c:pt>
                <c:pt idx="319">
                  <c:v>103.32037439957095</c:v>
                </c:pt>
                <c:pt idx="320">
                  <c:v>103.63664226884748</c:v>
                </c:pt>
                <c:pt idx="321">
                  <c:v>103.95290419903586</c:v>
                </c:pt>
                <c:pt idx="322">
                  <c:v>104.26916021813226</c:v>
                </c:pt>
                <c:pt idx="323">
                  <c:v>104.58541035391356</c:v>
                </c:pt>
                <c:pt idx="324">
                  <c:v>104.90165463393981</c:v>
                </c:pt>
                <c:pt idx="325">
                  <c:v>105.2178930855566</c:v>
                </c:pt>
                <c:pt idx="326">
                  <c:v>105.53412573589722</c:v>
                </c:pt>
                <c:pt idx="327">
                  <c:v>105.85035261188517</c:v>
                </c:pt>
                <c:pt idx="328">
                  <c:v>106.16657374023636</c:v>
                </c:pt>
                <c:pt idx="329">
                  <c:v>106.48278914746126</c:v>
                </c:pt>
                <c:pt idx="330">
                  <c:v>106.7989988598672</c:v>
                </c:pt>
                <c:pt idx="331">
                  <c:v>107.11520290356056</c:v>
                </c:pt>
                <c:pt idx="332">
                  <c:v>107.43140130444877</c:v>
                </c:pt>
                <c:pt idx="333">
                  <c:v>107.74759408824259</c:v>
                </c:pt>
                <c:pt idx="334">
                  <c:v>108.06378128045807</c:v>
                </c:pt>
                <c:pt idx="335">
                  <c:v>108.37996290641875</c:v>
                </c:pt>
                <c:pt idx="336">
                  <c:v>108.69613899125753</c:v>
                </c:pt>
                <c:pt idx="337">
                  <c:v>109.01230955991875</c:v>
                </c:pt>
                <c:pt idx="338">
                  <c:v>109.32847463716013</c:v>
                </c:pt>
                <c:pt idx="339">
                  <c:v>109.64463424755482</c:v>
                </c:pt>
                <c:pt idx="340">
                  <c:v>109.96078841549321</c:v>
                </c:pt>
                <c:pt idx="341">
                  <c:v>110.27693716518486</c:v>
                </c:pt>
                <c:pt idx="342">
                  <c:v>110.59308052066038</c:v>
                </c:pt>
                <c:pt idx="343">
                  <c:v>110.90921850577328</c:v>
                </c:pt>
                <c:pt idx="344">
                  <c:v>111.22535114420174</c:v>
                </c:pt>
                <c:pt idx="345">
                  <c:v>111.54147845945052</c:v>
                </c:pt>
                <c:pt idx="346">
                  <c:v>111.85760047485262</c:v>
                </c:pt>
                <c:pt idx="347">
                  <c:v>112.17371721357111</c:v>
                </c:pt>
                <c:pt idx="348">
                  <c:v>112.48982869860079</c:v>
                </c:pt>
                <c:pt idx="349">
                  <c:v>112.80593495276993</c:v>
                </c:pt>
                <c:pt idx="350">
                  <c:v>113.12203599874205</c:v>
                </c:pt>
                <c:pt idx="351">
                  <c:v>113.43813185901733</c:v>
                </c:pt>
                <c:pt idx="352">
                  <c:v>113.75422255593453</c:v>
                </c:pt>
                <c:pt idx="353">
                  <c:v>114.07030811167245</c:v>
                </c:pt>
                <c:pt idx="354">
                  <c:v>114.38638854825153</c:v>
                </c:pt>
                <c:pt idx="355">
                  <c:v>114.7024638875355</c:v>
                </c:pt>
                <c:pt idx="356">
                  <c:v>115.01853415123293</c:v>
                </c:pt>
                <c:pt idx="357">
                  <c:v>115.33459936089865</c:v>
                </c:pt>
                <c:pt idx="358">
                  <c:v>115.65065953793544</c:v>
                </c:pt>
                <c:pt idx="359">
                  <c:v>115.96671470359534</c:v>
                </c:pt>
                <c:pt idx="360">
                  <c:v>116.28276487898142</c:v>
                </c:pt>
                <c:pt idx="361">
                  <c:v>116.59881008504887</c:v>
                </c:pt>
                <c:pt idx="362">
                  <c:v>116.91485034260671</c:v>
                </c:pt>
                <c:pt idx="363">
                  <c:v>117.23088567231912</c:v>
                </c:pt>
                <c:pt idx="364">
                  <c:v>117.54691609470689</c:v>
                </c:pt>
                <c:pt idx="365">
                  <c:v>117.86294163014875</c:v>
                </c:pt>
                <c:pt idx="366">
                  <c:v>118.17896229888278</c:v>
                </c:pt>
                <c:pt idx="367">
                  <c:v>118.49497812100778</c:v>
                </c:pt>
                <c:pt idx="368">
                  <c:v>118.81098911648455</c:v>
                </c:pt>
                <c:pt idx="369">
                  <c:v>119.12699530513726</c:v>
                </c:pt>
                <c:pt idx="370">
                  <c:v>119.4429967066548</c:v>
                </c:pt>
                <c:pt idx="371">
                  <c:v>119.75899334059193</c:v>
                </c:pt>
                <c:pt idx="372">
                  <c:v>120.07498522637073</c:v>
                </c:pt>
                <c:pt idx="373">
                  <c:v>120.39097238328168</c:v>
                </c:pt>
                <c:pt idx="374">
                  <c:v>120.70695483048503</c:v>
                </c:pt>
                <c:pt idx="375">
                  <c:v>121.02293258701206</c:v>
                </c:pt>
                <c:pt idx="376">
                  <c:v>121.3389056717661</c:v>
                </c:pt>
                <c:pt idx="377">
                  <c:v>121.65487410352394</c:v>
                </c:pt>
                <c:pt idx="378">
                  <c:v>121.97083790093687</c:v>
                </c:pt>
                <c:pt idx="379">
                  <c:v>122.28679708253196</c:v>
                </c:pt>
                <c:pt idx="380">
                  <c:v>122.6027516667131</c:v>
                </c:pt>
                <c:pt idx="381">
                  <c:v>122.91870167176232</c:v>
                </c:pt>
                <c:pt idx="382">
                  <c:v>123.23464711584067</c:v>
                </c:pt>
                <c:pt idx="383">
                  <c:v>123.55058801698956</c:v>
                </c:pt>
                <c:pt idx="384">
                  <c:v>123.86652439313168</c:v>
                </c:pt>
                <c:pt idx="385">
                  <c:v>124.18245626207232</c:v>
                </c:pt>
                <c:pt idx="386">
                  <c:v>124.49838364150018</c:v>
                </c:pt>
                <c:pt idx="387">
                  <c:v>124.81430654898865</c:v>
                </c:pt>
                <c:pt idx="388">
                  <c:v>125.13022500199668</c:v>
                </c:pt>
                <c:pt idx="389">
                  <c:v>125.44613901787</c:v>
                </c:pt>
                <c:pt idx="390">
                  <c:v>125.762048613842</c:v>
                </c:pt>
                <c:pt idx="391">
                  <c:v>126.07795380703485</c:v>
                </c:pt>
                <c:pt idx="392">
                  <c:v>126.39385461446042</c:v>
                </c:pt>
                <c:pt idx="393">
                  <c:v>126.70975105302132</c:v>
                </c:pt>
                <c:pt idx="394">
                  <c:v>127.02564313951186</c:v>
                </c:pt>
                <c:pt idx="395">
                  <c:v>127.34153089061904</c:v>
                </c:pt>
                <c:pt idx="396">
                  <c:v>127.65741432292349</c:v>
                </c:pt>
                <c:pt idx="397">
                  <c:v>127.97329345290041</c:v>
                </c:pt>
                <c:pt idx="398">
                  <c:v>128.28916829692054</c:v>
                </c:pt>
                <c:pt idx="399">
                  <c:v>128.60503887125105</c:v>
                </c:pt>
                <c:pt idx="400">
                  <c:v>128.92090519205644</c:v>
                </c:pt>
                <c:pt idx="401">
                  <c:v>129.23676727539956</c:v>
                </c:pt>
                <c:pt idx="402">
                  <c:v>129.55262513724227</c:v>
                </c:pt>
                <c:pt idx="403">
                  <c:v>129.86847879344663</c:v>
                </c:pt>
                <c:pt idx="404">
                  <c:v>130.1843282597755</c:v>
                </c:pt>
                <c:pt idx="405">
                  <c:v>130.50017355189354</c:v>
                </c:pt>
                <c:pt idx="406">
                  <c:v>130.81601468536812</c:v>
                </c:pt>
                <c:pt idx="407">
                  <c:v>131.13185167567002</c:v>
                </c:pt>
                <c:pt idx="408">
                  <c:v>131.44768453817431</c:v>
                </c:pt>
                <c:pt idx="409">
                  <c:v>131.76351328816116</c:v>
                </c:pt>
                <c:pt idx="410">
                  <c:v>132.07933794081694</c:v>
                </c:pt>
                <c:pt idx="411">
                  <c:v>132.3951585112346</c:v>
                </c:pt>
                <c:pt idx="412">
                  <c:v>132.71097501441454</c:v>
                </c:pt>
                <c:pt idx="413">
                  <c:v>133.02678746526573</c:v>
                </c:pt>
                <c:pt idx="414">
                  <c:v>133.34259587860618</c:v>
                </c:pt>
                <c:pt idx="415">
                  <c:v>133.65840026916393</c:v>
                </c:pt>
                <c:pt idx="416">
                  <c:v>133.97420065157746</c:v>
                </c:pt>
                <c:pt idx="417">
                  <c:v>134.28999704039691</c:v>
                </c:pt>
                <c:pt idx="418">
                  <c:v>134.60578945008447</c:v>
                </c:pt>
                <c:pt idx="419">
                  <c:v>134.92157789501533</c:v>
                </c:pt>
                <c:pt idx="420">
                  <c:v>135.23736238947828</c:v>
                </c:pt>
                <c:pt idx="421">
                  <c:v>135.55314294767652</c:v>
                </c:pt>
                <c:pt idx="422">
                  <c:v>135.86891958372834</c:v>
                </c:pt>
                <c:pt idx="423">
                  <c:v>136.18469231166782</c:v>
                </c:pt>
                <c:pt idx="424">
                  <c:v>136.50046114544551</c:v>
                </c:pt>
                <c:pt idx="425">
                  <c:v>136.81622609892926</c:v>
                </c:pt>
                <c:pt idx="426">
                  <c:v>137.13198718590476</c:v>
                </c:pt>
                <c:pt idx="427">
                  <c:v>137.44774442007619</c:v>
                </c:pt>
                <c:pt idx="428">
                  <c:v>137.76349781506715</c:v>
                </c:pt>
                <c:pt idx="429">
                  <c:v>138.07924738442082</c:v>
                </c:pt>
                <c:pt idx="430">
                  <c:v>138.3949931416013</c:v>
                </c:pt>
                <c:pt idx="431">
                  <c:v>138.71073509999371</c:v>
                </c:pt>
                <c:pt idx="432">
                  <c:v>139.02647327290506</c:v>
                </c:pt>
                <c:pt idx="433">
                  <c:v>139.34220767356476</c:v>
                </c:pt>
                <c:pt idx="434">
                  <c:v>139.65793831512551</c:v>
                </c:pt>
                <c:pt idx="435">
                  <c:v>139.97366521066365</c:v>
                </c:pt>
                <c:pt idx="436">
                  <c:v>140.28938837317989</c:v>
                </c:pt>
                <c:pt idx="437">
                  <c:v>140.60510781559998</c:v>
                </c:pt>
                <c:pt idx="438">
                  <c:v>140.92082355077511</c:v>
                </c:pt>
                <c:pt idx="439">
                  <c:v>141.23653559148281</c:v>
                </c:pt>
                <c:pt idx="440">
                  <c:v>141.55224395042734</c:v>
                </c:pt>
                <c:pt idx="441">
                  <c:v>141.86794864024014</c:v>
                </c:pt>
                <c:pt idx="442">
                  <c:v>142.18364967348083</c:v>
                </c:pt>
                <c:pt idx="443">
                  <c:v>142.49934706263744</c:v>
                </c:pt>
                <c:pt idx="444">
                  <c:v>142.81504082012708</c:v>
                </c:pt>
                <c:pt idx="445">
                  <c:v>143.13073095829648</c:v>
                </c:pt>
                <c:pt idx="446">
                  <c:v>143.44641748942252</c:v>
                </c:pt>
                <c:pt idx="447">
                  <c:v>143.76210042571299</c:v>
                </c:pt>
                <c:pt idx="448">
                  <c:v>144.07777977930689</c:v>
                </c:pt>
                <c:pt idx="449">
                  <c:v>144.39345556227499</c:v>
                </c:pt>
                <c:pt idx="450">
                  <c:v>144.70912778662051</c:v>
                </c:pt>
                <c:pt idx="451">
                  <c:v>145.02479646427958</c:v>
                </c:pt>
                <c:pt idx="452">
                  <c:v>145.34046160712163</c:v>
                </c:pt>
                <c:pt idx="453">
                  <c:v>145.65612322695029</c:v>
                </c:pt>
                <c:pt idx="454">
                  <c:v>145.97178133550327</c:v>
                </c:pt>
                <c:pt idx="455">
                  <c:v>146.28743594445359</c:v>
                </c:pt>
                <c:pt idx="456">
                  <c:v>146.60308706540957</c:v>
                </c:pt>
                <c:pt idx="457">
                  <c:v>146.91873470991553</c:v>
                </c:pt>
                <c:pt idx="458">
                  <c:v>147.23437888945222</c:v>
                </c:pt>
                <c:pt idx="459">
                  <c:v>147.55001961543738</c:v>
                </c:pt>
                <c:pt idx="460">
                  <c:v>147.86565689922617</c:v>
                </c:pt>
                <c:pt idx="461">
                  <c:v>148.18129075211166</c:v>
                </c:pt>
                <c:pt idx="462">
                  <c:v>148.49692118532528</c:v>
                </c:pt>
                <c:pt idx="463">
                  <c:v>148.81254821003736</c:v>
                </c:pt>
                <c:pt idx="464">
                  <c:v>149.12817183735746</c:v>
                </c:pt>
                <c:pt idx="465">
                  <c:v>149.44379207833512</c:v>
                </c:pt>
                <c:pt idx="466">
                  <c:v>149.75940894395984</c:v>
                </c:pt>
                <c:pt idx="467">
                  <c:v>150.07502244516198</c:v>
                </c:pt>
                <c:pt idx="468">
                  <c:v>150.39063259281303</c:v>
                </c:pt>
                <c:pt idx="469">
                  <c:v>150.70623939772605</c:v>
                </c:pt>
                <c:pt idx="470">
                  <c:v>151.02184287065606</c:v>
                </c:pt>
                <c:pt idx="471">
                  <c:v>151.33744302230053</c:v>
                </c:pt>
                <c:pt idx="472">
                  <c:v>151.65303986329988</c:v>
                </c:pt>
                <c:pt idx="473">
                  <c:v>151.96863340423786</c:v>
                </c:pt>
                <c:pt idx="474">
                  <c:v>152.28422365564182</c:v>
                </c:pt>
                <c:pt idx="475">
                  <c:v>152.59981062798335</c:v>
                </c:pt>
                <c:pt idx="476">
                  <c:v>152.91539433167856</c:v>
                </c:pt>
                <c:pt idx="477">
                  <c:v>153.23097477708856</c:v>
                </c:pt>
                <c:pt idx="478">
                  <c:v>153.54655197451993</c:v>
                </c:pt>
                <c:pt idx="479">
                  <c:v>153.86212593422474</c:v>
                </c:pt>
                <c:pt idx="480">
                  <c:v>154.17769666640154</c:v>
                </c:pt>
                <c:pt idx="481">
                  <c:v>154.49326418119534</c:v>
                </c:pt>
                <c:pt idx="482">
                  <c:v>154.80882848869805</c:v>
                </c:pt>
                <c:pt idx="483">
                  <c:v>155.12438959894905</c:v>
                </c:pt>
                <c:pt idx="484">
                  <c:v>155.57129469056133</c:v>
                </c:pt>
                <c:pt idx="485">
                  <c:v>155.94318016726305</c:v>
                </c:pt>
                <c:pt idx="486">
                  <c:v>156.30169189414661</c:v>
                </c:pt>
                <c:pt idx="487">
                  <c:v>156.65336962696517</c:v>
                </c:pt>
                <c:pt idx="488">
                  <c:v>157.00070363101781</c:v>
                </c:pt>
                <c:pt idx="489">
                  <c:v>157.34496120528655</c:v>
                </c:pt>
                <c:pt idx="490">
                  <c:v>157.6868917550805</c:v>
                </c:pt>
                <c:pt idx="491">
                  <c:v>158.02698207895034</c:v>
                </c:pt>
                <c:pt idx="492">
                  <c:v>158.36556957415891</c:v>
                </c:pt>
                <c:pt idx="493">
                  <c:v>158.70289949639104</c:v>
                </c:pt>
                <c:pt idx="494">
                  <c:v>159.03915675820508</c:v>
                </c:pt>
                <c:pt idx="495">
                  <c:v>159.37448487187973</c:v>
                </c:pt>
                <c:pt idx="496">
                  <c:v>159.70899787014437</c:v>
                </c:pt>
                <c:pt idx="497">
                  <c:v>160.04278814631408</c:v>
                </c:pt>
                <c:pt idx="498">
                  <c:v>160.3759318013602</c:v>
                </c:pt>
                <c:pt idx="499">
                  <c:v>160.70849240338765</c:v>
                </c:pt>
                <c:pt idx="500">
                  <c:v>161.04052370023632</c:v>
                </c:pt>
                <c:pt idx="501">
                  <c:v>161.37207162088197</c:v>
                </c:pt>
                <c:pt idx="502">
                  <c:v>161.70317578107327</c:v>
                </c:pt>
                <c:pt idx="503">
                  <c:v>162.03387063551662</c:v>
                </c:pt>
                <c:pt idx="504">
                  <c:v>162.36418637302199</c:v>
                </c:pt>
                <c:pt idx="505">
                  <c:v>162.69414962140488</c:v>
                </c:pt>
                <c:pt idx="506">
                  <c:v>163.02378400934239</c:v>
                </c:pt>
                <c:pt idx="507">
                  <c:v>163.35311061914183</c:v>
                </c:pt>
                <c:pt idx="508">
                  <c:v>163.68214835524125</c:v>
                </c:pt>
                <c:pt idx="509">
                  <c:v>164.01091424685447</c:v>
                </c:pt>
                <c:pt idx="510">
                  <c:v>164.33942369859739</c:v>
                </c:pt>
                <c:pt idx="511">
                  <c:v>164.66769069962379</c:v>
                </c:pt>
                <c:pt idx="512">
                  <c:v>164.99572799936854</c:v>
                </c:pt>
                <c:pt idx="513">
                  <c:v>165.32354725619291</c:v>
                </c:pt>
                <c:pt idx="514">
                  <c:v>165.65115916386986</c:v>
                </c:pt>
                <c:pt idx="515">
                  <c:v>165.97857355981847</c:v>
                </c:pt>
                <c:pt idx="516">
                  <c:v>166.30579951820579</c:v>
                </c:pt>
                <c:pt idx="517">
                  <c:v>166.6328454304257</c:v>
                </c:pt>
                <c:pt idx="518">
                  <c:v>166.95971907498415</c:v>
                </c:pt>
                <c:pt idx="519">
                  <c:v>167.28642767844775</c:v>
                </c:pt>
                <c:pt idx="520">
                  <c:v>167.61297796881391</c:v>
                </c:pt>
                <c:pt idx="521">
                  <c:v>167.93937622242288</c:v>
                </c:pt>
                <c:pt idx="522">
                  <c:v>168.26562830534277</c:v>
                </c:pt>
                <c:pt idx="523">
                  <c:v>168.59173971000212</c:v>
                </c:pt>
                <c:pt idx="524">
                  <c:v>168.91771558772126</c:v>
                </c:pt>
                <c:pt idx="525">
                  <c:v>169.24356077769005</c:v>
                </c:pt>
                <c:pt idx="526">
                  <c:v>169.56927983285476</c:v>
                </c:pt>
                <c:pt idx="527">
                  <c:v>169.89487704310818</c:v>
                </c:pt>
                <c:pt idx="528">
                  <c:v>170.22035645611845</c:v>
                </c:pt>
                <c:pt idx="529">
                  <c:v>170.54572189608359</c:v>
                </c:pt>
                <c:pt idx="530">
                  <c:v>170.87097698065983</c:v>
                </c:pt>
                <c:pt idx="531">
                  <c:v>171.19612513627513</c:v>
                </c:pt>
                <c:pt idx="532">
                  <c:v>171.52116961201327</c:v>
                </c:pt>
                <c:pt idx="533">
                  <c:v>171.8461134922278</c:v>
                </c:pt>
                <c:pt idx="534">
                  <c:v>172.17095970802532</c:v>
                </c:pt>
                <c:pt idx="535">
                  <c:v>172.49571104773932</c:v>
                </c:pt>
                <c:pt idx="536">
                  <c:v>172.82037016650105</c:v>
                </c:pt>
                <c:pt idx="537">
                  <c:v>173.14493959500089</c:v>
                </c:pt>
                <c:pt idx="538">
                  <c:v>173.46942174752206</c:v>
                </c:pt>
                <c:pt idx="539">
                  <c:v>173.79381892931977</c:v>
                </c:pt>
                <c:pt idx="540">
                  <c:v>174.11813334340911</c:v>
                </c:pt>
                <c:pt idx="541">
                  <c:v>174.44236709681897</c:v>
                </c:pt>
                <c:pt idx="542">
                  <c:v>174.76652220636279</c:v>
                </c:pt>
                <c:pt idx="543">
                  <c:v>175.09060060397022</c:v>
                </c:pt>
                <c:pt idx="544">
                  <c:v>175.41460414162034</c:v>
                </c:pt>
                <c:pt idx="545">
                  <c:v>175.7385345959124</c:v>
                </c:pt>
                <c:pt idx="546">
                  <c:v>176.06239367230535</c:v>
                </c:pt>
                <c:pt idx="547">
                  <c:v>176.38618300905628</c:v>
                </c:pt>
                <c:pt idx="548">
                  <c:v>176.70990418088218</c:v>
                </c:pt>
                <c:pt idx="549">
                  <c:v>177.03355870236894</c:v>
                </c:pt>
                <c:pt idx="550">
                  <c:v>177.35714803114934</c:v>
                </c:pt>
                <c:pt idx="551">
                  <c:v>177.68067357086744</c:v>
                </c:pt>
                <c:pt idx="552">
                  <c:v>178.00413667394778</c:v>
                </c:pt>
                <c:pt idx="553">
                  <c:v>178.3275386441847</c:v>
                </c:pt>
                <c:pt idx="554">
                  <c:v>178.65088073916482</c:v>
                </c:pt>
                <c:pt idx="555">
                  <c:v>178.97416417253785</c:v>
                </c:pt>
                <c:pt idx="556">
                  <c:v>179.2973901161445</c:v>
                </c:pt>
                <c:pt idx="557">
                  <c:v>179.62055970201428</c:v>
                </c:pt>
                <c:pt idx="558">
                  <c:v>179.94367402424217</c:v>
                </c:pt>
                <c:pt idx="559">
                  <c:v>180.26673414075276</c:v>
                </c:pt>
                <c:pt idx="560">
                  <c:v>180.58974107496033</c:v>
                </c:pt>
                <c:pt idx="561">
                  <c:v>180.91269581733212</c:v>
                </c:pt>
                <c:pt idx="562">
                  <c:v>181.23559932686186</c:v>
                </c:pt>
                <c:pt idx="563">
                  <c:v>181.55845253245923</c:v>
                </c:pt>
                <c:pt idx="564">
                  <c:v>181.88125633426162</c:v>
                </c:pt>
                <c:pt idx="565">
                  <c:v>182.20401160487336</c:v>
                </c:pt>
                <c:pt idx="566">
                  <c:v>182.52671919053648</c:v>
                </c:pt>
                <c:pt idx="567">
                  <c:v>182.84937991223902</c:v>
                </c:pt>
                <c:pt idx="568">
                  <c:v>183.17199456676343</c:v>
                </c:pt>
                <c:pt idx="569">
                  <c:v>183.49456392767991</c:v>
                </c:pt>
                <c:pt idx="570">
                  <c:v>183.81708874628794</c:v>
                </c:pt>
                <c:pt idx="571">
                  <c:v>184.13956975250886</c:v>
                </c:pt>
                <c:pt idx="572">
                  <c:v>184.46200765573369</c:v>
                </c:pt>
                <c:pt idx="573">
                  <c:v>184.78440314562727</c:v>
                </c:pt>
                <c:pt idx="574">
                  <c:v>185.10675689289278</c:v>
                </c:pt>
                <c:pt idx="575">
                  <c:v>185.42906954999873</c:v>
                </c:pt>
                <c:pt idx="576">
                  <c:v>185.75134175186997</c:v>
                </c:pt>
                <c:pt idx="577">
                  <c:v>186.0735741165457</c:v>
                </c:pt>
                <c:pt idx="578">
                  <c:v>186.3957672458061</c:v>
                </c:pt>
                <c:pt idx="579">
                  <c:v>186.71792172576878</c:v>
                </c:pt>
                <c:pt idx="580">
                  <c:v>187.0400381274583</c:v>
                </c:pt>
                <c:pt idx="581">
                  <c:v>187.36211700734847</c:v>
                </c:pt>
                <c:pt idx="582">
                  <c:v>187.68415890788015</c:v>
                </c:pt>
                <c:pt idx="583">
                  <c:v>188.00616435795564</c:v>
                </c:pt>
                <c:pt idx="584">
                  <c:v>188.32813387341074</c:v>
                </c:pt>
                <c:pt idx="585">
                  <c:v>188.65006795746578</c:v>
                </c:pt>
                <c:pt idx="586">
                  <c:v>188.97196710115713</c:v>
                </c:pt>
                <c:pt idx="587">
                  <c:v>189.29383178374931</c:v>
                </c:pt>
                <c:pt idx="588">
                  <c:v>189.61566247312996</c:v>
                </c:pt>
                <c:pt idx="589">
                  <c:v>189.93745962618738</c:v>
                </c:pt>
                <c:pt idx="590">
                  <c:v>190.25922368917259</c:v>
                </c:pt>
                <c:pt idx="591">
                  <c:v>190.58095509804551</c:v>
                </c:pt>
                <c:pt idx="592">
                  <c:v>190.9026542788076</c:v>
                </c:pt>
                <c:pt idx="593">
                  <c:v>191.22432164782006</c:v>
                </c:pt>
                <c:pt idx="594">
                  <c:v>191.54595761210945</c:v>
                </c:pt>
                <c:pt idx="595">
                  <c:v>191.86756256966083</c:v>
                </c:pt>
                <c:pt idx="596">
                  <c:v>192.18913690969902</c:v>
                </c:pt>
                <c:pt idx="597">
                  <c:v>192.51068101295911</c:v>
                </c:pt>
                <c:pt idx="598">
                  <c:v>192.83219525194585</c:v>
                </c:pt>
                <c:pt idx="599">
                  <c:v>193.15367999118291</c:v>
                </c:pt>
                <c:pt idx="600">
                  <c:v>193.475135587453</c:v>
                </c:pt>
                <c:pt idx="601">
                  <c:v>193.79656239002819</c:v>
                </c:pt>
                <c:pt idx="602">
                  <c:v>194.11796074089187</c:v>
                </c:pt>
                <c:pt idx="603">
                  <c:v>194.43933097495224</c:v>
                </c:pt>
                <c:pt idx="604">
                  <c:v>194.76067342024737</c:v>
                </c:pt>
                <c:pt idx="605">
                  <c:v>195.08198839814361</c:v>
                </c:pt>
                <c:pt idx="606">
                  <c:v>195.40327622352564</c:v>
                </c:pt>
                <c:pt idx="607">
                  <c:v>195.72453720498038</c:v>
                </c:pt>
                <c:pt idx="608">
                  <c:v>196.04577164497371</c:v>
                </c:pt>
                <c:pt idx="609">
                  <c:v>196.3669798400212</c:v>
                </c:pt>
                <c:pt idx="610">
                  <c:v>196.68816208085263</c:v>
                </c:pt>
                <c:pt idx="611">
                  <c:v>197.00931865257058</c:v>
                </c:pt>
                <c:pt idx="612">
                  <c:v>197.33044983480357</c:v>
                </c:pt>
                <c:pt idx="613">
                  <c:v>197.65155590185398</c:v>
                </c:pt>
                <c:pt idx="614">
                  <c:v>197.97263712284052</c:v>
                </c:pt>
                <c:pt idx="615">
                  <c:v>198.29369376183644</c:v>
                </c:pt>
                <c:pt idx="616">
                  <c:v>198.61472607800195</c:v>
                </c:pt>
                <c:pt idx="617">
                  <c:v>198.93573432571364</c:v>
                </c:pt>
                <c:pt idx="618">
                  <c:v>199.25671875468825</c:v>
                </c:pt>
                <c:pt idx="619">
                  <c:v>199.57767961010305</c:v>
                </c:pt>
                <c:pt idx="620">
                  <c:v>199.89861713271199</c:v>
                </c:pt>
                <c:pt idx="621">
                  <c:v>200.21953155895807</c:v>
                </c:pt>
                <c:pt idx="622">
                  <c:v>200.54042312108228</c:v>
                </c:pt>
                <c:pt idx="623">
                  <c:v>200.86129204722866</c:v>
                </c:pt>
                <c:pt idx="624">
                  <c:v>201.18213856154605</c:v>
                </c:pt>
                <c:pt idx="625">
                  <c:v>201.502962884287</c:v>
                </c:pt>
                <c:pt idx="626">
                  <c:v>201.82376523190305</c:v>
                </c:pt>
                <c:pt idx="627">
                  <c:v>202.14454581713727</c:v>
                </c:pt>
                <c:pt idx="628">
                  <c:v>202.46530484911409</c:v>
                </c:pt>
                <c:pt idx="629">
                  <c:v>202.78604253342559</c:v>
                </c:pt>
                <c:pt idx="630">
                  <c:v>203.10675907221639</c:v>
                </c:pt>
                <c:pt idx="631">
                  <c:v>203.4274546642647</c:v>
                </c:pt>
                <c:pt idx="632">
                  <c:v>203.74812950506168</c:v>
                </c:pt>
                <c:pt idx="633">
                  <c:v>204.06878378688822</c:v>
                </c:pt>
                <c:pt idx="634">
                  <c:v>204.38941769888916</c:v>
                </c:pt>
                <c:pt idx="635">
                  <c:v>204.71003142714582</c:v>
                </c:pt>
                <c:pt idx="636">
                  <c:v>205.03062515474588</c:v>
                </c:pt>
                <c:pt idx="637">
                  <c:v>205.35119906185147</c:v>
                </c:pt>
                <c:pt idx="638">
                  <c:v>205.67175332576534</c:v>
                </c:pt>
                <c:pt idx="639">
                  <c:v>205.9922881209948</c:v>
                </c:pt>
                <c:pt idx="640">
                  <c:v>206.31280361931437</c:v>
                </c:pt>
                <c:pt idx="641">
                  <c:v>206.6332999898257</c:v>
                </c:pt>
                <c:pt idx="642">
                  <c:v>206.95377739901713</c:v>
                </c:pt>
                <c:pt idx="643">
                  <c:v>207.27423601082023</c:v>
                </c:pt>
                <c:pt idx="644">
                  <c:v>207.59467598666561</c:v>
                </c:pt>
                <c:pt idx="645">
                  <c:v>207.9150974855369</c:v>
                </c:pt>
                <c:pt idx="646">
                  <c:v>208.23550066402302</c:v>
                </c:pt>
                <c:pt idx="647">
                  <c:v>208.55588567636966</c:v>
                </c:pt>
                <c:pt idx="648">
                  <c:v>208.87625267452859</c:v>
                </c:pt>
                <c:pt idx="649">
                  <c:v>209.19660180820594</c:v>
                </c:pt>
                <c:pt idx="650">
                  <c:v>209.51693322490948</c:v>
                </c:pt>
                <c:pt idx="651">
                  <c:v>209.83724706999405</c:v>
                </c:pt>
                <c:pt idx="652">
                  <c:v>210.15754348670626</c:v>
                </c:pt>
                <c:pt idx="653">
                  <c:v>210.47782261622788</c:v>
                </c:pt>
                <c:pt idx="654">
                  <c:v>210.79808459771769</c:v>
                </c:pt>
                <c:pt idx="655">
                  <c:v>211.11832956835292</c:v>
                </c:pt>
                <c:pt idx="656">
                  <c:v>211.43855766336915</c:v>
                </c:pt>
                <c:pt idx="657">
                  <c:v>211.75876901609919</c:v>
                </c:pt>
                <c:pt idx="658">
                  <c:v>212.07896375801113</c:v>
                </c:pt>
                <c:pt idx="659">
                  <c:v>212.39914201874527</c:v>
                </c:pt>
                <c:pt idx="660">
                  <c:v>212.71930392615025</c:v>
                </c:pt>
                <c:pt idx="661">
                  <c:v>213.03944960631816</c:v>
                </c:pt>
                <c:pt idx="662">
                  <c:v>213.35957918361873</c:v>
                </c:pt>
                <c:pt idx="663">
                  <c:v>213.67969278073284</c:v>
                </c:pt>
                <c:pt idx="664">
                  <c:v>213.99979051868488</c:v>
                </c:pt>
                <c:pt idx="665">
                  <c:v>214.31987251687482</c:v>
                </c:pt>
                <c:pt idx="666">
                  <c:v>214.63993889310873</c:v>
                </c:pt>
                <c:pt idx="667">
                  <c:v>214.95998976362949</c:v>
                </c:pt>
                <c:pt idx="668">
                  <c:v>215.28002524314593</c:v>
                </c:pt>
                <c:pt idx="669">
                  <c:v>215.60004544486165</c:v>
                </c:pt>
                <c:pt idx="670">
                  <c:v>215.92005048050319</c:v>
                </c:pt>
                <c:pt idx="671">
                  <c:v>216.24004046034727</c:v>
                </c:pt>
                <c:pt idx="672">
                  <c:v>216.56001549324768</c:v>
                </c:pt>
                <c:pt idx="673">
                  <c:v>216.8799756866614</c:v>
                </c:pt>
                <c:pt idx="674">
                  <c:v>217.19992114667377</c:v>
                </c:pt>
                <c:pt idx="675">
                  <c:v>217.51985197802387</c:v>
                </c:pt>
                <c:pt idx="676">
                  <c:v>217.83976828412841</c:v>
                </c:pt>
                <c:pt idx="677">
                  <c:v>218.1596701671057</c:v>
                </c:pt>
                <c:pt idx="678">
                  <c:v>218.47955772779892</c:v>
                </c:pt>
                <c:pt idx="679">
                  <c:v>218.79943106579833</c:v>
                </c:pt>
                <c:pt idx="680">
                  <c:v>219.11929027946405</c:v>
                </c:pt>
                <c:pt idx="681">
                  <c:v>219.43913546594726</c:v>
                </c:pt>
                <c:pt idx="682">
                  <c:v>219.75896672121144</c:v>
                </c:pt>
                <c:pt idx="683">
                  <c:v>220.07878414005316</c:v>
                </c:pt>
                <c:pt idx="684">
                  <c:v>220.39858781612216</c:v>
                </c:pt>
                <c:pt idx="685">
                  <c:v>220.71837784194113</c:v>
                </c:pt>
                <c:pt idx="686">
                  <c:v>221.03815430892516</c:v>
                </c:pt>
                <c:pt idx="687">
                  <c:v>221.35791730740044</c:v>
                </c:pt>
                <c:pt idx="688">
                  <c:v>221.67766692662286</c:v>
                </c:pt>
                <c:pt idx="689">
                  <c:v>221.99740325479607</c:v>
                </c:pt>
                <c:pt idx="690">
                  <c:v>222.31712637908919</c:v>
                </c:pt>
                <c:pt idx="691">
                  <c:v>222.63683638565391</c:v>
                </c:pt>
                <c:pt idx="692">
                  <c:v>222.95653335964175</c:v>
                </c:pt>
                <c:pt idx="693">
                  <c:v>223.27621738522041</c:v>
                </c:pt>
                <c:pt idx="694">
                  <c:v>223.59588854558993</c:v>
                </c:pt>
                <c:pt idx="695">
                  <c:v>223.91554692299877</c:v>
                </c:pt>
                <c:pt idx="696">
                  <c:v>224.23519259875906</c:v>
                </c:pt>
                <c:pt idx="697">
                  <c:v>224.55482565326207</c:v>
                </c:pt>
                <c:pt idx="698">
                  <c:v>224.87444616599308</c:v>
                </c:pt>
                <c:pt idx="699">
                  <c:v>225.19405421554558</c:v>
                </c:pt>
                <c:pt idx="700">
                  <c:v>225.51364987963601</c:v>
                </c:pt>
                <c:pt idx="701">
                  <c:v>225.83323323511755</c:v>
                </c:pt>
                <c:pt idx="702">
                  <c:v>226.15280435799372</c:v>
                </c:pt>
                <c:pt idx="703">
                  <c:v>226.47236332343203</c:v>
                </c:pt>
                <c:pt idx="704">
                  <c:v>226.7919102057767</c:v>
                </c:pt>
                <c:pt idx="705">
                  <c:v>227.1114450785621</c:v>
                </c:pt>
                <c:pt idx="706">
                  <c:v>227.43096801452486</c:v>
                </c:pt>
                <c:pt idx="707">
                  <c:v>227.75047908561652</c:v>
                </c:pt>
                <c:pt idx="708">
                  <c:v>228.06997836301548</c:v>
                </c:pt>
                <c:pt idx="709">
                  <c:v>228.38946591713901</c:v>
                </c:pt>
                <c:pt idx="710">
                  <c:v>228.70894181765476</c:v>
                </c:pt>
                <c:pt idx="711">
                  <c:v>229.02840613349227</c:v>
                </c:pt>
                <c:pt idx="712">
                  <c:v>229.34785893285405</c:v>
                </c:pt>
                <c:pt idx="713">
                  <c:v>229.66730028322661</c:v>
                </c:pt>
                <c:pt idx="714">
                  <c:v>229.98673025139121</c:v>
                </c:pt>
                <c:pt idx="715">
                  <c:v>230.30614890343443</c:v>
                </c:pt>
                <c:pt idx="716">
                  <c:v>230.62555630475828</c:v>
                </c:pt>
                <c:pt idx="717">
                  <c:v>230.94495252009071</c:v>
                </c:pt>
                <c:pt idx="718">
                  <c:v>231.26433761349531</c:v>
                </c:pt>
                <c:pt idx="719">
                  <c:v>231.5837116483811</c:v>
                </c:pt>
                <c:pt idx="720">
                  <c:v>231.90307468751215</c:v>
                </c:pt>
                <c:pt idx="721">
                  <c:v>232.22242679301684</c:v>
                </c:pt>
                <c:pt idx="722">
                  <c:v>232.54176802639728</c:v>
                </c:pt>
                <c:pt idx="723">
                  <c:v>232.86109844853834</c:v>
                </c:pt>
                <c:pt idx="724">
                  <c:v>233.18041811971617</c:v>
                </c:pt>
                <c:pt idx="725">
                  <c:v>233.49972709960733</c:v>
                </c:pt>
                <c:pt idx="726">
                  <c:v>233.81902544729715</c:v>
                </c:pt>
                <c:pt idx="727">
                  <c:v>234.13831322128812</c:v>
                </c:pt>
                <c:pt idx="728">
                  <c:v>234.45759047950821</c:v>
                </c:pt>
                <c:pt idx="729">
                  <c:v>234.77685727931868</c:v>
                </c:pt>
                <c:pt idx="730">
                  <c:v>235.09611367752248</c:v>
                </c:pt>
                <c:pt idx="731">
                  <c:v>235.4153597303717</c:v>
                </c:pt>
                <c:pt idx="732">
                  <c:v>235.73459549357523</c:v>
                </c:pt>
                <c:pt idx="733">
                  <c:v>236.05382102230644</c:v>
                </c:pt>
                <c:pt idx="734">
                  <c:v>236.37303637121047</c:v>
                </c:pt>
                <c:pt idx="735">
                  <c:v>236.69224159441151</c:v>
                </c:pt>
                <c:pt idx="736">
                  <c:v>237.0114367455198</c:v>
                </c:pt>
                <c:pt idx="737">
                  <c:v>237.33062187763886</c:v>
                </c:pt>
                <c:pt idx="738">
                  <c:v>237.6497970433721</c:v>
                </c:pt>
                <c:pt idx="739">
                  <c:v>237.96896229482979</c:v>
                </c:pt>
                <c:pt idx="740">
                  <c:v>238.28811768363565</c:v>
                </c:pt>
                <c:pt idx="741">
                  <c:v>238.60726326093308</c:v>
                </c:pt>
                <c:pt idx="742">
                  <c:v>238.92639907739206</c:v>
                </c:pt>
                <c:pt idx="743">
                  <c:v>239.24552518321511</c:v>
                </c:pt>
                <c:pt idx="744">
                  <c:v>239.56464162814348</c:v>
                </c:pt>
                <c:pt idx="745">
                  <c:v>239.88374846146343</c:v>
                </c:pt>
                <c:pt idx="746">
                  <c:v>240.20284573201192</c:v>
                </c:pt>
                <c:pt idx="747">
                  <c:v>240.52193348818281</c:v>
                </c:pt>
                <c:pt idx="748">
                  <c:v>240.84101177793247</c:v>
                </c:pt>
                <c:pt idx="749">
                  <c:v>241.16008064878525</c:v>
                </c:pt>
                <c:pt idx="750">
                  <c:v>241.47914014783953</c:v>
                </c:pt>
                <c:pt idx="751">
                  <c:v>241.79819032177281</c:v>
                </c:pt>
                <c:pt idx="752">
                  <c:v>242.11723121684722</c:v>
                </c:pt>
                <c:pt idx="753">
                  <c:v>242.43626287891507</c:v>
                </c:pt>
                <c:pt idx="754">
                  <c:v>242.75528535342355</c:v>
                </c:pt>
                <c:pt idx="755">
                  <c:v>243.07429868542042</c:v>
                </c:pt>
                <c:pt idx="756">
                  <c:v>243.39330291955866</c:v>
                </c:pt>
                <c:pt idx="757">
                  <c:v>243.71229810010172</c:v>
                </c:pt>
                <c:pt idx="758">
                  <c:v>244.03128427092815</c:v>
                </c:pt>
                <c:pt idx="759">
                  <c:v>244.3502614755366</c:v>
                </c:pt>
                <c:pt idx="760">
                  <c:v>244.66922975705049</c:v>
                </c:pt>
                <c:pt idx="761">
                  <c:v>244.98818915822261</c:v>
                </c:pt>
                <c:pt idx="762">
                  <c:v>245.30713972143974</c:v>
                </c:pt>
                <c:pt idx="763">
                  <c:v>245.62608148872724</c:v>
                </c:pt>
                <c:pt idx="764">
                  <c:v>245.94501450175323</c:v>
                </c:pt>
                <c:pt idx="765">
                  <c:v>246.26393880183343</c:v>
                </c:pt>
                <c:pt idx="766">
                  <c:v>246.58285442993468</c:v>
                </c:pt>
                <c:pt idx="767">
                  <c:v>246.90176142668008</c:v>
                </c:pt>
                <c:pt idx="768">
                  <c:v>247.22065983235242</c:v>
                </c:pt>
                <c:pt idx="769">
                  <c:v>247.53954968689868</c:v>
                </c:pt>
                <c:pt idx="770">
                  <c:v>247.85843102993391</c:v>
                </c:pt>
                <c:pt idx="771">
                  <c:v>248.1773039007451</c:v>
                </c:pt>
                <c:pt idx="772">
                  <c:v>248.4961683382954</c:v>
                </c:pt>
                <c:pt idx="773">
                  <c:v>248.81502438122774</c:v>
                </c:pt>
                <c:pt idx="774">
                  <c:v>249.13387206786848</c:v>
                </c:pt>
                <c:pt idx="775">
                  <c:v>249.45271143623143</c:v>
                </c:pt>
                <c:pt idx="776">
                  <c:v>249.77154252402141</c:v>
                </c:pt>
                <c:pt idx="777">
                  <c:v>250.0903653686378</c:v>
                </c:pt>
                <c:pt idx="778">
                  <c:v>250.40918000717829</c:v>
                </c:pt>
                <c:pt idx="779">
                  <c:v>250.72798647644194</c:v>
                </c:pt>
                <c:pt idx="780">
                  <c:v>251.04678481293328</c:v>
                </c:pt>
                <c:pt idx="781">
                  <c:v>251.36557505286518</c:v>
                </c:pt>
                <c:pt idx="782">
                  <c:v>251.68435723216248</c:v>
                </c:pt>
                <c:pt idx="783">
                  <c:v>252.00313138646516</c:v>
                </c:pt>
                <c:pt idx="784">
                  <c:v>252.32189755113168</c:v>
                </c:pt>
                <c:pt idx="785">
                  <c:v>252.64065576124207</c:v>
                </c:pt>
                <c:pt idx="786">
                  <c:v>252.95940605160126</c:v>
                </c:pt>
                <c:pt idx="787">
                  <c:v>253.27814845674203</c:v>
                </c:pt>
                <c:pt idx="788">
                  <c:v>253.59688301092811</c:v>
                </c:pt>
                <c:pt idx="789">
                  <c:v>253.91560974815724</c:v>
                </c:pt>
                <c:pt idx="790">
                  <c:v>254.23432870216428</c:v>
                </c:pt>
                <c:pt idx="791">
                  <c:v>254.55303990642363</c:v>
                </c:pt>
                <c:pt idx="792">
                  <c:v>254.87174339415287</c:v>
                </c:pt>
                <c:pt idx="793">
                  <c:v>255.190439198315</c:v>
                </c:pt>
                <c:pt idx="794">
                  <c:v>255.50912735162152</c:v>
                </c:pt>
                <c:pt idx="795">
                  <c:v>255.82780788653514</c:v>
                </c:pt>
                <c:pt idx="796">
                  <c:v>256.14041179031852</c:v>
                </c:pt>
                <c:pt idx="797">
                  <c:v>256.45907335922936</c:v>
                </c:pt>
                <c:pt idx="798">
                  <c:v>256.77772740807836</c:v>
                </c:pt>
                <c:pt idx="799">
                  <c:v>257.09637396835518</c:v>
                </c:pt>
                <c:pt idx="800">
                  <c:v>257.41501307131443</c:v>
                </c:pt>
                <c:pt idx="801">
                  <c:v>257.73364474797734</c:v>
                </c:pt>
                <c:pt idx="802">
                  <c:v>258.05226902913489</c:v>
                </c:pt>
                <c:pt idx="803">
                  <c:v>258.37088594535004</c:v>
                </c:pt>
                <c:pt idx="804">
                  <c:v>258.68949552696012</c:v>
                </c:pt>
                <c:pt idx="805">
                  <c:v>259.0080978040794</c:v>
                </c:pt>
                <c:pt idx="806">
                  <c:v>259.32669280660116</c:v>
                </c:pt>
                <c:pt idx="807">
                  <c:v>259.64528056420039</c:v>
                </c:pt>
                <c:pt idx="808">
                  <c:v>259.96386110633586</c:v>
                </c:pt>
                <c:pt idx="809">
                  <c:v>260.28243446225247</c:v>
                </c:pt>
                <c:pt idx="810">
                  <c:v>260.60100066098335</c:v>
                </c:pt>
                <c:pt idx="811">
                  <c:v>260.91955973135231</c:v>
                </c:pt>
                <c:pt idx="812">
                  <c:v>261.23811170197592</c:v>
                </c:pt>
                <c:pt idx="813">
                  <c:v>261.55665660126556</c:v>
                </c:pt>
                <c:pt idx="814">
                  <c:v>261.87519445742964</c:v>
                </c:pt>
                <c:pt idx="815">
                  <c:v>262.19372529847573</c:v>
                </c:pt>
                <c:pt idx="816">
                  <c:v>262.51224915221246</c:v>
                </c:pt>
                <c:pt idx="817">
                  <c:v>262.83076604625182</c:v>
                </c:pt>
                <c:pt idx="818">
                  <c:v>263.14927600801093</c:v>
                </c:pt>
                <c:pt idx="819">
                  <c:v>263.46777906471391</c:v>
                </c:pt>
                <c:pt idx="820">
                  <c:v>263.78627524339453</c:v>
                </c:pt>
                <c:pt idx="821">
                  <c:v>264.10476457089709</c:v>
                </c:pt>
                <c:pt idx="822">
                  <c:v>264.42324707387928</c:v>
                </c:pt>
                <c:pt idx="823">
                  <c:v>264.74172277881365</c:v>
                </c:pt>
                <c:pt idx="824">
                  <c:v>265.06019171198915</c:v>
                </c:pt>
                <c:pt idx="825">
                  <c:v>265.37865389951367</c:v>
                </c:pt>
                <c:pt idx="826">
                  <c:v>265.69710936731531</c:v>
                </c:pt>
                <c:pt idx="827">
                  <c:v>266.01555814114414</c:v>
                </c:pt>
                <c:pt idx="828">
                  <c:v>266.33400024657459</c:v>
                </c:pt>
                <c:pt idx="829">
                  <c:v>266.65243570900623</c:v>
                </c:pt>
                <c:pt idx="830">
                  <c:v>266.9708645536665</c:v>
                </c:pt>
                <c:pt idx="831">
                  <c:v>267.2892868056116</c:v>
                </c:pt>
                <c:pt idx="832">
                  <c:v>267.60770248972847</c:v>
                </c:pt>
                <c:pt idx="833">
                  <c:v>267.92611163073667</c:v>
                </c:pt>
                <c:pt idx="834">
                  <c:v>268.24451425318966</c:v>
                </c:pt>
                <c:pt idx="835">
                  <c:v>268.56291038147634</c:v>
                </c:pt>
                <c:pt idx="836">
                  <c:v>268.88130003982303</c:v>
                </c:pt>
                <c:pt idx="837">
                  <c:v>269.1996832522949</c:v>
                </c:pt>
                <c:pt idx="838">
                  <c:v>269.51806004279734</c:v>
                </c:pt>
                <c:pt idx="839">
                  <c:v>269.83643043507766</c:v>
                </c:pt>
                <c:pt idx="840">
                  <c:v>270.15479445272666</c:v>
                </c:pt>
                <c:pt idx="841">
                  <c:v>270.47315211917964</c:v>
                </c:pt>
                <c:pt idx="842">
                  <c:v>270.79150345771887</c:v>
                </c:pt>
                <c:pt idx="843">
                  <c:v>271.10984849147383</c:v>
                </c:pt>
                <c:pt idx="844">
                  <c:v>271.42818724342351</c:v>
                </c:pt>
                <c:pt idx="845">
                  <c:v>271.74651973639766</c:v>
                </c:pt>
                <c:pt idx="846">
                  <c:v>272.06484599307782</c:v>
                </c:pt>
                <c:pt idx="847">
                  <c:v>272.3831660359993</c:v>
                </c:pt>
                <c:pt idx="848">
                  <c:v>272.70147988755213</c:v>
                </c:pt>
                <c:pt idx="849">
                  <c:v>273.01978756998227</c:v>
                </c:pt>
                <c:pt idx="850">
                  <c:v>273.33808910539369</c:v>
                </c:pt>
                <c:pt idx="851">
                  <c:v>273.65638451574858</c:v>
                </c:pt>
                <c:pt idx="852">
                  <c:v>273.97467382286976</c:v>
                </c:pt>
                <c:pt idx="853">
                  <c:v>274.29295704844128</c:v>
                </c:pt>
                <c:pt idx="854">
                  <c:v>274.61123421400964</c:v>
                </c:pt>
                <c:pt idx="855">
                  <c:v>274.92950534098594</c:v>
                </c:pt>
                <c:pt idx="856">
                  <c:v>275.24777045064587</c:v>
                </c:pt>
                <c:pt idx="857">
                  <c:v>275.56602956413167</c:v>
                </c:pt>
                <c:pt idx="858">
                  <c:v>275.8842827024535</c:v>
                </c:pt>
                <c:pt idx="859">
                  <c:v>276.20252988649008</c:v>
                </c:pt>
                <c:pt idx="860">
                  <c:v>276.52077113699011</c:v>
                </c:pt>
                <c:pt idx="861">
                  <c:v>276.83900647457352</c:v>
                </c:pt>
                <c:pt idx="862">
                  <c:v>277.15723591973284</c:v>
                </c:pt>
                <c:pt idx="863">
                  <c:v>277.47545949283386</c:v>
                </c:pt>
                <c:pt idx="864">
                  <c:v>277.79367721411677</c:v>
                </c:pt>
                <c:pt idx="865">
                  <c:v>278.11188910369805</c:v>
                </c:pt>
                <c:pt idx="866">
                  <c:v>278.43009518157055</c:v>
                </c:pt>
                <c:pt idx="867">
                  <c:v>278.7482954676052</c:v>
                </c:pt>
                <c:pt idx="868">
                  <c:v>279.06648998155208</c:v>
                </c:pt>
                <c:pt idx="869">
                  <c:v>279.38467874304092</c:v>
                </c:pt>
                <c:pt idx="870">
                  <c:v>279.70286177158306</c:v>
                </c:pt>
                <c:pt idx="871">
                  <c:v>280.0210390865717</c:v>
                </c:pt>
                <c:pt idx="872">
                  <c:v>280.33921070728348</c:v>
                </c:pt>
                <c:pt idx="873">
                  <c:v>280.6573766528789</c:v>
                </c:pt>
                <c:pt idx="874">
                  <c:v>280.97553694240418</c:v>
                </c:pt>
                <c:pt idx="875">
                  <c:v>281.2936915947912</c:v>
                </c:pt>
                <c:pt idx="876">
                  <c:v>281.61184062885945</c:v>
                </c:pt>
                <c:pt idx="877">
                  <c:v>281.9299840633164</c:v>
                </c:pt>
                <c:pt idx="878">
                  <c:v>282.24812191675869</c:v>
                </c:pt>
                <c:pt idx="879">
                  <c:v>282.56625420767307</c:v>
                </c:pt>
                <c:pt idx="880">
                  <c:v>282.88438095443735</c:v>
                </c:pt>
                <c:pt idx="881">
                  <c:v>283.20250217532117</c:v>
                </c:pt>
                <c:pt idx="882">
                  <c:v>283.5206178884871</c:v>
                </c:pt>
                <c:pt idx="883">
                  <c:v>283.8387281119916</c:v>
                </c:pt>
                <c:pt idx="884">
                  <c:v>284.15683286378584</c:v>
                </c:pt>
                <c:pt idx="885">
                  <c:v>284.47493216171614</c:v>
                </c:pt>
                <c:pt idx="886">
                  <c:v>284.79302602352573</c:v>
                </c:pt>
                <c:pt idx="887">
                  <c:v>285.11111446685504</c:v>
                </c:pt>
                <c:pt idx="888">
                  <c:v>285.42919750924261</c:v>
                </c:pt>
                <c:pt idx="889">
                  <c:v>285.74727516812601</c:v>
                </c:pt>
                <c:pt idx="890">
                  <c:v>286.06534746084276</c:v>
                </c:pt>
                <c:pt idx="891">
                  <c:v>286.38341440463108</c:v>
                </c:pt>
                <c:pt idx="892">
                  <c:v>286.70147601663058</c:v>
                </c:pt>
                <c:pt idx="893">
                  <c:v>287.01953231388342</c:v>
                </c:pt>
                <c:pt idx="894">
                  <c:v>287.33758331333479</c:v>
                </c:pt>
                <c:pt idx="895">
                  <c:v>287.65562903183366</c:v>
                </c:pt>
                <c:pt idx="896">
                  <c:v>287.9736694861341</c:v>
                </c:pt>
                <c:pt idx="897">
                  <c:v>288.29170469289545</c:v>
                </c:pt>
                <c:pt idx="898">
                  <c:v>288.6097346686833</c:v>
                </c:pt>
                <c:pt idx="899">
                  <c:v>288.92775942997059</c:v>
                </c:pt>
                <c:pt idx="900">
                  <c:v>289.24577899313766</c:v>
                </c:pt>
                <c:pt idx="901">
                  <c:v>289.56379337447362</c:v>
                </c:pt>
                <c:pt idx="902">
                  <c:v>289.88180259017685</c:v>
                </c:pt>
                <c:pt idx="903">
                  <c:v>290.19980665635575</c:v>
                </c:pt>
                <c:pt idx="904">
                  <c:v>290.51780558902942</c:v>
                </c:pt>
                <c:pt idx="905">
                  <c:v>290.83579940412847</c:v>
                </c:pt>
                <c:pt idx="906">
                  <c:v>291.15378811749571</c:v>
                </c:pt>
                <c:pt idx="907">
                  <c:v>291.47177174488661</c:v>
                </c:pt>
                <c:pt idx="908">
                  <c:v>291.78975030197057</c:v>
                </c:pt>
                <c:pt idx="909">
                  <c:v>292.10772380433104</c:v>
                </c:pt>
                <c:pt idx="910">
                  <c:v>292.42569226746627</c:v>
                </c:pt>
                <c:pt idx="911">
                  <c:v>292.74365570679015</c:v>
                </c:pt>
                <c:pt idx="912">
                  <c:v>293.06161413763317</c:v>
                </c:pt>
                <c:pt idx="913">
                  <c:v>293.37956757524239</c:v>
                </c:pt>
                <c:pt idx="914">
                  <c:v>293.69751603478261</c:v>
                </c:pt>
                <c:pt idx="915">
                  <c:v>294.01545953133677</c:v>
                </c:pt>
                <c:pt idx="916">
                  <c:v>294.33339807990677</c:v>
                </c:pt>
                <c:pt idx="917">
                  <c:v>294.65133169541394</c:v>
                </c:pt>
                <c:pt idx="918">
                  <c:v>294.96926039269971</c:v>
                </c:pt>
                <c:pt idx="919">
                  <c:v>295.28718418652642</c:v>
                </c:pt>
                <c:pt idx="920">
                  <c:v>295.60510309157735</c:v>
                </c:pt>
                <c:pt idx="921">
                  <c:v>295.9230171224583</c:v>
                </c:pt>
                <c:pt idx="922">
                  <c:v>296.24092629369727</c:v>
                </c:pt>
                <c:pt idx="923">
                  <c:v>296.55883061974544</c:v>
                </c:pt>
                <c:pt idx="924">
                  <c:v>296.87673011497793</c:v>
                </c:pt>
                <c:pt idx="925">
                  <c:v>297.19462479369389</c:v>
                </c:pt>
                <c:pt idx="926">
                  <c:v>297.5125146701177</c:v>
                </c:pt>
                <c:pt idx="927">
                  <c:v>297.83039975839893</c:v>
                </c:pt>
                <c:pt idx="928">
                  <c:v>298.14828007261337</c:v>
                </c:pt>
                <c:pt idx="929">
                  <c:v>298.4661556267634</c:v>
                </c:pt>
                <c:pt idx="930">
                  <c:v>298.78402643477847</c:v>
                </c:pt>
                <c:pt idx="931">
                  <c:v>299.10189251051577</c:v>
                </c:pt>
                <c:pt idx="932">
                  <c:v>299.41975386776073</c:v>
                </c:pt>
                <c:pt idx="933">
                  <c:v>299.73761052022775</c:v>
                </c:pt>
                <c:pt idx="934">
                  <c:v>300.05546248156037</c:v>
                </c:pt>
                <c:pt idx="935">
                  <c:v>300.37330976533178</c:v>
                </c:pt>
                <c:pt idx="936">
                  <c:v>300.69115238504583</c:v>
                </c:pt>
                <c:pt idx="937">
                  <c:v>301.00899035413732</c:v>
                </c:pt>
                <c:pt idx="938">
                  <c:v>301.32682368597227</c:v>
                </c:pt>
                <c:pt idx="939">
                  <c:v>301.64465239384862</c:v>
                </c:pt>
                <c:pt idx="940">
                  <c:v>301.96247649099672</c:v>
                </c:pt>
                <c:pt idx="941">
                  <c:v>302.28029599057999</c:v>
                </c:pt>
                <c:pt idx="942">
                  <c:v>302.59811090569502</c:v>
                </c:pt>
                <c:pt idx="943">
                  <c:v>302.91592124937245</c:v>
                </c:pt>
                <c:pt idx="944">
                  <c:v>303.23372703457721</c:v>
                </c:pt>
                <c:pt idx="945">
                  <c:v>303.55152827420903</c:v>
                </c:pt>
                <c:pt idx="946">
                  <c:v>303.86932498110326</c:v>
                </c:pt>
                <c:pt idx="947">
                  <c:v>304.18711716803062</c:v>
                </c:pt>
                <c:pt idx="948">
                  <c:v>304.50490484769836</c:v>
                </c:pt>
                <c:pt idx="949">
                  <c:v>304.82268803275059</c:v>
                </c:pt>
                <c:pt idx="950">
                  <c:v>305.14046673576814</c:v>
                </c:pt>
                <c:pt idx="951">
                  <c:v>305.45824096926981</c:v>
                </c:pt>
                <c:pt idx="952">
                  <c:v>305.77601074571248</c:v>
                </c:pt>
                <c:pt idx="953">
                  <c:v>306.09377607749144</c:v>
                </c:pt>
                <c:pt idx="954">
                  <c:v>306.41153697694091</c:v>
                </c:pt>
                <c:pt idx="955">
                  <c:v>306.72929345633469</c:v>
                </c:pt>
                <c:pt idx="956">
                  <c:v>307.04704552788627</c:v>
                </c:pt>
                <c:pt idx="957">
                  <c:v>307.36479320374929</c:v>
                </c:pt>
                <c:pt idx="958">
                  <c:v>307.68253649601837</c:v>
                </c:pt>
                <c:pt idx="959">
                  <c:v>308.00027541672915</c:v>
                </c:pt>
                <c:pt idx="960">
                  <c:v>308.31800997785842</c:v>
                </c:pt>
                <c:pt idx="961">
                  <c:v>308.63574019132528</c:v>
                </c:pt>
                <c:pt idx="962">
                  <c:v>308.95346606899113</c:v>
                </c:pt>
                <c:pt idx="963">
                  <c:v>309.27118762266008</c:v>
                </c:pt>
                <c:pt idx="964">
                  <c:v>309.58890486407915</c:v>
                </c:pt>
                <c:pt idx="965">
                  <c:v>309.90661780493929</c:v>
                </c:pt>
                <c:pt idx="966">
                  <c:v>310.22432645687508</c:v>
                </c:pt>
                <c:pt idx="967">
                  <c:v>310.54203083146552</c:v>
                </c:pt>
                <c:pt idx="968">
                  <c:v>310.85973094023433</c:v>
                </c:pt>
                <c:pt idx="969">
                  <c:v>311.17742679465033</c:v>
                </c:pt>
                <c:pt idx="970">
                  <c:v>311.49511840612763</c:v>
                </c:pt>
                <c:pt idx="971">
                  <c:v>311.81280578602656</c:v>
                </c:pt>
                <c:pt idx="972">
                  <c:v>312.13048894565327</c:v>
                </c:pt>
                <c:pt idx="973">
                  <c:v>312.44816789626066</c:v>
                </c:pt>
                <c:pt idx="974">
                  <c:v>312.76584264904881</c:v>
                </c:pt>
                <c:pt idx="975">
                  <c:v>313.0835132151646</c:v>
                </c:pt>
                <c:pt idx="976">
                  <c:v>313.40117960570302</c:v>
                </c:pt>
                <c:pt idx="977">
                  <c:v>313.71884183170692</c:v>
                </c:pt>
                <c:pt idx="978">
                  <c:v>314.0364999041675</c:v>
                </c:pt>
                <c:pt idx="979">
                  <c:v>314.35415383402477</c:v>
                </c:pt>
                <c:pt idx="980">
                  <c:v>314.67180363216778</c:v>
                </c:pt>
                <c:pt idx="981">
                  <c:v>314.98944930943497</c:v>
                </c:pt>
                <c:pt idx="982">
                  <c:v>315.30709087661461</c:v>
                </c:pt>
                <c:pt idx="983">
                  <c:v>315.62472834444503</c:v>
                </c:pt>
                <c:pt idx="984">
                  <c:v>315.94236172361514</c:v>
                </c:pt>
                <c:pt idx="985">
                  <c:v>316.25999102476419</c:v>
                </c:pt>
                <c:pt idx="986">
                  <c:v>316.57761625848286</c:v>
                </c:pt>
                <c:pt idx="987">
                  <c:v>316.89523743531333</c:v>
                </c:pt>
                <c:pt idx="988">
                  <c:v>317.21285456574935</c:v>
                </c:pt>
                <c:pt idx="989">
                  <c:v>317.5304676602367</c:v>
                </c:pt>
                <c:pt idx="990">
                  <c:v>317.84807672917361</c:v>
                </c:pt>
                <c:pt idx="991">
                  <c:v>318.16568178291107</c:v>
                </c:pt>
                <c:pt idx="992">
                  <c:v>318.48328283175289</c:v>
                </c:pt>
                <c:pt idx="993">
                  <c:v>318.80087988595636</c:v>
                </c:pt>
                <c:pt idx="994">
                  <c:v>319.11847295573239</c:v>
                </c:pt>
                <c:pt idx="995">
                  <c:v>319.43606205124564</c:v>
                </c:pt>
                <c:pt idx="996">
                  <c:v>319.75364718261517</c:v>
                </c:pt>
                <c:pt idx="997">
                  <c:v>320.07122835991458</c:v>
                </c:pt>
                <c:pt idx="998">
                  <c:v>320.38880559317209</c:v>
                </c:pt>
                <c:pt idx="999">
                  <c:v>320.70637889237133</c:v>
                </c:pt>
                <c:pt idx="1000">
                  <c:v>321.02394826745103</c:v>
                </c:pt>
                <c:pt idx="1001">
                  <c:v>321.34151372830581</c:v>
                </c:pt>
                <c:pt idx="1002">
                  <c:v>321.65907528478624</c:v>
                </c:pt>
                <c:pt idx="1003">
                  <c:v>321.97663294669911</c:v>
                </c:pt>
                <c:pt idx="1004">
                  <c:v>322.29418672380774</c:v>
                </c:pt>
                <c:pt idx="1005">
                  <c:v>322.61173662583235</c:v>
                </c:pt>
                <c:pt idx="1006">
                  <c:v>322.92928266245019</c:v>
                </c:pt>
                <c:pt idx="1007">
                  <c:v>323.24682484329594</c:v>
                </c:pt>
                <c:pt idx="1008">
                  <c:v>323.56436317796187</c:v>
                </c:pt>
                <c:pt idx="1009">
                  <c:v>323.8818976759984</c:v>
                </c:pt>
                <c:pt idx="1010">
                  <c:v>324.19942834691363</c:v>
                </c:pt>
                <c:pt idx="1011">
                  <c:v>324.51695520017455</c:v>
                </c:pt>
                <c:pt idx="1012">
                  <c:v>324.8344782452067</c:v>
                </c:pt>
                <c:pt idx="1013">
                  <c:v>325.1519974913947</c:v>
                </c:pt>
                <c:pt idx="1014">
                  <c:v>325.4695129480823</c:v>
                </c:pt>
                <c:pt idx="1015">
                  <c:v>325.78702462457267</c:v>
                </c:pt>
                <c:pt idx="1016">
                  <c:v>326.10453253012895</c:v>
                </c:pt>
                <c:pt idx="1017">
                  <c:v>326.42203667397405</c:v>
                </c:pt>
                <c:pt idx="1018">
                  <c:v>326.73953706529119</c:v>
                </c:pt>
                <c:pt idx="1019">
                  <c:v>327.05703371322431</c:v>
                </c:pt>
                <c:pt idx="1020">
                  <c:v>327.37452662687758</c:v>
                </c:pt>
                <c:pt idx="1021">
                  <c:v>327.69201581531672</c:v>
                </c:pt>
                <c:pt idx="1022">
                  <c:v>328.00950128756836</c:v>
                </c:pt>
                <c:pt idx="1023">
                  <c:v>328.32698305262062</c:v>
                </c:pt>
                <c:pt idx="1024">
                  <c:v>328.64446111942345</c:v>
                </c:pt>
                <c:pt idx="1025">
                  <c:v>328.9619354968886</c:v>
                </c:pt>
                <c:pt idx="1026">
                  <c:v>329.27940619389</c:v>
                </c:pt>
                <c:pt idx="1027">
                  <c:v>329.59687321926418</c:v>
                </c:pt>
                <c:pt idx="1028">
                  <c:v>329.91433658181006</c:v>
                </c:pt>
                <c:pt idx="1029">
                  <c:v>330.23179629028965</c:v>
                </c:pt>
                <c:pt idx="1030">
                  <c:v>330.54925235342785</c:v>
                </c:pt>
                <c:pt idx="1031">
                  <c:v>330.86670477991305</c:v>
                </c:pt>
                <c:pt idx="1032">
                  <c:v>331.184153578397</c:v>
                </c:pt>
                <c:pt idx="1033">
                  <c:v>331.50159875749546</c:v>
                </c:pt>
                <c:pt idx="1034">
                  <c:v>331.81904032578814</c:v>
                </c:pt>
                <c:pt idx="1035">
                  <c:v>332.13647829181855</c:v>
                </c:pt>
                <c:pt idx="1036">
                  <c:v>332.45391266409507</c:v>
                </c:pt>
                <c:pt idx="1037">
                  <c:v>332.77134345109067</c:v>
                </c:pt>
                <c:pt idx="1038">
                  <c:v>333.08877066124302</c:v>
                </c:pt>
                <c:pt idx="1039">
                  <c:v>333.40619430295482</c:v>
                </c:pt>
                <c:pt idx="1040">
                  <c:v>333.72361438459416</c:v>
                </c:pt>
                <c:pt idx="1041">
                  <c:v>334.04103091449463</c:v>
                </c:pt>
                <c:pt idx="1042">
                  <c:v>334.35844390095536</c:v>
                </c:pt>
                <c:pt idx="1043">
                  <c:v>334.6758533522414</c:v>
                </c:pt>
                <c:pt idx="1044">
                  <c:v>334.99325927658413</c:v>
                </c:pt>
                <c:pt idx="1045">
                  <c:v>335.31066168218069</c:v>
                </c:pt>
                <c:pt idx="1046">
                  <c:v>335.62806057719536</c:v>
                </c:pt>
                <c:pt idx="1047">
                  <c:v>335.94545596975865</c:v>
                </c:pt>
                <c:pt idx="1048">
                  <c:v>336.26284786796805</c:v>
                </c:pt>
                <c:pt idx="1049">
                  <c:v>336.58023627988842</c:v>
                </c:pt>
                <c:pt idx="1050">
                  <c:v>336.89762121355142</c:v>
                </c:pt>
                <c:pt idx="1051">
                  <c:v>337.21500267695649</c:v>
                </c:pt>
                <c:pt idx="1052">
                  <c:v>337.53238067807064</c:v>
                </c:pt>
                <c:pt idx="1053">
                  <c:v>337.84975522482881</c:v>
                </c:pt>
                <c:pt idx="1054">
                  <c:v>338.16712632513384</c:v>
                </c:pt>
                <c:pt idx="1055">
                  <c:v>338.48449398685693</c:v>
                </c:pt>
                <c:pt idx="1056">
                  <c:v>338.80185821783755</c:v>
                </c:pt>
                <c:pt idx="1057">
                  <c:v>339.11921902588381</c:v>
                </c:pt>
                <c:pt idx="1058">
                  <c:v>339.43657641877275</c:v>
                </c:pt>
                <c:pt idx="1059">
                  <c:v>339.7539304042503</c:v>
                </c:pt>
                <c:pt idx="1060">
                  <c:v>340.07128099003114</c:v>
                </c:pt>
                <c:pt idx="1061">
                  <c:v>340.38862818379977</c:v>
                </c:pt>
                <c:pt idx="1062">
                  <c:v>340.70597199320997</c:v>
                </c:pt>
                <c:pt idx="1063">
                  <c:v>341.02331242588519</c:v>
                </c:pt>
                <c:pt idx="1064">
                  <c:v>341.34064948941875</c:v>
                </c:pt>
                <c:pt idx="1065">
                  <c:v>341.657983191374</c:v>
                </c:pt>
                <c:pt idx="1066">
                  <c:v>341.97531353928434</c:v>
                </c:pt>
                <c:pt idx="1067">
                  <c:v>342.29264054065362</c:v>
                </c:pt>
                <c:pt idx="1068">
                  <c:v>342.60996420295629</c:v>
                </c:pt>
                <c:pt idx="1069">
                  <c:v>342.92728453363742</c:v>
                </c:pt>
                <c:pt idx="1070">
                  <c:v>343.24460154011274</c:v>
                </c:pt>
                <c:pt idx="1071">
                  <c:v>343.56191522976934</c:v>
                </c:pt>
                <c:pt idx="1072">
                  <c:v>343.87922560996532</c:v>
                </c:pt>
                <c:pt idx="1073">
                  <c:v>344.19653268803006</c:v>
                </c:pt>
                <c:pt idx="1074">
                  <c:v>344.51383647126471</c:v>
                </c:pt>
                <c:pt idx="1075">
                  <c:v>344.83113696694176</c:v>
                </c:pt>
                <c:pt idx="1076">
                  <c:v>345.14843418230572</c:v>
                </c:pt>
                <c:pt idx="1077">
                  <c:v>345.46572812457305</c:v>
                </c:pt>
                <c:pt idx="1078">
                  <c:v>345.78301880093238</c:v>
                </c:pt>
                <c:pt idx="1079">
                  <c:v>346.10030621854463</c:v>
                </c:pt>
                <c:pt idx="1080">
                  <c:v>346.41759038454308</c:v>
                </c:pt>
                <c:pt idx="1081">
                  <c:v>346.73487130603371</c:v>
                </c:pt>
                <c:pt idx="1082">
                  <c:v>347.05214899009525</c:v>
                </c:pt>
                <c:pt idx="1083">
                  <c:v>347.3694234437794</c:v>
                </c:pt>
                <c:pt idx="1084">
                  <c:v>347.68669467411092</c:v>
                </c:pt>
                <c:pt idx="1085">
                  <c:v>348.00396268808743</c:v>
                </c:pt>
                <c:pt idx="1086">
                  <c:v>348.32122749268035</c:v>
                </c:pt>
                <c:pt idx="1087">
                  <c:v>348.63848909483448</c:v>
                </c:pt>
                <c:pt idx="1088">
                  <c:v>348.95574750146824</c:v>
                </c:pt>
                <c:pt idx="1089">
                  <c:v>349.27300271947377</c:v>
                </c:pt>
                <c:pt idx="1090">
                  <c:v>349.59025475571724</c:v>
                </c:pt>
                <c:pt idx="1091">
                  <c:v>349.90750361703891</c:v>
                </c:pt>
                <c:pt idx="1092">
                  <c:v>350.22474931025323</c:v>
                </c:pt>
                <c:pt idx="1093">
                  <c:v>350.54199184214895</c:v>
                </c:pt>
                <c:pt idx="1094">
                  <c:v>350.85923121948946</c:v>
                </c:pt>
                <c:pt idx="1095">
                  <c:v>351.17646744901265</c:v>
                </c:pt>
                <c:pt idx="1096">
                  <c:v>351.49370053743127</c:v>
                </c:pt>
                <c:pt idx="1097">
                  <c:v>351.81093049143306</c:v>
                </c:pt>
                <c:pt idx="1098">
                  <c:v>352.12815731768058</c:v>
                </c:pt>
                <c:pt idx="1099">
                  <c:v>352.44538102281189</c:v>
                </c:pt>
                <c:pt idx="1100">
                  <c:v>352.7626016134401</c:v>
                </c:pt>
                <c:pt idx="1101">
                  <c:v>353.07981909615387</c:v>
                </c:pt>
                <c:pt idx="1102">
                  <c:v>353.39703347751743</c:v>
                </c:pt>
                <c:pt idx="1103">
                  <c:v>353.71424476407077</c:v>
                </c:pt>
                <c:pt idx="1104">
                  <c:v>354.03145296232969</c:v>
                </c:pt>
                <c:pt idx="1105">
                  <c:v>354.348658078786</c:v>
                </c:pt>
                <c:pt idx="1106">
                  <c:v>354.66586011990756</c:v>
                </c:pt>
                <c:pt idx="1107">
                  <c:v>354.98305909213843</c:v>
                </c:pt>
                <c:pt idx="1108">
                  <c:v>355.30025500189913</c:v>
                </c:pt>
                <c:pt idx="1109">
                  <c:v>355.61744785558676</c:v>
                </c:pt>
                <c:pt idx="1110">
                  <c:v>355.93463765957466</c:v>
                </c:pt>
                <c:pt idx="1111">
                  <c:v>356.2518244202131</c:v>
                </c:pt>
                <c:pt idx="1112">
                  <c:v>356.56900814382931</c:v>
                </c:pt>
                <c:pt idx="1113">
                  <c:v>356.88618883672746</c:v>
                </c:pt>
                <c:pt idx="1114">
                  <c:v>357.20336650518868</c:v>
                </c:pt>
                <c:pt idx="1115">
                  <c:v>357.52054115547145</c:v>
                </c:pt>
                <c:pt idx="1116">
                  <c:v>357.83771279381148</c:v>
                </c:pt>
                <c:pt idx="1117">
                  <c:v>358.15488142642198</c:v>
                </c:pt>
                <c:pt idx="1118">
                  <c:v>358.47204705949383</c:v>
                </c:pt>
                <c:pt idx="1119">
                  <c:v>358.78920969919551</c:v>
                </c:pt>
                <c:pt idx="1120">
                  <c:v>359.1063693516731</c:v>
                </c:pt>
                <c:pt idx="1121">
                  <c:v>359.42352602305107</c:v>
                </c:pt>
                <c:pt idx="1122">
                  <c:v>359.74067971943157</c:v>
                </c:pt>
                <c:pt idx="1123">
                  <c:v>360.05783044689491</c:v>
                </c:pt>
                <c:pt idx="1124">
                  <c:v>360.37497821149992</c:v>
                </c:pt>
                <c:pt idx="1125">
                  <c:v>360.69212301928354</c:v>
                </c:pt>
                <c:pt idx="1126">
                  <c:v>361.00926487626128</c:v>
                </c:pt>
                <c:pt idx="1127">
                  <c:v>361.32640378842729</c:v>
                </c:pt>
                <c:pt idx="1128">
                  <c:v>361.64353976175443</c:v>
                </c:pt>
                <c:pt idx="1129">
                  <c:v>361.96067280219427</c:v>
                </c:pt>
                <c:pt idx="1130">
                  <c:v>362.27780291567746</c:v>
                </c:pt>
                <c:pt idx="1131">
                  <c:v>362.5949301081136</c:v>
                </c:pt>
                <c:pt idx="1132">
                  <c:v>362.91205438539134</c:v>
                </c:pt>
                <c:pt idx="1133">
                  <c:v>363.2291757533788</c:v>
                </c:pt>
                <c:pt idx="1134">
                  <c:v>363.54629421792345</c:v>
                </c:pt>
                <c:pt idx="1135">
                  <c:v>363.86340978485185</c:v>
                </c:pt>
                <c:pt idx="1136">
                  <c:v>364.1805224599704</c:v>
                </c:pt>
                <c:pt idx="1137">
                  <c:v>364.4976322490653</c:v>
                </c:pt>
                <c:pt idx="1138">
                  <c:v>364.8147391579023</c:v>
                </c:pt>
                <c:pt idx="1139">
                  <c:v>365.131843192227</c:v>
                </c:pt>
                <c:pt idx="1140">
                  <c:v>365.44894435776519</c:v>
                </c:pt>
                <c:pt idx="1141">
                  <c:v>365.76604266022258</c:v>
                </c:pt>
                <c:pt idx="1142">
                  <c:v>366.083138105285</c:v>
                </c:pt>
                <c:pt idx="1143">
                  <c:v>366.40023069861866</c:v>
                </c:pt>
                <c:pt idx="1144">
                  <c:v>366.71732044587026</c:v>
                </c:pt>
                <c:pt idx="1145">
                  <c:v>367.03440735266651</c:v>
                </c:pt>
                <c:pt idx="1146">
                  <c:v>367.35149142461535</c:v>
                </c:pt>
                <c:pt idx="1147">
                  <c:v>367.66857266730483</c:v>
                </c:pt>
                <c:pt idx="1148">
                  <c:v>367.98565108630402</c:v>
                </c:pt>
                <c:pt idx="1149">
                  <c:v>368.30272668716293</c:v>
                </c:pt>
                <c:pt idx="1150">
                  <c:v>368.61979947541226</c:v>
                </c:pt>
                <c:pt idx="1151">
                  <c:v>368.93686945656395</c:v>
                </c:pt>
                <c:pt idx="1152">
                  <c:v>369.25393663611101</c:v>
                </c:pt>
                <c:pt idx="1153">
                  <c:v>369.57100101952773</c:v>
                </c:pt>
                <c:pt idx="1154">
                  <c:v>369.88806261226972</c:v>
                </c:pt>
                <c:pt idx="1155">
                  <c:v>370.20512141977395</c:v>
                </c:pt>
                <c:pt idx="1156">
                  <c:v>370.52217744745894</c:v>
                </c:pt>
                <c:pt idx="1157">
                  <c:v>370.83923070072478</c:v>
                </c:pt>
                <c:pt idx="1158">
                  <c:v>371.1562811849534</c:v>
                </c:pt>
                <c:pt idx="1159">
                  <c:v>371.47332890550848</c:v>
                </c:pt>
                <c:pt idx="1160">
                  <c:v>371.79037386773524</c:v>
                </c:pt>
                <c:pt idx="1161">
                  <c:v>372.10741607696116</c:v>
                </c:pt>
                <c:pt idx="1162">
                  <c:v>372.42445553849586</c:v>
                </c:pt>
                <c:pt idx="1163">
                  <c:v>372.74149225763091</c:v>
                </c:pt>
                <c:pt idx="1164">
                  <c:v>373.05852623964017</c:v>
                </c:pt>
                <c:pt idx="1165">
                  <c:v>373.37555748977968</c:v>
                </c:pt>
                <c:pt idx="1166">
                  <c:v>373.69258601328812</c:v>
                </c:pt>
                <c:pt idx="1167">
                  <c:v>374.00961181538639</c:v>
                </c:pt>
                <c:pt idx="1168">
                  <c:v>374.32663490127817</c:v>
                </c:pt>
                <c:pt idx="1169">
                  <c:v>374.64365527614967</c:v>
                </c:pt>
                <c:pt idx="1170">
                  <c:v>374.96067294516979</c:v>
                </c:pt>
                <c:pt idx="1171">
                  <c:v>375.27768791349035</c:v>
                </c:pt>
                <c:pt idx="1172">
                  <c:v>375.59470018624609</c:v>
                </c:pt>
                <c:pt idx="1173">
                  <c:v>375.9117097685546</c:v>
                </c:pt>
                <c:pt idx="1174">
                  <c:v>376.22871666551669</c:v>
                </c:pt>
                <c:pt idx="1175">
                  <c:v>376.54572088221607</c:v>
                </c:pt>
                <c:pt idx="1176">
                  <c:v>376.86272242371996</c:v>
                </c:pt>
                <c:pt idx="1177">
                  <c:v>377.17972129507871</c:v>
                </c:pt>
                <c:pt idx="1178">
                  <c:v>377.49671750132603</c:v>
                </c:pt>
                <c:pt idx="1179">
                  <c:v>377.81371104747922</c:v>
                </c:pt>
                <c:pt idx="1180">
                  <c:v>378.130701938539</c:v>
                </c:pt>
                <c:pt idx="1181">
                  <c:v>378.44769017948983</c:v>
                </c:pt>
                <c:pt idx="1182">
                  <c:v>378.76467577529968</c:v>
                </c:pt>
                <c:pt idx="1183">
                  <c:v>379.08165873092048</c:v>
                </c:pt>
                <c:pt idx="1184">
                  <c:v>379.39863905128811</c:v>
                </c:pt>
                <c:pt idx="1185">
                  <c:v>379.71561674132187</c:v>
                </c:pt>
                <c:pt idx="1186">
                  <c:v>380.03259180592551</c:v>
                </c:pt>
                <c:pt idx="1187">
                  <c:v>380.34956424998683</c:v>
                </c:pt>
                <c:pt idx="1188">
                  <c:v>380.66653407837759</c:v>
                </c:pt>
                <c:pt idx="1189">
                  <c:v>380.98350129595389</c:v>
                </c:pt>
                <c:pt idx="1190">
                  <c:v>381.30046590755614</c:v>
                </c:pt>
                <c:pt idx="1191">
                  <c:v>381.61742791800907</c:v>
                </c:pt>
                <c:pt idx="1192">
                  <c:v>381.93438733212184</c:v>
                </c:pt>
                <c:pt idx="1193">
                  <c:v>382.25134415468824</c:v>
                </c:pt>
                <c:pt idx="1194">
                  <c:v>382.56829839048658</c:v>
                </c:pt>
                <c:pt idx="1195">
                  <c:v>382.88525004427964</c:v>
                </c:pt>
                <c:pt idx="1196">
                  <c:v>383.1964443597509</c:v>
                </c:pt>
                <c:pt idx="1197">
                  <c:v>383.5133868293525</c:v>
                </c:pt>
                <c:pt idx="1198">
                  <c:v>383.83032673397088</c:v>
                </c:pt>
                <c:pt idx="1199">
                  <c:v>384.14726407830256</c:v>
                </c:pt>
                <c:pt idx="1200">
                  <c:v>384.46419886702876</c:v>
                </c:pt>
                <c:pt idx="1201">
                  <c:v>384.7811311048161</c:v>
                </c:pt>
                <c:pt idx="1202">
                  <c:v>385.09806079631625</c:v>
                </c:pt>
                <c:pt idx="1203">
                  <c:v>385.41498794616615</c:v>
                </c:pt>
                <c:pt idx="1204">
                  <c:v>385.73191255898797</c:v>
                </c:pt>
                <c:pt idx="1205">
                  <c:v>386.04883463938944</c:v>
                </c:pt>
                <c:pt idx="1206">
                  <c:v>386.3657541919635</c:v>
                </c:pt>
                <c:pt idx="1207">
                  <c:v>386.68267122128867</c:v>
                </c:pt>
                <c:pt idx="1208">
                  <c:v>386.99958573192919</c:v>
                </c:pt>
                <c:pt idx="1209">
                  <c:v>387.31649772843491</c:v>
                </c:pt>
                <c:pt idx="1210">
                  <c:v>387.63340721534109</c:v>
                </c:pt>
                <c:pt idx="1211">
                  <c:v>387.95031419716895</c:v>
                </c:pt>
                <c:pt idx="1212">
                  <c:v>388.26721867842565</c:v>
                </c:pt>
                <c:pt idx="1213">
                  <c:v>388.58412066360415</c:v>
                </c:pt>
                <c:pt idx="1214">
                  <c:v>388.90102015718344</c:v>
                </c:pt>
                <c:pt idx="1215">
                  <c:v>389.21791716362827</c:v>
                </c:pt>
                <c:pt idx="1216">
                  <c:v>389.53481168738989</c:v>
                </c:pt>
                <c:pt idx="1217">
                  <c:v>389.85170373290532</c:v>
                </c:pt>
                <c:pt idx="1218">
                  <c:v>390.16859330459801</c:v>
                </c:pt>
                <c:pt idx="1219">
                  <c:v>390.48548040687768</c:v>
                </c:pt>
                <c:pt idx="1220">
                  <c:v>390.80236504414017</c:v>
                </c:pt>
                <c:pt idx="1221">
                  <c:v>391.11924722076805</c:v>
                </c:pt>
                <c:pt idx="1222">
                  <c:v>391.43612694113006</c:v>
                </c:pt>
                <c:pt idx="1223">
                  <c:v>391.75300420958155</c:v>
                </c:pt>
                <c:pt idx="1224">
                  <c:v>392.06987903046468</c:v>
                </c:pt>
                <c:pt idx="1225">
                  <c:v>392.38675140810778</c:v>
                </c:pt>
                <c:pt idx="1226">
                  <c:v>392.7036213468262</c:v>
                </c:pt>
                <c:pt idx="1227">
                  <c:v>393.02048885092199</c:v>
                </c:pt>
                <c:pt idx="1228">
                  <c:v>393.33735392468401</c:v>
                </c:pt>
                <c:pt idx="1229">
                  <c:v>393.6542165723879</c:v>
                </c:pt>
                <c:pt idx="1230">
                  <c:v>393.97107679829639</c:v>
                </c:pt>
                <c:pt idx="1231">
                  <c:v>394.28793460665912</c:v>
                </c:pt>
                <c:pt idx="1232">
                  <c:v>394.60479000171267</c:v>
                </c:pt>
                <c:pt idx="1233">
                  <c:v>394.92164298768091</c:v>
                </c:pt>
                <c:pt idx="1234">
                  <c:v>395.23849356877491</c:v>
                </c:pt>
                <c:pt idx="1235">
                  <c:v>395.55534174919256</c:v>
                </c:pt>
                <c:pt idx="1236">
                  <c:v>395.8721875331193</c:v>
                </c:pt>
                <c:pt idx="1237">
                  <c:v>396.18903092472806</c:v>
                </c:pt>
                <c:pt idx="1238">
                  <c:v>396.50587192817886</c:v>
                </c:pt>
                <c:pt idx="1239">
                  <c:v>396.82271054761929</c:v>
                </c:pt>
                <c:pt idx="1240">
                  <c:v>397.13954678718449</c:v>
                </c:pt>
                <c:pt idx="1241">
                  <c:v>397.45638065099695</c:v>
                </c:pt>
                <c:pt idx="1242">
                  <c:v>397.77321214316692</c:v>
                </c:pt>
                <c:pt idx="1243">
                  <c:v>398.09004126779223</c:v>
                </c:pt>
                <c:pt idx="1244">
                  <c:v>398.40686802895857</c:v>
                </c:pt>
                <c:pt idx="1245">
                  <c:v>398.72369243073911</c:v>
                </c:pt>
                <c:pt idx="1246">
                  <c:v>399.04051447719507</c:v>
                </c:pt>
                <c:pt idx="1247">
                  <c:v>399.35733417237543</c:v>
                </c:pt>
                <c:pt idx="1248">
                  <c:v>399.67415152031714</c:v>
                </c:pt>
                <c:pt idx="1249">
                  <c:v>399.99096652504522</c:v>
                </c:pt>
                <c:pt idx="1250">
                  <c:v>400.30777919057238</c:v>
                </c:pt>
                <c:pt idx="1251">
                  <c:v>400.62458952089969</c:v>
                </c:pt>
                <c:pt idx="1252">
                  <c:v>400.94139752001627</c:v>
                </c:pt>
                <c:pt idx="1253">
                  <c:v>401.2582031918995</c:v>
                </c:pt>
                <c:pt idx="1254">
                  <c:v>401.57500654051472</c:v>
                </c:pt>
                <c:pt idx="1255">
                  <c:v>401.89180756981591</c:v>
                </c:pt>
                <c:pt idx="1256">
                  <c:v>402.20860628374504</c:v>
                </c:pt>
                <c:pt idx="1257">
                  <c:v>402.52540268623267</c:v>
                </c:pt>
                <c:pt idx="1258">
                  <c:v>402.84219678119774</c:v>
                </c:pt>
                <c:pt idx="1259">
                  <c:v>403.15898857254774</c:v>
                </c:pt>
                <c:pt idx="1260">
                  <c:v>403.47577806417843</c:v>
                </c:pt>
                <c:pt idx="1261">
                  <c:v>403.79256525997425</c:v>
                </c:pt>
                <c:pt idx="1262">
                  <c:v>404.10935016380847</c:v>
                </c:pt>
                <c:pt idx="1263">
                  <c:v>404.42613277954285</c:v>
                </c:pt>
                <c:pt idx="1264">
                  <c:v>404.7429131110278</c:v>
                </c:pt>
                <c:pt idx="1265">
                  <c:v>405.05969116210269</c:v>
                </c:pt>
                <c:pt idx="1266">
                  <c:v>405.37646693659553</c:v>
                </c:pt>
                <c:pt idx="1267">
                  <c:v>405.69324043832324</c:v>
                </c:pt>
                <c:pt idx="1268">
                  <c:v>406.01001167109166</c:v>
                </c:pt>
                <c:pt idx="1269">
                  <c:v>406.32678063869565</c:v>
                </c:pt>
                <c:pt idx="1270">
                  <c:v>406.64354734491883</c:v>
                </c:pt>
                <c:pt idx="1271">
                  <c:v>406.96031179353417</c:v>
                </c:pt>
                <c:pt idx="1272">
                  <c:v>407.27707398830353</c:v>
                </c:pt>
                <c:pt idx="1273">
                  <c:v>407.59383393297793</c:v>
                </c:pt>
                <c:pt idx="1274">
                  <c:v>407.91059163129779</c:v>
                </c:pt>
                <c:pt idx="1275">
                  <c:v>408.22734708699227</c:v>
                </c:pt>
                <c:pt idx="1276">
                  <c:v>408.54410030378028</c:v>
                </c:pt>
                <c:pt idx="1277">
                  <c:v>408.86085128536985</c:v>
                </c:pt>
                <c:pt idx="1278">
                  <c:v>409.17760003545828</c:v>
                </c:pt>
                <c:pt idx="1279">
                  <c:v>409.49434655773246</c:v>
                </c:pt>
                <c:pt idx="1280">
                  <c:v>409.81109085586866</c:v>
                </c:pt>
                <c:pt idx="1281">
                  <c:v>410.12783293353249</c:v>
                </c:pt>
                <c:pt idx="1282">
                  <c:v>410.44457279437921</c:v>
                </c:pt>
                <c:pt idx="1283">
                  <c:v>410.76131044205385</c:v>
                </c:pt>
                <c:pt idx="1284">
                  <c:v>411.07804588019087</c:v>
                </c:pt>
                <c:pt idx="1285">
                  <c:v>411.39477911241414</c:v>
                </c:pt>
                <c:pt idx="1286">
                  <c:v>411.7115101423376</c:v>
                </c:pt>
                <c:pt idx="1287">
                  <c:v>412.0282389735649</c:v>
                </c:pt>
                <c:pt idx="1288">
                  <c:v>412.34496560968938</c:v>
                </c:pt>
                <c:pt idx="1289">
                  <c:v>412.66169005429418</c:v>
                </c:pt>
                <c:pt idx="1290">
                  <c:v>412.97841231095242</c:v>
                </c:pt>
                <c:pt idx="1291">
                  <c:v>413.29513238322704</c:v>
                </c:pt>
                <c:pt idx="1292">
                  <c:v>413.61185027467099</c:v>
                </c:pt>
                <c:pt idx="1293">
                  <c:v>413.92856598882713</c:v>
                </c:pt>
                <c:pt idx="1294">
                  <c:v>414.24527952922858</c:v>
                </c:pt>
                <c:pt idx="1295">
                  <c:v>414.5619908993981</c:v>
                </c:pt>
                <c:pt idx="1296">
                  <c:v>414.87870010284905</c:v>
                </c:pt>
                <c:pt idx="1297">
                  <c:v>415.19540714308465</c:v>
                </c:pt>
                <c:pt idx="1298">
                  <c:v>415.51211202359843</c:v>
                </c:pt>
                <c:pt idx="1299">
                  <c:v>415.82881474787416</c:v>
                </c:pt>
                <c:pt idx="1300">
                  <c:v>416.14551531938577</c:v>
                </c:pt>
                <c:pt idx="1301">
                  <c:v>416.46221374159757</c:v>
                </c:pt>
                <c:pt idx="1302">
                  <c:v>416.77891001796434</c:v>
                </c:pt>
                <c:pt idx="1303">
                  <c:v>417.09560415193101</c:v>
                </c:pt>
                <c:pt idx="1304">
                  <c:v>417.4122961469331</c:v>
                </c:pt>
                <c:pt idx="1305">
                  <c:v>417.72898600639667</c:v>
                </c:pt>
                <c:pt idx="1306">
                  <c:v>418.04567373373806</c:v>
                </c:pt>
                <c:pt idx="1307">
                  <c:v>418.36235933236424</c:v>
                </c:pt>
                <c:pt idx="1308">
                  <c:v>418.67904280567296</c:v>
                </c:pt>
                <c:pt idx="1309">
                  <c:v>418.99572415705245</c:v>
                </c:pt>
                <c:pt idx="1310">
                  <c:v>419.31240338988141</c:v>
                </c:pt>
                <c:pt idx="1311">
                  <c:v>419.62908050752935</c:v>
                </c:pt>
                <c:pt idx="1312">
                  <c:v>419.94575551335669</c:v>
                </c:pt>
                <c:pt idx="1313">
                  <c:v>420.26242841071445</c:v>
                </c:pt>
                <c:pt idx="1314">
                  <c:v>420.57909920294452</c:v>
                </c:pt>
                <c:pt idx="1315">
                  <c:v>420.89576789337951</c:v>
                </c:pt>
                <c:pt idx="1316">
                  <c:v>421.21243448534301</c:v>
                </c:pt>
                <c:pt idx="1317">
                  <c:v>421.52909898214955</c:v>
                </c:pt>
                <c:pt idx="1318">
                  <c:v>421.84576138710452</c:v>
                </c:pt>
                <c:pt idx="1319">
                  <c:v>422.16242170350444</c:v>
                </c:pt>
                <c:pt idx="1320">
                  <c:v>422.47907993463645</c:v>
                </c:pt>
                <c:pt idx="1321">
                  <c:v>422.79573608377933</c:v>
                </c:pt>
                <c:pt idx="1322">
                  <c:v>423.1123901542025</c:v>
                </c:pt>
                <c:pt idx="1323">
                  <c:v>423.42904214916666</c:v>
                </c:pt>
                <c:pt idx="1324">
                  <c:v>423.74569207192383</c:v>
                </c:pt>
                <c:pt idx="1325">
                  <c:v>424.0623399257168</c:v>
                </c:pt>
                <c:pt idx="1326">
                  <c:v>424.37898571378003</c:v>
                </c:pt>
                <c:pt idx="1327">
                  <c:v>424.69562943933897</c:v>
                </c:pt>
                <c:pt idx="1328">
                  <c:v>425.01227110561047</c:v>
                </c:pt>
                <c:pt idx="1329">
                  <c:v>425.32891071580264</c:v>
                </c:pt>
                <c:pt idx="1330">
                  <c:v>425.64554827311508</c:v>
                </c:pt>
                <c:pt idx="1331">
                  <c:v>425.96218378073866</c:v>
                </c:pt>
                <c:pt idx="1332">
                  <c:v>426.27881724185568</c:v>
                </c:pt>
                <c:pt idx="1333">
                  <c:v>426.59544865964011</c:v>
                </c:pt>
                <c:pt idx="1334">
                  <c:v>426.91207803725717</c:v>
                </c:pt>
                <c:pt idx="1335">
                  <c:v>427.22870537786366</c:v>
                </c:pt>
                <c:pt idx="1336">
                  <c:v>427.54533068460785</c:v>
                </c:pt>
                <c:pt idx="1337">
                  <c:v>427.86195396062993</c:v>
                </c:pt>
                <c:pt idx="1338">
                  <c:v>428.17857520906148</c:v>
                </c:pt>
                <c:pt idx="1339">
                  <c:v>428.49519443302569</c:v>
                </c:pt>
                <c:pt idx="1340">
                  <c:v>428.81181163563758</c:v>
                </c:pt>
                <c:pt idx="1341">
                  <c:v>429.12842682000382</c:v>
                </c:pt>
                <c:pt idx="1342">
                  <c:v>429.44503998922283</c:v>
                </c:pt>
                <c:pt idx="1343">
                  <c:v>429.76165114638479</c:v>
                </c:pt>
                <c:pt idx="1344">
                  <c:v>430.07826029457192</c:v>
                </c:pt>
                <c:pt idx="1345">
                  <c:v>430.39486743685779</c:v>
                </c:pt>
                <c:pt idx="1346">
                  <c:v>430.71147257630838</c:v>
                </c:pt>
                <c:pt idx="1347">
                  <c:v>431.02807571598134</c:v>
                </c:pt>
                <c:pt idx="1348">
                  <c:v>431.34467685892622</c:v>
                </c:pt>
                <c:pt idx="1349">
                  <c:v>431.66127600818476</c:v>
                </c:pt>
                <c:pt idx="1350">
                  <c:v>431.97787316679029</c:v>
                </c:pt>
                <c:pt idx="1351">
                  <c:v>432.29446833776859</c:v>
                </c:pt>
                <c:pt idx="1352">
                  <c:v>432.61106152413731</c:v>
                </c:pt>
                <c:pt idx="1353">
                  <c:v>432.92765272890614</c:v>
                </c:pt>
                <c:pt idx="1354">
                  <c:v>433.24424195507703</c:v>
                </c:pt>
                <c:pt idx="1355">
                  <c:v>433.56082920564404</c:v>
                </c:pt>
                <c:pt idx="1356">
                  <c:v>433.87741448359338</c:v>
                </c:pt>
                <c:pt idx="1357">
                  <c:v>434.19399779190331</c:v>
                </c:pt>
                <c:pt idx="1358">
                  <c:v>434.51057913354475</c:v>
                </c:pt>
                <c:pt idx="1359">
                  <c:v>434.82715851148066</c:v>
                </c:pt>
                <c:pt idx="1360">
                  <c:v>435.14373592866593</c:v>
                </c:pt>
                <c:pt idx="1361">
                  <c:v>435.4603113880483</c:v>
                </c:pt>
                <c:pt idx="1362">
                  <c:v>435.77688489256775</c:v>
                </c:pt>
                <c:pt idx="1363">
                  <c:v>436.09345644515656</c:v>
                </c:pt>
                <c:pt idx="1364">
                  <c:v>436.41002604873933</c:v>
                </c:pt>
                <c:pt idx="1365">
                  <c:v>436.72659370623325</c:v>
                </c:pt>
                <c:pt idx="1366">
                  <c:v>437.04315942054797</c:v>
                </c:pt>
                <c:pt idx="1367">
                  <c:v>437.35972319458557</c:v>
                </c:pt>
                <c:pt idx="1368">
                  <c:v>437.6762850312407</c:v>
                </c:pt>
                <c:pt idx="1369">
                  <c:v>437.99284493340053</c:v>
                </c:pt>
                <c:pt idx="1370">
                  <c:v>438.30940290394472</c:v>
                </c:pt>
                <c:pt idx="1371">
                  <c:v>438.62595894574577</c:v>
                </c:pt>
                <c:pt idx="1372">
                  <c:v>438.94251306166865</c:v>
                </c:pt>
                <c:pt idx="1373">
                  <c:v>439.25906525457094</c:v>
                </c:pt>
                <c:pt idx="1374">
                  <c:v>439.57561552730311</c:v>
                </c:pt>
                <c:pt idx="1375">
                  <c:v>439.89216388270819</c:v>
                </c:pt>
                <c:pt idx="1376">
                  <c:v>440.20871032362186</c:v>
                </c:pt>
                <c:pt idx="1377">
                  <c:v>440.52525485287282</c:v>
                </c:pt>
                <c:pt idx="1378">
                  <c:v>440.84179747328238</c:v>
                </c:pt>
                <c:pt idx="1379">
                  <c:v>441.15833818766475</c:v>
                </c:pt>
                <c:pt idx="1380">
                  <c:v>441.47487699882697</c:v>
                </c:pt>
                <c:pt idx="1381">
                  <c:v>441.79141390956892</c:v>
                </c:pt>
                <c:pt idx="1382">
                  <c:v>442.10794892268331</c:v>
                </c:pt>
                <c:pt idx="1383">
                  <c:v>442.42448204095604</c:v>
                </c:pt>
                <c:pt idx="1384">
                  <c:v>442.74101326716584</c:v>
                </c:pt>
                <c:pt idx="1385">
                  <c:v>443.05754260408418</c:v>
                </c:pt>
                <c:pt idx="1386">
                  <c:v>443.37407005447562</c:v>
                </c:pt>
                <c:pt idx="1387">
                  <c:v>443.69059562109817</c:v>
                </c:pt>
                <c:pt idx="1388">
                  <c:v>444.00711930670235</c:v>
                </c:pt>
                <c:pt idx="1389">
                  <c:v>444.32364111403206</c:v>
                </c:pt>
                <c:pt idx="1390">
                  <c:v>444.64016104582413</c:v>
                </c:pt>
                <c:pt idx="1391">
                  <c:v>444.9566791048087</c:v>
                </c:pt>
                <c:pt idx="1392">
                  <c:v>445.27319529370897</c:v>
                </c:pt>
                <c:pt idx="1393">
                  <c:v>445.58970961524125</c:v>
                </c:pt>
                <c:pt idx="1394">
                  <c:v>445.90622207211521</c:v>
                </c:pt>
                <c:pt idx="1395">
                  <c:v>446.22273266703348</c:v>
                </c:pt>
                <c:pt idx="1396">
                  <c:v>446.53924140269231</c:v>
                </c:pt>
                <c:pt idx="1397">
                  <c:v>446.8557482817809</c:v>
                </c:pt>
                <c:pt idx="1398">
                  <c:v>447.17225330698193</c:v>
                </c:pt>
                <c:pt idx="1399">
                  <c:v>447.4887564809714</c:v>
                </c:pt>
                <c:pt idx="1400">
                  <c:v>447.80525780641852</c:v>
                </c:pt>
                <c:pt idx="1401">
                  <c:v>448.12175728598601</c:v>
                </c:pt>
                <c:pt idx="1402">
                  <c:v>448.43825492232992</c:v>
                </c:pt>
                <c:pt idx="1403">
                  <c:v>448.75475071809967</c:v>
                </c:pt>
                <c:pt idx="1404">
                  <c:v>449.07124467593826</c:v>
                </c:pt>
                <c:pt idx="1405">
                  <c:v>449.38773679848208</c:v>
                </c:pt>
                <c:pt idx="1406">
                  <c:v>449.70422708836094</c:v>
                </c:pt>
                <c:pt idx="1407">
                  <c:v>450.02071554819821</c:v>
                </c:pt>
                <c:pt idx="1408">
                  <c:v>450.33720218061092</c:v>
                </c:pt>
                <c:pt idx="1409">
                  <c:v>450.65368698820959</c:v>
                </c:pt>
                <c:pt idx="1410">
                  <c:v>450.97016997359805</c:v>
                </c:pt>
                <c:pt idx="1411">
                  <c:v>451.28665113937399</c:v>
                </c:pt>
                <c:pt idx="1412">
                  <c:v>451.60313048812884</c:v>
                </c:pt>
                <c:pt idx="1413">
                  <c:v>451.91960802244745</c:v>
                </c:pt>
                <c:pt idx="1414">
                  <c:v>452.23608374490846</c:v>
                </c:pt>
                <c:pt idx="1415">
                  <c:v>452.55255765808408</c:v>
                </c:pt>
                <c:pt idx="1416">
                  <c:v>452.86902976454036</c:v>
                </c:pt>
                <c:pt idx="1417">
                  <c:v>453.18550006683705</c:v>
                </c:pt>
                <c:pt idx="1418">
                  <c:v>453.50196856752763</c:v>
                </c:pt>
                <c:pt idx="1419">
                  <c:v>453.81843526915941</c:v>
                </c:pt>
                <c:pt idx="1420">
                  <c:v>454.1349001742733</c:v>
                </c:pt>
                <c:pt idx="1421">
                  <c:v>454.45136328540445</c:v>
                </c:pt>
                <c:pt idx="1422">
                  <c:v>454.7678246050815</c:v>
                </c:pt>
                <c:pt idx="1423">
                  <c:v>455.08428413582692</c:v>
                </c:pt>
                <c:pt idx="1424">
                  <c:v>455.40074188015751</c:v>
                </c:pt>
                <c:pt idx="1425">
                  <c:v>455.71719784058348</c:v>
                </c:pt>
                <c:pt idx="1426">
                  <c:v>456.03365201960918</c:v>
                </c:pt>
                <c:pt idx="1427">
                  <c:v>456.35010441973293</c:v>
                </c:pt>
                <c:pt idx="1428">
                  <c:v>456.66655504344703</c:v>
                </c:pt>
                <c:pt idx="1429">
                  <c:v>456.98300389323765</c:v>
                </c:pt>
                <c:pt idx="1430">
                  <c:v>457.29945097158509</c:v>
                </c:pt>
                <c:pt idx="1431">
                  <c:v>457.61589628096368</c:v>
                </c:pt>
                <c:pt idx="1432">
                  <c:v>457.93233982384169</c:v>
                </c:pt>
                <c:pt idx="1433">
                  <c:v>458.24878160268173</c:v>
                </c:pt>
                <c:pt idx="1434">
                  <c:v>458.5652216199403</c:v>
                </c:pt>
                <c:pt idx="1435">
                  <c:v>458.88165987806792</c:v>
                </c:pt>
                <c:pt idx="1436">
                  <c:v>459.19809637950931</c:v>
                </c:pt>
                <c:pt idx="1437">
                  <c:v>459.51453112670362</c:v>
                </c:pt>
                <c:pt idx="1438">
                  <c:v>459.83096412208391</c:v>
                </c:pt>
                <c:pt idx="1439">
                  <c:v>460.14739536807741</c:v>
                </c:pt>
                <c:pt idx="1440">
                  <c:v>460.4638248671057</c:v>
                </c:pt>
                <c:pt idx="1441">
                  <c:v>460.78025262158457</c:v>
                </c:pt>
                <c:pt idx="1442">
                  <c:v>461.09667863392406</c:v>
                </c:pt>
                <c:pt idx="1443">
                  <c:v>461.41310290652837</c:v>
                </c:pt>
                <c:pt idx="1444">
                  <c:v>461.72952544179623</c:v>
                </c:pt>
                <c:pt idx="1445">
                  <c:v>462.04594624212035</c:v>
                </c:pt>
                <c:pt idx="1446">
                  <c:v>462.36236530988811</c:v>
                </c:pt>
                <c:pt idx="1447">
                  <c:v>462.67878264748111</c:v>
                </c:pt>
                <c:pt idx="1448">
                  <c:v>462.99519825727526</c:v>
                </c:pt>
                <c:pt idx="1449">
                  <c:v>463.31161214164104</c:v>
                </c:pt>
                <c:pt idx="1450">
                  <c:v>463.62802430294312</c:v>
                </c:pt>
                <c:pt idx="1451">
                  <c:v>463.94443474354063</c:v>
                </c:pt>
                <c:pt idx="1452">
                  <c:v>464.26084346578733</c:v>
                </c:pt>
                <c:pt idx="1453">
                  <c:v>464.57725047203132</c:v>
                </c:pt>
                <c:pt idx="1454">
                  <c:v>464.89365576461512</c:v>
                </c:pt>
                <c:pt idx="1455">
                  <c:v>465.21005934587595</c:v>
                </c:pt>
                <c:pt idx="1456">
                  <c:v>465.52646121814536</c:v>
                </c:pt>
                <c:pt idx="1457">
                  <c:v>465.84286138374944</c:v>
                </c:pt>
                <c:pt idx="1458">
                  <c:v>466.1592598450091</c:v>
                </c:pt>
                <c:pt idx="1459">
                  <c:v>466.47565660423965</c:v>
                </c:pt>
                <c:pt idx="1460">
                  <c:v>466.79205166375078</c:v>
                </c:pt>
                <c:pt idx="1461">
                  <c:v>467.10844502584706</c:v>
                </c:pt>
                <c:pt idx="1462">
                  <c:v>467.42483669282774</c:v>
                </c:pt>
                <c:pt idx="1463">
                  <c:v>467.74122666698656</c:v>
                </c:pt>
                <c:pt idx="1464">
                  <c:v>468.05761495061199</c:v>
                </c:pt>
                <c:pt idx="1465">
                  <c:v>468.37400154598714</c:v>
                </c:pt>
                <c:pt idx="1466">
                  <c:v>468.69038645538996</c:v>
                </c:pt>
                <c:pt idx="1467">
                  <c:v>469.00676968109292</c:v>
                </c:pt>
                <c:pt idx="1468">
                  <c:v>469.3231512253634</c:v>
                </c:pt>
                <c:pt idx="1469">
                  <c:v>469.63953109046344</c:v>
                </c:pt>
                <c:pt idx="1470">
                  <c:v>469.95590927864981</c:v>
                </c:pt>
                <c:pt idx="1471">
                  <c:v>470.27228579217427</c:v>
                </c:pt>
                <c:pt idx="1472">
                  <c:v>470.58866063328315</c:v>
                </c:pt>
                <c:pt idx="1473">
                  <c:v>470.90503380421774</c:v>
                </c:pt>
                <c:pt idx="1474">
                  <c:v>471.2214053072143</c:v>
                </c:pt>
                <c:pt idx="1475">
                  <c:v>471.5377751445036</c:v>
                </c:pt>
                <c:pt idx="1476">
                  <c:v>471.85414331831151</c:v>
                </c:pt>
                <c:pt idx="1477">
                  <c:v>472.1705098308588</c:v>
                </c:pt>
                <c:pt idx="1478">
                  <c:v>472.48687468436111</c:v>
                </c:pt>
                <c:pt idx="1479">
                  <c:v>472.80323788102896</c:v>
                </c:pt>
                <c:pt idx="1480">
                  <c:v>473.119599423068</c:v>
                </c:pt>
                <c:pt idx="1481">
                  <c:v>473.43595931267856</c:v>
                </c:pt>
                <c:pt idx="1482">
                  <c:v>473.75231755205607</c:v>
                </c:pt>
                <c:pt idx="1483">
                  <c:v>474.06867414339115</c:v>
                </c:pt>
                <c:pt idx="1484">
                  <c:v>474.3850290888692</c:v>
                </c:pt>
                <c:pt idx="1485">
                  <c:v>474.70138239067057</c:v>
                </c:pt>
                <c:pt idx="1486">
                  <c:v>475.01773405097083</c:v>
                </c:pt>
                <c:pt idx="1487">
                  <c:v>475.33408407194054</c:v>
                </c:pt>
                <c:pt idx="1488">
                  <c:v>475.65043245574543</c:v>
                </c:pt>
                <c:pt idx="1489">
                  <c:v>475.96677920454619</c:v>
                </c:pt>
                <c:pt idx="1490">
                  <c:v>476.2831243204987</c:v>
                </c:pt>
                <c:pt idx="1491">
                  <c:v>476.59946780575387</c:v>
                </c:pt>
                <c:pt idx="1492">
                  <c:v>476.91580966245778</c:v>
                </c:pt>
                <c:pt idx="1493">
                  <c:v>477.23214989275181</c:v>
                </c:pt>
                <c:pt idx="1494">
                  <c:v>477.54848849877231</c:v>
                </c:pt>
                <c:pt idx="1495">
                  <c:v>477.86482548265082</c:v>
                </c:pt>
                <c:pt idx="1496">
                  <c:v>478.18116084651427</c:v>
                </c:pt>
                <c:pt idx="1497">
                  <c:v>478.49749459248466</c:v>
                </c:pt>
                <c:pt idx="1498">
                  <c:v>478.81382672267915</c:v>
                </c:pt>
                <c:pt idx="1499">
                  <c:v>479.13015723921046</c:v>
                </c:pt>
                <c:pt idx="1500">
                  <c:v>479.44648614418611</c:v>
                </c:pt>
                <c:pt idx="1501">
                  <c:v>479.7628134397093</c:v>
                </c:pt>
                <c:pt idx="1502">
                  <c:v>480.07913912787836</c:v>
                </c:pt>
                <c:pt idx="1503">
                  <c:v>480.39546321078683</c:v>
                </c:pt>
                <c:pt idx="1504">
                  <c:v>480.71178569052381</c:v>
                </c:pt>
                <c:pt idx="1505">
                  <c:v>481.02810656917347</c:v>
                </c:pt>
                <c:pt idx="1506">
                  <c:v>481.34442584881555</c:v>
                </c:pt>
                <c:pt idx="1507">
                  <c:v>481.66074353152499</c:v>
                </c:pt>
                <c:pt idx="1508">
                  <c:v>481.97705961937231</c:v>
                </c:pt>
                <c:pt idx="1509">
                  <c:v>482.29337411442339</c:v>
                </c:pt>
                <c:pt idx="1510">
                  <c:v>482.60968701873918</c:v>
                </c:pt>
                <c:pt idx="1511">
                  <c:v>482.92599833437635</c:v>
                </c:pt>
                <c:pt idx="1512">
                  <c:v>483.24230806338716</c:v>
                </c:pt>
                <c:pt idx="1513">
                  <c:v>483.55861620781906</c:v>
                </c:pt>
                <c:pt idx="1514">
                  <c:v>483.874922769715</c:v>
                </c:pt>
                <c:pt idx="1515">
                  <c:v>484.19122775111356</c:v>
                </c:pt>
                <c:pt idx="1516">
                  <c:v>484.50753115404865</c:v>
                </c:pt>
                <c:pt idx="1517">
                  <c:v>484.82383298054981</c:v>
                </c:pt>
                <c:pt idx="1518">
                  <c:v>485.14013323264203</c:v>
                </c:pt>
                <c:pt idx="1519">
                  <c:v>485.45643191234592</c:v>
                </c:pt>
                <c:pt idx="1520">
                  <c:v>485.77272902167749</c:v>
                </c:pt>
                <c:pt idx="1521">
                  <c:v>486.08902456264855</c:v>
                </c:pt>
                <c:pt idx="1522">
                  <c:v>486.40531853726628</c:v>
                </c:pt>
                <c:pt idx="1523">
                  <c:v>486.72161094753358</c:v>
                </c:pt>
                <c:pt idx="1524">
                  <c:v>487.03790179544899</c:v>
                </c:pt>
                <c:pt idx="1525">
                  <c:v>487.35419108300647</c:v>
                </c:pt>
                <c:pt idx="1526">
                  <c:v>487.67047881219588</c:v>
                </c:pt>
                <c:pt idx="1527">
                  <c:v>487.98676498500254</c:v>
                </c:pt>
                <c:pt idx="1528">
                  <c:v>488.30304960340754</c:v>
                </c:pt>
                <c:pt idx="1529">
                  <c:v>488.61933266938763</c:v>
                </c:pt>
                <c:pt idx="1530">
                  <c:v>488.93561418491515</c:v>
                </c:pt>
                <c:pt idx="1531">
                  <c:v>489.25189415195831</c:v>
                </c:pt>
                <c:pt idx="1532">
                  <c:v>489.56817257248088</c:v>
                </c:pt>
                <c:pt idx="1533">
                  <c:v>489.88444944844252</c:v>
                </c:pt>
                <c:pt idx="1534">
                  <c:v>490.20072478179861</c:v>
                </c:pt>
                <c:pt idx="1535">
                  <c:v>490.51699857450012</c:v>
                </c:pt>
                <c:pt idx="1536">
                  <c:v>490.83327082849382</c:v>
                </c:pt>
                <c:pt idx="1537">
                  <c:v>491.14954154572257</c:v>
                </c:pt>
                <c:pt idx="1538">
                  <c:v>491.46581072812472</c:v>
                </c:pt>
                <c:pt idx="1539">
                  <c:v>491.78207837763449</c:v>
                </c:pt>
                <c:pt idx="1540">
                  <c:v>492.09834449618199</c:v>
                </c:pt>
                <c:pt idx="1541">
                  <c:v>492.4146090856932</c:v>
                </c:pt>
                <c:pt idx="1542">
                  <c:v>492.7308721480897</c:v>
                </c:pt>
                <c:pt idx="1543">
                  <c:v>493.04713368528934</c:v>
                </c:pt>
                <c:pt idx="1544">
                  <c:v>493.36339369920546</c:v>
                </c:pt>
                <c:pt idx="1545">
                  <c:v>493.67965219174744</c:v>
                </c:pt>
                <c:pt idx="1546">
                  <c:v>493.99590916482072</c:v>
                </c:pt>
                <c:pt idx="1547">
                  <c:v>494.31216462032637</c:v>
                </c:pt>
                <c:pt idx="1548">
                  <c:v>494.62841856016149</c:v>
                </c:pt>
                <c:pt idx="1549">
                  <c:v>494.94467098621936</c:v>
                </c:pt>
                <c:pt idx="1550">
                  <c:v>495.26092190038878</c:v>
                </c:pt>
                <c:pt idx="1551">
                  <c:v>495.57717130455484</c:v>
                </c:pt>
                <c:pt idx="1552">
                  <c:v>495.89341920059849</c:v>
                </c:pt>
                <c:pt idx="1553">
                  <c:v>496.20966559039664</c:v>
                </c:pt>
                <c:pt idx="1554">
                  <c:v>496.52591047582229</c:v>
                </c:pt>
                <c:pt idx="1555">
                  <c:v>496.84215385874433</c:v>
                </c:pt>
                <c:pt idx="1556">
                  <c:v>497.15839574102779</c:v>
                </c:pt>
                <c:pt idx="1557">
                  <c:v>497.47463612453356</c:v>
                </c:pt>
                <c:pt idx="1558">
                  <c:v>497.79087501111894</c:v>
                </c:pt>
                <c:pt idx="1559">
                  <c:v>498.10711240263709</c:v>
                </c:pt>
                <c:pt idx="1560">
                  <c:v>498.42334830093694</c:v>
                </c:pt>
                <c:pt idx="1561">
                  <c:v>498.73958270786386</c:v>
                </c:pt>
                <c:pt idx="1562">
                  <c:v>499.0558156252593</c:v>
                </c:pt>
                <c:pt idx="1563">
                  <c:v>499.37204705496077</c:v>
                </c:pt>
                <c:pt idx="1564">
                  <c:v>499.68827699880183</c:v>
                </c:pt>
                <c:pt idx="1565">
                  <c:v>500.00450545861224</c:v>
                </c:pt>
                <c:pt idx="1566">
                  <c:v>500.3207324362179</c:v>
                </c:pt>
                <c:pt idx="1567">
                  <c:v>500.63695793344078</c:v>
                </c:pt>
                <c:pt idx="1568">
                  <c:v>500.95318195209921</c:v>
                </c:pt>
                <c:pt idx="1569">
                  <c:v>501.26940449400757</c:v>
                </c:pt>
                <c:pt idx="1570">
                  <c:v>501.58562556097627</c:v>
                </c:pt>
                <c:pt idx="1571">
                  <c:v>501.90184515481224</c:v>
                </c:pt>
                <c:pt idx="1572">
                  <c:v>502.21806327731844</c:v>
                </c:pt>
                <c:pt idx="1573">
                  <c:v>502.53427993029402</c:v>
                </c:pt>
                <c:pt idx="1574">
                  <c:v>502.85049511553461</c:v>
                </c:pt>
                <c:pt idx="1575">
                  <c:v>503.16670883483175</c:v>
                </c:pt>
                <c:pt idx="1576">
                  <c:v>503.48292108997339</c:v>
                </c:pt>
                <c:pt idx="1577">
                  <c:v>503.79913188274384</c:v>
                </c:pt>
                <c:pt idx="1578">
                  <c:v>504.11534121492349</c:v>
                </c:pt>
                <c:pt idx="1579">
                  <c:v>504.43154908828922</c:v>
                </c:pt>
                <c:pt idx="1580">
                  <c:v>504.74775550461413</c:v>
                </c:pt>
                <c:pt idx="1581">
                  <c:v>505.06396046566761</c:v>
                </c:pt>
                <c:pt idx="1582">
                  <c:v>505.38016397321536</c:v>
                </c:pt>
                <c:pt idx="1583">
                  <c:v>505.69636602901949</c:v>
                </c:pt>
                <c:pt idx="1584">
                  <c:v>506.01256663483855</c:v>
                </c:pt>
                <c:pt idx="1585">
                  <c:v>506.32876579242702</c:v>
                </c:pt>
                <c:pt idx="1586">
                  <c:v>506.64496350353619</c:v>
                </c:pt>
                <c:pt idx="1587">
                  <c:v>506.96115976991359</c:v>
                </c:pt>
                <c:pt idx="1588">
                  <c:v>507.27735459330313</c:v>
                </c:pt>
                <c:pt idx="1589">
                  <c:v>507.59354797544512</c:v>
                </c:pt>
                <c:pt idx="1590">
                  <c:v>507.90973991807624</c:v>
                </c:pt>
                <c:pt idx="1591">
                  <c:v>508.22593042292965</c:v>
                </c:pt>
                <c:pt idx="1592">
                  <c:v>508.54211949173492</c:v>
                </c:pt>
                <c:pt idx="1593">
                  <c:v>508.85830712621811</c:v>
                </c:pt>
                <c:pt idx="1594">
                  <c:v>509.17449332810168</c:v>
                </c:pt>
                <c:pt idx="1595">
                  <c:v>509.49067809910434</c:v>
                </c:pt>
                <c:pt idx="1596">
                  <c:v>509.80686144094182</c:v>
                </c:pt>
                <c:pt idx="1597">
                  <c:v>510.12304335532582</c:v>
                </c:pt>
                <c:pt idx="1598">
                  <c:v>510.43922384396467</c:v>
                </c:pt>
                <c:pt idx="1599">
                  <c:v>510.7554029085635</c:v>
                </c:pt>
                <c:pt idx="1600">
                  <c:v>511.0715805508234</c:v>
                </c:pt>
                <c:pt idx="1601">
                  <c:v>511.38775677244246</c:v>
                </c:pt>
                <c:pt idx="1602">
                  <c:v>511.70393157511512</c:v>
                </c:pt>
                <c:pt idx="1603">
                  <c:v>512.02010496053242</c:v>
                </c:pt>
                <c:pt idx="1604">
                  <c:v>512.33627693038193</c:v>
                </c:pt>
                <c:pt idx="1605">
                  <c:v>512.65244748634757</c:v>
                </c:pt>
                <c:pt idx="1606">
                  <c:v>512.96861663011043</c:v>
                </c:pt>
                <c:pt idx="1607">
                  <c:v>513.28478436334717</c:v>
                </c:pt>
                <c:pt idx="1608">
                  <c:v>513.60095068773239</c:v>
                </c:pt>
                <c:pt idx="1609">
                  <c:v>513.91711560493604</c:v>
                </c:pt>
                <c:pt idx="1610">
                  <c:v>514.23327911662557</c:v>
                </c:pt>
                <c:pt idx="1611">
                  <c:v>514.54944122446432</c:v>
                </c:pt>
                <c:pt idx="1612">
                  <c:v>514.86560193011303</c:v>
                </c:pt>
                <c:pt idx="1613">
                  <c:v>515.18176123522846</c:v>
                </c:pt>
                <c:pt idx="1614">
                  <c:v>515.49791914146442</c:v>
                </c:pt>
                <c:pt idx="1615">
                  <c:v>515.81407565047118</c:v>
                </c:pt>
                <c:pt idx="1616">
                  <c:v>516.1302307638955</c:v>
                </c:pt>
                <c:pt idx="1617">
                  <c:v>516.44638448338139</c:v>
                </c:pt>
                <c:pt idx="1618">
                  <c:v>516.76253681056903</c:v>
                </c:pt>
                <c:pt idx="1619">
                  <c:v>517.07868774709561</c:v>
                </c:pt>
                <c:pt idx="1620">
                  <c:v>517.39483729459471</c:v>
                </c:pt>
                <c:pt idx="1621">
                  <c:v>517.71098545469704</c:v>
                </c:pt>
                <c:pt idx="1622">
                  <c:v>518.0271322290298</c:v>
                </c:pt>
                <c:pt idx="1623">
                  <c:v>518.34327761921668</c:v>
                </c:pt>
                <c:pt idx="1624">
                  <c:v>518.65942162687884</c:v>
                </c:pt>
                <c:pt idx="1625">
                  <c:v>518.97556425363337</c:v>
                </c:pt>
                <c:pt idx="1626">
                  <c:v>519.29170550109461</c:v>
                </c:pt>
                <c:pt idx="1627">
                  <c:v>519.60784537087375</c:v>
                </c:pt>
                <c:pt idx="1628">
                  <c:v>519.92398386457853</c:v>
                </c:pt>
                <c:pt idx="1629">
                  <c:v>520.24012098381343</c:v>
                </c:pt>
                <c:pt idx="1630">
                  <c:v>520.55625673017983</c:v>
                </c:pt>
                <c:pt idx="1631">
                  <c:v>520.87239110527617</c:v>
                </c:pt>
                <c:pt idx="1632">
                  <c:v>521.18852411069724</c:v>
                </c:pt>
                <c:pt idx="1633">
                  <c:v>521.50465574803513</c:v>
                </c:pt>
                <c:pt idx="1634">
                  <c:v>521.82078601887838</c:v>
                </c:pt>
                <c:pt idx="1635">
                  <c:v>522.1369149248128</c:v>
                </c:pt>
                <c:pt idx="1636">
                  <c:v>522.45304246742012</c:v>
                </c:pt>
                <c:pt idx="1637">
                  <c:v>522.76916864828058</c:v>
                </c:pt>
                <c:pt idx="1638">
                  <c:v>523.08529346896978</c:v>
                </c:pt>
                <c:pt idx="1639">
                  <c:v>523.40141693106079</c:v>
                </c:pt>
                <c:pt idx="1640">
                  <c:v>523.71753903612375</c:v>
                </c:pt>
                <c:pt idx="1641">
                  <c:v>524.03365978572526</c:v>
                </c:pt>
                <c:pt idx="1642">
                  <c:v>524.3497791814292</c:v>
                </c:pt>
                <c:pt idx="1643">
                  <c:v>524.66589722479603</c:v>
                </c:pt>
                <c:pt idx="1644">
                  <c:v>524.98201391738405</c:v>
                </c:pt>
                <c:pt idx="1645">
                  <c:v>525.29812926074669</c:v>
                </c:pt>
                <c:pt idx="1646">
                  <c:v>525.61424325643645</c:v>
                </c:pt>
                <c:pt idx="1647">
                  <c:v>525.9303559060013</c:v>
                </c:pt>
                <c:pt idx="1648">
                  <c:v>526.24646721098634</c:v>
                </c:pt>
                <c:pt idx="1649">
                  <c:v>526.56257717293477</c:v>
                </c:pt>
                <c:pt idx="1650">
                  <c:v>526.8786857933851</c:v>
                </c:pt>
                <c:pt idx="1651">
                  <c:v>527.19479307387417</c:v>
                </c:pt>
                <c:pt idx="1652">
                  <c:v>527.51089901593502</c:v>
                </c:pt>
                <c:pt idx="1653">
                  <c:v>527.82700362109836</c:v>
                </c:pt>
                <c:pt idx="1654">
                  <c:v>528.1431068908912</c:v>
                </c:pt>
                <c:pt idx="1655">
                  <c:v>528.45920882683799</c:v>
                </c:pt>
                <c:pt idx="1656">
                  <c:v>528.77530943046031</c:v>
                </c:pt>
                <c:pt idx="1657">
                  <c:v>529.0914087032761</c:v>
                </c:pt>
                <c:pt idx="1658">
                  <c:v>529.40750664680161</c:v>
                </c:pt>
                <c:pt idx="1659">
                  <c:v>529.72360326254886</c:v>
                </c:pt>
                <c:pt idx="1660">
                  <c:v>530.03969855202763</c:v>
                </c:pt>
                <c:pt idx="1661">
                  <c:v>530.35579251674426</c:v>
                </c:pt>
                <c:pt idx="1662">
                  <c:v>530.67188515820317</c:v>
                </c:pt>
                <c:pt idx="1663">
                  <c:v>530.98797647790468</c:v>
                </c:pt>
                <c:pt idx="1664">
                  <c:v>531.30406647734685</c:v>
                </c:pt>
                <c:pt idx="1665">
                  <c:v>531.62015515802489</c:v>
                </c:pt>
                <c:pt idx="1666">
                  <c:v>531.93624252143059</c:v>
                </c:pt>
                <c:pt idx="1667">
                  <c:v>532.25232856905359</c:v>
                </c:pt>
                <c:pt idx="1668">
                  <c:v>532.56841330238001</c:v>
                </c:pt>
                <c:pt idx="1669">
                  <c:v>532.8844967228938</c:v>
                </c:pt>
                <c:pt idx="1670">
                  <c:v>533.20057883207494</c:v>
                </c:pt>
                <c:pt idx="1671">
                  <c:v>533.51665963140204</c:v>
                </c:pt>
                <c:pt idx="1672">
                  <c:v>533.83273912234961</c:v>
                </c:pt>
                <c:pt idx="1673">
                  <c:v>534.14881730638967</c:v>
                </c:pt>
                <c:pt idx="1674">
                  <c:v>534.4648941849922</c:v>
                </c:pt>
                <c:pt idx="1675">
                  <c:v>534.78096975962296</c:v>
                </c:pt>
                <c:pt idx="1676">
                  <c:v>535.09704403174612</c:v>
                </c:pt>
                <c:pt idx="1677">
                  <c:v>535.41311700282233</c:v>
                </c:pt>
                <c:pt idx="1678">
                  <c:v>535.72918867431008</c:v>
                </c:pt>
                <c:pt idx="1679">
                  <c:v>536.04525904766422</c:v>
                </c:pt>
                <c:pt idx="1680">
                  <c:v>536.36132812433755</c:v>
                </c:pt>
                <c:pt idx="1681">
                  <c:v>536.6773959057798</c:v>
                </c:pt>
                <c:pt idx="1682">
                  <c:v>536.99346239343765</c:v>
                </c:pt>
                <c:pt idx="1683">
                  <c:v>537.30952758875594</c:v>
                </c:pt>
                <c:pt idx="1684">
                  <c:v>537.62559149317565</c:v>
                </c:pt>
                <c:pt idx="1685">
                  <c:v>537.94165410813594</c:v>
                </c:pt>
                <c:pt idx="1686">
                  <c:v>538.25771543507221</c:v>
                </c:pt>
                <c:pt idx="1687">
                  <c:v>538.57377547541853</c:v>
                </c:pt>
                <c:pt idx="1688">
                  <c:v>538.88983423060483</c:v>
                </c:pt>
                <c:pt idx="1689">
                  <c:v>539.20589170205938</c:v>
                </c:pt>
                <c:pt idx="1690">
                  <c:v>539.52194789120722</c:v>
                </c:pt>
                <c:pt idx="1691">
                  <c:v>539.83800279947047</c:v>
                </c:pt>
                <c:pt idx="1692">
                  <c:v>540.15405642826931</c:v>
                </c:pt>
                <c:pt idx="1693">
                  <c:v>540.47010877902051</c:v>
                </c:pt>
                <c:pt idx="1694">
                  <c:v>540.78615985313911</c:v>
                </c:pt>
                <c:pt idx="1695">
                  <c:v>541.10220965203575</c:v>
                </c:pt>
                <c:pt idx="1696">
                  <c:v>541.41825817712061</c:v>
                </c:pt>
                <c:pt idx="1697">
                  <c:v>541.73430542979952</c:v>
                </c:pt>
                <c:pt idx="1698">
                  <c:v>542.05035141147607</c:v>
                </c:pt>
                <c:pt idx="1699">
                  <c:v>542.36639612355214</c:v>
                </c:pt>
                <c:pt idx="1700">
                  <c:v>542.68243956742538</c:v>
                </c:pt>
                <c:pt idx="1701">
                  <c:v>542.99848174449221</c:v>
                </c:pt>
                <c:pt idx="1702">
                  <c:v>543.31452265614553</c:v>
                </c:pt>
                <c:pt idx="1703">
                  <c:v>543.6305623037764</c:v>
                </c:pt>
                <c:pt idx="1704">
                  <c:v>543.94660068877261</c:v>
                </c:pt>
                <c:pt idx="1705">
                  <c:v>544.26263781251964</c:v>
                </c:pt>
                <c:pt idx="1706">
                  <c:v>544.57867367640006</c:v>
                </c:pt>
                <c:pt idx="1707">
                  <c:v>544.89470828179435</c:v>
                </c:pt>
                <c:pt idx="1708">
                  <c:v>545.21074163008052</c:v>
                </c:pt>
                <c:pt idx="1709">
                  <c:v>545.52677372263315</c:v>
                </c:pt>
                <c:pt idx="1710">
                  <c:v>545.84280456082524</c:v>
                </c:pt>
                <c:pt idx="1711">
                  <c:v>546.15883414602638</c:v>
                </c:pt>
                <c:pt idx="1712">
                  <c:v>546.4748624796041</c:v>
                </c:pt>
                <c:pt idx="1713">
                  <c:v>546.79088956292367</c:v>
                </c:pt>
                <c:pt idx="1714">
                  <c:v>547.10691539734705</c:v>
                </c:pt>
                <c:pt idx="1715">
                  <c:v>547.4229399842344</c:v>
                </c:pt>
                <c:pt idx="1716">
                  <c:v>547.73896332494246</c:v>
                </c:pt>
                <c:pt idx="1717">
                  <c:v>548.05498542082682</c:v>
                </c:pt>
                <c:pt idx="1718">
                  <c:v>548.37100627323889</c:v>
                </c:pt>
                <c:pt idx="1719">
                  <c:v>548.68702588352926</c:v>
                </c:pt>
                <c:pt idx="1720">
                  <c:v>549.00304425304466</c:v>
                </c:pt>
                <c:pt idx="1721">
                  <c:v>549.31906138313036</c:v>
                </c:pt>
                <c:pt idx="1722">
                  <c:v>549.63507727512842</c:v>
                </c:pt>
                <c:pt idx="1723">
                  <c:v>549.95109193037842</c:v>
                </c:pt>
                <c:pt idx="1724">
                  <c:v>550.26710535021823</c:v>
                </c:pt>
                <c:pt idx="1725">
                  <c:v>550.58311753598207</c:v>
                </c:pt>
                <c:pt idx="1726">
                  <c:v>550.89912848900326</c:v>
                </c:pt>
                <c:pt idx="1727">
                  <c:v>551.21513821061103</c:v>
                </c:pt>
                <c:pt idx="1728">
                  <c:v>551.53114670213347</c:v>
                </c:pt>
                <c:pt idx="1729">
                  <c:v>551.84715396489537</c:v>
                </c:pt>
                <c:pt idx="1730">
                  <c:v>552.1631600002197</c:v>
                </c:pt>
                <c:pt idx="1731">
                  <c:v>552.47916480942615</c:v>
                </c:pt>
                <c:pt idx="1732">
                  <c:v>552.79516839383302</c:v>
                </c:pt>
                <c:pt idx="1733">
                  <c:v>553.1111707547559</c:v>
                </c:pt>
                <c:pt idx="1734">
                  <c:v>553.42717189350742</c:v>
                </c:pt>
                <c:pt idx="1735">
                  <c:v>553.74317181139838</c:v>
                </c:pt>
                <c:pt idx="1736">
                  <c:v>554.05917050973676</c:v>
                </c:pt>
                <c:pt idx="1737">
                  <c:v>554.37516798982858</c:v>
                </c:pt>
                <c:pt idx="1738">
                  <c:v>554.6911642529775</c:v>
                </c:pt>
                <c:pt idx="1739">
                  <c:v>555.00715930048432</c:v>
                </c:pt>
                <c:pt idx="1740">
                  <c:v>555.32315313364791</c:v>
                </c:pt>
                <c:pt idx="1741">
                  <c:v>555.63914575376441</c:v>
                </c:pt>
                <c:pt idx="1742">
                  <c:v>555.95513716212804</c:v>
                </c:pt>
                <c:pt idx="1743">
                  <c:v>556.27112736003016</c:v>
                </c:pt>
                <c:pt idx="1744">
                  <c:v>556.58711634876045</c:v>
                </c:pt>
                <c:pt idx="1745">
                  <c:v>556.90310412960548</c:v>
                </c:pt>
                <c:pt idx="1746">
                  <c:v>557.21909070385038</c:v>
                </c:pt>
                <c:pt idx="1747">
                  <c:v>557.53507607277709</c:v>
                </c:pt>
                <c:pt idx="1748">
                  <c:v>557.85106023766537</c:v>
                </c:pt>
                <c:pt idx="1749">
                  <c:v>558.1670431997934</c:v>
                </c:pt>
                <c:pt idx="1750">
                  <c:v>558.48302496043596</c:v>
                </c:pt>
                <c:pt idx="1751">
                  <c:v>558.79900552086679</c:v>
                </c:pt>
                <c:pt idx="1752">
                  <c:v>559.11498488235611</c:v>
                </c:pt>
                <c:pt idx="1753">
                  <c:v>559.43096304617256</c:v>
                </c:pt>
                <c:pt idx="1754">
                  <c:v>559.74694001358239</c:v>
                </c:pt>
                <c:pt idx="1755">
                  <c:v>560.06291578584944</c:v>
                </c:pt>
                <c:pt idx="1756">
                  <c:v>560.37889036423542</c:v>
                </c:pt>
                <c:pt idx="1757">
                  <c:v>560.69486374999951</c:v>
                </c:pt>
                <c:pt idx="1758">
                  <c:v>561.01083594439899</c:v>
                </c:pt>
                <c:pt idx="1759">
                  <c:v>561.32680694868861</c:v>
                </c:pt>
                <c:pt idx="1760">
                  <c:v>561.64277676412098</c:v>
                </c:pt>
                <c:pt idx="1761">
                  <c:v>561.95874539194654</c:v>
                </c:pt>
                <c:pt idx="1762">
                  <c:v>562.27471283341333</c:v>
                </c:pt>
                <c:pt idx="1763">
                  <c:v>562.59067908976726</c:v>
                </c:pt>
                <c:pt idx="1764">
                  <c:v>562.90664416225195</c:v>
                </c:pt>
                <c:pt idx="1765">
                  <c:v>563.22260805210885</c:v>
                </c:pt>
                <c:pt idx="1766">
                  <c:v>563.53857076057716</c:v>
                </c:pt>
                <c:pt idx="1767">
                  <c:v>563.85453228889401</c:v>
                </c:pt>
                <c:pt idx="1768">
                  <c:v>564.17049263829381</c:v>
                </c:pt>
                <c:pt idx="1769">
                  <c:v>564.48645181000984</c:v>
                </c:pt>
                <c:pt idx="1770">
                  <c:v>564.80240980527185</c:v>
                </c:pt>
                <c:pt idx="1771">
                  <c:v>565.11836662530868</c:v>
                </c:pt>
                <c:pt idx="1772">
                  <c:v>565.43432227134599</c:v>
                </c:pt>
                <c:pt idx="1773">
                  <c:v>565.75027674460739</c:v>
                </c:pt>
                <c:pt idx="1774">
                  <c:v>566.06623004631524</c:v>
                </c:pt>
                <c:pt idx="1775">
                  <c:v>566.38218217768838</c:v>
                </c:pt>
                <c:pt idx="1776">
                  <c:v>566.69813313994484</c:v>
                </c:pt>
                <c:pt idx="1777">
                  <c:v>567.01408293429938</c:v>
                </c:pt>
                <c:pt idx="1778">
                  <c:v>567.33003156196526</c:v>
                </c:pt>
                <c:pt idx="1779">
                  <c:v>567.64597902415335</c:v>
                </c:pt>
                <c:pt idx="1780">
                  <c:v>567.96192532207249</c:v>
                </c:pt>
                <c:pt idx="1781">
                  <c:v>568.27787045692924</c:v>
                </c:pt>
                <c:pt idx="1782">
                  <c:v>568.5938144299281</c:v>
                </c:pt>
                <c:pt idx="1783">
                  <c:v>568.90975724227167</c:v>
                </c:pt>
                <c:pt idx="1784">
                  <c:v>569.22569889516001</c:v>
                </c:pt>
                <c:pt idx="1785">
                  <c:v>569.54163938979138</c:v>
                </c:pt>
                <c:pt idx="1786">
                  <c:v>569.85757872736201</c:v>
                </c:pt>
                <c:pt idx="1787">
                  <c:v>570.1735169090656</c:v>
                </c:pt>
                <c:pt idx="1788">
                  <c:v>570.48945393609415</c:v>
                </c:pt>
                <c:pt idx="1789">
                  <c:v>570.80538980963752</c:v>
                </c:pt>
                <c:pt idx="1790">
                  <c:v>571.12132453088316</c:v>
                </c:pt>
                <c:pt idx="1791">
                  <c:v>571.43725810101694</c:v>
                </c:pt>
                <c:pt idx="1792">
                  <c:v>571.75319052122245</c:v>
                </c:pt>
                <c:pt idx="1793">
                  <c:v>572.06912179268068</c:v>
                </c:pt>
                <c:pt idx="1794">
                  <c:v>572.38505191657168</c:v>
                </c:pt>
                <c:pt idx="1795">
                  <c:v>572.70098089407225</c:v>
                </c:pt>
                <c:pt idx="1796">
                  <c:v>573.01690872635811</c:v>
                </c:pt>
                <c:pt idx="1797">
                  <c:v>573.33283541460241</c:v>
                </c:pt>
                <c:pt idx="1798">
                  <c:v>573.64876095997602</c:v>
                </c:pt>
                <c:pt idx="1799">
                  <c:v>573.96468536364853</c:v>
                </c:pt>
                <c:pt idx="1800">
                  <c:v>574.28060862678649</c:v>
                </c:pt>
                <c:pt idx="1801">
                  <c:v>574.59653075055587</c:v>
                </c:pt>
                <c:pt idx="1802">
                  <c:v>574.91245173611901</c:v>
                </c:pt>
                <c:pt idx="1803">
                  <c:v>575.22837158463722</c:v>
                </c:pt>
                <c:pt idx="1804">
                  <c:v>575.54429029726964</c:v>
                </c:pt>
                <c:pt idx="1805">
                  <c:v>575.86020787517316</c:v>
                </c:pt>
                <c:pt idx="1806">
                  <c:v>576.17612431950283</c:v>
                </c:pt>
                <c:pt idx="1807">
                  <c:v>576.49203963141167</c:v>
                </c:pt>
                <c:pt idx="1808">
                  <c:v>576.80795381205076</c:v>
                </c:pt>
                <c:pt idx="1809">
                  <c:v>577.12386686256912</c:v>
                </c:pt>
                <c:pt idx="1810">
                  <c:v>577.43977878411386</c:v>
                </c:pt>
                <c:pt idx="1811">
                  <c:v>577.75568957783003</c:v>
                </c:pt>
                <c:pt idx="1812">
                  <c:v>578.07159924486064</c:v>
                </c:pt>
                <c:pt idx="1813">
                  <c:v>578.38750778634699</c:v>
                </c:pt>
                <c:pt idx="1814">
                  <c:v>578.70341520342822</c:v>
                </c:pt>
                <c:pt idx="1815">
                  <c:v>579.01932149724144</c:v>
                </c:pt>
                <c:pt idx="1816">
                  <c:v>579.33522666892202</c:v>
                </c:pt>
                <c:pt idx="1817">
                  <c:v>579.65113071960343</c:v>
                </c:pt>
                <c:pt idx="1818">
                  <c:v>579.96703365041628</c:v>
                </c:pt>
                <c:pt idx="1819">
                  <c:v>580.28293546249108</c:v>
                </c:pt>
                <c:pt idx="1820">
                  <c:v>580.59883615695446</c:v>
                </c:pt>
                <c:pt idx="1821">
                  <c:v>580.91473573493249</c:v>
                </c:pt>
                <c:pt idx="1822">
                  <c:v>581.23063419754862</c:v>
                </c:pt>
                <c:pt idx="1823">
                  <c:v>581.54653154592427</c:v>
                </c:pt>
                <c:pt idx="1824">
                  <c:v>581.8624277811798</c:v>
                </c:pt>
                <c:pt idx="1825">
                  <c:v>582.17832290443243</c:v>
                </c:pt>
                <c:pt idx="1826">
                  <c:v>582.49421691679879</c:v>
                </c:pt>
                <c:pt idx="1827">
                  <c:v>582.81010981939244</c:v>
                </c:pt>
                <c:pt idx="1828">
                  <c:v>583.1260016133258</c:v>
                </c:pt>
                <c:pt idx="1829">
                  <c:v>583.44189229970914</c:v>
                </c:pt>
                <c:pt idx="1830">
                  <c:v>583.75778187965068</c:v>
                </c:pt>
                <c:pt idx="1831">
                  <c:v>584.07367035425705</c:v>
                </c:pt>
                <c:pt idx="1832">
                  <c:v>584.38955772463282</c:v>
                </c:pt>
                <c:pt idx="1833">
                  <c:v>584.70544399188077</c:v>
                </c:pt>
                <c:pt idx="1834">
                  <c:v>585.02132915710172</c:v>
                </c:pt>
                <c:pt idx="1835">
                  <c:v>585.33721322139468</c:v>
                </c:pt>
                <c:pt idx="1836">
                  <c:v>585.65309618585673</c:v>
                </c:pt>
                <c:pt idx="1837">
                  <c:v>585.96897805158335</c:v>
                </c:pt>
                <c:pt idx="1838">
                  <c:v>586.28485881966776</c:v>
                </c:pt>
                <c:pt idx="1839">
                  <c:v>586.6007384912017</c:v>
                </c:pt>
                <c:pt idx="1840">
                  <c:v>586.91661706727484</c:v>
                </c:pt>
                <c:pt idx="1841">
                  <c:v>587.23249454897496</c:v>
                </c:pt>
                <c:pt idx="1842">
                  <c:v>587.54837093738843</c:v>
                </c:pt>
                <c:pt idx="1843">
                  <c:v>587.86424623359892</c:v>
                </c:pt>
                <c:pt idx="1844">
                  <c:v>588.18012043868941</c:v>
                </c:pt>
                <c:pt idx="1845">
                  <c:v>588.49599355374016</c:v>
                </c:pt>
                <c:pt idx="1846">
                  <c:v>588.81186557983028</c:v>
                </c:pt>
                <c:pt idx="1847">
                  <c:v>589.12773651803639</c:v>
                </c:pt>
                <c:pt idx="1848">
                  <c:v>589.4436063694335</c:v>
                </c:pt>
                <c:pt idx="1849">
                  <c:v>589.75947513509539</c:v>
                </c:pt>
                <c:pt idx="1850">
                  <c:v>590.07534281609298</c:v>
                </c:pt>
                <c:pt idx="1851">
                  <c:v>590.39120941349677</c:v>
                </c:pt>
                <c:pt idx="1852">
                  <c:v>590.70707492837414</c:v>
                </c:pt>
                <c:pt idx="1853">
                  <c:v>591.02293936179149</c:v>
                </c:pt>
                <c:pt idx="1854">
                  <c:v>591.33880271481314</c:v>
                </c:pt>
                <c:pt idx="1855">
                  <c:v>591.65466498850162</c:v>
                </c:pt>
                <c:pt idx="1856">
                  <c:v>591.97052618391774</c:v>
                </c:pt>
                <c:pt idx="1857">
                  <c:v>592.28638630212072</c:v>
                </c:pt>
                <c:pt idx="1858">
                  <c:v>592.60224534416773</c:v>
                </c:pt>
                <c:pt idx="1859">
                  <c:v>592.91810331111424</c:v>
                </c:pt>
                <c:pt idx="1860">
                  <c:v>593.23396020401412</c:v>
                </c:pt>
                <c:pt idx="1861">
                  <c:v>593.54981602391933</c:v>
                </c:pt>
                <c:pt idx="1862">
                  <c:v>593.86567077187999</c:v>
                </c:pt>
                <c:pt idx="1863">
                  <c:v>594.18152444894486</c:v>
                </c:pt>
                <c:pt idx="1864">
                  <c:v>594.49737705616053</c:v>
                </c:pt>
                <c:pt idx="1865">
                  <c:v>594.81322859457214</c:v>
                </c:pt>
                <c:pt idx="1866">
                  <c:v>595.12907906522298</c:v>
                </c:pt>
                <c:pt idx="1867">
                  <c:v>595.44492846915466</c:v>
                </c:pt>
                <c:pt idx="1868">
                  <c:v>595.76077680740661</c:v>
                </c:pt>
                <c:pt idx="1869">
                  <c:v>596.0766240810176</c:v>
                </c:pt>
                <c:pt idx="1870">
                  <c:v>596.39247029102353</c:v>
                </c:pt>
                <c:pt idx="1871">
                  <c:v>596.70831543845952</c:v>
                </c:pt>
                <c:pt idx="1872">
                  <c:v>597.02415952435831</c:v>
                </c:pt>
                <c:pt idx="1873">
                  <c:v>597.34000254975092</c:v>
                </c:pt>
                <c:pt idx="1874">
                  <c:v>597.65584451566747</c:v>
                </c:pt>
                <c:pt idx="1875">
                  <c:v>597.97168542313523</c:v>
                </c:pt>
                <c:pt idx="1876">
                  <c:v>598.28752527318102</c:v>
                </c:pt>
                <c:pt idx="1877">
                  <c:v>598.60336406682904</c:v>
                </c:pt>
                <c:pt idx="1878">
                  <c:v>598.91920180510203</c:v>
                </c:pt>
                <c:pt idx="1879">
                  <c:v>599.23503848902124</c:v>
                </c:pt>
                <c:pt idx="1880">
                  <c:v>599.55087411960608</c:v>
                </c:pt>
                <c:pt idx="1881">
                  <c:v>599.8667086978744</c:v>
                </c:pt>
                <c:pt idx="1882">
                  <c:v>600.18254222484222</c:v>
                </c:pt>
                <c:pt idx="1883">
                  <c:v>600.49837470152397</c:v>
                </c:pt>
                <c:pt idx="1884">
                  <c:v>600.81420612893248</c:v>
                </c:pt>
                <c:pt idx="1885">
                  <c:v>601.130036508079</c:v>
                </c:pt>
                <c:pt idx="1886">
                  <c:v>601.44586583997273</c:v>
                </c:pt>
                <c:pt idx="1887">
                  <c:v>601.76169412562172</c:v>
                </c:pt>
                <c:pt idx="1888">
                  <c:v>602.0775213660321</c:v>
                </c:pt>
                <c:pt idx="1889">
                  <c:v>602.39334756220842</c:v>
                </c:pt>
                <c:pt idx="1890">
                  <c:v>602.7091727151535</c:v>
                </c:pt>
                <c:pt idx="1891">
                  <c:v>603.02499682586858</c:v>
                </c:pt>
                <c:pt idx="1892">
                  <c:v>603.34081989535355</c:v>
                </c:pt>
                <c:pt idx="1893">
                  <c:v>603.65664192460588</c:v>
                </c:pt>
                <c:pt idx="1894">
                  <c:v>603.9724629146225</c:v>
                </c:pt>
                <c:pt idx="1895">
                  <c:v>604.28828286639782</c:v>
                </c:pt>
                <c:pt idx="1896">
                  <c:v>604.60410178092536</c:v>
                </c:pt>
                <c:pt idx="1897">
                  <c:v>604.91991965919647</c:v>
                </c:pt>
                <c:pt idx="1898">
                  <c:v>605.23573650220067</c:v>
                </c:pt>
                <c:pt idx="1899">
                  <c:v>605.55155231092681</c:v>
                </c:pt>
                <c:pt idx="1900">
                  <c:v>605.86736708636124</c:v>
                </c:pt>
                <c:pt idx="1901">
                  <c:v>606.18318082948952</c:v>
                </c:pt>
                <c:pt idx="1902">
                  <c:v>606.49899354129479</c:v>
                </c:pt>
                <c:pt idx="1903">
                  <c:v>606.81480522275911</c:v>
                </c:pt>
                <c:pt idx="1904">
                  <c:v>607.13061587486277</c:v>
                </c:pt>
                <c:pt idx="1905">
                  <c:v>607.44642549858474</c:v>
                </c:pt>
                <c:pt idx="1906">
                  <c:v>607.76223409490194</c:v>
                </c:pt>
                <c:pt idx="1907">
                  <c:v>608.07804166479025</c:v>
                </c:pt>
                <c:pt idx="1908">
                  <c:v>608.39384820922351</c:v>
                </c:pt>
                <c:pt idx="1909">
                  <c:v>608.70965372917419</c:v>
                </c:pt>
                <c:pt idx="1910">
                  <c:v>609.02545822561331</c:v>
                </c:pt>
                <c:pt idx="1911">
                  <c:v>609.34126169951014</c:v>
                </c:pt>
                <c:pt idx="1912">
                  <c:v>609.65706415183251</c:v>
                </c:pt>
                <c:pt idx="1913">
                  <c:v>609.97286558354665</c:v>
                </c:pt>
                <c:pt idx="1914">
                  <c:v>610.28866599561729</c:v>
                </c:pt>
                <c:pt idx="1915">
                  <c:v>610.60446538900749</c:v>
                </c:pt>
                <c:pt idx="1916">
                  <c:v>610.92026376467879</c:v>
                </c:pt>
                <c:pt idx="1917">
                  <c:v>611.23606112359153</c:v>
                </c:pt>
                <c:pt idx="1918">
                  <c:v>611.55185746670372</c:v>
                </c:pt>
                <c:pt idx="1919">
                  <c:v>611.86765279497286</c:v>
                </c:pt>
                <c:pt idx="1920">
                  <c:v>612.18344710935401</c:v>
                </c:pt>
                <c:pt idx="1921">
                  <c:v>612.49924041080158</c:v>
                </c:pt>
                <c:pt idx="1922">
                  <c:v>612.81503270026758</c:v>
                </c:pt>
                <c:pt idx="1923">
                  <c:v>613.13082397870289</c:v>
                </c:pt>
                <c:pt idx="1924">
                  <c:v>613.44661424705714</c:v>
                </c:pt>
                <c:pt idx="1925">
                  <c:v>613.76240350627779</c:v>
                </c:pt>
                <c:pt idx="1926">
                  <c:v>614.07819175731174</c:v>
                </c:pt>
                <c:pt idx="1927">
                  <c:v>614.39397900110339</c:v>
                </c:pt>
                <c:pt idx="1928">
                  <c:v>614.70976523859622</c:v>
                </c:pt>
                <c:pt idx="1929">
                  <c:v>615.02555047073224</c:v>
                </c:pt>
                <c:pt idx="1930">
                  <c:v>615.34133469845153</c:v>
                </c:pt>
                <c:pt idx="1931">
                  <c:v>615.65711792269315</c:v>
                </c:pt>
                <c:pt idx="1932">
                  <c:v>615.97290014439443</c:v>
                </c:pt>
                <c:pt idx="1933">
                  <c:v>616.28868136449114</c:v>
                </c:pt>
                <c:pt idx="1934">
                  <c:v>616.60446158391778</c:v>
                </c:pt>
                <c:pt idx="1935">
                  <c:v>616.92024080360738</c:v>
                </c:pt>
                <c:pt idx="1936">
                  <c:v>617.23601902449127</c:v>
                </c:pt>
                <c:pt idx="1937">
                  <c:v>617.5517962474994</c:v>
                </c:pt>
                <c:pt idx="1938">
                  <c:v>617.86757247356024</c:v>
                </c:pt>
                <c:pt idx="1939">
                  <c:v>618.18334770360104</c:v>
                </c:pt>
                <c:pt idx="1940">
                  <c:v>618.49912193854732</c:v>
                </c:pt>
                <c:pt idx="1941">
                  <c:v>618.81489517932312</c:v>
                </c:pt>
                <c:pt idx="1942">
                  <c:v>619.13066742685123</c:v>
                </c:pt>
                <c:pt idx="1943">
                  <c:v>619.44643868205242</c:v>
                </c:pt>
                <c:pt idx="1944">
                  <c:v>619.76220894584719</c:v>
                </c:pt>
                <c:pt idx="1945">
                  <c:v>620.07797821915335</c:v>
                </c:pt>
                <c:pt idx="1946">
                  <c:v>620.39374650288812</c:v>
                </c:pt>
                <c:pt idx="1947">
                  <c:v>620.70951379796679</c:v>
                </c:pt>
                <c:pt idx="1948">
                  <c:v>621.02528010530307</c:v>
                </c:pt>
                <c:pt idx="1949">
                  <c:v>621.34104542581008</c:v>
                </c:pt>
                <c:pt idx="1950">
                  <c:v>621.65680976039835</c:v>
                </c:pt>
                <c:pt idx="1951">
                  <c:v>621.97257310997827</c:v>
                </c:pt>
                <c:pt idx="1952">
                  <c:v>622.28833547545776</c:v>
                </c:pt>
                <c:pt idx="1953">
                  <c:v>622.60409685774368</c:v>
                </c:pt>
                <c:pt idx="1954">
                  <c:v>622.91985725774157</c:v>
                </c:pt>
                <c:pt idx="1955">
                  <c:v>623.23561667635545</c:v>
                </c:pt>
                <c:pt idx="1956">
                  <c:v>623.551375114488</c:v>
                </c:pt>
                <c:pt idx="1957">
                  <c:v>623.86713257304052</c:v>
                </c:pt>
                <c:pt idx="1958">
                  <c:v>624.18288905291263</c:v>
                </c:pt>
                <c:pt idx="1959">
                  <c:v>624.4986445550029</c:v>
                </c:pt>
                <c:pt idx="1960">
                  <c:v>624.81439908020832</c:v>
                </c:pt>
                <c:pt idx="1961">
                  <c:v>625.13015262942451</c:v>
                </c:pt>
                <c:pt idx="1962">
                  <c:v>625.44590520354575</c:v>
                </c:pt>
                <c:pt idx="1963">
                  <c:v>625.7616568034648</c:v>
                </c:pt>
                <c:pt idx="1964">
                  <c:v>626.07740743007321</c:v>
                </c:pt>
                <c:pt idx="1965">
                  <c:v>626.39315708426113</c:v>
                </c:pt>
                <c:pt idx="1966">
                  <c:v>626.70890576691704</c:v>
                </c:pt>
                <c:pt idx="1967">
                  <c:v>627.0246534789286</c:v>
                </c:pt>
                <c:pt idx="1968">
                  <c:v>627.3404002211812</c:v>
                </c:pt>
                <c:pt idx="1969">
                  <c:v>627.65614599456012</c:v>
                </c:pt>
                <c:pt idx="1970">
                  <c:v>627.97189079994803</c:v>
                </c:pt>
                <c:pt idx="1971">
                  <c:v>628.28763463822713</c:v>
                </c:pt>
                <c:pt idx="1972">
                  <c:v>628.60337751027782</c:v>
                </c:pt>
                <c:pt idx="1973">
                  <c:v>628.9191194169789</c:v>
                </c:pt>
                <c:pt idx="1974">
                  <c:v>629.23486035920871</c:v>
                </c:pt>
                <c:pt idx="1975">
                  <c:v>629.55060033784309</c:v>
                </c:pt>
                <c:pt idx="1976">
                  <c:v>629.86633935375767</c:v>
                </c:pt>
                <c:pt idx="1977">
                  <c:v>630.18207740782577</c:v>
                </c:pt>
                <c:pt idx="1978">
                  <c:v>630.49781450091996</c:v>
                </c:pt>
                <c:pt idx="1979">
                  <c:v>630.81355063391118</c:v>
                </c:pt>
                <c:pt idx="1980">
                  <c:v>631.12928580766925</c:v>
                </c:pt>
                <c:pt idx="1981">
                  <c:v>631.4450200230624</c:v>
                </c:pt>
                <c:pt idx="1982">
                  <c:v>631.76075328095783</c:v>
                </c:pt>
                <c:pt idx="1983">
                  <c:v>632.07648558222104</c:v>
                </c:pt>
                <c:pt idx="1984">
                  <c:v>632.39221692771662</c:v>
                </c:pt>
                <c:pt idx="1985">
                  <c:v>632.70794731830756</c:v>
                </c:pt>
                <c:pt idx="1986">
                  <c:v>633.0236767548555</c:v>
                </c:pt>
                <c:pt idx="1987">
                  <c:v>633.33940523822093</c:v>
                </c:pt>
                <c:pt idx="1988">
                  <c:v>633.6551327692631</c:v>
                </c:pt>
                <c:pt idx="1989">
                  <c:v>633.97085934883955</c:v>
                </c:pt>
                <c:pt idx="1990">
                  <c:v>634.2865849778068</c:v>
                </c:pt>
                <c:pt idx="1991">
                  <c:v>634.60230965702021</c:v>
                </c:pt>
                <c:pt idx="1992">
                  <c:v>634.91803338733371</c:v>
                </c:pt>
                <c:pt idx="1993">
                  <c:v>635.23375616959925</c:v>
                </c:pt>
                <c:pt idx="1994">
                  <c:v>635.54947800466903</c:v>
                </c:pt>
                <c:pt idx="1995">
                  <c:v>635.86519889339229</c:v>
                </c:pt>
                <c:pt idx="1996">
                  <c:v>636.18091883661828</c:v>
                </c:pt>
                <c:pt idx="1997">
                  <c:v>636.49663783519406</c:v>
                </c:pt>
                <c:pt idx="1998">
                  <c:v>636.8123558899656</c:v>
                </c:pt>
                <c:pt idx="1999">
                  <c:v>637.12807300177815</c:v>
                </c:pt>
                <c:pt idx="2000">
                  <c:v>637.44378917147469</c:v>
                </c:pt>
                <c:pt idx="2001">
                  <c:v>637.75950439989822</c:v>
                </c:pt>
                <c:pt idx="2002">
                  <c:v>638.07521868788922</c:v>
                </c:pt>
                <c:pt idx="2003">
                  <c:v>638.39093203628761</c:v>
                </c:pt>
                <c:pt idx="2004">
                  <c:v>638.70664444593172</c:v>
                </c:pt>
                <c:pt idx="2005">
                  <c:v>639.02235591765884</c:v>
                </c:pt>
                <c:pt idx="2006">
                  <c:v>639.33806645230493</c:v>
                </c:pt>
                <c:pt idx="2007">
                  <c:v>639.65377605070444</c:v>
                </c:pt>
                <c:pt idx="2008">
                  <c:v>639.96948471369103</c:v>
                </c:pt>
                <c:pt idx="2009">
                  <c:v>640.28519244209656</c:v>
                </c:pt>
                <c:pt idx="2010">
                  <c:v>640.60089923675218</c:v>
                </c:pt>
                <c:pt idx="2011">
                  <c:v>640.91660509848748</c:v>
                </c:pt>
                <c:pt idx="2012">
                  <c:v>641.23231002813066</c:v>
                </c:pt>
                <c:pt idx="2013">
                  <c:v>641.54801402650912</c:v>
                </c:pt>
                <c:pt idx="2014">
                  <c:v>641.86371709444859</c:v>
                </c:pt>
                <c:pt idx="2015">
                  <c:v>642.17941923277374</c:v>
                </c:pt>
                <c:pt idx="2016">
                  <c:v>642.49512044230812</c:v>
                </c:pt>
                <c:pt idx="2017">
                  <c:v>642.81082072387392</c:v>
                </c:pt>
                <c:pt idx="2018">
                  <c:v>643.12652007829161</c:v>
                </c:pt>
                <c:pt idx="2019">
                  <c:v>643.44221850638178</c:v>
                </c:pt>
                <c:pt idx="2020">
                  <c:v>643.75791600896218</c:v>
                </c:pt>
                <c:pt idx="2021">
                  <c:v>644.07361258685057</c:v>
                </c:pt>
                <c:pt idx="2022">
                  <c:v>644.38930824086276</c:v>
                </c:pt>
                <c:pt idx="2023">
                  <c:v>644.70500297181343</c:v>
                </c:pt>
                <c:pt idx="2024">
                  <c:v>645.02069678051669</c:v>
                </c:pt>
                <c:pt idx="2025">
                  <c:v>645.33638966778426</c:v>
                </c:pt>
                <c:pt idx="2026">
                  <c:v>645.65208163442799</c:v>
                </c:pt>
                <c:pt idx="2027">
                  <c:v>645.96777268125754</c:v>
                </c:pt>
                <c:pt idx="2028">
                  <c:v>646.2834628090817</c:v>
                </c:pt>
                <c:pt idx="2029">
                  <c:v>646.59915201870808</c:v>
                </c:pt>
                <c:pt idx="2030">
                  <c:v>646.91484031094296</c:v>
                </c:pt>
                <c:pt idx="2031">
                  <c:v>647.2305276865917</c:v>
                </c:pt>
                <c:pt idx="2032">
                  <c:v>647.54621414645806</c:v>
                </c:pt>
                <c:pt idx="2033">
                  <c:v>647.861899691345</c:v>
                </c:pt>
                <c:pt idx="2034">
                  <c:v>648.17758432205392</c:v>
                </c:pt>
                <c:pt idx="2035">
                  <c:v>648.49326803938538</c:v>
                </c:pt>
                <c:pt idx="2036">
                  <c:v>648.80895084413851</c:v>
                </c:pt>
                <c:pt idx="2037">
                  <c:v>649.12463273711148</c:v>
                </c:pt>
                <c:pt idx="2038">
                  <c:v>649.44031371910091</c:v>
                </c:pt>
                <c:pt idx="2039">
                  <c:v>649.75599379090261</c:v>
                </c:pt>
                <c:pt idx="2040">
                  <c:v>650.07167295331101</c:v>
                </c:pt>
                <c:pt idx="2041">
                  <c:v>650.38735120711954</c:v>
                </c:pt>
                <c:pt idx="2042">
                  <c:v>650.70302855312025</c:v>
                </c:pt>
                <c:pt idx="2043">
                  <c:v>651.01870499210384</c:v>
                </c:pt>
                <c:pt idx="2044">
                  <c:v>651.33438052486088</c:v>
                </c:pt>
                <c:pt idx="2045">
                  <c:v>651.65005515217922</c:v>
                </c:pt>
                <c:pt idx="2046">
                  <c:v>651.96572887484695</c:v>
                </c:pt>
                <c:pt idx="2047">
                  <c:v>652.28140169365008</c:v>
                </c:pt>
                <c:pt idx="2048">
                  <c:v>652.59707360937364</c:v>
                </c:pt>
                <c:pt idx="2049">
                  <c:v>652.91274462280194</c:v>
                </c:pt>
                <c:pt idx="2050">
                  <c:v>653.22841473471749</c:v>
                </c:pt>
                <c:pt idx="2051">
                  <c:v>653.54408394590257</c:v>
                </c:pt>
                <c:pt idx="2052">
                  <c:v>653.85975225713742</c:v>
                </c:pt>
                <c:pt idx="2053">
                  <c:v>654.17541966920135</c:v>
                </c:pt>
                <c:pt idx="2054">
                  <c:v>654.49108618287278</c:v>
                </c:pt>
                <c:pt idx="2055">
                  <c:v>654.80675179892876</c:v>
                </c:pt>
                <c:pt idx="2056">
                  <c:v>655.12241651814543</c:v>
                </c:pt>
                <c:pt idx="2057">
                  <c:v>655.43808034129756</c:v>
                </c:pt>
                <c:pt idx="2058">
                  <c:v>655.7537432691588</c:v>
                </c:pt>
                <c:pt idx="2059">
                  <c:v>656.06940530250199</c:v>
                </c:pt>
                <c:pt idx="2060">
                  <c:v>656.38506644209838</c:v>
                </c:pt>
                <c:pt idx="2061">
                  <c:v>656.70072668871842</c:v>
                </c:pt>
                <c:pt idx="2062">
                  <c:v>657.01638604313132</c:v>
                </c:pt>
                <c:pt idx="2063">
                  <c:v>657.33204450610526</c:v>
                </c:pt>
                <c:pt idx="2064">
                  <c:v>657.64770207840706</c:v>
                </c:pt>
                <c:pt idx="2065">
                  <c:v>657.96335876080275</c:v>
                </c:pt>
                <c:pt idx="2066">
                  <c:v>658.27901455405686</c:v>
                </c:pt>
                <c:pt idx="2067">
                  <c:v>658.59466945893348</c:v>
                </c:pt>
                <c:pt idx="2068">
                  <c:v>658.91032347619432</c:v>
                </c:pt>
                <c:pt idx="2069">
                  <c:v>659.22597660660176</c:v>
                </c:pt>
                <c:pt idx="2070">
                  <c:v>659.54162885091546</c:v>
                </c:pt>
                <c:pt idx="2071">
                  <c:v>659.85728020989507</c:v>
                </c:pt>
                <c:pt idx="2072">
                  <c:v>660.17293068429842</c:v>
                </c:pt>
                <c:pt idx="2073">
                  <c:v>660.48858027488245</c:v>
                </c:pt>
                <c:pt idx="2074">
                  <c:v>660.8042289824034</c:v>
                </c:pt>
                <c:pt idx="2075">
                  <c:v>661.11987680761558</c:v>
                </c:pt>
                <c:pt idx="2076">
                  <c:v>661.43552375127354</c:v>
                </c:pt>
                <c:pt idx="2077">
                  <c:v>661.75116981412918</c:v>
                </c:pt>
                <c:pt idx="2078">
                  <c:v>662.06681499693445</c:v>
                </c:pt>
                <c:pt idx="2079">
                  <c:v>662.38245930043968</c:v>
                </c:pt>
                <c:pt idx="2080">
                  <c:v>662.69810272539428</c:v>
                </c:pt>
                <c:pt idx="2081">
                  <c:v>663.01374527254654</c:v>
                </c:pt>
                <c:pt idx="2082">
                  <c:v>663.32938694264374</c:v>
                </c:pt>
                <c:pt idx="2083">
                  <c:v>663.64502773643198</c:v>
                </c:pt>
                <c:pt idx="2084">
                  <c:v>663.9606676546565</c:v>
                </c:pt>
                <c:pt idx="2085">
                  <c:v>664.27630669806103</c:v>
                </c:pt>
                <c:pt idx="2086">
                  <c:v>664.59194486738886</c:v>
                </c:pt>
                <c:pt idx="2087">
                  <c:v>664.90758216338156</c:v>
                </c:pt>
                <c:pt idx="2088">
                  <c:v>665.22321858678004</c:v>
                </c:pt>
                <c:pt idx="2089">
                  <c:v>665.53885413832415</c:v>
                </c:pt>
                <c:pt idx="2090">
                  <c:v>665.85448881875243</c:v>
                </c:pt>
                <c:pt idx="2091">
                  <c:v>666.17012262880257</c:v>
                </c:pt>
                <c:pt idx="2092">
                  <c:v>666.48575556921128</c:v>
                </c:pt>
                <c:pt idx="2093">
                  <c:v>666.80138764071353</c:v>
                </c:pt>
                <c:pt idx="2094">
                  <c:v>667.11701884404454</c:v>
                </c:pt>
                <c:pt idx="2095">
                  <c:v>667.43264917993713</c:v>
                </c:pt>
                <c:pt idx="2096">
                  <c:v>667.74827864912425</c:v>
                </c:pt>
                <c:pt idx="2097">
                  <c:v>668.06390725233678</c:v>
                </c:pt>
                <c:pt idx="2098">
                  <c:v>668.37953499030482</c:v>
                </c:pt>
                <c:pt idx="2099">
                  <c:v>668.69516186375813</c:v>
                </c:pt>
                <c:pt idx="2100">
                  <c:v>669.01078787342442</c:v>
                </c:pt>
                <c:pt idx="2101">
                  <c:v>669.32641302003128</c:v>
                </c:pt>
                <c:pt idx="2102">
                  <c:v>669.64203730430461</c:v>
                </c:pt>
                <c:pt idx="2103">
                  <c:v>669.95766072696938</c:v>
                </c:pt>
                <c:pt idx="2104">
                  <c:v>670.27328328874989</c:v>
                </c:pt>
                <c:pt idx="2105">
                  <c:v>670.58890499036909</c:v>
                </c:pt>
                <c:pt idx="2106">
                  <c:v>670.90452583254898</c:v>
                </c:pt>
                <c:pt idx="2107">
                  <c:v>671.22014581601047</c:v>
                </c:pt>
                <c:pt idx="2108">
                  <c:v>671.53576494147353</c:v>
                </c:pt>
                <c:pt idx="2109">
                  <c:v>671.85138320965712</c:v>
                </c:pt>
                <c:pt idx="2110">
                  <c:v>672.16700062127927</c:v>
                </c:pt>
                <c:pt idx="2111">
                  <c:v>672.48261717705668</c:v>
                </c:pt>
                <c:pt idx="2112">
                  <c:v>672.79823287770535</c:v>
                </c:pt>
                <c:pt idx="2113">
                  <c:v>673.11384772394013</c:v>
                </c:pt>
                <c:pt idx="2114">
                  <c:v>673.42946171647486</c:v>
                </c:pt>
                <c:pt idx="2115">
                  <c:v>673.74507485602237</c:v>
                </c:pt>
                <c:pt idx="2116">
                  <c:v>674.06068714329467</c:v>
                </c:pt>
                <c:pt idx="2117">
                  <c:v>674.37629857900254</c:v>
                </c:pt>
                <c:pt idx="2118">
                  <c:v>674.69190916385537</c:v>
                </c:pt>
                <c:pt idx="2119">
                  <c:v>675.00751889856269</c:v>
                </c:pt>
                <c:pt idx="2120">
                  <c:v>675.32312778383186</c:v>
                </c:pt>
                <c:pt idx="2121">
                  <c:v>675.63873582037024</c:v>
                </c:pt>
                <c:pt idx="2122">
                  <c:v>675.95434300888314</c:v>
                </c:pt>
                <c:pt idx="2123">
                  <c:v>676.26994935007554</c:v>
                </c:pt>
                <c:pt idx="2124">
                  <c:v>676.5855548446516</c:v>
                </c:pt>
                <c:pt idx="2125">
                  <c:v>676.90115949331357</c:v>
                </c:pt>
                <c:pt idx="2126">
                  <c:v>677.21676329676416</c:v>
                </c:pt>
                <c:pt idx="2127">
                  <c:v>677.53236625570366</c:v>
                </c:pt>
                <c:pt idx="2128">
                  <c:v>677.84796837083229</c:v>
                </c:pt>
                <c:pt idx="2129">
                  <c:v>678.16356964284887</c:v>
                </c:pt>
                <c:pt idx="2130">
                  <c:v>678.47917007245144</c:v>
                </c:pt>
                <c:pt idx="2131">
                  <c:v>678.7947696603369</c:v>
                </c:pt>
                <c:pt idx="2132">
                  <c:v>679.11036840720135</c:v>
                </c:pt>
                <c:pt idx="2133">
                  <c:v>679.42596631373976</c:v>
                </c:pt>
                <c:pt idx="2134">
                  <c:v>679.74156338064631</c:v>
                </c:pt>
                <c:pt idx="2135">
                  <c:v>680.05715960861392</c:v>
                </c:pt>
                <c:pt idx="2136">
                  <c:v>680.37275499833493</c:v>
                </c:pt>
                <c:pt idx="2137">
                  <c:v>680.68834955050033</c:v>
                </c:pt>
                <c:pt idx="2138">
                  <c:v>681.00394326580033</c:v>
                </c:pt>
                <c:pt idx="2139">
                  <c:v>681.31953614492443</c:v>
                </c:pt>
                <c:pt idx="2140">
                  <c:v>681.63512818856054</c:v>
                </c:pt>
                <c:pt idx="2141">
                  <c:v>681.95071939739626</c:v>
                </c:pt>
                <c:pt idx="2142">
                  <c:v>682.26630977211801</c:v>
                </c:pt>
                <c:pt idx="2143">
                  <c:v>682.58189931341064</c:v>
                </c:pt>
                <c:pt idx="2144">
                  <c:v>682.89748802195948</c:v>
                </c:pt>
                <c:pt idx="2145">
                  <c:v>683.2130758984473</c:v>
                </c:pt>
                <c:pt idx="2146">
                  <c:v>683.52866294355726</c:v>
                </c:pt>
                <c:pt idx="2147">
                  <c:v>683.84424915797069</c:v>
                </c:pt>
                <c:pt idx="2148">
                  <c:v>684.159834542368</c:v>
                </c:pt>
                <c:pt idx="2149">
                  <c:v>684.47541909742938</c:v>
                </c:pt>
                <c:pt idx="2150">
                  <c:v>684.7910028238332</c:v>
                </c:pt>
                <c:pt idx="2151">
                  <c:v>685.10658572225782</c:v>
                </c:pt>
                <c:pt idx="2152">
                  <c:v>685.4221677933798</c:v>
                </c:pt>
                <c:pt idx="2153">
                  <c:v>685.73774903787512</c:v>
                </c:pt>
                <c:pt idx="2154">
                  <c:v>686.05332945641896</c:v>
                </c:pt>
                <c:pt idx="2155">
                  <c:v>686.36890904968539</c:v>
                </c:pt>
                <c:pt idx="2156">
                  <c:v>686.68448781834763</c:v>
                </c:pt>
                <c:pt idx="2157">
                  <c:v>687.00006576307783</c:v>
                </c:pt>
                <c:pt idx="2158">
                  <c:v>687.3156428845474</c:v>
                </c:pt>
                <c:pt idx="2159">
                  <c:v>687.63121918342677</c:v>
                </c:pt>
                <c:pt idx="2160">
                  <c:v>687.94679466038531</c:v>
                </c:pt>
                <c:pt idx="2161">
                  <c:v>688.26236931609174</c:v>
                </c:pt>
                <c:pt idx="2162">
                  <c:v>688.57794315121362</c:v>
                </c:pt>
                <c:pt idx="2163">
                  <c:v>688.89351616641761</c:v>
                </c:pt>
                <c:pt idx="2164">
                  <c:v>689.2090883623697</c:v>
                </c:pt>
                <c:pt idx="2165">
                  <c:v>689.5246597397346</c:v>
                </c:pt>
                <c:pt idx="2166">
                  <c:v>689.84023029917648</c:v>
                </c:pt>
                <c:pt idx="2167">
                  <c:v>690.15580004135836</c:v>
                </c:pt>
                <c:pt idx="2168">
                  <c:v>690.47136896694201</c:v>
                </c:pt>
                <c:pt idx="2169">
                  <c:v>690.78693707658942</c:v>
                </c:pt>
                <c:pt idx="2170">
                  <c:v>691.10250437096045</c:v>
                </c:pt>
                <c:pt idx="2171">
                  <c:v>691.4180708507148</c:v>
                </c:pt>
                <c:pt idx="2172">
                  <c:v>691.73363651651096</c:v>
                </c:pt>
                <c:pt idx="2173">
                  <c:v>692.04920136900625</c:v>
                </c:pt>
                <c:pt idx="2174">
                  <c:v>692.36476540885792</c:v>
                </c:pt>
                <c:pt idx="2175">
                  <c:v>692.68032863672136</c:v>
                </c:pt>
                <c:pt idx="2176">
                  <c:v>692.99589105325208</c:v>
                </c:pt>
                <c:pt idx="2177">
                  <c:v>693.31145265910379</c:v>
                </c:pt>
                <c:pt idx="2178">
                  <c:v>693.62701345492974</c:v>
                </c:pt>
                <c:pt idx="2179">
                  <c:v>693.94257344138225</c:v>
                </c:pt>
                <c:pt idx="2180">
                  <c:v>694.25813261911264</c:v>
                </c:pt>
                <c:pt idx="2181">
                  <c:v>694.57369098877155</c:v>
                </c:pt>
                <c:pt idx="2182">
                  <c:v>694.88924855100856</c:v>
                </c:pt>
                <c:pt idx="2183">
                  <c:v>695.20480530647239</c:v>
                </c:pt>
                <c:pt idx="2184">
                  <c:v>695.52036125581094</c:v>
                </c:pt>
                <c:pt idx="2185">
                  <c:v>695.83591639967119</c:v>
                </c:pt>
                <c:pt idx="2186">
                  <c:v>696.15147073869935</c:v>
                </c:pt>
                <c:pt idx="2187">
                  <c:v>696.46702427354057</c:v>
                </c:pt>
                <c:pt idx="2188">
                  <c:v>696.78257700483925</c:v>
                </c:pt>
                <c:pt idx="2189">
                  <c:v>697.09812893323897</c:v>
                </c:pt>
                <c:pt idx="2190">
                  <c:v>697.41368005938216</c:v>
                </c:pt>
                <c:pt idx="2191">
                  <c:v>697.7292303839107</c:v>
                </c:pt>
                <c:pt idx="2192">
                  <c:v>698.04477990746557</c:v>
                </c:pt>
                <c:pt idx="2193">
                  <c:v>698.36032863068635</c:v>
                </c:pt>
                <c:pt idx="2194">
                  <c:v>698.67587655421278</c:v>
                </c:pt>
                <c:pt idx="2195">
                  <c:v>698.99142367868274</c:v>
                </c:pt>
                <c:pt idx="2196">
                  <c:v>699.30697000473413</c:v>
                </c:pt>
                <c:pt idx="2197">
                  <c:v>699.62251553300314</c:v>
                </c:pt>
                <c:pt idx="2198">
                  <c:v>699.93806026412551</c:v>
                </c:pt>
                <c:pt idx="2199">
                  <c:v>700.2536041987363</c:v>
                </c:pt>
                <c:pt idx="2200">
                  <c:v>700.56914733746908</c:v>
                </c:pt>
                <c:pt idx="2201">
                  <c:v>700.88468968095765</c:v>
                </c:pt>
                <c:pt idx="2202">
                  <c:v>701.20023122983389</c:v>
                </c:pt>
                <c:pt idx="2203">
                  <c:v>701.51577198472933</c:v>
                </c:pt>
                <c:pt idx="2204">
                  <c:v>701.8313119462747</c:v>
                </c:pt>
                <c:pt idx="2205">
                  <c:v>702.14685111509971</c:v>
                </c:pt>
                <c:pt idx="2206">
                  <c:v>702.46238949183316</c:v>
                </c:pt>
                <c:pt idx="2207">
                  <c:v>702.7779270771033</c:v>
                </c:pt>
                <c:pt idx="2208">
                  <c:v>703.09346387153721</c:v>
                </c:pt>
                <c:pt idx="2209">
                  <c:v>703.40899987576154</c:v>
                </c:pt>
                <c:pt idx="2210">
                  <c:v>703.72453509040156</c:v>
                </c:pt>
                <c:pt idx="2211">
                  <c:v>704.0400695160821</c:v>
                </c:pt>
                <c:pt idx="2212">
                  <c:v>704.35560315342718</c:v>
                </c:pt>
                <c:pt idx="2213">
                  <c:v>704.6711360030597</c:v>
                </c:pt>
                <c:pt idx="2214">
                  <c:v>704.98666806560186</c:v>
                </c:pt>
                <c:pt idx="2215">
                  <c:v>705.30219934167519</c:v>
                </c:pt>
                <c:pt idx="2216">
                  <c:v>705.61772983190019</c:v>
                </c:pt>
                <c:pt idx="2217">
                  <c:v>705.9332595368968</c:v>
                </c:pt>
                <c:pt idx="2218">
                  <c:v>706.24878845728324</c:v>
                </c:pt>
                <c:pt idx="2219">
                  <c:v>706.56431659367854</c:v>
                </c:pt>
                <c:pt idx="2220">
                  <c:v>706.87984394669934</c:v>
                </c:pt>
                <c:pt idx="2221">
                  <c:v>707.19537051696238</c:v>
                </c:pt>
                <c:pt idx="2222">
                  <c:v>707.51089630508329</c:v>
                </c:pt>
                <c:pt idx="2223">
                  <c:v>707.82642131167643</c:v>
                </c:pt>
                <c:pt idx="2224">
                  <c:v>708.14194553735649</c:v>
                </c:pt>
                <c:pt idx="2225">
                  <c:v>708.45746898273592</c:v>
                </c:pt>
                <c:pt idx="2226">
                  <c:v>708.77299164842782</c:v>
                </c:pt>
                <c:pt idx="2227">
                  <c:v>709.08851353504326</c:v>
                </c:pt>
                <c:pt idx="2228">
                  <c:v>709.40403464319309</c:v>
                </c:pt>
                <c:pt idx="2229">
                  <c:v>709.71955497348733</c:v>
                </c:pt>
                <c:pt idx="2230">
                  <c:v>710.03507452653503</c:v>
                </c:pt>
                <c:pt idx="2231">
                  <c:v>710.35059330294462</c:v>
                </c:pt>
                <c:pt idx="2232">
                  <c:v>710.66611130332353</c:v>
                </c:pt>
                <c:pt idx="2233">
                  <c:v>710.98162852827841</c:v>
                </c:pt>
                <c:pt idx="2234">
                  <c:v>711.2971449784153</c:v>
                </c:pt>
                <c:pt idx="2235">
                  <c:v>711.61266065433938</c:v>
                </c:pt>
                <c:pt idx="2236">
                  <c:v>711.92817555665488</c:v>
                </c:pt>
                <c:pt idx="2237">
                  <c:v>712.24368968596525</c:v>
                </c:pt>
                <c:pt idx="2238">
                  <c:v>712.55920304287326</c:v>
                </c:pt>
                <c:pt idx="2239">
                  <c:v>712.874715627981</c:v>
                </c:pt>
                <c:pt idx="2240">
                  <c:v>713.19022744188942</c:v>
                </c:pt>
                <c:pt idx="2241">
                  <c:v>713.505738485199</c:v>
                </c:pt>
                <c:pt idx="2242">
                  <c:v>713.82124875850946</c:v>
                </c:pt>
                <c:pt idx="2243">
                  <c:v>714.13675826241888</c:v>
                </c:pt>
                <c:pt idx="2244">
                  <c:v>714.45226699752618</c:v>
                </c:pt>
                <c:pt idx="2245">
                  <c:v>714.76777496442799</c:v>
                </c:pt>
                <c:pt idx="2246">
                  <c:v>715.08328216372092</c:v>
                </c:pt>
                <c:pt idx="2247">
                  <c:v>715.39878859600071</c:v>
                </c:pt>
                <c:pt idx="2248">
                  <c:v>715.71429426186194</c:v>
                </c:pt>
                <c:pt idx="2249">
                  <c:v>716.02979916189895</c:v>
                </c:pt>
                <c:pt idx="2250">
                  <c:v>716.34530329670463</c:v>
                </c:pt>
                <c:pt idx="2251">
                  <c:v>716.66080666687219</c:v>
                </c:pt>
                <c:pt idx="2252">
                  <c:v>716.97630927299292</c:v>
                </c:pt>
                <c:pt idx="2253">
                  <c:v>717.29181111565788</c:v>
                </c:pt>
                <c:pt idx="2254">
                  <c:v>717.60731219545733</c:v>
                </c:pt>
                <c:pt idx="2255">
                  <c:v>717.92281251298073</c:v>
                </c:pt>
                <c:pt idx="2256">
                  <c:v>718.23831206881664</c:v>
                </c:pt>
                <c:pt idx="2257">
                  <c:v>718.55381086355317</c:v>
                </c:pt>
                <c:pt idx="2258">
                  <c:v>718.86930889777716</c:v>
                </c:pt>
                <c:pt idx="2259">
                  <c:v>719.18480617207524</c:v>
                </c:pt>
                <c:pt idx="2260">
                  <c:v>719.50030268703301</c:v>
                </c:pt>
                <c:pt idx="2261">
                  <c:v>719.81579844323517</c:v>
                </c:pt>
                <c:pt idx="2262">
                  <c:v>720.13129344126594</c:v>
                </c:pt>
                <c:pt idx="2263">
                  <c:v>720.44678768170866</c:v>
                </c:pt>
                <c:pt idx="2264">
                  <c:v>720.76228116514574</c:v>
                </c:pt>
                <c:pt idx="2265">
                  <c:v>721.07777389215914</c:v>
                </c:pt>
                <c:pt idx="2266">
                  <c:v>721.39326586332993</c:v>
                </c:pt>
                <c:pt idx="2267">
                  <c:v>721.70875707923847</c:v>
                </c:pt>
                <c:pt idx="2268">
                  <c:v>722.02424754046399</c:v>
                </c:pt>
                <c:pt idx="2269">
                  <c:v>722.33973724758573</c:v>
                </c:pt>
                <c:pt idx="2270">
                  <c:v>722.65522620118145</c:v>
                </c:pt>
                <c:pt idx="2271">
                  <c:v>722.97071440182879</c:v>
                </c:pt>
                <c:pt idx="2272">
                  <c:v>723.28620185010413</c:v>
                </c:pt>
                <c:pt idx="2273">
                  <c:v>723.60168854658298</c:v>
                </c:pt>
                <c:pt idx="2274">
                  <c:v>723.91717449184091</c:v>
                </c:pt>
                <c:pt idx="2275">
                  <c:v>724.23265968645171</c:v>
                </c:pt>
                <c:pt idx="2276">
                  <c:v>724.54814413098961</c:v>
                </c:pt>
                <c:pt idx="2277">
                  <c:v>724.86362782602714</c:v>
                </c:pt>
                <c:pt idx="2278">
                  <c:v>725.17911077213637</c:v>
                </c:pt>
                <c:pt idx="2279">
                  <c:v>725.4945929698888</c:v>
                </c:pt>
                <c:pt idx="2280">
                  <c:v>725.81007441985491</c:v>
                </c:pt>
                <c:pt idx="2281">
                  <c:v>726.12555512260485</c:v>
                </c:pt>
                <c:pt idx="2282">
                  <c:v>726.4410350787075</c:v>
                </c:pt>
                <c:pt idx="2283">
                  <c:v>726.75651428873164</c:v>
                </c:pt>
                <c:pt idx="2284">
                  <c:v>727.07199275324467</c:v>
                </c:pt>
                <c:pt idx="2285">
                  <c:v>727.38747047281379</c:v>
                </c:pt>
                <c:pt idx="2286">
                  <c:v>727.70294744800515</c:v>
                </c:pt>
                <c:pt idx="2287">
                  <c:v>728.01842367938434</c:v>
                </c:pt>
                <c:pt idx="2288">
                  <c:v>728.33389916751617</c:v>
                </c:pt>
                <c:pt idx="2289">
                  <c:v>728.64937391296462</c:v>
                </c:pt>
                <c:pt idx="2290">
                  <c:v>728.96484791629314</c:v>
                </c:pt>
                <c:pt idx="2291">
                  <c:v>729.28032117806436</c:v>
                </c:pt>
                <c:pt idx="2292">
                  <c:v>729.59579369884034</c:v>
                </c:pt>
                <c:pt idx="2293">
                  <c:v>729.91126547918179</c:v>
                </c:pt>
                <c:pt idx="2294">
                  <c:v>730.22673651964976</c:v>
                </c:pt>
                <c:pt idx="2295">
                  <c:v>730.5422068208037</c:v>
                </c:pt>
                <c:pt idx="2296">
                  <c:v>730.85767638320294</c:v>
                </c:pt>
                <c:pt idx="2297">
                  <c:v>731.1731452074057</c:v>
                </c:pt>
                <c:pt idx="2298">
                  <c:v>731.48861329396925</c:v>
                </c:pt>
                <c:pt idx="2299">
                  <c:v>731.80408064345113</c:v>
                </c:pt>
                <c:pt idx="2300">
                  <c:v>732.1195472564068</c:v>
                </c:pt>
                <c:pt idx="2301">
                  <c:v>732.43501313339266</c:v>
                </c:pt>
                <c:pt idx="2302">
                  <c:v>732.7504782749628</c:v>
                </c:pt>
                <c:pt idx="2303">
                  <c:v>733.06594268167157</c:v>
                </c:pt>
                <c:pt idx="2304">
                  <c:v>733.3814063540724</c:v>
                </c:pt>
                <c:pt idx="2305">
                  <c:v>733.69686929271791</c:v>
                </c:pt>
                <c:pt idx="2306">
                  <c:v>734.01233149815994</c:v>
                </c:pt>
                <c:pt idx="2307">
                  <c:v>734.32779297094999</c:v>
                </c:pt>
                <c:pt idx="2308">
                  <c:v>734.64325371163864</c:v>
                </c:pt>
                <c:pt idx="2309">
                  <c:v>734.95871372077556</c:v>
                </c:pt>
                <c:pt idx="2310">
                  <c:v>735.2741729989101</c:v>
                </c:pt>
                <c:pt idx="2311">
                  <c:v>735.58963154659068</c:v>
                </c:pt>
                <c:pt idx="2312">
                  <c:v>735.90508936436527</c:v>
                </c:pt>
                <c:pt idx="2313">
                  <c:v>736.2205464527807</c:v>
                </c:pt>
                <c:pt idx="2314">
                  <c:v>736.53600281238357</c:v>
                </c:pt>
                <c:pt idx="2315">
                  <c:v>736.85145844371948</c:v>
                </c:pt>
                <c:pt idx="2316">
                  <c:v>737.16691334733366</c:v>
                </c:pt>
                <c:pt idx="2317">
                  <c:v>737.48236752377034</c:v>
                </c:pt>
                <c:pt idx="2318">
                  <c:v>737.79782097357281</c:v>
                </c:pt>
                <c:pt idx="2319">
                  <c:v>738.11327369728474</c:v>
                </c:pt>
                <c:pt idx="2320">
                  <c:v>738.42872569544784</c:v>
                </c:pt>
                <c:pt idx="2321">
                  <c:v>738.74417696860428</c:v>
                </c:pt>
                <c:pt idx="2322">
                  <c:v>739.05962751729453</c:v>
                </c:pt>
                <c:pt idx="2323">
                  <c:v>739.37507734205872</c:v>
                </c:pt>
                <c:pt idx="2324">
                  <c:v>739.69052644343697</c:v>
                </c:pt>
                <c:pt idx="2325">
                  <c:v>740.00597482196747</c:v>
                </c:pt>
                <c:pt idx="2326">
                  <c:v>740.32142247818911</c:v>
                </c:pt>
                <c:pt idx="2327">
                  <c:v>740.63686941263893</c:v>
                </c:pt>
                <c:pt idx="2328">
                  <c:v>740.952315625854</c:v>
                </c:pt>
                <c:pt idx="2329">
                  <c:v>741.26776111837046</c:v>
                </c:pt>
                <c:pt idx="2330">
                  <c:v>741.58320589072389</c:v>
                </c:pt>
                <c:pt idx="2331">
                  <c:v>741.89864994344907</c:v>
                </c:pt>
                <c:pt idx="2332">
                  <c:v>742.21409327708011</c:v>
                </c:pt>
                <c:pt idx="2333">
                  <c:v>742.52953589215053</c:v>
                </c:pt>
                <c:pt idx="2334">
                  <c:v>742.84497778919331</c:v>
                </c:pt>
                <c:pt idx="2335">
                  <c:v>743.16041896874037</c:v>
                </c:pt>
                <c:pt idx="2336">
                  <c:v>743.47585943132344</c:v>
                </c:pt>
                <c:pt idx="2337">
                  <c:v>743.79129917747332</c:v>
                </c:pt>
                <c:pt idx="2338">
                  <c:v>744.10673820772013</c:v>
                </c:pt>
                <c:pt idx="2339">
                  <c:v>744.4221765225933</c:v>
                </c:pt>
                <c:pt idx="2340">
                  <c:v>744.73761412262184</c:v>
                </c:pt>
                <c:pt idx="2341">
                  <c:v>745.05305100833391</c:v>
                </c:pt>
                <c:pt idx="2342">
                  <c:v>745.36848718025703</c:v>
                </c:pt>
                <c:pt idx="2343">
                  <c:v>745.68392263891781</c:v>
                </c:pt>
                <c:pt idx="2344">
                  <c:v>745.99935738484305</c:v>
                </c:pt>
                <c:pt idx="2345">
                  <c:v>746.31479141855789</c:v>
                </c:pt>
                <c:pt idx="2346">
                  <c:v>746.63022474058744</c:v>
                </c:pt>
                <c:pt idx="2347">
                  <c:v>746.94565735145591</c:v>
                </c:pt>
                <c:pt idx="2348">
                  <c:v>747.26108925168671</c:v>
                </c:pt>
                <c:pt idx="2349">
                  <c:v>747.57652044180315</c:v>
                </c:pt>
                <c:pt idx="2350">
                  <c:v>747.89195092232706</c:v>
                </c:pt>
                <c:pt idx="2351">
                  <c:v>748.20738069378069</c:v>
                </c:pt>
                <c:pt idx="2352">
                  <c:v>748.52280975668475</c:v>
                </c:pt>
                <c:pt idx="2353">
                  <c:v>748.83823811155958</c:v>
                </c:pt>
                <c:pt idx="2354">
                  <c:v>749.15366575892506</c:v>
                </c:pt>
                <c:pt idx="2355">
                  <c:v>749.46909269930018</c:v>
                </c:pt>
                <c:pt idx="2356">
                  <c:v>749.78451893320334</c:v>
                </c:pt>
                <c:pt idx="2357">
                  <c:v>750.09994446115252</c:v>
                </c:pt>
                <c:pt idx="2358">
                  <c:v>750.41536928366463</c:v>
                </c:pt>
                <c:pt idx="2359">
                  <c:v>750.73079340125639</c:v>
                </c:pt>
                <c:pt idx="2360">
                  <c:v>751.0462168144436</c:v>
                </c:pt>
                <c:pt idx="2361">
                  <c:v>751.36163952374159</c:v>
                </c:pt>
                <c:pt idx="2362">
                  <c:v>751.67706152966491</c:v>
                </c:pt>
                <c:pt idx="2363">
                  <c:v>751.99248283272755</c:v>
                </c:pt>
                <c:pt idx="2364">
                  <c:v>752.30790343344279</c:v>
                </c:pt>
                <c:pt idx="2365">
                  <c:v>752.62332333232348</c:v>
                </c:pt>
                <c:pt idx="2366">
                  <c:v>752.93874252988167</c:v>
                </c:pt>
                <c:pt idx="2367">
                  <c:v>753.25416102662882</c:v>
                </c:pt>
                <c:pt idx="2368">
                  <c:v>753.56957882307552</c:v>
                </c:pt>
                <c:pt idx="2369">
                  <c:v>753.88499591973243</c:v>
                </c:pt>
                <c:pt idx="2370">
                  <c:v>754.20041231710854</c:v>
                </c:pt>
                <c:pt idx="2371">
                  <c:v>754.51582801571351</c:v>
                </c:pt>
                <c:pt idx="2372">
                  <c:v>754.83124301605517</c:v>
                </c:pt>
                <c:pt idx="2373">
                  <c:v>755.14665731864113</c:v>
                </c:pt>
                <c:pt idx="2374">
                  <c:v>755.4620709239789</c:v>
                </c:pt>
                <c:pt idx="2375">
                  <c:v>755.77748383257426</c:v>
                </c:pt>
                <c:pt idx="2376">
                  <c:v>756.09289604493392</c:v>
                </c:pt>
                <c:pt idx="2377">
                  <c:v>756.40830756156242</c:v>
                </c:pt>
                <c:pt idx="2378">
                  <c:v>756.72371838296465</c:v>
                </c:pt>
                <c:pt idx="2379">
                  <c:v>757.03912850964457</c:v>
                </c:pt>
                <c:pt idx="2380">
                  <c:v>757.35453794210548</c:v>
                </c:pt>
                <c:pt idx="2381">
                  <c:v>757.66994668085022</c:v>
                </c:pt>
                <c:pt idx="2382">
                  <c:v>757.98535472638071</c:v>
                </c:pt>
                <c:pt idx="2383">
                  <c:v>758.30076207919876</c:v>
                </c:pt>
                <c:pt idx="2384">
                  <c:v>758.61616873980506</c:v>
                </c:pt>
                <c:pt idx="2385">
                  <c:v>758.93157470870005</c:v>
                </c:pt>
                <c:pt idx="2386">
                  <c:v>759.24697998638339</c:v>
                </c:pt>
                <c:pt idx="2387">
                  <c:v>759.56238457335417</c:v>
                </c:pt>
                <c:pt idx="2388">
                  <c:v>759.87778847011089</c:v>
                </c:pt>
                <c:pt idx="2389">
                  <c:v>760.19319167715128</c:v>
                </c:pt>
                <c:pt idx="2390">
                  <c:v>760.50859419497272</c:v>
                </c:pt>
                <c:pt idx="2391">
                  <c:v>760.8239960240719</c:v>
                </c:pt>
                <c:pt idx="2392">
                  <c:v>761.13939716494485</c:v>
                </c:pt>
                <c:pt idx="2393">
                  <c:v>761.45479761808679</c:v>
                </c:pt>
                <c:pt idx="2394">
                  <c:v>761.77019738399304</c:v>
                </c:pt>
                <c:pt idx="2395">
                  <c:v>762.08559646315746</c:v>
                </c:pt>
                <c:pt idx="2396">
                  <c:v>762.40099485607402</c:v>
                </c:pt>
                <c:pt idx="2397">
                  <c:v>762.71639256323556</c:v>
                </c:pt>
                <c:pt idx="2398">
                  <c:v>763.03178958513445</c:v>
                </c:pt>
                <c:pt idx="2399">
                  <c:v>763.34718592226295</c:v>
                </c:pt>
                <c:pt idx="2400">
                  <c:v>763.66258157511174</c:v>
                </c:pt>
                <c:pt idx="2401">
                  <c:v>763.97797654417207</c:v>
                </c:pt>
                <c:pt idx="2402">
                  <c:v>764.29337082993379</c:v>
                </c:pt>
                <c:pt idx="2403">
                  <c:v>764.60876443288635</c:v>
                </c:pt>
                <c:pt idx="2404">
                  <c:v>764.92415735351869</c:v>
                </c:pt>
                <c:pt idx="2405">
                  <c:v>765.23954959231901</c:v>
                </c:pt>
                <c:pt idx="2406">
                  <c:v>765.55494114977523</c:v>
                </c:pt>
                <c:pt idx="2407">
                  <c:v>765.8703320263744</c:v>
                </c:pt>
                <c:pt idx="2408">
                  <c:v>766.18572222260309</c:v>
                </c:pt>
                <c:pt idx="2409">
                  <c:v>766.5011117389472</c:v>
                </c:pt>
                <c:pt idx="2410">
                  <c:v>766.81650057589206</c:v>
                </c:pt>
                <c:pt idx="2411">
                  <c:v>767.13188873392266</c:v>
                </c:pt>
                <c:pt idx="2412">
                  <c:v>767.44727621352297</c:v>
                </c:pt>
                <c:pt idx="2413">
                  <c:v>767.76266301517683</c:v>
                </c:pt>
                <c:pt idx="2414">
                  <c:v>768.07804913936718</c:v>
                </c:pt>
                <c:pt idx="2415">
                  <c:v>768.3934345865764</c:v>
                </c:pt>
                <c:pt idx="2416">
                  <c:v>768.70881935728653</c:v>
                </c:pt>
                <c:pt idx="2417">
                  <c:v>769.02420345197891</c:v>
                </c:pt>
                <c:pt idx="2418">
                  <c:v>769.33958687113386</c:v>
                </c:pt>
                <c:pt idx="2419">
                  <c:v>769.65496961523229</c:v>
                </c:pt>
                <c:pt idx="2420">
                  <c:v>769.97035168475304</c:v>
                </c:pt>
                <c:pt idx="2421">
                  <c:v>770.28573308017565</c:v>
                </c:pt>
                <c:pt idx="2422">
                  <c:v>770.60111380197827</c:v>
                </c:pt>
                <c:pt idx="2423">
                  <c:v>770.91649385063874</c:v>
                </c:pt>
                <c:pt idx="2424">
                  <c:v>771.23187322663455</c:v>
                </c:pt>
                <c:pt idx="2425">
                  <c:v>771.54725193044203</c:v>
                </c:pt>
                <c:pt idx="2426">
                  <c:v>771.86262996253788</c:v>
                </c:pt>
                <c:pt idx="2427">
                  <c:v>772.17800732339731</c:v>
                </c:pt>
                <c:pt idx="2428">
                  <c:v>772.49338401349553</c:v>
                </c:pt>
                <c:pt idx="2429">
                  <c:v>772.80876003330684</c:v>
                </c:pt>
                <c:pt idx="2430">
                  <c:v>773.12413538330509</c:v>
                </c:pt>
                <c:pt idx="2431">
                  <c:v>773.43951006396378</c:v>
                </c:pt>
                <c:pt idx="2432">
                  <c:v>773.75488407575563</c:v>
                </c:pt>
                <c:pt idx="2433">
                  <c:v>774.07025741915265</c:v>
                </c:pt>
                <c:pt idx="2434">
                  <c:v>774.38563009462666</c:v>
                </c:pt>
                <c:pt idx="2435">
                  <c:v>774.70100210264877</c:v>
                </c:pt>
                <c:pt idx="2436">
                  <c:v>775.0163734436893</c:v>
                </c:pt>
                <c:pt idx="2437">
                  <c:v>775.33174411821824</c:v>
                </c:pt>
                <c:pt idx="2438">
                  <c:v>775.64711412670511</c:v>
                </c:pt>
                <c:pt idx="2439">
                  <c:v>775.96248346961875</c:v>
                </c:pt>
                <c:pt idx="2440">
                  <c:v>776.27785214742721</c:v>
                </c:pt>
                <c:pt idx="2441">
                  <c:v>776.59322016059855</c:v>
                </c:pt>
                <c:pt idx="2442">
                  <c:v>776.90858750959978</c:v>
                </c:pt>
                <c:pt idx="2443">
                  <c:v>777.22395419489726</c:v>
                </c:pt>
                <c:pt idx="2444">
                  <c:v>777.53932021695755</c:v>
                </c:pt>
                <c:pt idx="2445">
                  <c:v>777.85468557624574</c:v>
                </c:pt>
                <c:pt idx="2446">
                  <c:v>778.17005027322728</c:v>
                </c:pt>
                <c:pt idx="2447">
                  <c:v>778.48541430836622</c:v>
                </c:pt>
                <c:pt idx="2448">
                  <c:v>778.8007776821263</c:v>
                </c:pt>
                <c:pt idx="2449">
                  <c:v>779.11614039497124</c:v>
                </c:pt>
                <c:pt idx="2450">
                  <c:v>779.4315024473633</c:v>
                </c:pt>
                <c:pt idx="2451">
                  <c:v>779.74686383976541</c:v>
                </c:pt>
                <c:pt idx="2452">
                  <c:v>780.06222457263868</c:v>
                </c:pt>
                <c:pt idx="2453">
                  <c:v>780.37758464644457</c:v>
                </c:pt>
                <c:pt idx="2454">
                  <c:v>780.6929440616434</c:v>
                </c:pt>
                <c:pt idx="2455">
                  <c:v>781.00830281869537</c:v>
                </c:pt>
                <c:pt idx="2456">
                  <c:v>781.32366091806011</c:v>
                </c:pt>
                <c:pt idx="2457">
                  <c:v>781.63901836019636</c:v>
                </c:pt>
                <c:pt idx="2458">
                  <c:v>781.95437514556261</c:v>
                </c:pt>
                <c:pt idx="2459">
                  <c:v>782.2697312746169</c:v>
                </c:pt>
                <c:pt idx="2460">
                  <c:v>782.58508674781649</c:v>
                </c:pt>
                <c:pt idx="2461">
                  <c:v>782.90044156561828</c:v>
                </c:pt>
                <c:pt idx="2462">
                  <c:v>783.21579572847838</c:v>
                </c:pt>
                <c:pt idx="2463">
                  <c:v>783.53114923685268</c:v>
                </c:pt>
                <c:pt idx="2464">
                  <c:v>783.84650209119627</c:v>
                </c:pt>
                <c:pt idx="2465">
                  <c:v>784.161854291964</c:v>
                </c:pt>
                <c:pt idx="2466">
                  <c:v>784.47720583960984</c:v>
                </c:pt>
                <c:pt idx="2467">
                  <c:v>784.79255673458772</c:v>
                </c:pt>
                <c:pt idx="2468">
                  <c:v>785.10790697735013</c:v>
                </c:pt>
                <c:pt idx="2469">
                  <c:v>785.42325656835033</c:v>
                </c:pt>
                <c:pt idx="2470">
                  <c:v>785.73860550803977</c:v>
                </c:pt>
                <c:pt idx="2471">
                  <c:v>786.05395379687047</c:v>
                </c:pt>
                <c:pt idx="2472">
                  <c:v>786.36930143529321</c:v>
                </c:pt>
                <c:pt idx="2473">
                  <c:v>786.68464842375806</c:v>
                </c:pt>
                <c:pt idx="2474">
                  <c:v>786.99999476271546</c:v>
                </c:pt>
                <c:pt idx="2475">
                  <c:v>787.31534045261424</c:v>
                </c:pt>
                <c:pt idx="2476">
                  <c:v>787.63068549390402</c:v>
                </c:pt>
                <c:pt idx="2477">
                  <c:v>787.94602988703252</c:v>
                </c:pt>
                <c:pt idx="2478">
                  <c:v>788.261373632448</c:v>
                </c:pt>
                <c:pt idx="2479">
                  <c:v>788.57671673059747</c:v>
                </c:pt>
                <c:pt idx="2480">
                  <c:v>788.89205918192783</c:v>
                </c:pt>
                <c:pt idx="2481">
                  <c:v>789.20740098688532</c:v>
                </c:pt>
                <c:pt idx="2482">
                  <c:v>789.52274214591569</c:v>
                </c:pt>
                <c:pt idx="2483">
                  <c:v>789.83808265946425</c:v>
                </c:pt>
                <c:pt idx="2484">
                  <c:v>790.15342252797564</c:v>
                </c:pt>
                <c:pt idx="2485">
                  <c:v>790.46876175189402</c:v>
                </c:pt>
                <c:pt idx="2486">
                  <c:v>790.78410033166324</c:v>
                </c:pt>
                <c:pt idx="2487">
                  <c:v>791.09943826772633</c:v>
                </c:pt>
                <c:pt idx="2488">
                  <c:v>791.41477556052598</c:v>
                </c:pt>
                <c:pt idx="2489">
                  <c:v>791.73011221050433</c:v>
                </c:pt>
                <c:pt idx="2490">
                  <c:v>792.04544821810293</c:v>
                </c:pt>
                <c:pt idx="2491">
                  <c:v>792.36078358376312</c:v>
                </c:pt>
                <c:pt idx="2492">
                  <c:v>792.67611830792544</c:v>
                </c:pt>
                <c:pt idx="2493">
                  <c:v>792.99145239102961</c:v>
                </c:pt>
                <c:pt idx="2494">
                  <c:v>793.30678583351585</c:v>
                </c:pt>
                <c:pt idx="2495">
                  <c:v>793.62211863582274</c:v>
                </c:pt>
                <c:pt idx="2496">
                  <c:v>793.93745079838925</c:v>
                </c:pt>
                <c:pt idx="2497">
                  <c:v>794.25278232165329</c:v>
                </c:pt>
                <c:pt idx="2498">
                  <c:v>794.5681132060522</c:v>
                </c:pt>
                <c:pt idx="2499">
                  <c:v>794.88344345202347</c:v>
                </c:pt>
                <c:pt idx="2500">
                  <c:v>795.19877306000308</c:v>
                </c:pt>
                <c:pt idx="2501">
                  <c:v>795.51410203042781</c:v>
                </c:pt>
                <c:pt idx="2502">
                  <c:v>795.82943036373274</c:v>
                </c:pt>
                <c:pt idx="2503">
                  <c:v>796.14475806035296</c:v>
                </c:pt>
                <c:pt idx="2504">
                  <c:v>796.46008512072319</c:v>
                </c:pt>
                <c:pt idx="2505">
                  <c:v>796.77541154527739</c:v>
                </c:pt>
                <c:pt idx="2506">
                  <c:v>797.09073733444916</c:v>
                </c:pt>
                <c:pt idx="2507">
                  <c:v>797.40606248867152</c:v>
                </c:pt>
                <c:pt idx="2508">
                  <c:v>797.72138700837706</c:v>
                </c:pt>
                <c:pt idx="2509">
                  <c:v>798.03671089399779</c:v>
                </c:pt>
                <c:pt idx="2510">
                  <c:v>798.35203414596526</c:v>
                </c:pt>
                <c:pt idx="2511">
                  <c:v>798.66735676471069</c:v>
                </c:pt>
                <c:pt idx="2512">
                  <c:v>798.9826787506646</c:v>
                </c:pt>
                <c:pt idx="2513">
                  <c:v>799.29800010425708</c:v>
                </c:pt>
                <c:pt idx="2514">
                  <c:v>799.61332082591764</c:v>
                </c:pt>
                <c:pt idx="2515">
                  <c:v>799.92864091607544</c:v>
                </c:pt>
                <c:pt idx="2516">
                  <c:v>800.24396037515919</c:v>
                </c:pt>
                <c:pt idx="2517">
                  <c:v>800.55927920359704</c:v>
                </c:pt>
                <c:pt idx="2518">
                  <c:v>800.87459740181612</c:v>
                </c:pt>
                <c:pt idx="2519">
                  <c:v>801.18991497024444</c:v>
                </c:pt>
                <c:pt idx="2520">
                  <c:v>801.50523190930789</c:v>
                </c:pt>
                <c:pt idx="2521">
                  <c:v>801.82054821943325</c:v>
                </c:pt>
                <c:pt idx="2522">
                  <c:v>802.13586390104592</c:v>
                </c:pt>
                <c:pt idx="2523">
                  <c:v>802.45117895457088</c:v>
                </c:pt>
                <c:pt idx="2524">
                  <c:v>802.7664933804333</c:v>
                </c:pt>
                <c:pt idx="2525">
                  <c:v>803.08180717905691</c:v>
                </c:pt>
                <c:pt idx="2526">
                  <c:v>803.39712035086598</c:v>
                </c:pt>
                <c:pt idx="2527">
                  <c:v>803.71243289628353</c:v>
                </c:pt>
                <c:pt idx="2528">
                  <c:v>804.02774481573238</c:v>
                </c:pt>
                <c:pt idx="2529">
                  <c:v>804.34305610963474</c:v>
                </c:pt>
                <c:pt idx="2530">
                  <c:v>804.65836677841264</c:v>
                </c:pt>
                <c:pt idx="2531">
                  <c:v>804.97367682248739</c:v>
                </c:pt>
                <c:pt idx="2532">
                  <c:v>805.28898624227975</c:v>
                </c:pt>
                <c:pt idx="2533">
                  <c:v>805.60429503821013</c:v>
                </c:pt>
                <c:pt idx="2534">
                  <c:v>805.91960321069848</c:v>
                </c:pt>
                <c:pt idx="2535">
                  <c:v>806.23491076016433</c:v>
                </c:pt>
                <c:pt idx="2536">
                  <c:v>806.55021768702659</c:v>
                </c:pt>
                <c:pt idx="2537">
                  <c:v>806.86552399170364</c:v>
                </c:pt>
                <c:pt idx="2538">
                  <c:v>807.18082967461373</c:v>
                </c:pt>
                <c:pt idx="2539">
                  <c:v>807.49613473617421</c:v>
                </c:pt>
                <c:pt idx="2540">
                  <c:v>807.81143917680231</c:v>
                </c:pt>
                <c:pt idx="2541">
                  <c:v>808.12674299691457</c:v>
                </c:pt>
                <c:pt idx="2542">
                  <c:v>808.44204619692721</c:v>
                </c:pt>
                <c:pt idx="2543">
                  <c:v>808.7573487772554</c:v>
                </c:pt>
                <c:pt idx="2544">
                  <c:v>809.07265073831513</c:v>
                </c:pt>
                <c:pt idx="2545">
                  <c:v>809.38795208052056</c:v>
                </c:pt>
                <c:pt idx="2546">
                  <c:v>809.70325280428642</c:v>
                </c:pt>
                <c:pt idx="2547">
                  <c:v>810.01855291002607</c:v>
                </c:pt>
                <c:pt idx="2548">
                  <c:v>810.33385239815289</c:v>
                </c:pt>
                <c:pt idx="2549">
                  <c:v>810.64915126907999</c:v>
                </c:pt>
                <c:pt idx="2550">
                  <c:v>810.96444952321929</c:v>
                </c:pt>
                <c:pt idx="2551">
                  <c:v>811.27974716098345</c:v>
                </c:pt>
                <c:pt idx="2552">
                  <c:v>811.59504418278334</c:v>
                </c:pt>
                <c:pt idx="2553">
                  <c:v>811.91034058903028</c:v>
                </c:pt>
                <c:pt idx="2554">
                  <c:v>812.22563638013469</c:v>
                </c:pt>
                <c:pt idx="2555">
                  <c:v>812.54093155650673</c:v>
                </c:pt>
                <c:pt idx="2556">
                  <c:v>812.85622611855592</c:v>
                </c:pt>
                <c:pt idx="2557">
                  <c:v>813.17152006669153</c:v>
                </c:pt>
                <c:pt idx="2558">
                  <c:v>813.48681340132225</c:v>
                </c:pt>
                <c:pt idx="2559">
                  <c:v>813.80210612285634</c:v>
                </c:pt>
                <c:pt idx="2560">
                  <c:v>814.1173982317016</c:v>
                </c:pt>
                <c:pt idx="2561">
                  <c:v>814.43268972826525</c:v>
                </c:pt>
                <c:pt idx="2562">
                  <c:v>814.74798061295428</c:v>
                </c:pt>
                <c:pt idx="2563">
                  <c:v>815.06327088617513</c:v>
                </c:pt>
                <c:pt idx="2564">
                  <c:v>815.37856054833378</c:v>
                </c:pt>
                <c:pt idx="2565">
                  <c:v>815.69384959983574</c:v>
                </c:pt>
                <c:pt idx="2566">
                  <c:v>816.00913804108598</c:v>
                </c:pt>
                <c:pt idx="2567">
                  <c:v>816.32442587248931</c:v>
                </c:pt>
                <c:pt idx="2568">
                  <c:v>816.63971309444946</c:v>
                </c:pt>
                <c:pt idx="2569">
                  <c:v>816.9549997073708</c:v>
                </c:pt>
                <c:pt idx="2570">
                  <c:v>817.2702857116559</c:v>
                </c:pt>
                <c:pt idx="2571">
                  <c:v>817.58557110770835</c:v>
                </c:pt>
                <c:pt idx="2572">
                  <c:v>817.90085589592991</c:v>
                </c:pt>
                <c:pt idx="2573">
                  <c:v>818.21614007672258</c:v>
                </c:pt>
                <c:pt idx="2574">
                  <c:v>818.53142365048802</c:v>
                </c:pt>
                <c:pt idx="2575">
                  <c:v>818.84670661762698</c:v>
                </c:pt>
                <c:pt idx="2576">
                  <c:v>819.16198897854042</c:v>
                </c:pt>
                <c:pt idx="2577">
                  <c:v>819.47727073362819</c:v>
                </c:pt>
                <c:pt idx="2578">
                  <c:v>819.79255188329012</c:v>
                </c:pt>
                <c:pt idx="2579">
                  <c:v>820.10783242792525</c:v>
                </c:pt>
                <c:pt idx="2580">
                  <c:v>820.42311236793262</c:v>
                </c:pt>
                <c:pt idx="2581">
                  <c:v>820.73839170371048</c:v>
                </c:pt>
                <c:pt idx="2582">
                  <c:v>821.05367043565673</c:v>
                </c:pt>
                <c:pt idx="2583">
                  <c:v>821.36894856416893</c:v>
                </c:pt>
                <c:pt idx="2584">
                  <c:v>821.68422608964408</c:v>
                </c:pt>
                <c:pt idx="2585">
                  <c:v>821.99950301247861</c:v>
                </c:pt>
                <c:pt idx="2586">
                  <c:v>822.31477933306894</c:v>
                </c:pt>
                <c:pt idx="2587">
                  <c:v>822.6300550518107</c:v>
                </c:pt>
                <c:pt idx="2588">
                  <c:v>822.94533016909907</c:v>
                </c:pt>
                <c:pt idx="2589">
                  <c:v>823.26060468532899</c:v>
                </c:pt>
                <c:pt idx="2590">
                  <c:v>823.57587860089495</c:v>
                </c:pt>
                <c:pt idx="2591">
                  <c:v>823.89115191619067</c:v>
                </c:pt>
                <c:pt idx="2592">
                  <c:v>824.20642463161005</c:v>
                </c:pt>
                <c:pt idx="2593">
                  <c:v>824.52169674754566</c:v>
                </c:pt>
                <c:pt idx="2594">
                  <c:v>824.83696826439086</c:v>
                </c:pt>
                <c:pt idx="2595">
                  <c:v>825.15223918253719</c:v>
                </c:pt>
                <c:pt idx="2596">
                  <c:v>825.4675095023772</c:v>
                </c:pt>
                <c:pt idx="2597">
                  <c:v>825.78277922430175</c:v>
                </c:pt>
                <c:pt idx="2598">
                  <c:v>826.0980483487017</c:v>
                </c:pt>
                <c:pt idx="2599">
                  <c:v>826.41331687596789</c:v>
                </c:pt>
                <c:pt idx="2600">
                  <c:v>826.72858480649006</c:v>
                </c:pt>
                <c:pt idx="2601">
                  <c:v>827.04385214065849</c:v>
                </c:pt>
                <c:pt idx="2602">
                  <c:v>827.35911887886175</c:v>
                </c:pt>
                <c:pt idx="2603">
                  <c:v>827.674385021489</c:v>
                </c:pt>
                <c:pt idx="2604">
                  <c:v>827.98965056892848</c:v>
                </c:pt>
                <c:pt idx="2605">
                  <c:v>828.30491552156809</c:v>
                </c:pt>
                <c:pt idx="2606">
                  <c:v>828.6201798797955</c:v>
                </c:pt>
                <c:pt idx="2607">
                  <c:v>828.93544364399781</c:v>
                </c:pt>
                <c:pt idx="2608">
                  <c:v>829.25070681456157</c:v>
                </c:pt>
                <c:pt idx="2609">
                  <c:v>829.56596939187307</c:v>
                </c:pt>
                <c:pt idx="2610">
                  <c:v>829.88123137631817</c:v>
                </c:pt>
                <c:pt idx="2611">
                  <c:v>830.19649276828227</c:v>
                </c:pt>
                <c:pt idx="2612">
                  <c:v>830.51175356815043</c:v>
                </c:pt>
                <c:pt idx="2613">
                  <c:v>830.82701377630701</c:v>
                </c:pt>
                <c:pt idx="2614">
                  <c:v>831.14227339313629</c:v>
                </c:pt>
                <c:pt idx="2615">
                  <c:v>831.45753241902207</c:v>
                </c:pt>
                <c:pt idx="2616">
                  <c:v>831.77279085434748</c:v>
                </c:pt>
                <c:pt idx="2617">
                  <c:v>832.08804869949574</c:v>
                </c:pt>
                <c:pt idx="2618">
                  <c:v>832.40330595484863</c:v>
                </c:pt>
                <c:pt idx="2619">
                  <c:v>832.71856262078893</c:v>
                </c:pt>
                <c:pt idx="2620">
                  <c:v>833.03381869769794</c:v>
                </c:pt>
                <c:pt idx="2621">
                  <c:v>833.34907418595697</c:v>
                </c:pt>
                <c:pt idx="2622">
                  <c:v>833.66432908594697</c:v>
                </c:pt>
                <c:pt idx="2623">
                  <c:v>833.97958339804779</c:v>
                </c:pt>
                <c:pt idx="2624">
                  <c:v>834.29483712264005</c:v>
                </c:pt>
                <c:pt idx="2625">
                  <c:v>834.61009026010265</c:v>
                </c:pt>
                <c:pt idx="2626">
                  <c:v>834.92534281081555</c:v>
                </c:pt>
                <c:pt idx="2627">
                  <c:v>835.24059477515698</c:v>
                </c:pt>
                <c:pt idx="2628">
                  <c:v>835.55584615350529</c:v>
                </c:pt>
                <c:pt idx="2629">
                  <c:v>835.87109694623848</c:v>
                </c:pt>
                <c:pt idx="2630">
                  <c:v>836.186347153734</c:v>
                </c:pt>
                <c:pt idx="2631">
                  <c:v>836.50159677636907</c:v>
                </c:pt>
                <c:pt idx="2632">
                  <c:v>836.81684581452021</c:v>
                </c:pt>
                <c:pt idx="2633">
                  <c:v>837.13209426856383</c:v>
                </c:pt>
                <c:pt idx="2634">
                  <c:v>837.44734213887591</c:v>
                </c:pt>
                <c:pt idx="2635">
                  <c:v>837.76258942583161</c:v>
                </c:pt>
                <c:pt idx="2636">
                  <c:v>838.0778361298062</c:v>
                </c:pt>
                <c:pt idx="2637">
                  <c:v>838.39308225117441</c:v>
                </c:pt>
                <c:pt idx="2638">
                  <c:v>838.70832779031025</c:v>
                </c:pt>
                <c:pt idx="2639">
                  <c:v>839.02357274758776</c:v>
                </c:pt>
                <c:pt idx="2640">
                  <c:v>839.3388171233803</c:v>
                </c:pt>
                <c:pt idx="2641">
                  <c:v>839.65406091806096</c:v>
                </c:pt>
                <c:pt idx="2642">
                  <c:v>839.96930413200255</c:v>
                </c:pt>
                <c:pt idx="2643">
                  <c:v>840.28454676557669</c:v>
                </c:pt>
                <c:pt idx="2644">
                  <c:v>840.59978881915595</c:v>
                </c:pt>
                <c:pt idx="2645">
                  <c:v>840.91503029311116</c:v>
                </c:pt>
                <c:pt idx="2646">
                  <c:v>841.23027118781397</c:v>
                </c:pt>
                <c:pt idx="2647">
                  <c:v>841.54551150363477</c:v>
                </c:pt>
                <c:pt idx="2648">
                  <c:v>841.86075124094339</c:v>
                </c:pt>
                <c:pt idx="2649">
                  <c:v>842.17599040011021</c:v>
                </c:pt>
                <c:pt idx="2650">
                  <c:v>842.49122898150404</c:v>
                </c:pt>
                <c:pt idx="2651">
                  <c:v>842.80646698549481</c:v>
                </c:pt>
                <c:pt idx="2652">
                  <c:v>843.12170441245053</c:v>
                </c:pt>
                <c:pt idx="2653">
                  <c:v>843.43694126273965</c:v>
                </c:pt>
                <c:pt idx="2654">
                  <c:v>843.75217753672996</c:v>
                </c:pt>
                <c:pt idx="2655">
                  <c:v>844.06741323478889</c:v>
                </c:pt>
                <c:pt idx="2656">
                  <c:v>844.38264835728364</c:v>
                </c:pt>
                <c:pt idx="2657">
                  <c:v>844.69788290458075</c:v>
                </c:pt>
                <c:pt idx="2658">
                  <c:v>845.01311687704663</c:v>
                </c:pt>
                <c:pt idx="2659">
                  <c:v>845.32835027504711</c:v>
                </c:pt>
                <c:pt idx="2660">
                  <c:v>845.64358309894772</c:v>
                </c:pt>
                <c:pt idx="2661">
                  <c:v>845.95881534911348</c:v>
                </c:pt>
                <c:pt idx="2662">
                  <c:v>846.27404702590911</c:v>
                </c:pt>
                <c:pt idx="2663">
                  <c:v>846.58927812969898</c:v>
                </c:pt>
                <c:pt idx="2664">
                  <c:v>846.90450866084711</c:v>
                </c:pt>
                <c:pt idx="2665">
                  <c:v>847.21973861971685</c:v>
                </c:pt>
                <c:pt idx="2666">
                  <c:v>847.53496800667153</c:v>
                </c:pt>
                <c:pt idx="2667">
                  <c:v>847.85019682207394</c:v>
                </c:pt>
                <c:pt idx="2668">
                  <c:v>848.16542506628616</c:v>
                </c:pt>
                <c:pt idx="2669">
                  <c:v>848.48065273967063</c:v>
                </c:pt>
                <c:pt idx="2670">
                  <c:v>848.79587984258865</c:v>
                </c:pt>
                <c:pt idx="2671">
                  <c:v>849.11110637540173</c:v>
                </c:pt>
                <c:pt idx="2672">
                  <c:v>849.4263323384705</c:v>
                </c:pt>
                <c:pt idx="2673">
                  <c:v>849.74155773215523</c:v>
                </c:pt>
                <c:pt idx="2674">
                  <c:v>850.05678255681642</c:v>
                </c:pt>
                <c:pt idx="2675">
                  <c:v>850.37200681281331</c:v>
                </c:pt>
                <c:pt idx="2676">
                  <c:v>850.68723050050573</c:v>
                </c:pt>
                <c:pt idx="2677">
                  <c:v>851.00245362025225</c:v>
                </c:pt>
                <c:pt idx="2678">
                  <c:v>851.31767617241155</c:v>
                </c:pt>
                <c:pt idx="2679">
                  <c:v>851.63289815734174</c:v>
                </c:pt>
                <c:pt idx="2680">
                  <c:v>851.94811957540071</c:v>
                </c:pt>
                <c:pt idx="2681">
                  <c:v>852.26334042694566</c:v>
                </c:pt>
                <c:pt idx="2682">
                  <c:v>852.5785607123338</c:v>
                </c:pt>
                <c:pt idx="2683">
                  <c:v>852.89378043192164</c:v>
                </c:pt>
                <c:pt idx="2684">
                  <c:v>853.2089995860656</c:v>
                </c:pt>
                <c:pt idx="2685">
                  <c:v>853.52421817512152</c:v>
                </c:pt>
                <c:pt idx="2686">
                  <c:v>853.839436199445</c:v>
                </c:pt>
                <c:pt idx="2687">
                  <c:v>854.15465365939099</c:v>
                </c:pt>
                <c:pt idx="2688">
                  <c:v>854.4698705553144</c:v>
                </c:pt>
                <c:pt idx="2689">
                  <c:v>854.78508688756949</c:v>
                </c:pt>
                <c:pt idx="2690">
                  <c:v>855.10030265651051</c:v>
                </c:pt>
                <c:pt idx="2691">
                  <c:v>855.4155178624909</c:v>
                </c:pt>
                <c:pt idx="2692">
                  <c:v>855.73073250586413</c:v>
                </c:pt>
                <c:pt idx="2693">
                  <c:v>856.04594658698261</c:v>
                </c:pt>
                <c:pt idx="2694">
                  <c:v>856.36116010619958</c:v>
                </c:pt>
                <c:pt idx="2695">
                  <c:v>856.67637306386666</c:v>
                </c:pt>
                <c:pt idx="2696">
                  <c:v>856.99158546033595</c:v>
                </c:pt>
                <c:pt idx="2697">
                  <c:v>857.30679729595886</c:v>
                </c:pt>
                <c:pt idx="2698">
                  <c:v>857.62200857108598</c:v>
                </c:pt>
                <c:pt idx="2699">
                  <c:v>857.93721928606851</c:v>
                </c:pt>
                <c:pt idx="2700">
                  <c:v>858.25242944125637</c:v>
                </c:pt>
                <c:pt idx="2701">
                  <c:v>858.56763903699982</c:v>
                </c:pt>
                <c:pt idx="2702">
                  <c:v>858.88284807364835</c:v>
                </c:pt>
                <c:pt idx="2703">
                  <c:v>859.19805655155096</c:v>
                </c:pt>
                <c:pt idx="2704">
                  <c:v>859.51326447105669</c:v>
                </c:pt>
                <c:pt idx="2705">
                  <c:v>859.82847183251397</c:v>
                </c:pt>
                <c:pt idx="2706">
                  <c:v>860.14367863627081</c:v>
                </c:pt>
                <c:pt idx="2707">
                  <c:v>860.45888488267508</c:v>
                </c:pt>
                <c:pt idx="2708">
                  <c:v>860.7740905720741</c:v>
                </c:pt>
                <c:pt idx="2709">
                  <c:v>861.08929570481484</c:v>
                </c:pt>
                <c:pt idx="2710">
                  <c:v>861.40450028124394</c:v>
                </c:pt>
                <c:pt idx="2711">
                  <c:v>861.71970430170779</c:v>
                </c:pt>
                <c:pt idx="2712">
                  <c:v>862.03490776655224</c:v>
                </c:pt>
                <c:pt idx="2713">
                  <c:v>862.35011067612288</c:v>
                </c:pt>
                <c:pt idx="2714">
                  <c:v>862.66531303076476</c:v>
                </c:pt>
                <c:pt idx="2715">
                  <c:v>862.98051483082293</c:v>
                </c:pt>
                <c:pt idx="2716">
                  <c:v>863.29571607664184</c:v>
                </c:pt>
                <c:pt idx="2717">
                  <c:v>863.61091676856563</c:v>
                </c:pt>
                <c:pt idx="2718">
                  <c:v>863.92611690693752</c:v>
                </c:pt>
                <c:pt idx="2719">
                  <c:v>864.24131649210187</c:v>
                </c:pt>
                <c:pt idx="2720">
                  <c:v>864.55651552440088</c:v>
                </c:pt>
                <c:pt idx="2721">
                  <c:v>864.87171400417787</c:v>
                </c:pt>
                <c:pt idx="2722">
                  <c:v>865.18691193177483</c:v>
                </c:pt>
                <c:pt idx="2723">
                  <c:v>865.5021093075336</c:v>
                </c:pt>
                <c:pt idx="2724">
                  <c:v>865.81730613179616</c:v>
                </c:pt>
                <c:pt idx="2725">
                  <c:v>866.13250240490322</c:v>
                </c:pt>
                <c:pt idx="2726">
                  <c:v>866.44769812719642</c:v>
                </c:pt>
                <c:pt idx="2727">
                  <c:v>866.76289329901579</c:v>
                </c:pt>
                <c:pt idx="2728">
                  <c:v>867.07808792070171</c:v>
                </c:pt>
                <c:pt idx="2729">
                  <c:v>867.39328199259387</c:v>
                </c:pt>
                <c:pt idx="2730">
                  <c:v>867.70847551503198</c:v>
                </c:pt>
                <c:pt idx="2731">
                  <c:v>868.02366848835504</c:v>
                </c:pt>
                <c:pt idx="2732">
                  <c:v>868.33886091290196</c:v>
                </c:pt>
                <c:pt idx="2733">
                  <c:v>868.65405278901096</c:v>
                </c:pt>
                <c:pt idx="2734">
                  <c:v>868.96924411702025</c:v>
                </c:pt>
                <c:pt idx="2735">
                  <c:v>869.28443489726772</c:v>
                </c:pt>
                <c:pt idx="2736">
                  <c:v>869.59962513009043</c:v>
                </c:pt>
                <c:pt idx="2737">
                  <c:v>869.91481481582559</c:v>
                </c:pt>
                <c:pt idx="2738">
                  <c:v>870.23000395480994</c:v>
                </c:pt>
                <c:pt idx="2739">
                  <c:v>870.54519254737977</c:v>
                </c:pt>
                <c:pt idx="2740">
                  <c:v>870.86038059387101</c:v>
                </c:pt>
                <c:pt idx="2741">
                  <c:v>871.17556809461928</c:v>
                </c:pt>
                <c:pt idx="2742">
                  <c:v>871.49075504996017</c:v>
                </c:pt>
                <c:pt idx="2743">
                  <c:v>871.80594146022804</c:v>
                </c:pt>
                <c:pt idx="2744">
                  <c:v>872.12112732575815</c:v>
                </c:pt>
                <c:pt idx="2745">
                  <c:v>872.43631264688429</c:v>
                </c:pt>
                <c:pt idx="2746">
                  <c:v>872.75149742394069</c:v>
                </c:pt>
                <c:pt idx="2747">
                  <c:v>873.0666816572608</c:v>
                </c:pt>
                <c:pt idx="2748">
                  <c:v>873.38186534717772</c:v>
                </c:pt>
                <c:pt idx="2749">
                  <c:v>873.69704849402456</c:v>
                </c:pt>
                <c:pt idx="2750">
                  <c:v>874.01223109813338</c:v>
                </c:pt>
                <c:pt idx="2751">
                  <c:v>874.32741315983719</c:v>
                </c:pt>
                <c:pt idx="2752">
                  <c:v>874.64259467946715</c:v>
                </c:pt>
                <c:pt idx="2753">
                  <c:v>874.95777565735511</c:v>
                </c:pt>
                <c:pt idx="2754">
                  <c:v>875.27295609383214</c:v>
                </c:pt>
                <c:pt idx="2755">
                  <c:v>875.58813598922904</c:v>
                </c:pt>
                <c:pt idx="2756">
                  <c:v>875.90331534387644</c:v>
                </c:pt>
                <c:pt idx="2757">
                  <c:v>876.21849415810436</c:v>
                </c:pt>
                <c:pt idx="2758">
                  <c:v>876.53367243224261</c:v>
                </c:pt>
                <c:pt idx="2759">
                  <c:v>876.84885016662076</c:v>
                </c:pt>
                <c:pt idx="2760">
                  <c:v>877.16402736156795</c:v>
                </c:pt>
                <c:pt idx="2761">
                  <c:v>877.47920401741294</c:v>
                </c:pt>
                <c:pt idx="2762">
                  <c:v>877.79438013448419</c:v>
                </c:pt>
                <c:pt idx="2763">
                  <c:v>878.1095557131099</c:v>
                </c:pt>
                <c:pt idx="2764">
                  <c:v>878.42473075361772</c:v>
                </c:pt>
                <c:pt idx="2765">
                  <c:v>878.73990525633531</c:v>
                </c:pt>
                <c:pt idx="2766">
                  <c:v>879.05507922158961</c:v>
                </c:pt>
                <c:pt idx="2767">
                  <c:v>879.3702526497076</c:v>
                </c:pt>
                <c:pt idx="2768">
                  <c:v>879.68542554101532</c:v>
                </c:pt>
                <c:pt idx="2769">
                  <c:v>880.00059789583952</c:v>
                </c:pt>
                <c:pt idx="2770">
                  <c:v>880.31576971450534</c:v>
                </c:pt>
                <c:pt idx="2771">
                  <c:v>880.63094099733894</c:v>
                </c:pt>
                <c:pt idx="2772">
                  <c:v>880.9461117446649</c:v>
                </c:pt>
                <c:pt idx="2773">
                  <c:v>881.26128195680803</c:v>
                </c:pt>
                <c:pt idx="2774">
                  <c:v>881.57645163409325</c:v>
                </c:pt>
                <c:pt idx="2775">
                  <c:v>881.89162077684398</c:v>
                </c:pt>
                <c:pt idx="2776">
                  <c:v>882.2067893853847</c:v>
                </c:pt>
                <c:pt idx="2777">
                  <c:v>882.52195746003861</c:v>
                </c:pt>
                <c:pt idx="2778">
                  <c:v>882.83712500112881</c:v>
                </c:pt>
                <c:pt idx="2779">
                  <c:v>883.15229200897818</c:v>
                </c:pt>
                <c:pt idx="2780">
                  <c:v>883.46745848390913</c:v>
                </c:pt>
                <c:pt idx="2781">
                  <c:v>883.78262442624384</c:v>
                </c:pt>
                <c:pt idx="2782">
                  <c:v>884.09778983630429</c:v>
                </c:pt>
                <c:pt idx="2783">
                  <c:v>884.41295471441185</c:v>
                </c:pt>
                <c:pt idx="2784">
                  <c:v>884.72811906088759</c:v>
                </c:pt>
                <c:pt idx="2785">
                  <c:v>885.04328287605267</c:v>
                </c:pt>
                <c:pt idx="2786">
                  <c:v>885.35844616022734</c:v>
                </c:pt>
                <c:pt idx="2787">
                  <c:v>885.67360891373198</c:v>
                </c:pt>
                <c:pt idx="2788">
                  <c:v>885.98877113688627</c:v>
                </c:pt>
                <c:pt idx="2789">
                  <c:v>886.30393283001001</c:v>
                </c:pt>
                <c:pt idx="2790">
                  <c:v>886.61909399342221</c:v>
                </c:pt>
                <c:pt idx="2791">
                  <c:v>886.93425462744199</c:v>
                </c:pt>
                <c:pt idx="2792">
                  <c:v>887.24941473238778</c:v>
                </c:pt>
                <c:pt idx="2793">
                  <c:v>887.56457430857768</c:v>
                </c:pt>
                <c:pt idx="2794">
                  <c:v>887.87973335633012</c:v>
                </c:pt>
                <c:pt idx="2795">
                  <c:v>888.19489187596218</c:v>
                </c:pt>
                <c:pt idx="2796">
                  <c:v>888.51004986779174</c:v>
                </c:pt>
                <c:pt idx="2797">
                  <c:v>888.82520733213539</c:v>
                </c:pt>
                <c:pt idx="2798">
                  <c:v>889.14036426930966</c:v>
                </c:pt>
                <c:pt idx="2799">
                  <c:v>889.45552067963126</c:v>
                </c:pt>
                <c:pt idx="2800">
                  <c:v>889.77067656341569</c:v>
                </c:pt>
                <c:pt idx="2801">
                  <c:v>890.08583192097944</c:v>
                </c:pt>
                <c:pt idx="2802">
                  <c:v>890.40098675263721</c:v>
                </c:pt>
                <c:pt idx="2803">
                  <c:v>890.71614105870435</c:v>
                </c:pt>
                <c:pt idx="2804">
                  <c:v>891.03129483949567</c:v>
                </c:pt>
                <c:pt idx="2805">
                  <c:v>891.3464480953254</c:v>
                </c:pt>
                <c:pt idx="2806">
                  <c:v>891.66160082650777</c:v>
                </c:pt>
                <c:pt idx="2807">
                  <c:v>891.97675303335666</c:v>
                </c:pt>
                <c:pt idx="2808">
                  <c:v>892.2919047161854</c:v>
                </c:pt>
                <c:pt idx="2809">
                  <c:v>892.6070558753072</c:v>
                </c:pt>
                <c:pt idx="2810">
                  <c:v>892.92220651103503</c:v>
                </c:pt>
                <c:pt idx="2811">
                  <c:v>893.23735662368131</c:v>
                </c:pt>
                <c:pt idx="2812">
                  <c:v>893.55250621355833</c:v>
                </c:pt>
                <c:pt idx="2813">
                  <c:v>893.86765528097794</c:v>
                </c:pt>
                <c:pt idx="2814">
                  <c:v>894.18280382625176</c:v>
                </c:pt>
                <c:pt idx="2815">
                  <c:v>894.49795184969128</c:v>
                </c:pt>
                <c:pt idx="2816">
                  <c:v>894.81309935160721</c:v>
                </c:pt>
                <c:pt idx="2817">
                  <c:v>895.12824633231037</c:v>
                </c:pt>
                <c:pt idx="2818">
                  <c:v>895.44339279211079</c:v>
                </c:pt>
                <c:pt idx="2819">
                  <c:v>895.75853873131916</c:v>
                </c:pt>
                <c:pt idx="2820">
                  <c:v>896.07368415024462</c:v>
                </c:pt>
                <c:pt idx="2821">
                  <c:v>896.38882904919694</c:v>
                </c:pt>
                <c:pt idx="2822">
                  <c:v>896.70397342848526</c:v>
                </c:pt>
                <c:pt idx="2823">
                  <c:v>897.01911728841799</c:v>
                </c:pt>
                <c:pt idx="2824">
                  <c:v>897.33426062930414</c:v>
                </c:pt>
                <c:pt idx="2825">
                  <c:v>897.64940345145135</c:v>
                </c:pt>
                <c:pt idx="2826">
                  <c:v>897.96454575516805</c:v>
                </c:pt>
                <c:pt idx="2827">
                  <c:v>898.27968754076164</c:v>
                </c:pt>
                <c:pt idx="2828">
                  <c:v>898.59482880853921</c:v>
                </c:pt>
                <c:pt idx="2829">
                  <c:v>898.90996955880792</c:v>
                </c:pt>
                <c:pt idx="2830">
                  <c:v>899.22510979187439</c:v>
                </c:pt>
                <c:pt idx="2831">
                  <c:v>899.54024950804489</c:v>
                </c:pt>
                <c:pt idx="2832">
                  <c:v>899.85538870762548</c:v>
                </c:pt>
                <c:pt idx="2833">
                  <c:v>900.17052739092208</c:v>
                </c:pt>
                <c:pt idx="2834">
                  <c:v>900.48566555824004</c:v>
                </c:pt>
                <c:pt idx="2835">
                  <c:v>900.80080320988441</c:v>
                </c:pt>
                <c:pt idx="2836">
                  <c:v>901.11594034616007</c:v>
                </c:pt>
                <c:pt idx="2837">
                  <c:v>901.43107696737161</c:v>
                </c:pt>
                <c:pt idx="2838">
                  <c:v>901.74621307382324</c:v>
                </c:pt>
                <c:pt idx="2839">
                  <c:v>902.06134866581885</c:v>
                </c:pt>
                <c:pt idx="2840">
                  <c:v>902.37648374366211</c:v>
                </c:pt>
                <c:pt idx="2841">
                  <c:v>902.69161830765631</c:v>
                </c:pt>
                <c:pt idx="2842">
                  <c:v>903.00675235810456</c:v>
                </c:pt>
                <c:pt idx="2843">
                  <c:v>903.32188589530926</c:v>
                </c:pt>
                <c:pt idx="2844">
                  <c:v>903.63701891957339</c:v>
                </c:pt>
                <c:pt idx="2845">
                  <c:v>903.95215143119856</c:v>
                </c:pt>
                <c:pt idx="2846">
                  <c:v>904.26728343048705</c:v>
                </c:pt>
                <c:pt idx="2847">
                  <c:v>904.58241491774027</c:v>
                </c:pt>
                <c:pt idx="2848">
                  <c:v>904.89754589325901</c:v>
                </c:pt>
                <c:pt idx="2849">
                  <c:v>905.21267635734478</c:v>
                </c:pt>
                <c:pt idx="2850">
                  <c:v>905.52780631029759</c:v>
                </c:pt>
                <c:pt idx="2851">
                  <c:v>905.84293575241861</c:v>
                </c:pt>
                <c:pt idx="2852">
                  <c:v>906.15806468400729</c:v>
                </c:pt>
                <c:pt idx="2853">
                  <c:v>906.47319310536352</c:v>
                </c:pt>
                <c:pt idx="2854">
                  <c:v>906.78832101678677</c:v>
                </c:pt>
                <c:pt idx="2855">
                  <c:v>907.10344841857614</c:v>
                </c:pt>
                <c:pt idx="2856">
                  <c:v>907.41857531103051</c:v>
                </c:pt>
                <c:pt idx="2857">
                  <c:v>907.73370169444854</c:v>
                </c:pt>
                <c:pt idx="2858">
                  <c:v>908.04882756912843</c:v>
                </c:pt>
                <c:pt idx="2859">
                  <c:v>908.36395293536827</c:v>
                </c:pt>
                <c:pt idx="2860">
                  <c:v>908.67907779346547</c:v>
                </c:pt>
                <c:pt idx="2861">
                  <c:v>908.99420214371776</c:v>
                </c:pt>
                <c:pt idx="2862">
                  <c:v>909.30932598642198</c:v>
                </c:pt>
                <c:pt idx="2863">
                  <c:v>909.62444932187509</c:v>
                </c:pt>
                <c:pt idx="2864">
                  <c:v>909.93957215037358</c:v>
                </c:pt>
                <c:pt idx="2865">
                  <c:v>910.2546944722136</c:v>
                </c:pt>
                <c:pt idx="2866">
                  <c:v>910.5698162876912</c:v>
                </c:pt>
                <c:pt idx="2867">
                  <c:v>910.88493759710207</c:v>
                </c:pt>
                <c:pt idx="2868">
                  <c:v>911.20005840074111</c:v>
                </c:pt>
                <c:pt idx="2869">
                  <c:v>911.51517869890415</c:v>
                </c:pt>
                <c:pt idx="2870">
                  <c:v>911.83029849188529</c:v>
                </c:pt>
                <c:pt idx="2871">
                  <c:v>912.14541777997954</c:v>
                </c:pt>
                <c:pt idx="2872">
                  <c:v>912.4605365634809</c:v>
                </c:pt>
                <c:pt idx="2873">
                  <c:v>912.77565484268291</c:v>
                </c:pt>
                <c:pt idx="2874">
                  <c:v>913.09077261787991</c:v>
                </c:pt>
                <c:pt idx="2875">
                  <c:v>913.4058898893644</c:v>
                </c:pt>
                <c:pt idx="2876">
                  <c:v>913.72100665743028</c:v>
                </c:pt>
                <c:pt idx="2877">
                  <c:v>914.03612292236971</c:v>
                </c:pt>
                <c:pt idx="2878">
                  <c:v>914.35123868447556</c:v>
                </c:pt>
                <c:pt idx="2879">
                  <c:v>914.66635394403966</c:v>
                </c:pt>
                <c:pt idx="2880">
                  <c:v>914.98146870135429</c:v>
                </c:pt>
                <c:pt idx="2881">
                  <c:v>915.29658295671084</c:v>
                </c:pt>
                <c:pt idx="2882">
                  <c:v>915.61169671040057</c:v>
                </c:pt>
                <c:pt idx="2883">
                  <c:v>915.92680996271486</c:v>
                </c:pt>
                <c:pt idx="2884">
                  <c:v>916.24192271394418</c:v>
                </c:pt>
                <c:pt idx="2885">
                  <c:v>916.55703496437911</c:v>
                </c:pt>
                <c:pt idx="2886">
                  <c:v>916.87214671431002</c:v>
                </c:pt>
                <c:pt idx="2887">
                  <c:v>917.18725796402657</c:v>
                </c:pt>
                <c:pt idx="2888">
                  <c:v>917.50236871381856</c:v>
                </c:pt>
                <c:pt idx="2889">
                  <c:v>917.8174789639753</c:v>
                </c:pt>
                <c:pt idx="2890">
                  <c:v>918.13258871478592</c:v>
                </c:pt>
                <c:pt idx="2891">
                  <c:v>918.44769796653918</c:v>
                </c:pt>
                <c:pt idx="2892">
                  <c:v>918.76280671952372</c:v>
                </c:pt>
                <c:pt idx="2893">
                  <c:v>919.07791497402729</c:v>
                </c:pt>
                <c:pt idx="2894">
                  <c:v>919.39302273033854</c:v>
                </c:pt>
                <c:pt idx="2895">
                  <c:v>919.70812998874464</c:v>
                </c:pt>
                <c:pt idx="2896">
                  <c:v>920.02323674953345</c:v>
                </c:pt>
                <c:pt idx="2897">
                  <c:v>920.3383430129918</c:v>
                </c:pt>
                <c:pt idx="2898">
                  <c:v>920.65344877940629</c:v>
                </c:pt>
                <c:pt idx="2899">
                  <c:v>920.96855404906398</c:v>
                </c:pt>
                <c:pt idx="2900">
                  <c:v>921.28365882225057</c:v>
                </c:pt>
                <c:pt idx="2901">
                  <c:v>921.59876309925289</c:v>
                </c:pt>
                <c:pt idx="2902">
                  <c:v>921.91386688035595</c:v>
                </c:pt>
                <c:pt idx="2903">
                  <c:v>922.22897016584557</c:v>
                </c:pt>
                <c:pt idx="2904">
                  <c:v>922.54407295600674</c:v>
                </c:pt>
                <c:pt idx="2905">
                  <c:v>922.85917525112461</c:v>
                </c:pt>
                <c:pt idx="2906">
                  <c:v>923.1742770514835</c:v>
                </c:pt>
                <c:pt idx="2907">
                  <c:v>923.48937835736808</c:v>
                </c:pt>
                <c:pt idx="2908">
                  <c:v>923.80447916906223</c:v>
                </c:pt>
                <c:pt idx="2909">
                  <c:v>924.11957948684972</c:v>
                </c:pt>
                <c:pt idx="2910">
                  <c:v>924.43467931101429</c:v>
                </c:pt>
                <c:pt idx="2911">
                  <c:v>924.74977864183904</c:v>
                </c:pt>
                <c:pt idx="2912">
                  <c:v>925.06487747960705</c:v>
                </c:pt>
                <c:pt idx="2913">
                  <c:v>925.37997582460093</c:v>
                </c:pt>
                <c:pt idx="2914">
                  <c:v>925.69507367710321</c:v>
                </c:pt>
                <c:pt idx="2915">
                  <c:v>926.01017103739605</c:v>
                </c:pt>
                <c:pt idx="2916">
                  <c:v>926.32526790576139</c:v>
                </c:pt>
                <c:pt idx="2917">
                  <c:v>926.64036428248085</c:v>
                </c:pt>
                <c:pt idx="2918">
                  <c:v>926.95546016783544</c:v>
                </c:pt>
                <c:pt idx="2919">
                  <c:v>927.27055556210689</c:v>
                </c:pt>
                <c:pt idx="2920">
                  <c:v>927.58565046557544</c:v>
                </c:pt>
                <c:pt idx="2921">
                  <c:v>927.90074487852223</c:v>
                </c:pt>
                <c:pt idx="2922">
                  <c:v>928.21583880122705</c:v>
                </c:pt>
                <c:pt idx="2923">
                  <c:v>928.53093223396991</c:v>
                </c:pt>
                <c:pt idx="2924">
                  <c:v>928.84602517703092</c:v>
                </c:pt>
                <c:pt idx="2925">
                  <c:v>929.16111763068898</c:v>
                </c:pt>
                <c:pt idx="2926">
                  <c:v>929.47620959522396</c:v>
                </c:pt>
                <c:pt idx="2927">
                  <c:v>929.79130107091441</c:v>
                </c:pt>
                <c:pt idx="2928">
                  <c:v>930.10639205803909</c:v>
                </c:pt>
                <c:pt idx="2929">
                  <c:v>930.42148255687641</c:v>
                </c:pt>
                <c:pt idx="2930">
                  <c:v>930.73657256770446</c:v>
                </c:pt>
                <c:pt idx="2931">
                  <c:v>931.05166209080119</c:v>
                </c:pt>
                <c:pt idx="2932">
                  <c:v>931.36675112644411</c:v>
                </c:pt>
                <c:pt idx="2933">
                  <c:v>931.68183967491063</c:v>
                </c:pt>
                <c:pt idx="2934">
                  <c:v>931.9969277364778</c:v>
                </c:pt>
                <c:pt idx="2935">
                  <c:v>932.31201531142256</c:v>
                </c:pt>
                <c:pt idx="2936">
                  <c:v>932.62710240002127</c:v>
                </c:pt>
                <c:pt idx="2937">
                  <c:v>932.94218900255032</c:v>
                </c:pt>
                <c:pt idx="2938">
                  <c:v>933.25727511928562</c:v>
                </c:pt>
                <c:pt idx="2939">
                  <c:v>933.57236075050309</c:v>
                </c:pt>
                <c:pt idx="2940">
                  <c:v>933.8874458964782</c:v>
                </c:pt>
                <c:pt idx="2941">
                  <c:v>934.20253055748606</c:v>
                </c:pt>
                <c:pt idx="2942">
                  <c:v>934.51761473380179</c:v>
                </c:pt>
                <c:pt idx="2943">
                  <c:v>934.83269842569973</c:v>
                </c:pt>
                <c:pt idx="2944">
                  <c:v>935.147781633455</c:v>
                </c:pt>
                <c:pt idx="2945">
                  <c:v>935.46286435734112</c:v>
                </c:pt>
                <c:pt idx="2946">
                  <c:v>935.77794659763254</c:v>
                </c:pt>
                <c:pt idx="2947">
                  <c:v>936.09302835460267</c:v>
                </c:pt>
                <c:pt idx="2948">
                  <c:v>936.40810962852481</c:v>
                </c:pt>
                <c:pt idx="2949">
                  <c:v>936.72319041967239</c:v>
                </c:pt>
                <c:pt idx="2950">
                  <c:v>937.0382707283178</c:v>
                </c:pt>
                <c:pt idx="2951">
                  <c:v>937.35335055473433</c:v>
                </c:pt>
                <c:pt idx="2952">
                  <c:v>937.66842989919382</c:v>
                </c:pt>
                <c:pt idx="2953">
                  <c:v>937.98350876196878</c:v>
                </c:pt>
                <c:pt idx="2954">
                  <c:v>938.29858714333079</c:v>
                </c:pt>
                <c:pt idx="2955">
                  <c:v>938.61366504355146</c:v>
                </c:pt>
                <c:pt idx="2956">
                  <c:v>938.92874246290228</c:v>
                </c:pt>
                <c:pt idx="2957">
                  <c:v>939.24381940165415</c:v>
                </c:pt>
                <c:pt idx="2958">
                  <c:v>939.55889586007811</c:v>
                </c:pt>
                <c:pt idx="2959">
                  <c:v>939.8739718384445</c:v>
                </c:pt>
                <c:pt idx="2960">
                  <c:v>940.18904733702391</c:v>
                </c:pt>
                <c:pt idx="2961">
                  <c:v>940.5041223560861</c:v>
                </c:pt>
                <c:pt idx="2962">
                  <c:v>940.81919689590097</c:v>
                </c:pt>
                <c:pt idx="2963">
                  <c:v>941.13427095673819</c:v>
                </c:pt>
                <c:pt idx="2964">
                  <c:v>941.44934453886697</c:v>
                </c:pt>
                <c:pt idx="2965">
                  <c:v>941.76441764255628</c:v>
                </c:pt>
                <c:pt idx="2966">
                  <c:v>942.07949026807501</c:v>
                </c:pt>
                <c:pt idx="2967">
                  <c:v>942.39456241569178</c:v>
                </c:pt>
                <c:pt idx="2968">
                  <c:v>942.70963408567445</c:v>
                </c:pt>
                <c:pt idx="2969">
                  <c:v>943.02470527829155</c:v>
                </c:pt>
                <c:pt idx="2970">
                  <c:v>943.33977599381046</c:v>
                </c:pt>
                <c:pt idx="2971">
                  <c:v>943.65484623249915</c:v>
                </c:pt>
                <c:pt idx="2972">
                  <c:v>943.96991599462467</c:v>
                </c:pt>
                <c:pt idx="2973">
                  <c:v>944.28498528045361</c:v>
                </c:pt>
                <c:pt idx="2974">
                  <c:v>944.60005409025348</c:v>
                </c:pt>
                <c:pt idx="2975">
                  <c:v>944.91512242429008</c:v>
                </c:pt>
                <c:pt idx="2976">
                  <c:v>945.23019028283034</c:v>
                </c:pt>
                <c:pt idx="2977">
                  <c:v>945.54525766613983</c:v>
                </c:pt>
                <c:pt idx="2978">
                  <c:v>945.86032457448448</c:v>
                </c:pt>
                <c:pt idx="2979">
                  <c:v>946.17539100812985</c:v>
                </c:pt>
                <c:pt idx="2980">
                  <c:v>946.49045696734106</c:v>
                </c:pt>
                <c:pt idx="2981">
                  <c:v>946.80552245238323</c:v>
                </c:pt>
                <c:pt idx="2982">
                  <c:v>947.12058746352113</c:v>
                </c:pt>
                <c:pt idx="2983">
                  <c:v>947.43565200101921</c:v>
                </c:pt>
                <c:pt idx="2984">
                  <c:v>947.75071606514177</c:v>
                </c:pt>
                <c:pt idx="2985">
                  <c:v>948.06577965615293</c:v>
                </c:pt>
                <c:pt idx="2986">
                  <c:v>948.38084277431631</c:v>
                </c:pt>
                <c:pt idx="2987">
                  <c:v>948.69590541989567</c:v>
                </c:pt>
                <c:pt idx="2988">
                  <c:v>949.01096759315408</c:v>
                </c:pt>
                <c:pt idx="2989">
                  <c:v>949.32602929435461</c:v>
                </c:pt>
                <c:pt idx="2990">
                  <c:v>949.64109052376023</c:v>
                </c:pt>
                <c:pt idx="2991">
                  <c:v>949.95615128163331</c:v>
                </c:pt>
                <c:pt idx="2992">
                  <c:v>950.27121156823625</c:v>
                </c:pt>
                <c:pt idx="2993">
                  <c:v>950.58627138383076</c:v>
                </c:pt>
                <c:pt idx="2994">
                  <c:v>950.90133072867934</c:v>
                </c:pt>
                <c:pt idx="2995">
                  <c:v>951.21638960304301</c:v>
                </c:pt>
                <c:pt idx="2996">
                  <c:v>951.53144800718337</c:v>
                </c:pt>
                <c:pt idx="2997">
                  <c:v>951.84650594136144</c:v>
                </c:pt>
                <c:pt idx="2998">
                  <c:v>952.1615634058378</c:v>
                </c:pt>
                <c:pt idx="2999">
                  <c:v>952.47662040087357</c:v>
                </c:pt>
                <c:pt idx="3000">
                  <c:v>952.79167692672831</c:v>
                </c:pt>
                <c:pt idx="3001">
                  <c:v>953.10673298366305</c:v>
                </c:pt>
                <c:pt idx="3002">
                  <c:v>953.4217885719371</c:v>
                </c:pt>
                <c:pt idx="3003">
                  <c:v>953.73684369181024</c:v>
                </c:pt>
                <c:pt idx="3004">
                  <c:v>954.05189834354178</c:v>
                </c:pt>
                <c:pt idx="3005">
                  <c:v>954.36695252739105</c:v>
                </c:pt>
                <c:pt idx="3006">
                  <c:v>954.68200624361668</c:v>
                </c:pt>
                <c:pt idx="3007">
                  <c:v>954.99705949247755</c:v>
                </c:pt>
                <c:pt idx="3008">
                  <c:v>955.31211227423194</c:v>
                </c:pt>
                <c:pt idx="3009">
                  <c:v>955.62716458913815</c:v>
                </c:pt>
                <c:pt idx="3010">
                  <c:v>955.94221643745402</c:v>
                </c:pt>
                <c:pt idx="3011">
                  <c:v>956.2572678194374</c:v>
                </c:pt>
                <c:pt idx="3012">
                  <c:v>956.57231873534568</c:v>
                </c:pt>
                <c:pt idx="3013">
                  <c:v>956.887369185436</c:v>
                </c:pt>
                <c:pt idx="3014">
                  <c:v>957.20241916996554</c:v>
                </c:pt>
                <c:pt idx="3015">
                  <c:v>957.51746868919088</c:v>
                </c:pt>
                <c:pt idx="3016">
                  <c:v>957.83251774336861</c:v>
                </c:pt>
                <c:pt idx="3017">
                  <c:v>958.14756633275499</c:v>
                </c:pt>
                <c:pt idx="3018">
                  <c:v>958.46261445760592</c:v>
                </c:pt>
                <c:pt idx="3019">
                  <c:v>958.77766211817755</c:v>
                </c:pt>
                <c:pt idx="3020">
                  <c:v>959.09270931472508</c:v>
                </c:pt>
                <c:pt idx="3021">
                  <c:v>959.40775604750422</c:v>
                </c:pt>
                <c:pt idx="3022">
                  <c:v>959.72280231676984</c:v>
                </c:pt>
                <c:pt idx="3023">
                  <c:v>960.03784812277661</c:v>
                </c:pt>
                <c:pt idx="3024">
                  <c:v>960.35289346577952</c:v>
                </c:pt>
                <c:pt idx="3025">
                  <c:v>960.66793834603243</c:v>
                </c:pt>
                <c:pt idx="3026">
                  <c:v>960.98298276379035</c:v>
                </c:pt>
                <c:pt idx="3027">
                  <c:v>961.29802671930645</c:v>
                </c:pt>
                <c:pt idx="3028">
                  <c:v>961.61307021283483</c:v>
                </c:pt>
                <c:pt idx="3029">
                  <c:v>961.92811324462866</c:v>
                </c:pt>
                <c:pt idx="3030">
                  <c:v>962.24315581494136</c:v>
                </c:pt>
                <c:pt idx="3031">
                  <c:v>962.55819792402576</c:v>
                </c:pt>
                <c:pt idx="3032">
                  <c:v>962.87323957213482</c:v>
                </c:pt>
                <c:pt idx="3033">
                  <c:v>963.18828075952092</c:v>
                </c:pt>
                <c:pt idx="3034">
                  <c:v>963.50332148643633</c:v>
                </c:pt>
                <c:pt idx="3035">
                  <c:v>963.8183617531331</c:v>
                </c:pt>
                <c:pt idx="3036">
                  <c:v>964.13340155986327</c:v>
                </c:pt>
                <c:pt idx="3037">
                  <c:v>964.4484409068782</c:v>
                </c:pt>
                <c:pt idx="3038">
                  <c:v>964.76347979442926</c:v>
                </c:pt>
                <c:pt idx="3039">
                  <c:v>965.07851822276768</c:v>
                </c:pt>
                <c:pt idx="3040">
                  <c:v>965.39355619214439</c:v>
                </c:pt>
                <c:pt idx="3041">
                  <c:v>965.70859370281005</c:v>
                </c:pt>
                <c:pt idx="3042">
                  <c:v>966.02363075501512</c:v>
                </c:pt>
                <c:pt idx="3043">
                  <c:v>966.33866734900937</c:v>
                </c:pt>
                <c:pt idx="3044">
                  <c:v>966.65370348504359</c:v>
                </c:pt>
                <c:pt idx="3045">
                  <c:v>966.96873916336688</c:v>
                </c:pt>
                <c:pt idx="3046">
                  <c:v>967.28377438422922</c:v>
                </c:pt>
                <c:pt idx="3047">
                  <c:v>967.59880914787982</c:v>
                </c:pt>
                <c:pt idx="3048">
                  <c:v>967.9138434545672</c:v>
                </c:pt>
                <c:pt idx="3049">
                  <c:v>968.22887730454102</c:v>
                </c:pt>
                <c:pt idx="3050">
                  <c:v>968.5439106980491</c:v>
                </c:pt>
                <c:pt idx="3051">
                  <c:v>968.85894363534055</c:v>
                </c:pt>
                <c:pt idx="3052">
                  <c:v>969.1739761166632</c:v>
                </c:pt>
                <c:pt idx="3053">
                  <c:v>969.48900814226499</c:v>
                </c:pt>
                <c:pt idx="3054">
                  <c:v>969.80403971239366</c:v>
                </c:pt>
                <c:pt idx="3055">
                  <c:v>970.11907082729658</c:v>
                </c:pt>
                <c:pt idx="3056">
                  <c:v>970.43410148722126</c:v>
                </c:pt>
                <c:pt idx="3057">
                  <c:v>970.74913169241449</c:v>
                </c:pt>
                <c:pt idx="3058">
                  <c:v>971.06416144312323</c:v>
                </c:pt>
                <c:pt idx="3059">
                  <c:v>971.37919073959392</c:v>
                </c:pt>
                <c:pt idx="3060">
                  <c:v>971.69421958207317</c:v>
                </c:pt>
                <c:pt idx="3061">
                  <c:v>972.00924797080677</c:v>
                </c:pt>
                <c:pt idx="3062">
                  <c:v>972.32427590604095</c:v>
                </c:pt>
                <c:pt idx="3063">
                  <c:v>972.63930338802118</c:v>
                </c:pt>
                <c:pt idx="3064">
                  <c:v>972.95433041699312</c:v>
                </c:pt>
                <c:pt idx="3065">
                  <c:v>973.26935699320177</c:v>
                </c:pt>
                <c:pt idx="3066">
                  <c:v>973.58438311689235</c:v>
                </c:pt>
                <c:pt idx="3067">
                  <c:v>973.89940878830976</c:v>
                </c:pt>
                <c:pt idx="3068">
                  <c:v>974.21443400769795</c:v>
                </c:pt>
                <c:pt idx="3069">
                  <c:v>974.52945877530203</c:v>
                </c:pt>
                <c:pt idx="3070">
                  <c:v>974.84448309136565</c:v>
                </c:pt>
                <c:pt idx="3071">
                  <c:v>975.15950695613321</c:v>
                </c:pt>
                <c:pt idx="3072">
                  <c:v>975.47453036984791</c:v>
                </c:pt>
                <c:pt idx="3073">
                  <c:v>975.78955333275326</c:v>
                </c:pt>
                <c:pt idx="3074">
                  <c:v>976.10457584509288</c:v>
                </c:pt>
                <c:pt idx="3075">
                  <c:v>976.41959790710916</c:v>
                </c:pt>
                <c:pt idx="3076">
                  <c:v>976.73461951904562</c:v>
                </c:pt>
                <c:pt idx="3077">
                  <c:v>977.04964068114441</c:v>
                </c:pt>
                <c:pt idx="3078">
                  <c:v>977.36466139364802</c:v>
                </c:pt>
                <c:pt idx="3079">
                  <c:v>977.67968165679861</c:v>
                </c:pt>
                <c:pt idx="3080">
                  <c:v>977.99470147083798</c:v>
                </c:pt>
                <c:pt idx="3081">
                  <c:v>978.30972083600807</c:v>
                </c:pt>
                <c:pt idx="3082">
                  <c:v>978.62473975255023</c:v>
                </c:pt>
                <c:pt idx="3083">
                  <c:v>978.93975822070581</c:v>
                </c:pt>
                <c:pt idx="3084">
                  <c:v>979.25477624071573</c:v>
                </c:pt>
                <c:pt idx="3085">
                  <c:v>979.56979381282088</c:v>
                </c:pt>
                <c:pt idx="3086">
                  <c:v>979.88481093726205</c:v>
                </c:pt>
                <c:pt idx="3087">
                  <c:v>980.19982761427946</c:v>
                </c:pt>
                <c:pt idx="3088">
                  <c:v>980.51484384411333</c:v>
                </c:pt>
                <c:pt idx="3089">
                  <c:v>980.82985962700366</c:v>
                </c:pt>
                <c:pt idx="3090">
                  <c:v>981.1448749631902</c:v>
                </c:pt>
                <c:pt idx="3091">
                  <c:v>981.45988985291251</c:v>
                </c:pt>
                <c:pt idx="3092">
                  <c:v>981.77490429641</c:v>
                </c:pt>
                <c:pt idx="3093">
                  <c:v>982.0899182939213</c:v>
                </c:pt>
                <c:pt idx="3094">
                  <c:v>982.40493184568618</c:v>
                </c:pt>
                <c:pt idx="3095">
                  <c:v>982.71994495194247</c:v>
                </c:pt>
                <c:pt idx="3096">
                  <c:v>983.03495761292925</c:v>
                </c:pt>
                <c:pt idx="3097">
                  <c:v>983.34996982888458</c:v>
                </c:pt>
                <c:pt idx="3098">
                  <c:v>983.66498160004619</c:v>
                </c:pt>
                <c:pt idx="3099">
                  <c:v>983.97999292665236</c:v>
                </c:pt>
                <c:pt idx="3100">
                  <c:v>984.29500380894012</c:v>
                </c:pt>
                <c:pt idx="3101">
                  <c:v>984.61001424714766</c:v>
                </c:pt>
                <c:pt idx="3102">
                  <c:v>984.92502424151155</c:v>
                </c:pt>
                <c:pt idx="3103">
                  <c:v>985.24003379226906</c:v>
                </c:pt>
                <c:pt idx="3104">
                  <c:v>985.55504289965688</c:v>
                </c:pt>
                <c:pt idx="3105">
                  <c:v>985.87005156391149</c:v>
                </c:pt>
                <c:pt idx="3106">
                  <c:v>986.18505978526923</c:v>
                </c:pt>
                <c:pt idx="3107">
                  <c:v>986.50006756396635</c:v>
                </c:pt>
                <c:pt idx="3108">
                  <c:v>986.81507490023864</c:v>
                </c:pt>
                <c:pt idx="3109">
                  <c:v>987.13008179432177</c:v>
                </c:pt>
                <c:pt idx="3110">
                  <c:v>987.44508824645141</c:v>
                </c:pt>
                <c:pt idx="3111">
                  <c:v>987.76009425686277</c:v>
                </c:pt>
                <c:pt idx="3112">
                  <c:v>988.07509982579086</c:v>
                </c:pt>
                <c:pt idx="3113">
                  <c:v>988.39010495347065</c:v>
                </c:pt>
                <c:pt idx="3114">
                  <c:v>988.7051096401367</c:v>
                </c:pt>
                <c:pt idx="3115">
                  <c:v>989.02011388602341</c:v>
                </c:pt>
                <c:pt idx="3116">
                  <c:v>989.33511769136521</c:v>
                </c:pt>
                <c:pt idx="3117">
                  <c:v>989.65012105639607</c:v>
                </c:pt>
                <c:pt idx="3118">
                  <c:v>989.96512398134939</c:v>
                </c:pt>
                <c:pt idx="3119">
                  <c:v>990.28012646645948</c:v>
                </c:pt>
                <c:pt idx="3120">
                  <c:v>990.59512851195916</c:v>
                </c:pt>
                <c:pt idx="3121">
                  <c:v>990.91013011808207</c:v>
                </c:pt>
                <c:pt idx="3122">
                  <c:v>991.22513128506102</c:v>
                </c:pt>
                <c:pt idx="3123">
                  <c:v>991.54013201312853</c:v>
                </c:pt>
                <c:pt idx="3124">
                  <c:v>991.85513230251763</c:v>
                </c:pt>
                <c:pt idx="3125">
                  <c:v>992.17013215346014</c:v>
                </c:pt>
                <c:pt idx="3126">
                  <c:v>992.48513156618878</c:v>
                </c:pt>
                <c:pt idx="3127">
                  <c:v>992.80013054093524</c:v>
                </c:pt>
                <c:pt idx="3128">
                  <c:v>993.11512907793133</c:v>
                </c:pt>
                <c:pt idx="3129">
                  <c:v>993.43012717740839</c:v>
                </c:pt>
                <c:pt idx="3130">
                  <c:v>993.74512483959802</c:v>
                </c:pt>
                <c:pt idx="3131">
                  <c:v>994.06012206473122</c:v>
                </c:pt>
                <c:pt idx="3132">
                  <c:v>994.375118853039</c:v>
                </c:pt>
                <c:pt idx="3133">
                  <c:v>994.69011520475203</c:v>
                </c:pt>
                <c:pt idx="3134">
                  <c:v>995.00511112010076</c:v>
                </c:pt>
                <c:pt idx="3135">
                  <c:v>995.32010659931552</c:v>
                </c:pt>
                <c:pt idx="3136">
                  <c:v>995.63510164262652</c:v>
                </c:pt>
                <c:pt idx="3137">
                  <c:v>995.95009625026364</c:v>
                </c:pt>
                <c:pt idx="3138">
                  <c:v>996.26509042245652</c:v>
                </c:pt>
                <c:pt idx="3139">
                  <c:v>996.5800841594347</c:v>
                </c:pt>
                <c:pt idx="3140">
                  <c:v>996.89507746142749</c:v>
                </c:pt>
                <c:pt idx="3141">
                  <c:v>997.21007032866385</c:v>
                </c:pt>
                <c:pt idx="3142">
                  <c:v>997.52506276137308</c:v>
                </c:pt>
                <c:pt idx="3143">
                  <c:v>997.84005475978313</c:v>
                </c:pt>
                <c:pt idx="3144">
                  <c:v>998.15504632412319</c:v>
                </c:pt>
                <c:pt idx="3145">
                  <c:v>998.47003745462121</c:v>
                </c:pt>
                <c:pt idx="3146">
                  <c:v>998.78502815150546</c:v>
                </c:pt>
                <c:pt idx="3147">
                  <c:v>999.10001841500377</c:v>
                </c:pt>
                <c:pt idx="3148">
                  <c:v>999.41500824534353</c:v>
                </c:pt>
                <c:pt idx="3149">
                  <c:v>999.72999764275266</c:v>
                </c:pt>
                <c:pt idx="3150">
                  <c:v>1000.044986607458</c:v>
                </c:pt>
                <c:pt idx="3151">
                  <c:v>1000.3599751396871</c:v>
                </c:pt>
                <c:pt idx="3152">
                  <c:v>1000.6749632396665</c:v>
                </c:pt>
                <c:pt idx="3153">
                  <c:v>1000.989950907623</c:v>
                </c:pt>
                <c:pt idx="3154">
                  <c:v>1001.3049381437831</c:v>
                </c:pt>
                <c:pt idx="3155">
                  <c:v>1001.6199249483731</c:v>
                </c:pt>
                <c:pt idx="3156">
                  <c:v>1001.934911321619</c:v>
                </c:pt>
                <c:pt idx="3157">
                  <c:v>1002.2498972637468</c:v>
                </c:pt>
                <c:pt idx="3158">
                  <c:v>1002.564882774982</c:v>
                </c:pt>
                <c:pt idx="3159">
                  <c:v>1002.8798678555503</c:v>
                </c:pt>
                <c:pt idx="3160">
                  <c:v>1003.1948525056769</c:v>
                </c:pt>
                <c:pt idx="3161">
                  <c:v>1003.5098367255868</c:v>
                </c:pt>
                <c:pt idx="3162">
                  <c:v>1003.8248205155051</c:v>
                </c:pt>
                <c:pt idx="3163">
                  <c:v>1004.1398038756563</c:v>
                </c:pt>
                <c:pt idx="3164">
                  <c:v>1004.454786806265</c:v>
                </c:pt>
                <c:pt idx="3165">
                  <c:v>1004.7697693075555</c:v>
                </c:pt>
                <c:pt idx="3166">
                  <c:v>1005.084751379752</c:v>
                </c:pt>
                <c:pt idx="3167">
                  <c:v>1005.3997330230784</c:v>
                </c:pt>
                <c:pt idx="3168">
                  <c:v>1005.714714237758</c:v>
                </c:pt>
                <c:pt idx="3169">
                  <c:v>1006.0296950240149</c:v>
                </c:pt>
                <c:pt idx="3170">
                  <c:v>1006.3446753820721</c:v>
                </c:pt>
                <c:pt idx="3171">
                  <c:v>1006.6596553121529</c:v>
                </c:pt>
                <c:pt idx="3172">
                  <c:v>1006.9746348144803</c:v>
                </c:pt>
                <c:pt idx="3173">
                  <c:v>1007.2896138892766</c:v>
                </c:pt>
                <c:pt idx="3174">
                  <c:v>1007.6045925367648</c:v>
                </c:pt>
                <c:pt idx="3175">
                  <c:v>1007.9195707571669</c:v>
                </c:pt>
                <c:pt idx="3176">
                  <c:v>1008.2345485507055</c:v>
                </c:pt>
                <c:pt idx="3177">
                  <c:v>1008.5495259176022</c:v>
                </c:pt>
                <c:pt idx="3178">
                  <c:v>1008.8645028580789</c:v>
                </c:pt>
                <c:pt idx="3179">
                  <c:v>1009.1794793723573</c:v>
                </c:pt>
                <c:pt idx="3180">
                  <c:v>1009.4944554606584</c:v>
                </c:pt>
                <c:pt idx="3181">
                  <c:v>1009.8094311232038</c:v>
                </c:pt>
                <c:pt idx="3182">
                  <c:v>1010.1244063602144</c:v>
                </c:pt>
                <c:pt idx="3183">
                  <c:v>1010.4393811719108</c:v>
                </c:pt>
                <c:pt idx="3184">
                  <c:v>1010.7543555585138</c:v>
                </c:pt>
                <c:pt idx="3185">
                  <c:v>1011.0693295202439</c:v>
                </c:pt>
                <c:pt idx="3186">
                  <c:v>1011.3843030573211</c:v>
                </c:pt>
                <c:pt idx="3187">
                  <c:v>1011.6992761699656</c:v>
                </c:pt>
                <c:pt idx="3188">
                  <c:v>1012.0142488583972</c:v>
                </c:pt>
                <c:pt idx="3189">
                  <c:v>1012.3292211228356</c:v>
                </c:pt>
                <c:pt idx="3190">
                  <c:v>1012.6441929635001</c:v>
                </c:pt>
                <c:pt idx="3191">
                  <c:v>1012.9591643806103</c:v>
                </c:pt>
                <c:pt idx="3192">
                  <c:v>1013.2741353743851</c:v>
                </c:pt>
                <c:pt idx="3193">
                  <c:v>1013.5891059450431</c:v>
                </c:pt>
                <c:pt idx="3194">
                  <c:v>1013.9040760928036</c:v>
                </c:pt>
                <c:pt idx="3195">
                  <c:v>1014.2190458178846</c:v>
                </c:pt>
                <c:pt idx="3196">
                  <c:v>1014.5340151205049</c:v>
                </c:pt>
                <c:pt idx="3197">
                  <c:v>1014.8489840008822</c:v>
                </c:pt>
                <c:pt idx="3198">
                  <c:v>1015.1639524592348</c:v>
                </c:pt>
                <c:pt idx="3199">
                  <c:v>1015.4789204957802</c:v>
                </c:pt>
                <c:pt idx="3200">
                  <c:v>1015.7938881107358</c:v>
                </c:pt>
                <c:pt idx="3201">
                  <c:v>1016.1088553043195</c:v>
                </c:pt>
                <c:pt idx="3202">
                  <c:v>1016.4238220767485</c:v>
                </c:pt>
                <c:pt idx="3203">
                  <c:v>1016.7387884282391</c:v>
                </c:pt>
                <c:pt idx="3204">
                  <c:v>1017.0537543590088</c:v>
                </c:pt>
                <c:pt idx="3205">
                  <c:v>1017.3687198692739</c:v>
                </c:pt>
                <c:pt idx="3206">
                  <c:v>1017.6836849592511</c:v>
                </c:pt>
                <c:pt idx="3207">
                  <c:v>1017.9986496291565</c:v>
                </c:pt>
                <c:pt idx="3208">
                  <c:v>1018.3136138792061</c:v>
                </c:pt>
                <c:pt idx="3209">
                  <c:v>1018.6285777096161</c:v>
                </c:pt>
                <c:pt idx="3210">
                  <c:v>1018.9435411206017</c:v>
                </c:pt>
                <c:pt idx="3211">
                  <c:v>1019.2585041123788</c:v>
                </c:pt>
                <c:pt idx="3212">
                  <c:v>1019.5734666851627</c:v>
                </c:pt>
                <c:pt idx="3213">
                  <c:v>1019.8884288391683</c:v>
                </c:pt>
                <c:pt idx="3214">
                  <c:v>1020.2033905746109</c:v>
                </c:pt>
                <c:pt idx="3215">
                  <c:v>1020.5183518917049</c:v>
                </c:pt>
                <c:pt idx="3216">
                  <c:v>1020.8333127906656</c:v>
                </c:pt>
                <c:pt idx="3217">
                  <c:v>1021.1482732717064</c:v>
                </c:pt>
                <c:pt idx="3218">
                  <c:v>1021.463233335042</c:v>
                </c:pt>
                <c:pt idx="3219">
                  <c:v>1021.7781929808866</c:v>
                </c:pt>
                <c:pt idx="3220">
                  <c:v>1022.093152209454</c:v>
                </c:pt>
                <c:pt idx="3221">
                  <c:v>1022.4081110209578</c:v>
                </c:pt>
                <c:pt idx="3222">
                  <c:v>1022.7230694156113</c:v>
                </c:pt>
                <c:pt idx="3223">
                  <c:v>1023.0380273936281</c:v>
                </c:pt>
                <c:pt idx="3224">
                  <c:v>1023.3529849552211</c:v>
                </c:pt>
                <c:pt idx="3225">
                  <c:v>1023.6679421006031</c:v>
                </c:pt>
                <c:pt idx="3226">
                  <c:v>1023.9828988299873</c:v>
                </c:pt>
                <c:pt idx="3227">
                  <c:v>1024.2978551435863</c:v>
                </c:pt>
                <c:pt idx="3228">
                  <c:v>1024.6128110416118</c:v>
                </c:pt>
                <c:pt idx="3229">
                  <c:v>1024.9277665242766</c:v>
                </c:pt>
                <c:pt idx="3230">
                  <c:v>1025.2427215917928</c:v>
                </c:pt>
                <c:pt idx="3231">
                  <c:v>1025.5576762443718</c:v>
                </c:pt>
                <c:pt idx="3232">
                  <c:v>1025.8726304822255</c:v>
                </c:pt>
                <c:pt idx="3233">
                  <c:v>1026.1875843055652</c:v>
                </c:pt>
                <c:pt idx="3234">
                  <c:v>1026.5025377146028</c:v>
                </c:pt>
                <c:pt idx="3235">
                  <c:v>1026.8174907095486</c:v>
                </c:pt>
                <c:pt idx="3236">
                  <c:v>1027.132443290614</c:v>
                </c:pt>
                <c:pt idx="3237">
                  <c:v>1027.4473954580096</c:v>
                </c:pt>
                <c:pt idx="3238">
                  <c:v>1027.7623472119462</c:v>
                </c:pt>
                <c:pt idx="3239">
                  <c:v>1028.0772985526339</c:v>
                </c:pt>
                <c:pt idx="3240">
                  <c:v>1028.3922494802832</c:v>
                </c:pt>
                <c:pt idx="3241">
                  <c:v>1028.7071999951042</c:v>
                </c:pt>
                <c:pt idx="3242">
                  <c:v>1029.0221500973064</c:v>
                </c:pt>
                <c:pt idx="3243">
                  <c:v>1029.3370997870995</c:v>
                </c:pt>
                <c:pt idx="3244">
                  <c:v>1029.6520490646933</c:v>
                </c:pt>
                <c:pt idx="3245">
                  <c:v>1029.9669979302971</c:v>
                </c:pt>
                <c:pt idx="3246">
                  <c:v>1030.2819463841201</c:v>
                </c:pt>
                <c:pt idx="3247">
                  <c:v>1030.5968944263709</c:v>
                </c:pt>
                <c:pt idx="3248">
                  <c:v>1030.9118420572586</c:v>
                </c:pt>
                <c:pt idx="3249">
                  <c:v>1031.2267892769917</c:v>
                </c:pt>
                <c:pt idx="3250">
                  <c:v>1031.5417360857784</c:v>
                </c:pt>
                <c:pt idx="3251">
                  <c:v>1031.8566824838276</c:v>
                </c:pt>
                <c:pt idx="3252">
                  <c:v>1032.1716284713473</c:v>
                </c:pt>
                <c:pt idx="3253">
                  <c:v>1032.4865740485445</c:v>
                </c:pt>
                <c:pt idx="3254">
                  <c:v>1032.8015192156279</c:v>
                </c:pt>
                <c:pt idx="3255">
                  <c:v>1033.1164639728045</c:v>
                </c:pt>
                <c:pt idx="3256">
                  <c:v>1033.4314083202819</c:v>
                </c:pt>
                <c:pt idx="3257">
                  <c:v>1033.7463522582675</c:v>
                </c:pt>
                <c:pt idx="3258">
                  <c:v>1034.0612957869678</c:v>
                </c:pt>
                <c:pt idx="3259">
                  <c:v>1034.3762389065905</c:v>
                </c:pt>
                <c:pt idx="3260">
                  <c:v>1034.6911816173413</c:v>
                </c:pt>
                <c:pt idx="3261">
                  <c:v>1035.0061239194272</c:v>
                </c:pt>
                <c:pt idx="3262">
                  <c:v>1035.3210658130545</c:v>
                </c:pt>
                <c:pt idx="3263">
                  <c:v>1035.6360072984294</c:v>
                </c:pt>
                <c:pt idx="3264">
                  <c:v>1035.9509483757577</c:v>
                </c:pt>
                <c:pt idx="3265">
                  <c:v>1036.2658890452453</c:v>
                </c:pt>
                <c:pt idx="3266">
                  <c:v>1036.5808293070982</c:v>
                </c:pt>
                <c:pt idx="3267">
                  <c:v>1036.895769161521</c:v>
                </c:pt>
                <c:pt idx="3268">
                  <c:v>1037.2107086087194</c:v>
                </c:pt>
                <c:pt idx="3269">
                  <c:v>1037.5256476488989</c:v>
                </c:pt>
                <c:pt idx="3270">
                  <c:v>1037.8405862822642</c:v>
                </c:pt>
                <c:pt idx="3271">
                  <c:v>1038.1555245090196</c:v>
                </c:pt>
                <c:pt idx="3272">
                  <c:v>1038.4704623293703</c:v>
                </c:pt>
                <c:pt idx="3273">
                  <c:v>1038.7853997435209</c:v>
                </c:pt>
                <c:pt idx="3274">
                  <c:v>1039.1003367516746</c:v>
                </c:pt>
                <c:pt idx="3275">
                  <c:v>1039.4152733540359</c:v>
                </c:pt>
                <c:pt idx="3276">
                  <c:v>1039.7302095508094</c:v>
                </c:pt>
                <c:pt idx="3277">
                  <c:v>1040.0451453421986</c:v>
                </c:pt>
                <c:pt idx="3278">
                  <c:v>1040.360080728406</c:v>
                </c:pt>
                <c:pt idx="3279">
                  <c:v>1040.6750157096362</c:v>
                </c:pt>
                <c:pt idx="3280">
                  <c:v>1040.9899502860919</c:v>
                </c:pt>
                <c:pt idx="3281">
                  <c:v>1041.3048844579764</c:v>
                </c:pt>
                <c:pt idx="3282">
                  <c:v>1041.6198182254923</c:v>
                </c:pt>
                <c:pt idx="3283">
                  <c:v>1041.9347515888421</c:v>
                </c:pt>
                <c:pt idx="3284">
                  <c:v>1042.2496845482294</c:v>
                </c:pt>
                <c:pt idx="3285">
                  <c:v>1042.564617103855</c:v>
                </c:pt>
                <c:pt idx="3286">
                  <c:v>1042.8795492559223</c:v>
                </c:pt>
                <c:pt idx="3287">
                  <c:v>1043.1944810046327</c:v>
                </c:pt>
                <c:pt idx="3288">
                  <c:v>1043.5094123501885</c:v>
                </c:pt>
                <c:pt idx="3289">
                  <c:v>1043.8243432927911</c:v>
                </c:pt>
                <c:pt idx="3290">
                  <c:v>1044.1392738326417</c:v>
                </c:pt>
                <c:pt idx="3291">
                  <c:v>1044.4542039699427</c:v>
                </c:pt>
                <c:pt idx="3292">
                  <c:v>1044.7691337048943</c:v>
                </c:pt>
                <c:pt idx="3293">
                  <c:v>1045.0840630376972</c:v>
                </c:pt>
                <c:pt idx="3294">
                  <c:v>1045.3989919685534</c:v>
                </c:pt>
                <c:pt idx="3295">
                  <c:v>1045.7139204976631</c:v>
                </c:pt>
                <c:pt idx="3296">
                  <c:v>1046.0288486252266</c:v>
                </c:pt>
                <c:pt idx="3297">
                  <c:v>1046.3437763514444</c:v>
                </c:pt>
                <c:pt idx="3298">
                  <c:v>1046.6587036765166</c:v>
                </c:pt>
                <c:pt idx="3299">
                  <c:v>1046.9736306006432</c:v>
                </c:pt>
                <c:pt idx="3300">
                  <c:v>1047.2885571240236</c:v>
                </c:pt>
                <c:pt idx="3301">
                  <c:v>1047.6034832468583</c:v>
                </c:pt>
                <c:pt idx="3302">
                  <c:v>1047.9184089693467</c:v>
                </c:pt>
                <c:pt idx="3303">
                  <c:v>1048.2333342916875</c:v>
                </c:pt>
                <c:pt idx="3304">
                  <c:v>1048.5482592140804</c:v>
                </c:pt>
                <c:pt idx="3305">
                  <c:v>1048.8631837367241</c:v>
                </c:pt>
                <c:pt idx="3306">
                  <c:v>1049.1781078598176</c:v>
                </c:pt>
                <c:pt idx="3307">
                  <c:v>1049.4930315835595</c:v>
                </c:pt>
                <c:pt idx="3308">
                  <c:v>1049.8079549081481</c:v>
                </c:pt>
                <c:pt idx="3309">
                  <c:v>1050.1228778337827</c:v>
                </c:pt>
                <c:pt idx="3310">
                  <c:v>1050.43780036066</c:v>
                </c:pt>
                <c:pt idx="3311">
                  <c:v>1050.7527224889791</c:v>
                </c:pt>
                <c:pt idx="3312">
                  <c:v>1051.0676442189374</c:v>
                </c:pt>
                <c:pt idx="3313">
                  <c:v>1051.3825655507328</c:v>
                </c:pt>
                <c:pt idx="3314">
                  <c:v>1051.6974864845627</c:v>
                </c:pt>
                <c:pt idx="3315">
                  <c:v>1052.0124070206241</c:v>
                </c:pt>
                <c:pt idx="3316">
                  <c:v>1052.3273271591154</c:v>
                </c:pt>
                <c:pt idx="3317">
                  <c:v>1052.6422469002321</c:v>
                </c:pt>
                <c:pt idx="3318">
                  <c:v>1052.9571662441713</c:v>
                </c:pt>
                <c:pt idx="3319">
                  <c:v>1053.2720851911306</c:v>
                </c:pt>
                <c:pt idx="3320">
                  <c:v>1053.5870037413063</c:v>
                </c:pt>
                <c:pt idx="3321">
                  <c:v>1053.9019218948943</c:v>
                </c:pt>
                <c:pt idx="3322">
                  <c:v>1054.2168396520908</c:v>
                </c:pt>
                <c:pt idx="3323">
                  <c:v>1054.5317570130926</c:v>
                </c:pt>
                <c:pt idx="3324">
                  <c:v>1054.8466739780945</c:v>
                </c:pt>
                <c:pt idx="3325">
                  <c:v>1055.1615905472927</c:v>
                </c:pt>
                <c:pt idx="3326">
                  <c:v>1055.476506720883</c:v>
                </c:pt>
                <c:pt idx="3327">
                  <c:v>1055.7914224990611</c:v>
                </c:pt>
                <c:pt idx="3328">
                  <c:v>1056.1063378820211</c:v>
                </c:pt>
                <c:pt idx="3329">
                  <c:v>1056.4212528699591</c:v>
                </c:pt>
                <c:pt idx="3330">
                  <c:v>1056.7361674630695</c:v>
                </c:pt>
                <c:pt idx="3331">
                  <c:v>1057.051081661547</c:v>
                </c:pt>
                <c:pt idx="3332">
                  <c:v>1057.3659954655866</c:v>
                </c:pt>
                <c:pt idx="3333">
                  <c:v>1057.6809088753823</c:v>
                </c:pt>
                <c:pt idx="3334">
                  <c:v>1057.995821891129</c:v>
                </c:pt>
                <c:pt idx="3335">
                  <c:v>1058.31073451302</c:v>
                </c:pt>
                <c:pt idx="3336">
                  <c:v>1058.6256467412497</c:v>
                </c:pt>
                <c:pt idx="3337">
                  <c:v>1058.9405585760119</c:v>
                </c:pt>
                <c:pt idx="3338">
                  <c:v>1059.2554700174999</c:v>
                </c:pt>
                <c:pt idx="3339">
                  <c:v>1059.5703810659077</c:v>
                </c:pt>
                <c:pt idx="3340">
                  <c:v>1059.8852917214278</c:v>
                </c:pt>
                <c:pt idx="3341">
                  <c:v>1060.2002019842546</c:v>
                </c:pt>
                <c:pt idx="3342">
                  <c:v>1060.51511185458</c:v>
                </c:pt>
                <c:pt idx="3343">
                  <c:v>1060.8300213325967</c:v>
                </c:pt>
                <c:pt idx="3344">
                  <c:v>1061.1449304184982</c:v>
                </c:pt>
                <c:pt idx="3345">
                  <c:v>1061.4598391124771</c:v>
                </c:pt>
                <c:pt idx="3346">
                  <c:v>1061.7747474147247</c:v>
                </c:pt>
                <c:pt idx="3347">
                  <c:v>1062.0896553254343</c:v>
                </c:pt>
                <c:pt idx="3348">
                  <c:v>1062.4045628447973</c:v>
                </c:pt>
                <c:pt idx="3349">
                  <c:v>1062.7194699730055</c:v>
                </c:pt>
                <c:pt idx="3350">
                  <c:v>1063.0343767102506</c:v>
                </c:pt>
                <c:pt idx="3351">
                  <c:v>1063.3492830567247</c:v>
                </c:pt>
                <c:pt idx="3352">
                  <c:v>1063.6641890126195</c:v>
                </c:pt>
                <c:pt idx="3353">
                  <c:v>1063.9790945781249</c:v>
                </c:pt>
                <c:pt idx="3354">
                  <c:v>1064.2939997534329</c:v>
                </c:pt>
                <c:pt idx="3355">
                  <c:v>1064.6089045387346</c:v>
                </c:pt>
                <c:pt idx="3356">
                  <c:v>1064.9238089342202</c:v>
                </c:pt>
                <c:pt idx="3357">
                  <c:v>1065.2387129400806</c:v>
                </c:pt>
                <c:pt idx="3358">
                  <c:v>1065.5536165565063</c:v>
                </c:pt>
                <c:pt idx="3359">
                  <c:v>1065.868519783688</c:v>
                </c:pt>
                <c:pt idx="3360">
                  <c:v>1066.183422621815</c:v>
                </c:pt>
                <c:pt idx="3361">
                  <c:v>1066.4983250710777</c:v>
                </c:pt>
                <c:pt idx="3362">
                  <c:v>1066.8132271316663</c:v>
                </c:pt>
                <c:pt idx="3363">
                  <c:v>1067.1281288037699</c:v>
                </c:pt>
                <c:pt idx="3364">
                  <c:v>1067.4430300875783</c:v>
                </c:pt>
                <c:pt idx="3365">
                  <c:v>1067.7579309832809</c:v>
                </c:pt>
                <c:pt idx="3366">
                  <c:v>1068.0728314910675</c:v>
                </c:pt>
                <c:pt idx="3367">
                  <c:v>1068.3877316111261</c:v>
                </c:pt>
                <c:pt idx="3368">
                  <c:v>1068.7026313436456</c:v>
                </c:pt>
                <c:pt idx="3369">
                  <c:v>1069.0175306888157</c:v>
                </c:pt>
                <c:pt idx="3370">
                  <c:v>1069.3324296468249</c:v>
                </c:pt>
                <c:pt idx="3371">
                  <c:v>1069.6473282178611</c:v>
                </c:pt>
                <c:pt idx="3372">
                  <c:v>1069.9622264021127</c:v>
                </c:pt>
                <c:pt idx="3373">
                  <c:v>1070.2771241997682</c:v>
                </c:pt>
                <c:pt idx="3374">
                  <c:v>1070.5920216110153</c:v>
                </c:pt>
                <c:pt idx="3375">
                  <c:v>1070.9069186360412</c:v>
                </c:pt>
                <c:pt idx="3376">
                  <c:v>1071.2218152750349</c:v>
                </c:pt>
                <c:pt idx="3377">
                  <c:v>1071.5367115281838</c:v>
                </c:pt>
                <c:pt idx="3378">
                  <c:v>1071.8516073956739</c:v>
                </c:pt>
                <c:pt idx="3379">
                  <c:v>1072.1665028776938</c:v>
                </c:pt>
                <c:pt idx="3380">
                  <c:v>1072.4813979744299</c:v>
                </c:pt>
                <c:pt idx="3381">
                  <c:v>1072.7962926860696</c:v>
                </c:pt>
                <c:pt idx="3382">
                  <c:v>1073.1111870127991</c:v>
                </c:pt>
                <c:pt idx="3383">
                  <c:v>1073.4260809548052</c:v>
                </c:pt>
                <c:pt idx="3384">
                  <c:v>1073.7409745122752</c:v>
                </c:pt>
                <c:pt idx="3385">
                  <c:v>1074.0558676853941</c:v>
                </c:pt>
                <c:pt idx="3386">
                  <c:v>1074.3707604743488</c:v>
                </c:pt>
                <c:pt idx="3387">
                  <c:v>1074.6856528793253</c:v>
                </c:pt>
                <c:pt idx="3388">
                  <c:v>1075.0005449005093</c:v>
                </c:pt>
                <c:pt idx="3389">
                  <c:v>1075.3154365380865</c:v>
                </c:pt>
                <c:pt idx="3390">
                  <c:v>1075.6303277922423</c:v>
                </c:pt>
                <c:pt idx="3391">
                  <c:v>1075.9452186631631</c:v>
                </c:pt>
                <c:pt idx="3392">
                  <c:v>1076.260109151033</c:v>
                </c:pt>
                <c:pt idx="3393">
                  <c:v>1076.574999256037</c:v>
                </c:pt>
                <c:pt idx="3394">
                  <c:v>1076.8898889783609</c:v>
                </c:pt>
                <c:pt idx="3395">
                  <c:v>1077.2047783181895</c:v>
                </c:pt>
                <c:pt idx="3396">
                  <c:v>1077.519667275707</c:v>
                </c:pt>
                <c:pt idx="3397">
                  <c:v>1077.834555851098</c:v>
                </c:pt>
                <c:pt idx="3398">
                  <c:v>1078.1494440445472</c:v>
                </c:pt>
                <c:pt idx="3399">
                  <c:v>1078.4643318562385</c:v>
                </c:pt>
                <c:pt idx="3400">
                  <c:v>1078.7792192863551</c:v>
                </c:pt>
                <c:pt idx="3401">
                  <c:v>1079.0941063350826</c:v>
                </c:pt>
                <c:pt idx="3402">
                  <c:v>1079.4089930026046</c:v>
                </c:pt>
                <c:pt idx="3403">
                  <c:v>1079.723879289103</c:v>
                </c:pt>
                <c:pt idx="3404">
                  <c:v>1080.0387651947631</c:v>
                </c:pt>
                <c:pt idx="3405">
                  <c:v>1080.3536507197671</c:v>
                </c:pt>
                <c:pt idx="3406">
                  <c:v>1080.6685358642987</c:v>
                </c:pt>
                <c:pt idx="3407">
                  <c:v>1080.9834206285411</c:v>
                </c:pt>
                <c:pt idx="3408">
                  <c:v>1081.2983050126763</c:v>
                </c:pt>
                <c:pt idx="3409">
                  <c:v>1081.6131890168886</c:v>
                </c:pt>
                <c:pt idx="3410">
                  <c:v>1081.928072641359</c:v>
                </c:pt>
                <c:pt idx="3411">
                  <c:v>1082.2429558862705</c:v>
                </c:pt>
                <c:pt idx="3412">
                  <c:v>1082.5578387518058</c:v>
                </c:pt>
                <c:pt idx="3413">
                  <c:v>1082.8727212381466</c:v>
                </c:pt>
                <c:pt idx="3414">
                  <c:v>1083.1876033454751</c:v>
                </c:pt>
                <c:pt idx="3415">
                  <c:v>1083.5024850739724</c:v>
                </c:pt>
                <c:pt idx="3416">
                  <c:v>1083.8173664238216</c:v>
                </c:pt>
                <c:pt idx="3417">
                  <c:v>1084.1322473952032</c:v>
                </c:pt>
                <c:pt idx="3418">
                  <c:v>1084.4471279882987</c:v>
                </c:pt>
                <c:pt idx="3419">
                  <c:v>1084.76200820329</c:v>
                </c:pt>
                <c:pt idx="3420">
                  <c:v>1085.076888040358</c:v>
                </c:pt>
                <c:pt idx="3421">
                  <c:v>1085.3917674996833</c:v>
                </c:pt>
                <c:pt idx="3422">
                  <c:v>1085.7066465814471</c:v>
                </c:pt>
                <c:pt idx="3423">
                  <c:v>1086.02152528583</c:v>
                </c:pt>
                <c:pt idx="3424">
                  <c:v>1086.3364036130124</c:v>
                </c:pt>
                <c:pt idx="3425">
                  <c:v>1086.6512815631743</c:v>
                </c:pt>
                <c:pt idx="3426">
                  <c:v>1086.9661591364968</c:v>
                </c:pt>
                <c:pt idx="3427">
                  <c:v>1087.28103633316</c:v>
                </c:pt>
                <c:pt idx="3428">
                  <c:v>1087.5959131533427</c:v>
                </c:pt>
                <c:pt idx="3429">
                  <c:v>1087.9107895972261</c:v>
                </c:pt>
                <c:pt idx="3430">
                  <c:v>1088.2256656649895</c:v>
                </c:pt>
                <c:pt idx="3431">
                  <c:v>1088.5405413568119</c:v>
                </c:pt>
                <c:pt idx="3432">
                  <c:v>1088.8554166728732</c:v>
                </c:pt>
                <c:pt idx="3433">
                  <c:v>1089.1702916133522</c:v>
                </c:pt>
                <c:pt idx="3434">
                  <c:v>1089.4851661784292</c:v>
                </c:pt>
                <c:pt idx="3435">
                  <c:v>1089.8000403682813</c:v>
                </c:pt>
                <c:pt idx="3436">
                  <c:v>1090.1149141830886</c:v>
                </c:pt>
                <c:pt idx="3437">
                  <c:v>1090.4297876230294</c:v>
                </c:pt>
                <c:pt idx="3438">
                  <c:v>1090.7446606882825</c:v>
                </c:pt>
                <c:pt idx="3439">
                  <c:v>1091.0595333790259</c:v>
                </c:pt>
                <c:pt idx="3440">
                  <c:v>1091.3744056954374</c:v>
                </c:pt>
                <c:pt idx="3441">
                  <c:v>1091.6892776376967</c:v>
                </c:pt>
                <c:pt idx="3442">
                  <c:v>1092.0041492059804</c:v>
                </c:pt>
                <c:pt idx="3443">
                  <c:v>1092.3190204004663</c:v>
                </c:pt>
                <c:pt idx="3444">
                  <c:v>1092.633891221333</c:v>
                </c:pt>
                <c:pt idx="3445">
                  <c:v>1092.9487616687577</c:v>
                </c:pt>
                <c:pt idx="3446">
                  <c:v>1093.2636317429174</c:v>
                </c:pt>
                <c:pt idx="3447">
                  <c:v>1093.5785014439896</c:v>
                </c:pt>
                <c:pt idx="3448">
                  <c:v>1093.8933707721517</c:v>
                </c:pt>
                <c:pt idx="3449">
                  <c:v>1094.2082397275799</c:v>
                </c:pt>
                <c:pt idx="3450">
                  <c:v>1094.5231083104516</c:v>
                </c:pt>
                <c:pt idx="3451">
                  <c:v>1094.8379765209434</c:v>
                </c:pt>
                <c:pt idx="3452">
                  <c:v>1095.1528443592322</c:v>
                </c:pt>
                <c:pt idx="3453">
                  <c:v>1095.4677118254933</c:v>
                </c:pt>
                <c:pt idx="3454">
                  <c:v>1095.7825789199042</c:v>
                </c:pt>
                <c:pt idx="3455">
                  <c:v>1096.0974456426409</c:v>
                </c:pt>
                <c:pt idx="3456">
                  <c:v>1096.4123119938788</c:v>
                </c:pt>
                <c:pt idx="3457">
                  <c:v>1096.7271779737939</c:v>
                </c:pt>
                <c:pt idx="3458">
                  <c:v>1097.042043582562</c:v>
                </c:pt>
                <c:pt idx="3459">
                  <c:v>1097.3569088203594</c:v>
                </c:pt>
                <c:pt idx="3460">
                  <c:v>1097.67177368736</c:v>
                </c:pt>
                <c:pt idx="3461">
                  <c:v>1097.9866381837403</c:v>
                </c:pt>
                <c:pt idx="3462">
                  <c:v>1098.301502309675</c:v>
                </c:pt>
                <c:pt idx="3463">
                  <c:v>1098.6163660653394</c:v>
                </c:pt>
                <c:pt idx="3464">
                  <c:v>1098.9312294509082</c:v>
                </c:pt>
                <c:pt idx="3465">
                  <c:v>1099.2460924665556</c:v>
                </c:pt>
                <c:pt idx="3466">
                  <c:v>1099.5609551124573</c:v>
                </c:pt>
                <c:pt idx="3467">
                  <c:v>1099.8758173887873</c:v>
                </c:pt>
                <c:pt idx="3468">
                  <c:v>1100.1906792957193</c:v>
                </c:pt>
                <c:pt idx="3469">
                  <c:v>1100.5055408334283</c:v>
                </c:pt>
                <c:pt idx="3470">
                  <c:v>1100.8204020020885</c:v>
                </c:pt>
                <c:pt idx="3471">
                  <c:v>1101.1352628018731</c:v>
                </c:pt>
                <c:pt idx="3472">
                  <c:v>1101.450123232956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3-4F9D-A7B1-A26A39C60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3632"/>
        <c:axId val="805854192"/>
      </c:scatterChart>
      <c:valAx>
        <c:axId val="80585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Qout [L/s]</a:t>
                </a:r>
              </a:p>
            </c:rich>
          </c:tx>
          <c:layout>
            <c:manualLayout>
              <c:xMode val="edge"/>
              <c:yMode val="edge"/>
              <c:x val="0.49884102564102561"/>
              <c:y val="0.89569861111111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4192"/>
        <c:crosses val="autoZero"/>
        <c:crossBetween val="midCat"/>
      </c:valAx>
      <c:valAx>
        <c:axId val="805854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2S/t + Qout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363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</a:rPr>
              <a:t>System outlet flow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72249068201901"/>
          <c:y val="0.11415555555555555"/>
          <c:w val="0.83505537166383281"/>
          <c:h val="0.6199055555555556"/>
        </c:manualLayout>
      </c:layout>
      <c:scatterChart>
        <c:scatterStyle val="lineMarker"/>
        <c:varyColors val="0"/>
        <c:ser>
          <c:idx val="0"/>
          <c:order val="0"/>
          <c:tx>
            <c:v>Hydrograph without LID practice</c:v>
          </c:tx>
          <c:spPr>
            <a:ln w="285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[0]!Vazao_secao_i</c:f>
              <c:numCache>
                <c:formatCode>#,#00</c:formatCode>
                <c:ptCount val="47"/>
                <c:pt idx="0">
                  <c:v>0</c:v>
                </c:pt>
                <c:pt idx="1">
                  <c:v>20.522828195843498</c:v>
                </c:pt>
                <c:pt idx="2">
                  <c:v>41.045656391686997</c:v>
                </c:pt>
                <c:pt idx="3">
                  <c:v>61.568484587530492</c:v>
                </c:pt>
                <c:pt idx="4">
                  <c:v>82.091312783373994</c:v>
                </c:pt>
                <c:pt idx="5">
                  <c:v>102.6141409792175</c:v>
                </c:pt>
                <c:pt idx="6">
                  <c:v>123.13696917506098</c:v>
                </c:pt>
                <c:pt idx="7">
                  <c:v>143.6597973709045</c:v>
                </c:pt>
                <c:pt idx="8">
                  <c:v>164.18262556674799</c:v>
                </c:pt>
                <c:pt idx="9">
                  <c:v>184.70545376259147</c:v>
                </c:pt>
                <c:pt idx="10">
                  <c:v>205.22828195843499</c:v>
                </c:pt>
                <c:pt idx="11">
                  <c:v>225.75111015427848</c:v>
                </c:pt>
                <c:pt idx="12">
                  <c:v>225.75111015427848</c:v>
                </c:pt>
                <c:pt idx="13">
                  <c:v>225.75111015427848</c:v>
                </c:pt>
                <c:pt idx="14">
                  <c:v>225.75111015427848</c:v>
                </c:pt>
                <c:pt idx="15">
                  <c:v>225.75111015427848</c:v>
                </c:pt>
                <c:pt idx="16">
                  <c:v>225.75111015427848</c:v>
                </c:pt>
                <c:pt idx="17">
                  <c:v>225.75111015427848</c:v>
                </c:pt>
                <c:pt idx="18">
                  <c:v>225.75111015427848</c:v>
                </c:pt>
                <c:pt idx="19">
                  <c:v>225.75111015427848</c:v>
                </c:pt>
                <c:pt idx="20">
                  <c:v>225.75111015427848</c:v>
                </c:pt>
                <c:pt idx="21">
                  <c:v>225.75111015427848</c:v>
                </c:pt>
                <c:pt idx="22">
                  <c:v>225.75111015427848</c:v>
                </c:pt>
                <c:pt idx="23">
                  <c:v>225.75111015427848</c:v>
                </c:pt>
                <c:pt idx="24">
                  <c:v>225.75111015427848</c:v>
                </c:pt>
                <c:pt idx="25">
                  <c:v>225.75111015427848</c:v>
                </c:pt>
                <c:pt idx="26">
                  <c:v>225.75111015427848</c:v>
                </c:pt>
                <c:pt idx="27">
                  <c:v>225.75111015427848</c:v>
                </c:pt>
                <c:pt idx="28">
                  <c:v>225.75111015427848</c:v>
                </c:pt>
                <c:pt idx="29">
                  <c:v>225.75111015427848</c:v>
                </c:pt>
                <c:pt idx="30">
                  <c:v>225.75111015427848</c:v>
                </c:pt>
                <c:pt idx="31">
                  <c:v>225.75111015427848</c:v>
                </c:pt>
                <c:pt idx="32">
                  <c:v>225.75111015427848</c:v>
                </c:pt>
                <c:pt idx="33">
                  <c:v>225.75111015427848</c:v>
                </c:pt>
                <c:pt idx="34">
                  <c:v>225.75111015427848</c:v>
                </c:pt>
                <c:pt idx="35">
                  <c:v>225.75111015427848</c:v>
                </c:pt>
                <c:pt idx="36">
                  <c:v>205.22828195843499</c:v>
                </c:pt>
                <c:pt idx="37">
                  <c:v>184.70545376259147</c:v>
                </c:pt>
                <c:pt idx="38">
                  <c:v>164.18262556674799</c:v>
                </c:pt>
                <c:pt idx="39">
                  <c:v>143.65979737090447</c:v>
                </c:pt>
                <c:pt idx="40">
                  <c:v>123.13696917506098</c:v>
                </c:pt>
                <c:pt idx="41">
                  <c:v>102.6141409792175</c:v>
                </c:pt>
                <c:pt idx="42">
                  <c:v>82.091312783373979</c:v>
                </c:pt>
                <c:pt idx="43">
                  <c:v>61.568484587530492</c:v>
                </c:pt>
                <c:pt idx="44">
                  <c:v>41.045656391687004</c:v>
                </c:pt>
                <c:pt idx="45">
                  <c:v>20.522828195843488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47-4956-A894-1698CBB07078}"/>
            </c:ext>
          </c:extLst>
        </c:ser>
        <c:ser>
          <c:idx val="1"/>
          <c:order val="1"/>
          <c:tx>
            <c:v>Hydrograph with LID practice</c:v>
          </c:tx>
          <c:spPr>
            <a:ln w="1905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[0]!Qsis_efl</c:f>
              <c:numCache>
                <c:formatCode>0.00</c:formatCode>
                <c:ptCount val="121"/>
                <c:pt idx="0">
                  <c:v>0</c:v>
                </c:pt>
                <c:pt idx="1">
                  <c:v>20.242971447718361</c:v>
                </c:pt>
                <c:pt idx="2">
                  <c:v>40.485942895436722</c:v>
                </c:pt>
                <c:pt idx="3">
                  <c:v>60.996968363014773</c:v>
                </c:pt>
                <c:pt idx="4">
                  <c:v>81.437729592580723</c:v>
                </c:pt>
                <c:pt idx="5">
                  <c:v>101.86030436762333</c:v>
                </c:pt>
                <c:pt idx="6">
                  <c:v>122.26559283361277</c:v>
                </c:pt>
                <c:pt idx="7">
                  <c:v>142.66238903343751</c:v>
                </c:pt>
                <c:pt idx="8">
                  <c:v>163.054227739266</c:v>
                </c:pt>
                <c:pt idx="9">
                  <c:v>183.43562942555212</c:v>
                </c:pt>
                <c:pt idx="10">
                  <c:v>203.79652715514518</c:v>
                </c:pt>
                <c:pt idx="11">
                  <c:v>224.14186660701316</c:v>
                </c:pt>
                <c:pt idx="12">
                  <c:v>224.23755232710408</c:v>
                </c:pt>
                <c:pt idx="13">
                  <c:v>224.32222439081903</c:v>
                </c:pt>
                <c:pt idx="14">
                  <c:v>224.40275743912878</c:v>
                </c:pt>
                <c:pt idx="15">
                  <c:v>224.47467733772413</c:v>
                </c:pt>
                <c:pt idx="16">
                  <c:v>224.54383494607333</c:v>
                </c:pt>
                <c:pt idx="17">
                  <c:v>224.60583868159841</c:v>
                </c:pt>
                <c:pt idx="18">
                  <c:v>224.66591458765382</c:v>
                </c:pt>
                <c:pt idx="19">
                  <c:v>224.72423203047893</c:v>
                </c:pt>
                <c:pt idx="20">
                  <c:v>224.76989666526379</c:v>
                </c:pt>
                <c:pt idx="21">
                  <c:v>224.82085673799924</c:v>
                </c:pt>
                <c:pt idx="22">
                  <c:v>224.87063560471657</c:v>
                </c:pt>
                <c:pt idx="23">
                  <c:v>224.9152957888079</c:v>
                </c:pt>
                <c:pt idx="24">
                  <c:v>224.95908379237372</c:v>
                </c:pt>
                <c:pt idx="25">
                  <c:v>225.00204880240099</c:v>
                </c:pt>
                <c:pt idx="26">
                  <c:v>225.0442355494643</c:v>
                </c:pt>
                <c:pt idx="27">
                  <c:v>225.07807901045854</c:v>
                </c:pt>
                <c:pt idx="28">
                  <c:v>225.11514883132071</c:v>
                </c:pt>
                <c:pt idx="29">
                  <c:v>225.15166438435244</c:v>
                </c:pt>
                <c:pt idx="30">
                  <c:v>225.18764981243746</c:v>
                </c:pt>
                <c:pt idx="31">
                  <c:v>225.21960201960883</c:v>
                </c:pt>
                <c:pt idx="32">
                  <c:v>225.25115830818362</c:v>
                </c:pt>
                <c:pt idx="33">
                  <c:v>225.28233304074263</c:v>
                </c:pt>
                <c:pt idx="34">
                  <c:v>225.31313973193679</c:v>
                </c:pt>
                <c:pt idx="35">
                  <c:v>225.34359111695838</c:v>
                </c:pt>
                <c:pt idx="36">
                  <c:v>205.1240661528536</c:v>
                </c:pt>
                <c:pt idx="37">
                  <c:v>184.89108097028219</c:v>
                </c:pt>
                <c:pt idx="38">
                  <c:v>164.64810952256386</c:v>
                </c:pt>
                <c:pt idx="39">
                  <c:v>144.39515180969849</c:v>
                </c:pt>
                <c:pt idx="40">
                  <c:v>124.13209596170969</c:v>
                </c:pt>
                <c:pt idx="41">
                  <c:v>103.85871185305223</c:v>
                </c:pt>
                <c:pt idx="42">
                  <c:v>83.574637457586547</c:v>
                </c:pt>
                <c:pt idx="43">
                  <c:v>63.279355973303829</c:v>
                </c:pt>
                <c:pt idx="44">
                  <c:v>42.975771594037511</c:v>
                </c:pt>
                <c:pt idx="45">
                  <c:v>22.674372752167113</c:v>
                </c:pt>
                <c:pt idx="46">
                  <c:v>2.3715348739106106</c:v>
                </c:pt>
                <c:pt idx="47">
                  <c:v>2.3138315476324918</c:v>
                </c:pt>
                <c:pt idx="48">
                  <c:v>2.2546363875083828</c:v>
                </c:pt>
                <c:pt idx="49">
                  <c:v>2.1938445817637886</c:v>
                </c:pt>
                <c:pt idx="50">
                  <c:v>2.1355448026334281</c:v>
                </c:pt>
                <c:pt idx="51">
                  <c:v>2.0756081420092189</c:v>
                </c:pt>
                <c:pt idx="52">
                  <c:v>2.020353587750233</c:v>
                </c:pt>
                <c:pt idx="53">
                  <c:v>1.9611087930665019</c:v>
                </c:pt>
                <c:pt idx="54">
                  <c:v>1.9000175728003841</c:v>
                </c:pt>
                <c:pt idx="55">
                  <c:v>1.841828043523891</c:v>
                </c:pt>
                <c:pt idx="56">
                  <c:v>1.7817391242468195</c:v>
                </c:pt>
                <c:pt idx="57">
                  <c:v>1.7195517066469983</c:v>
                </c:pt>
                <c:pt idx="58">
                  <c:v>1.6605018889018621</c:v>
                </c:pt>
                <c:pt idx="59">
                  <c:v>1.5992732644112766</c:v>
                </c:pt>
                <c:pt idx="60">
                  <c:v>1.5356052310000607</c:v>
                </c:pt>
                <c:pt idx="61">
                  <c:v>1.4753428628430976</c:v>
                </c:pt>
                <c:pt idx="62">
                  <c:v>1.4125118408032491</c:v>
                </c:pt>
                <c:pt idx="63">
                  <c:v>1.3534723950380254</c:v>
                </c:pt>
                <c:pt idx="64">
                  <c:v>1.2917373370196257</c:v>
                </c:pt>
                <c:pt idx="65">
                  <c:v>1.2268998213265576</c:v>
                </c:pt>
                <c:pt idx="66">
                  <c:v>1.1662442632420502</c:v>
                </c:pt>
                <c:pt idx="67">
                  <c:v>1.102255955537935</c:v>
                </c:pt>
                <c:pt idx="68">
                  <c:v>1.0430509995901294</c:v>
                </c:pt>
                <c:pt idx="69">
                  <c:v>0.98027678946973418</c:v>
                </c:pt>
                <c:pt idx="70">
                  <c:v>0.91319755814402581</c:v>
                </c:pt>
                <c:pt idx="71">
                  <c:v>0.85150552709926763</c:v>
                </c:pt>
                <c:pt idx="72">
                  <c:v>0.78497996481502108</c:v>
                </c:pt>
                <c:pt idx="73">
                  <c:v>0.72489317412612619</c:v>
                </c:pt>
                <c:pt idx="74">
                  <c:v>0.65935323054362049</c:v>
                </c:pt>
                <c:pt idx="75">
                  <c:v>0.58653495323123517</c:v>
                </c:pt>
                <c:pt idx="76">
                  <c:v>0.52100336500726552</c:v>
                </c:pt>
                <c:pt idx="77">
                  <c:v>0.44594367507098998</c:v>
                </c:pt>
                <c:pt idx="78">
                  <c:v>0.38004171162652095</c:v>
                </c:pt>
                <c:pt idx="79">
                  <c:v>0.29999607300131581</c:v>
                </c:pt>
                <c:pt idx="80">
                  <c:v>0.23175045050587106</c:v>
                </c:pt>
                <c:pt idx="81">
                  <c:v>0.13198067587013479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47-4956-A894-1698CBB0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6992"/>
        <c:axId val="806412208"/>
      </c:scatterChart>
      <c:valAx>
        <c:axId val="805856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Tempo [min]</a:t>
                </a:r>
              </a:p>
            </c:rich>
          </c:tx>
          <c:layout>
            <c:manualLayout>
              <c:xMode val="edge"/>
              <c:yMode val="edge"/>
              <c:x val="0.48476797272332883"/>
              <c:y val="0.8079979166666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412208"/>
        <c:crosses val="autoZero"/>
        <c:crossBetween val="midCat"/>
      </c:valAx>
      <c:valAx>
        <c:axId val="80641220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85699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5.8338281581916354E-2"/>
          <c:y val="0.88363686534216335"/>
          <c:w val="0.90793244748475044"/>
          <c:h val="8.0559970566593087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</a:rPr>
              <a:t>Simulação das soluções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34569249034511"/>
          <c:y val="0.11613887693518571"/>
          <c:w val="0.75504050728494299"/>
          <c:h val="0.56941544639196151"/>
        </c:manualLayout>
      </c:layout>
      <c:scatterChart>
        <c:scatterStyle val="lineMarker"/>
        <c:varyColors val="0"/>
        <c:ser>
          <c:idx val="0"/>
          <c:order val="0"/>
          <c:tx>
            <c:v>Hidrograma de saída 2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Simulação!$AH$5:$AH$125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0.20411711317205333</c:v>
                </c:pt>
                <c:pt idx="4">
                  <c:v>0.33255506306761479</c:v>
                </c:pt>
                <c:pt idx="5">
                  <c:v>0.44999811341995838</c:v>
                </c:pt>
                <c:pt idx="6" formatCode="0.00%">
                  <c:v>0.55652610559560256</c:v>
                </c:pt>
                <c:pt idx="7">
                  <c:v>0.66326515690536458</c:v>
                </c:pt>
                <c:pt idx="8">
                  <c:v>0.76513894328955523</c:v>
                </c:pt>
                <c:pt idx="9">
                  <c:v>0.85942615896943209</c:v>
                </c:pt>
                <c:pt idx="10">
                  <c:v>0.94434582802257661</c:v>
                </c:pt>
                <c:pt idx="11">
                  <c:v>1.0184821928130139</c:v>
                </c:pt>
                <c:pt idx="12">
                  <c:v>1.082564749323599</c:v>
                </c:pt>
                <c:pt idx="13">
                  <c:v>1.1439129906772101</c:v>
                </c:pt>
                <c:pt idx="14">
                  <c:v>1.2021345282463571</c:v>
                </c:pt>
                <c:pt idx="15">
                  <c:v>1.2576636743438621</c:v>
                </c:pt>
                <c:pt idx="16">
                  <c:v>1.3079449723751992</c:v>
                </c:pt>
                <c:pt idx="17">
                  <c:v>1.3500841272771666</c:v>
                </c:pt>
                <c:pt idx="18">
                  <c:v>1.3966164772378267</c:v>
                </c:pt>
                <c:pt idx="19">
                  <c:v>1.4390377887494317</c:v>
                </c:pt>
                <c:pt idx="20">
                  <c:v>1.480243875314305</c:v>
                </c:pt>
                <c:pt idx="21">
                  <c:v>1.520333550035047</c:v>
                </c:pt>
                <c:pt idx="22">
                  <c:v>1.5521399288359254</c:v>
                </c:pt>
                <c:pt idx="23">
                  <c:v>1.5900673372546896</c:v>
                </c:pt>
                <c:pt idx="24">
                  <c:v>1.6248204298250337</c:v>
                </c:pt>
                <c:pt idx="25">
                  <c:v>1.6588455990083573</c:v>
                </c:pt>
                <c:pt idx="26">
                  <c:v>1.692186754918612</c:v>
                </c:pt>
                <c:pt idx="27">
                  <c:v>1.7141366248514127</c:v>
                </c:pt>
                <c:pt idx="28">
                  <c:v>1.7439173714260592</c:v>
                </c:pt>
                <c:pt idx="29">
                  <c:v>1.7731980228012201</c:v>
                </c:pt>
                <c:pt idx="30">
                  <c:v>1.8020029572036607</c:v>
                </c:pt>
                <c:pt idx="31">
                  <c:v>1.8303546343469395</c:v>
                </c:pt>
                <c:pt idx="32">
                  <c:v>1.8582738003803154</c:v>
                </c:pt>
                <c:pt idx="33">
                  <c:v>2.018640394175383</c:v>
                </c:pt>
                <c:pt idx="34">
                  <c:v>2.2350706597772709</c:v>
                </c:pt>
                <c:pt idx="35">
                  <c:v>2.3635144850544241</c:v>
                </c:pt>
                <c:pt idx="36">
                  <c:v>2.4517857747747969</c:v>
                </c:pt>
                <c:pt idx="37">
                  <c:v>2.4967365462236923</c:v>
                </c:pt>
                <c:pt idx="38">
                  <c:v>2.5054454538656419</c:v>
                </c:pt>
                <c:pt idx="39">
                  <c:v>2.4879386997855439</c:v>
                </c:pt>
                <c:pt idx="40">
                  <c:v>2.4424868574957515</c:v>
                </c:pt>
                <c:pt idx="41">
                  <c:v>2.3635144850544241</c:v>
                </c:pt>
                <c:pt idx="42">
                  <c:v>2.2481640365759255</c:v>
                </c:pt>
                <c:pt idx="43">
                  <c:v>2.018640394175383</c:v>
                </c:pt>
                <c:pt idx="44">
                  <c:v>1.8582738003803154</c:v>
                </c:pt>
                <c:pt idx="45">
                  <c:v>1.8343691029900564</c:v>
                </c:pt>
                <c:pt idx="46">
                  <c:v>1.8101487493654185</c:v>
                </c:pt>
                <c:pt idx="47">
                  <c:v>1.7855998946163256</c:v>
                </c:pt>
                <c:pt idx="48">
                  <c:v>1.7607087983191538</c:v>
                </c:pt>
                <c:pt idx="49">
                  <c:v>1.735460734589845</c:v>
                </c:pt>
                <c:pt idx="50">
                  <c:v>1.7098398902025207</c:v>
                </c:pt>
                <c:pt idx="51">
                  <c:v>1.6965827376852747</c:v>
                </c:pt>
                <c:pt idx="52">
                  <c:v>1.6722618330328627</c:v>
                </c:pt>
                <c:pt idx="53">
                  <c:v>1.6475819526279107</c:v>
                </c:pt>
                <c:pt idx="54">
                  <c:v>1.622526715660475</c:v>
                </c:pt>
                <c:pt idx="55">
                  <c:v>1.5970784562565286</c:v>
                </c:pt>
                <c:pt idx="56">
                  <c:v>1.5712180777490772</c:v>
                </c:pt>
                <c:pt idx="57">
                  <c:v>1.5473336377126667</c:v>
                </c:pt>
                <c:pt idx="58">
                  <c:v>1.5301918659440499</c:v>
                </c:pt>
                <c:pt idx="59">
                  <c:v>1.5054250358298888</c:v>
                </c:pt>
                <c:pt idx="60">
                  <c:v>1.480243875314305</c:v>
                </c:pt>
                <c:pt idx="61">
                  <c:v>1.4546268670375921</c:v>
                </c:pt>
                <c:pt idx="62">
                  <c:v>1.4285505641067417</c:v>
                </c:pt>
                <c:pt idx="63">
                  <c:v>1.4019893388010405</c:v>
                </c:pt>
                <c:pt idx="64">
                  <c:v>1.3776464563971627</c:v>
                </c:pt>
                <c:pt idx="65">
                  <c:v>1.352865629519628</c:v>
                </c:pt>
                <c:pt idx="66">
                  <c:v>1.3276223349459815</c:v>
                </c:pt>
                <c:pt idx="67">
                  <c:v>1.3079449723751992</c:v>
                </c:pt>
                <c:pt idx="68">
                  <c:v>1.2815712246615691</c:v>
                </c:pt>
                <c:pt idx="69">
                  <c:v>1.2546431990807378</c:v>
                </c:pt>
                <c:pt idx="70">
                  <c:v>1.2302124494911835</c:v>
                </c:pt>
                <c:pt idx="71">
                  <c:v>1.2052865986007841</c:v>
                </c:pt>
                <c:pt idx="72">
                  <c:v>1.1798342674503897</c:v>
                </c:pt>
                <c:pt idx="73">
                  <c:v>1.1538206154050759</c:v>
                </c:pt>
                <c:pt idx="74">
                  <c:v>1.127206780682807</c:v>
                </c:pt>
                <c:pt idx="75">
                  <c:v>1.0999491989636829</c:v>
                </c:pt>
                <c:pt idx="76">
                  <c:v>1.0805116099480354</c:v>
                </c:pt>
                <c:pt idx="77">
                  <c:v>1.0554116908432236</c:v>
                </c:pt>
                <c:pt idx="78">
                  <c:v>1.0297001190174786</c:v>
                </c:pt>
                <c:pt idx="79">
                  <c:v>1.0033298724949171</c:v>
                </c:pt>
                <c:pt idx="80">
                  <c:v>0.97624757668161388</c:v>
                </c:pt>
                <c:pt idx="81">
                  <c:v>0.94839223368434444</c:v>
                </c:pt>
                <c:pt idx="82">
                  <c:v>0.92384799228984193</c:v>
                </c:pt>
                <c:pt idx="83">
                  <c:v>0.89863362768325328</c:v>
                </c:pt>
                <c:pt idx="84">
                  <c:v>0.87269105687428461</c:v>
                </c:pt>
                <c:pt idx="85">
                  <c:v>0.84595328753634358</c:v>
                </c:pt>
                <c:pt idx="86">
                  <c:v>0.8183423786159062</c:v>
                </c:pt>
                <c:pt idx="87">
                  <c:v>0.78976675834320276</c:v>
                </c:pt>
                <c:pt idx="88">
                  <c:v>0.76513894328955523</c:v>
                </c:pt>
                <c:pt idx="89">
                  <c:v>0.73969160634184816</c:v>
                </c:pt>
                <c:pt idx="90">
                  <c:v>0.71333704687679744</c:v>
                </c:pt>
                <c:pt idx="91">
                  <c:v>0.68597070812188232</c:v>
                </c:pt>
                <c:pt idx="92">
                  <c:v>0.65746625948071513</c:v>
                </c:pt>
                <c:pt idx="93">
                  <c:v>0.62766866443203095</c:v>
                </c:pt>
                <c:pt idx="94">
                  <c:v>0.60277094179576263</c:v>
                </c:pt>
                <c:pt idx="95">
                  <c:v>0.57679950089854604</c:v>
                </c:pt>
                <c:pt idx="96">
                  <c:v>0.54960214719401623</c:v>
                </c:pt>
                <c:pt idx="97">
                  <c:v>0.52098692513702693</c:v>
                </c:pt>
                <c:pt idx="98">
                  <c:v>0.4907058509200754</c:v>
                </c:pt>
                <c:pt idx="99">
                  <c:v>0.45842893461326856</c:v>
                </c:pt>
                <c:pt idx="100">
                  <c:v>0.43264388365404211</c:v>
                </c:pt>
                <c:pt idx="101">
                  <c:v>0.40522138644924488</c:v>
                </c:pt>
                <c:pt idx="102">
                  <c:v>0.3758031585929581</c:v>
                </c:pt>
                <c:pt idx="103">
                  <c:v>0.34387738509683924</c:v>
                </c:pt>
                <c:pt idx="104">
                  <c:v>0.3086669693271954</c:v>
                </c:pt>
                <c:pt idx="105">
                  <c:v>0.282767971905176</c:v>
                </c:pt>
                <c:pt idx="106">
                  <c:v>0.25424428000861093</c:v>
                </c:pt>
                <c:pt idx="107">
                  <c:v>0.22208687916855316</c:v>
                </c:pt>
                <c:pt idx="108">
                  <c:v>0.18440447359149972</c:v>
                </c:pt>
                <c:pt idx="109">
                  <c:v>0.1367020038707871</c:v>
                </c:pt>
                <c:pt idx="110">
                  <c:v>0.10501738833714151</c:v>
                </c:pt>
                <c:pt idx="111">
                  <c:v>5.8050545596223892E-2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E2-44D4-A79E-D0C412D0D17A}"/>
            </c:ext>
          </c:extLst>
        </c:ser>
        <c:ser>
          <c:idx val="2"/>
          <c:order val="2"/>
          <c:tx>
            <c:v>Hidrograma afluente</c:v>
          </c:tx>
          <c:spPr>
            <a:ln w="31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15"/>
                <c:pt idx="0">
                  <c:v>0</c:v>
                </c:pt>
                <c:pt idx="1">
                  <c:v>0.50921264606914685</c:v>
                </c:pt>
                <c:pt idx="2">
                  <c:v>1.0184252921382937</c:v>
                </c:pt>
                <c:pt idx="3">
                  <c:v>1.5276379382074405</c:v>
                </c:pt>
                <c:pt idx="4">
                  <c:v>2.0368505842765874</c:v>
                </c:pt>
                <c:pt idx="5">
                  <c:v>2.5460632303457342</c:v>
                </c:pt>
                <c:pt idx="6">
                  <c:v>3.0552758764148811</c:v>
                </c:pt>
                <c:pt idx="7">
                  <c:v>3.5644885224840279</c:v>
                </c:pt>
                <c:pt idx="8">
                  <c:v>4.0737011685531748</c:v>
                </c:pt>
                <c:pt idx="9">
                  <c:v>4.0737011685531748</c:v>
                </c:pt>
                <c:pt idx="10">
                  <c:v>4.0737011685531748</c:v>
                </c:pt>
                <c:pt idx="11">
                  <c:v>4.0737011685531748</c:v>
                </c:pt>
                <c:pt idx="12">
                  <c:v>4.0737011685531748</c:v>
                </c:pt>
                <c:pt idx="13">
                  <c:v>4.0737011685531748</c:v>
                </c:pt>
                <c:pt idx="14">
                  <c:v>4.0737011685531748</c:v>
                </c:pt>
                <c:pt idx="15">
                  <c:v>4.0737011685531748</c:v>
                </c:pt>
                <c:pt idx="16">
                  <c:v>4.0737011685531748</c:v>
                </c:pt>
                <c:pt idx="17">
                  <c:v>4.0737011685531748</c:v>
                </c:pt>
                <c:pt idx="18">
                  <c:v>4.0737011685531748</c:v>
                </c:pt>
                <c:pt idx="19">
                  <c:v>4.0737011685531748</c:v>
                </c:pt>
                <c:pt idx="20">
                  <c:v>4.0737011685531748</c:v>
                </c:pt>
                <c:pt idx="21">
                  <c:v>4.0737011685531748</c:v>
                </c:pt>
                <c:pt idx="22">
                  <c:v>4.0737011685531748</c:v>
                </c:pt>
                <c:pt idx="23">
                  <c:v>4.0737011685531748</c:v>
                </c:pt>
                <c:pt idx="24">
                  <c:v>4.0737011685531748</c:v>
                </c:pt>
                <c:pt idx="25">
                  <c:v>4.0737011685531748</c:v>
                </c:pt>
                <c:pt idx="26">
                  <c:v>4.0737011685531748</c:v>
                </c:pt>
                <c:pt idx="27">
                  <c:v>4.0737011685531748</c:v>
                </c:pt>
                <c:pt idx="28">
                  <c:v>4.0737011685531748</c:v>
                </c:pt>
                <c:pt idx="29">
                  <c:v>4.0737011685531748</c:v>
                </c:pt>
                <c:pt idx="30">
                  <c:v>4.0737011685531748</c:v>
                </c:pt>
                <c:pt idx="31">
                  <c:v>4.0737011685531748</c:v>
                </c:pt>
                <c:pt idx="32">
                  <c:v>4.0737011685531748</c:v>
                </c:pt>
                <c:pt idx="33">
                  <c:v>4.0737011685531748</c:v>
                </c:pt>
                <c:pt idx="34">
                  <c:v>4.0737011685531748</c:v>
                </c:pt>
                <c:pt idx="35">
                  <c:v>4.0737011685531748</c:v>
                </c:pt>
                <c:pt idx="36">
                  <c:v>3.5644885224840279</c:v>
                </c:pt>
                <c:pt idx="37">
                  <c:v>3.0552758764148811</c:v>
                </c:pt>
                <c:pt idx="38">
                  <c:v>2.5460632303457342</c:v>
                </c:pt>
                <c:pt idx="39">
                  <c:v>2.0368505842765874</c:v>
                </c:pt>
                <c:pt idx="40">
                  <c:v>1.5276379382074405</c:v>
                </c:pt>
                <c:pt idx="41">
                  <c:v>1.0184252921382937</c:v>
                </c:pt>
                <c:pt idx="42">
                  <c:v>0.50921264606914685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E2-44D4-A79E-D0C412D0D17A}"/>
            </c:ext>
          </c:extLst>
        </c:ser>
        <c:ser>
          <c:idx val="3"/>
          <c:order val="3"/>
          <c:tx>
            <c:v>Hidrograma de referência do lote</c:v>
          </c:tx>
          <c:spPr>
            <a:ln w="31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47"/>
                <c:pt idx="0">
                  <c:v>0</c:v>
                </c:pt>
                <c:pt idx="1">
                  <c:v>0.27985674812513855</c:v>
                </c:pt>
                <c:pt idx="2">
                  <c:v>0.55971349625027711</c:v>
                </c:pt>
                <c:pt idx="3">
                  <c:v>0.83957024437541561</c:v>
                </c:pt>
                <c:pt idx="4">
                  <c:v>1.1194269925005542</c:v>
                </c:pt>
                <c:pt idx="5">
                  <c:v>1.3992837406256931</c:v>
                </c:pt>
                <c:pt idx="6">
                  <c:v>1.6791404887508312</c:v>
                </c:pt>
                <c:pt idx="7">
                  <c:v>1.95899723687597</c:v>
                </c:pt>
                <c:pt idx="8">
                  <c:v>2.2388539850011084</c:v>
                </c:pt>
                <c:pt idx="9">
                  <c:v>2.5187107331262468</c:v>
                </c:pt>
                <c:pt idx="10">
                  <c:v>2.7985674812513861</c:v>
                </c:pt>
                <c:pt idx="11">
                  <c:v>3.0784242293765245</c:v>
                </c:pt>
                <c:pt idx="12">
                  <c:v>3.0784242293765245</c:v>
                </c:pt>
                <c:pt idx="13">
                  <c:v>3.0784242293765245</c:v>
                </c:pt>
                <c:pt idx="14">
                  <c:v>3.0784242293765245</c:v>
                </c:pt>
                <c:pt idx="15">
                  <c:v>3.0784242293765245</c:v>
                </c:pt>
                <c:pt idx="16">
                  <c:v>3.0784242293765245</c:v>
                </c:pt>
                <c:pt idx="17">
                  <c:v>3.0784242293765245</c:v>
                </c:pt>
                <c:pt idx="18">
                  <c:v>3.0784242293765245</c:v>
                </c:pt>
                <c:pt idx="19">
                  <c:v>3.0784242293765245</c:v>
                </c:pt>
                <c:pt idx="20">
                  <c:v>3.0784242293765245</c:v>
                </c:pt>
                <c:pt idx="21">
                  <c:v>3.0784242293765245</c:v>
                </c:pt>
                <c:pt idx="22">
                  <c:v>3.0784242293765245</c:v>
                </c:pt>
                <c:pt idx="23">
                  <c:v>3.0784242293765245</c:v>
                </c:pt>
                <c:pt idx="24">
                  <c:v>3.0784242293765245</c:v>
                </c:pt>
                <c:pt idx="25">
                  <c:v>3.0784242293765245</c:v>
                </c:pt>
                <c:pt idx="26">
                  <c:v>3.0784242293765245</c:v>
                </c:pt>
                <c:pt idx="27">
                  <c:v>3.0784242293765245</c:v>
                </c:pt>
                <c:pt idx="28">
                  <c:v>3.0784242293765245</c:v>
                </c:pt>
                <c:pt idx="29">
                  <c:v>3.0784242293765245</c:v>
                </c:pt>
                <c:pt idx="30">
                  <c:v>3.0784242293765245</c:v>
                </c:pt>
                <c:pt idx="31">
                  <c:v>3.0784242293765245</c:v>
                </c:pt>
                <c:pt idx="32">
                  <c:v>3.0784242293765245</c:v>
                </c:pt>
                <c:pt idx="33">
                  <c:v>3.0784242293765245</c:v>
                </c:pt>
                <c:pt idx="34">
                  <c:v>3.0784242293765245</c:v>
                </c:pt>
                <c:pt idx="35">
                  <c:v>3.0784242293765245</c:v>
                </c:pt>
                <c:pt idx="36">
                  <c:v>2.7985674812513861</c:v>
                </c:pt>
                <c:pt idx="37">
                  <c:v>2.5187107331262468</c:v>
                </c:pt>
                <c:pt idx="38">
                  <c:v>2.2388539850011084</c:v>
                </c:pt>
                <c:pt idx="39">
                  <c:v>1.9589972368759698</c:v>
                </c:pt>
                <c:pt idx="40">
                  <c:v>1.6791404887508312</c:v>
                </c:pt>
                <c:pt idx="41">
                  <c:v>1.3992837406256931</c:v>
                </c:pt>
                <c:pt idx="42">
                  <c:v>1.1194269925005542</c:v>
                </c:pt>
                <c:pt idx="43">
                  <c:v>0.83957024437541561</c:v>
                </c:pt>
                <c:pt idx="44">
                  <c:v>0.55971349625027722</c:v>
                </c:pt>
                <c:pt idx="45">
                  <c:v>0.27985674812513844</c:v>
                </c:pt>
                <c:pt idx="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E2-44D4-A79E-D0C412D0D17A}"/>
            </c:ext>
          </c:extLst>
        </c:ser>
        <c:ser>
          <c:idx val="4"/>
          <c:order val="4"/>
          <c:tx>
            <c:v>Hidrograma de saída 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Simulação!$AG$5:$AG$125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0.20411711317205333</c:v>
                </c:pt>
                <c:pt idx="4">
                  <c:v>0.33255506306761479</c:v>
                </c:pt>
                <c:pt idx="5">
                  <c:v>0.44999811341995838</c:v>
                </c:pt>
                <c:pt idx="6">
                  <c:v>0.55652610559560256</c:v>
                </c:pt>
                <c:pt idx="7">
                  <c:v>0.66326515690536458</c:v>
                </c:pt>
                <c:pt idx="8">
                  <c:v>0.76513894328955523</c:v>
                </c:pt>
                <c:pt idx="9">
                  <c:v>0.85942615896943209</c:v>
                </c:pt>
                <c:pt idx="10">
                  <c:v>0.94434582802257661</c:v>
                </c:pt>
                <c:pt idx="11">
                  <c:v>1.0184821928130139</c:v>
                </c:pt>
                <c:pt idx="12">
                  <c:v>1.082564749323599</c:v>
                </c:pt>
                <c:pt idx="13">
                  <c:v>1.1439129906772101</c:v>
                </c:pt>
                <c:pt idx="14">
                  <c:v>1.2021345282463571</c:v>
                </c:pt>
                <c:pt idx="15">
                  <c:v>1.2576636743438621</c:v>
                </c:pt>
                <c:pt idx="16">
                  <c:v>1.3079449723751992</c:v>
                </c:pt>
                <c:pt idx="17">
                  <c:v>1.3500841272771666</c:v>
                </c:pt>
                <c:pt idx="18">
                  <c:v>1.3966164772378267</c:v>
                </c:pt>
                <c:pt idx="19">
                  <c:v>1.4390377887494317</c:v>
                </c:pt>
                <c:pt idx="20">
                  <c:v>1.480243875314305</c:v>
                </c:pt>
                <c:pt idx="21">
                  <c:v>1.520333550035047</c:v>
                </c:pt>
                <c:pt idx="22">
                  <c:v>1.5521399288359254</c:v>
                </c:pt>
                <c:pt idx="23">
                  <c:v>1.5900673372546896</c:v>
                </c:pt>
                <c:pt idx="24">
                  <c:v>1.6248204298250337</c:v>
                </c:pt>
                <c:pt idx="25">
                  <c:v>1.6588455990083573</c:v>
                </c:pt>
                <c:pt idx="26">
                  <c:v>1.692186754918612</c:v>
                </c:pt>
                <c:pt idx="27">
                  <c:v>1.7141366248514127</c:v>
                </c:pt>
                <c:pt idx="28">
                  <c:v>1.7439173714260592</c:v>
                </c:pt>
                <c:pt idx="29">
                  <c:v>1.7731980228012201</c:v>
                </c:pt>
                <c:pt idx="30">
                  <c:v>1.8020029572036607</c:v>
                </c:pt>
                <c:pt idx="31">
                  <c:v>1.8303546343469395</c:v>
                </c:pt>
                <c:pt idx="32">
                  <c:v>1.8582738003803154</c:v>
                </c:pt>
                <c:pt idx="33">
                  <c:v>1.885779665518875</c:v>
                </c:pt>
                <c:pt idx="34">
                  <c:v>1.9109663569316047</c:v>
                </c:pt>
                <c:pt idx="35">
                  <c:v>1.9358253763613127</c:v>
                </c:pt>
                <c:pt idx="36">
                  <c:v>1.9566132575639879</c:v>
                </c:pt>
                <c:pt idx="37">
                  <c:v>2.2969992168274245</c:v>
                </c:pt>
                <c:pt idx="38">
                  <c:v>2.3516761689601116</c:v>
                </c:pt>
                <c:pt idx="39">
                  <c:v>2.3252571290066979</c:v>
                </c:pt>
                <c:pt idx="40">
                  <c:v>2.1947559869442812</c:v>
                </c:pt>
                <c:pt idx="41">
                  <c:v>1.9528501020677274</c:v>
                </c:pt>
                <c:pt idx="42">
                  <c:v>1.9377243991416917</c:v>
                </c:pt>
                <c:pt idx="43">
                  <c:v>1.9167316700879879</c:v>
                </c:pt>
                <c:pt idx="44">
                  <c:v>1.891621744609191</c:v>
                </c:pt>
                <c:pt idx="45">
                  <c:v>1.8661739882010873</c:v>
                </c:pt>
                <c:pt idx="46">
                  <c:v>1.8423717982706409</c:v>
                </c:pt>
                <c:pt idx="47">
                  <c:v>1.8182580487619575</c:v>
                </c:pt>
                <c:pt idx="48">
                  <c:v>1.7938201751324703</c:v>
                </c:pt>
                <c:pt idx="49">
                  <c:v>1.7690447449222224</c:v>
                </c:pt>
                <c:pt idx="50">
                  <c:v>1.7439173714260592</c:v>
                </c:pt>
                <c:pt idx="51">
                  <c:v>1.7184226160017271</c:v>
                </c:pt>
                <c:pt idx="52">
                  <c:v>1.7053407080085252</c:v>
                </c:pt>
                <c:pt idx="53">
                  <c:v>1.6811465084274442</c:v>
                </c:pt>
                <c:pt idx="54">
                  <c:v>1.6565989964999241</c:v>
                </c:pt>
                <c:pt idx="55">
                  <c:v>1.6316822262963229</c:v>
                </c:pt>
                <c:pt idx="56">
                  <c:v>1.6063790150578079</c:v>
                </c:pt>
                <c:pt idx="57">
                  <c:v>1.5806708045715472</c:v>
                </c:pt>
                <c:pt idx="58">
                  <c:v>1.5545375019058341</c:v>
                </c:pt>
                <c:pt idx="59">
                  <c:v>1.5303927546166831</c:v>
                </c:pt>
                <c:pt idx="60">
                  <c:v>1.5128976571244983</c:v>
                </c:pt>
                <c:pt idx="61">
                  <c:v>1.4878429731779108</c:v>
                </c:pt>
                <c:pt idx="62">
                  <c:v>1.4623590888482123</c:v>
                </c:pt>
                <c:pt idx="63">
                  <c:v>1.436423160715206</c:v>
                </c:pt>
                <c:pt idx="64">
                  <c:v>1.4100102441263156</c:v>
                </c:pt>
                <c:pt idx="65">
                  <c:v>1.3858082628029869</c:v>
                </c:pt>
                <c:pt idx="66">
                  <c:v>1.3611760334229048</c:v>
                </c:pt>
                <c:pt idx="67">
                  <c:v>1.3360897599625534</c:v>
                </c:pt>
                <c:pt idx="68">
                  <c:v>1.3166188260294733</c:v>
                </c:pt>
                <c:pt idx="69">
                  <c:v>1.2904223673566042</c:v>
                </c:pt>
                <c:pt idx="70">
                  <c:v>1.2636829662906817</c:v>
                </c:pt>
                <c:pt idx="71">
                  <c:v>1.2363653959943273</c:v>
                </c:pt>
                <c:pt idx="72">
                  <c:v>1.2115661378132687</c:v>
                </c:pt>
                <c:pt idx="73">
                  <c:v>1.1862485490736376</c:v>
                </c:pt>
                <c:pt idx="74">
                  <c:v>1.1603787028650863</c:v>
                </c:pt>
                <c:pt idx="75">
                  <c:v>1.1339188013021082</c:v>
                </c:pt>
                <c:pt idx="76">
                  <c:v>1.1068265274332558</c:v>
                </c:pt>
                <c:pt idx="77">
                  <c:v>1.0840498721191889</c:v>
                </c:pt>
                <c:pt idx="78">
                  <c:v>1.0590338158801575</c:v>
                </c:pt>
                <c:pt idx="79">
                  <c:v>1.033412367408937</c:v>
                </c:pt>
                <c:pt idx="80">
                  <c:v>1.0071393245474038</c:v>
                </c:pt>
                <c:pt idx="81">
                  <c:v>0.98016229114665399</c:v>
                </c:pt>
                <c:pt idx="82">
                  <c:v>0.9524214481635298</c:v>
                </c:pt>
                <c:pt idx="83">
                  <c:v>0.92384799228984193</c:v>
                </c:pt>
                <c:pt idx="84">
                  <c:v>0.89863362768325328</c:v>
                </c:pt>
                <c:pt idx="85">
                  <c:v>0.87269105687428461</c:v>
                </c:pt>
                <c:pt idx="86">
                  <c:v>0.84595328753634358</c:v>
                </c:pt>
                <c:pt idx="87">
                  <c:v>0.8183423786159062</c:v>
                </c:pt>
                <c:pt idx="88">
                  <c:v>0.78976675834320276</c:v>
                </c:pt>
                <c:pt idx="89">
                  <c:v>0.76513894328955523</c:v>
                </c:pt>
                <c:pt idx="90">
                  <c:v>0.73969160634184816</c:v>
                </c:pt>
                <c:pt idx="91">
                  <c:v>0.71333704687679744</c:v>
                </c:pt>
                <c:pt idx="92">
                  <c:v>0.68597070812188232</c:v>
                </c:pt>
                <c:pt idx="93">
                  <c:v>0.65746625948071513</c:v>
                </c:pt>
                <c:pt idx="94">
                  <c:v>0.62766866443203095</c:v>
                </c:pt>
                <c:pt idx="95">
                  <c:v>0.60277094179576263</c:v>
                </c:pt>
                <c:pt idx="96">
                  <c:v>0.57679950089854604</c:v>
                </c:pt>
                <c:pt idx="97">
                  <c:v>0.54960214719401623</c:v>
                </c:pt>
                <c:pt idx="98">
                  <c:v>0.52098692513702693</c:v>
                </c:pt>
                <c:pt idx="99">
                  <c:v>0.4907058509200754</c:v>
                </c:pt>
                <c:pt idx="100">
                  <c:v>0.45842893461326856</c:v>
                </c:pt>
                <c:pt idx="101">
                  <c:v>0.43264388365404211</c:v>
                </c:pt>
                <c:pt idx="102">
                  <c:v>0.40522138644924488</c:v>
                </c:pt>
                <c:pt idx="103">
                  <c:v>0.3758031585929581</c:v>
                </c:pt>
                <c:pt idx="104">
                  <c:v>0.34387738509683924</c:v>
                </c:pt>
                <c:pt idx="105">
                  <c:v>0.3086669693271954</c:v>
                </c:pt>
                <c:pt idx="106">
                  <c:v>0.282767971905176</c:v>
                </c:pt>
                <c:pt idx="107">
                  <c:v>0.25424428000861093</c:v>
                </c:pt>
                <c:pt idx="108">
                  <c:v>0.22208687916855316</c:v>
                </c:pt>
                <c:pt idx="109">
                  <c:v>0.18440447359149972</c:v>
                </c:pt>
                <c:pt idx="110">
                  <c:v>0.1367020038707871</c:v>
                </c:pt>
                <c:pt idx="111">
                  <c:v>0.10501738833714151</c:v>
                </c:pt>
                <c:pt idx="112">
                  <c:v>5.8050545596223892E-2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E2-44D4-A79E-D0C412D0D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24176"/>
        <c:axId val="884724736"/>
      </c:scatterChart>
      <c:scatterChart>
        <c:scatterStyle val="lineMarker"/>
        <c:varyColors val="0"/>
        <c:ser>
          <c:idx val="1"/>
          <c:order val="1"/>
          <c:tx>
            <c:v>Nível d'água no reservatório 2</c:v>
          </c:tx>
          <c:spPr>
            <a:ln w="19050" cap="rnd">
              <a:solidFill>
                <a:srgbClr val="FFFF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Simulação!$AJ$5:$AJ$125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5</c:v>
                </c:pt>
                <c:pt idx="5">
                  <c:v>8</c:v>
                </c:pt>
                <c:pt idx="6">
                  <c:v>11.5</c:v>
                </c:pt>
                <c:pt idx="7">
                  <c:v>15.75</c:v>
                </c:pt>
                <c:pt idx="8">
                  <c:v>20.5</c:v>
                </c:pt>
                <c:pt idx="9">
                  <c:v>25.5</c:v>
                </c:pt>
                <c:pt idx="10">
                  <c:v>30.5</c:v>
                </c:pt>
                <c:pt idx="11">
                  <c:v>35.25</c:v>
                </c:pt>
                <c:pt idx="12">
                  <c:v>40</c:v>
                </c:pt>
                <c:pt idx="13">
                  <c:v>44.5</c:v>
                </c:pt>
                <c:pt idx="14">
                  <c:v>49</c:v>
                </c:pt>
                <c:pt idx="15">
                  <c:v>53.5</c:v>
                </c:pt>
                <c:pt idx="16">
                  <c:v>57.75</c:v>
                </c:pt>
                <c:pt idx="17">
                  <c:v>62</c:v>
                </c:pt>
                <c:pt idx="18">
                  <c:v>66.25</c:v>
                </c:pt>
                <c:pt idx="19">
                  <c:v>70.25</c:v>
                </c:pt>
                <c:pt idx="20">
                  <c:v>74.25</c:v>
                </c:pt>
                <c:pt idx="21">
                  <c:v>78.25</c:v>
                </c:pt>
                <c:pt idx="22">
                  <c:v>82.25</c:v>
                </c:pt>
                <c:pt idx="23">
                  <c:v>86.25</c:v>
                </c:pt>
                <c:pt idx="24">
                  <c:v>90</c:v>
                </c:pt>
                <c:pt idx="25">
                  <c:v>93.75</c:v>
                </c:pt>
                <c:pt idx="26">
                  <c:v>97.5</c:v>
                </c:pt>
                <c:pt idx="27">
                  <c:v>101.25</c:v>
                </c:pt>
                <c:pt idx="28">
                  <c:v>104.75</c:v>
                </c:pt>
                <c:pt idx="29">
                  <c:v>108.25</c:v>
                </c:pt>
                <c:pt idx="30">
                  <c:v>111.75</c:v>
                </c:pt>
                <c:pt idx="31">
                  <c:v>115.25</c:v>
                </c:pt>
                <c:pt idx="32">
                  <c:v>118.75</c:v>
                </c:pt>
                <c:pt idx="33">
                  <c:v>122</c:v>
                </c:pt>
                <c:pt idx="34">
                  <c:v>125</c:v>
                </c:pt>
                <c:pt idx="35">
                  <c:v>127.75</c:v>
                </c:pt>
                <c:pt idx="36">
                  <c:v>130</c:v>
                </c:pt>
                <c:pt idx="37">
                  <c:v>131.25</c:v>
                </c:pt>
                <c:pt idx="38">
                  <c:v>131.5</c:v>
                </c:pt>
                <c:pt idx="39">
                  <c:v>131</c:v>
                </c:pt>
                <c:pt idx="40">
                  <c:v>129.75</c:v>
                </c:pt>
                <c:pt idx="41">
                  <c:v>127.75</c:v>
                </c:pt>
                <c:pt idx="42">
                  <c:v>125.25</c:v>
                </c:pt>
                <c:pt idx="43">
                  <c:v>122</c:v>
                </c:pt>
                <c:pt idx="44">
                  <c:v>118.75</c:v>
                </c:pt>
                <c:pt idx="45">
                  <c:v>115.75</c:v>
                </c:pt>
                <c:pt idx="46">
                  <c:v>112.75</c:v>
                </c:pt>
                <c:pt idx="47">
                  <c:v>109.75</c:v>
                </c:pt>
                <c:pt idx="48">
                  <c:v>106.75</c:v>
                </c:pt>
                <c:pt idx="49">
                  <c:v>103.75</c:v>
                </c:pt>
                <c:pt idx="50">
                  <c:v>100.75</c:v>
                </c:pt>
                <c:pt idx="51">
                  <c:v>98</c:v>
                </c:pt>
                <c:pt idx="52">
                  <c:v>95.25</c:v>
                </c:pt>
                <c:pt idx="53">
                  <c:v>92.5</c:v>
                </c:pt>
                <c:pt idx="54">
                  <c:v>89.75</c:v>
                </c:pt>
                <c:pt idx="55">
                  <c:v>87</c:v>
                </c:pt>
                <c:pt idx="56">
                  <c:v>84.25</c:v>
                </c:pt>
                <c:pt idx="57">
                  <c:v>81.75</c:v>
                </c:pt>
                <c:pt idx="58">
                  <c:v>79.25</c:v>
                </c:pt>
                <c:pt idx="59">
                  <c:v>76.75</c:v>
                </c:pt>
                <c:pt idx="60">
                  <c:v>74.25</c:v>
                </c:pt>
                <c:pt idx="61">
                  <c:v>71.75</c:v>
                </c:pt>
                <c:pt idx="62">
                  <c:v>69.25</c:v>
                </c:pt>
                <c:pt idx="63">
                  <c:v>66.75</c:v>
                </c:pt>
                <c:pt idx="64">
                  <c:v>64.5</c:v>
                </c:pt>
                <c:pt idx="65">
                  <c:v>62.25</c:v>
                </c:pt>
                <c:pt idx="66">
                  <c:v>60</c:v>
                </c:pt>
                <c:pt idx="67">
                  <c:v>57.75</c:v>
                </c:pt>
                <c:pt idx="68">
                  <c:v>55.5</c:v>
                </c:pt>
                <c:pt idx="69">
                  <c:v>53.25</c:v>
                </c:pt>
                <c:pt idx="70">
                  <c:v>51.25</c:v>
                </c:pt>
                <c:pt idx="71">
                  <c:v>49.25</c:v>
                </c:pt>
                <c:pt idx="72">
                  <c:v>47.25</c:v>
                </c:pt>
                <c:pt idx="73">
                  <c:v>45.25</c:v>
                </c:pt>
                <c:pt idx="74">
                  <c:v>43.25</c:v>
                </c:pt>
                <c:pt idx="75">
                  <c:v>41.25</c:v>
                </c:pt>
                <c:pt idx="76">
                  <c:v>39.5</c:v>
                </c:pt>
                <c:pt idx="77">
                  <c:v>37.75</c:v>
                </c:pt>
                <c:pt idx="78">
                  <c:v>36</c:v>
                </c:pt>
                <c:pt idx="79">
                  <c:v>34.25</c:v>
                </c:pt>
                <c:pt idx="80">
                  <c:v>32.5</c:v>
                </c:pt>
                <c:pt idx="81">
                  <c:v>30.75</c:v>
                </c:pt>
                <c:pt idx="82">
                  <c:v>29.25</c:v>
                </c:pt>
                <c:pt idx="83">
                  <c:v>27.75</c:v>
                </c:pt>
                <c:pt idx="84">
                  <c:v>26.25</c:v>
                </c:pt>
                <c:pt idx="85">
                  <c:v>24.75</c:v>
                </c:pt>
                <c:pt idx="86">
                  <c:v>23.25</c:v>
                </c:pt>
                <c:pt idx="87">
                  <c:v>21.75</c:v>
                </c:pt>
                <c:pt idx="88">
                  <c:v>20.5</c:v>
                </c:pt>
                <c:pt idx="89">
                  <c:v>19.25</c:v>
                </c:pt>
                <c:pt idx="90">
                  <c:v>18</c:v>
                </c:pt>
                <c:pt idx="91">
                  <c:v>16.75</c:v>
                </c:pt>
                <c:pt idx="92">
                  <c:v>15.5</c:v>
                </c:pt>
                <c:pt idx="93">
                  <c:v>14.25</c:v>
                </c:pt>
                <c:pt idx="94">
                  <c:v>13.25</c:v>
                </c:pt>
                <c:pt idx="95">
                  <c:v>12.25</c:v>
                </c:pt>
                <c:pt idx="96">
                  <c:v>11.25</c:v>
                </c:pt>
                <c:pt idx="97">
                  <c:v>10.25</c:v>
                </c:pt>
                <c:pt idx="98">
                  <c:v>9.25</c:v>
                </c:pt>
                <c:pt idx="99">
                  <c:v>8.25</c:v>
                </c:pt>
                <c:pt idx="100">
                  <c:v>7.5</c:v>
                </c:pt>
                <c:pt idx="101">
                  <c:v>6.75</c:v>
                </c:pt>
                <c:pt idx="102">
                  <c:v>6</c:v>
                </c:pt>
                <c:pt idx="103">
                  <c:v>5.25</c:v>
                </c:pt>
                <c:pt idx="104">
                  <c:v>4.5</c:v>
                </c:pt>
                <c:pt idx="105">
                  <c:v>4</c:v>
                </c:pt>
                <c:pt idx="106">
                  <c:v>3.5</c:v>
                </c:pt>
                <c:pt idx="107">
                  <c:v>3</c:v>
                </c:pt>
                <c:pt idx="108">
                  <c:v>2.5</c:v>
                </c:pt>
                <c:pt idx="109">
                  <c:v>2</c:v>
                </c:pt>
                <c:pt idx="110">
                  <c:v>1.75</c:v>
                </c:pt>
                <c:pt idx="111">
                  <c:v>1.5</c:v>
                </c:pt>
                <c:pt idx="112">
                  <c:v>1.25</c:v>
                </c:pt>
                <c:pt idx="113">
                  <c:v>1.25</c:v>
                </c:pt>
                <c:pt idx="114">
                  <c:v>1.25</c:v>
                </c:pt>
                <c:pt idx="115">
                  <c:v>1.25</c:v>
                </c:pt>
                <c:pt idx="116">
                  <c:v>1.25</c:v>
                </c:pt>
                <c:pt idx="117">
                  <c:v>1.25</c:v>
                </c:pt>
                <c:pt idx="118">
                  <c:v>1.25</c:v>
                </c:pt>
                <c:pt idx="119">
                  <c:v>1.25</c:v>
                </c:pt>
                <c:pt idx="120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E2-44D4-A79E-D0C412D0D17A}"/>
            </c:ext>
          </c:extLst>
        </c:ser>
        <c:ser>
          <c:idx val="5"/>
          <c:order val="5"/>
          <c:tx>
            <c:v>Nível d'água no reservatório 1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Simulação!$AI$5:$AI$125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5</c:v>
                </c:pt>
                <c:pt idx="5">
                  <c:v>8</c:v>
                </c:pt>
                <c:pt idx="6">
                  <c:v>11.5</c:v>
                </c:pt>
                <c:pt idx="7">
                  <c:v>15.75</c:v>
                </c:pt>
                <c:pt idx="8">
                  <c:v>20.5</c:v>
                </c:pt>
                <c:pt idx="9">
                  <c:v>25.5</c:v>
                </c:pt>
                <c:pt idx="10">
                  <c:v>30.5</c:v>
                </c:pt>
                <c:pt idx="11">
                  <c:v>35.25</c:v>
                </c:pt>
                <c:pt idx="12">
                  <c:v>40</c:v>
                </c:pt>
                <c:pt idx="13">
                  <c:v>44.5</c:v>
                </c:pt>
                <c:pt idx="14">
                  <c:v>49</c:v>
                </c:pt>
                <c:pt idx="15">
                  <c:v>53.5</c:v>
                </c:pt>
                <c:pt idx="16">
                  <c:v>57.75</c:v>
                </c:pt>
                <c:pt idx="17">
                  <c:v>62</c:v>
                </c:pt>
                <c:pt idx="18">
                  <c:v>66.25</c:v>
                </c:pt>
                <c:pt idx="19">
                  <c:v>70.25</c:v>
                </c:pt>
                <c:pt idx="20">
                  <c:v>74.25</c:v>
                </c:pt>
                <c:pt idx="21">
                  <c:v>78.25</c:v>
                </c:pt>
                <c:pt idx="22">
                  <c:v>82.25</c:v>
                </c:pt>
                <c:pt idx="23">
                  <c:v>86.25</c:v>
                </c:pt>
                <c:pt idx="24">
                  <c:v>90</c:v>
                </c:pt>
                <c:pt idx="25">
                  <c:v>93.75</c:v>
                </c:pt>
                <c:pt idx="26">
                  <c:v>97.5</c:v>
                </c:pt>
                <c:pt idx="27">
                  <c:v>101.25</c:v>
                </c:pt>
                <c:pt idx="28">
                  <c:v>104.75</c:v>
                </c:pt>
                <c:pt idx="29">
                  <c:v>108.25</c:v>
                </c:pt>
                <c:pt idx="30">
                  <c:v>111.75</c:v>
                </c:pt>
                <c:pt idx="31">
                  <c:v>115.25</c:v>
                </c:pt>
                <c:pt idx="32">
                  <c:v>118.75</c:v>
                </c:pt>
                <c:pt idx="33">
                  <c:v>122.25</c:v>
                </c:pt>
                <c:pt idx="34">
                  <c:v>125.5</c:v>
                </c:pt>
                <c:pt idx="35">
                  <c:v>128.75</c:v>
                </c:pt>
                <c:pt idx="36">
                  <c:v>131.5</c:v>
                </c:pt>
                <c:pt idx="37">
                  <c:v>133.25</c:v>
                </c:pt>
                <c:pt idx="38">
                  <c:v>133.75</c:v>
                </c:pt>
                <c:pt idx="39">
                  <c:v>133.5</c:v>
                </c:pt>
                <c:pt idx="40">
                  <c:v>132.5</c:v>
                </c:pt>
                <c:pt idx="41">
                  <c:v>131</c:v>
                </c:pt>
                <c:pt idx="42">
                  <c:v>129</c:v>
                </c:pt>
                <c:pt idx="43">
                  <c:v>126.25</c:v>
                </c:pt>
                <c:pt idx="44">
                  <c:v>123</c:v>
                </c:pt>
                <c:pt idx="45">
                  <c:v>119.75</c:v>
                </c:pt>
                <c:pt idx="46">
                  <c:v>116.75</c:v>
                </c:pt>
                <c:pt idx="47">
                  <c:v>113.75</c:v>
                </c:pt>
                <c:pt idx="48">
                  <c:v>110.75</c:v>
                </c:pt>
                <c:pt idx="49">
                  <c:v>107.75</c:v>
                </c:pt>
                <c:pt idx="50">
                  <c:v>104.75</c:v>
                </c:pt>
                <c:pt idx="51">
                  <c:v>101.75</c:v>
                </c:pt>
                <c:pt idx="52">
                  <c:v>99</c:v>
                </c:pt>
                <c:pt idx="53">
                  <c:v>96.25</c:v>
                </c:pt>
                <c:pt idx="54">
                  <c:v>93.5</c:v>
                </c:pt>
                <c:pt idx="55">
                  <c:v>90.75</c:v>
                </c:pt>
                <c:pt idx="56">
                  <c:v>88</c:v>
                </c:pt>
                <c:pt idx="57">
                  <c:v>85.25</c:v>
                </c:pt>
                <c:pt idx="58">
                  <c:v>82.5</c:v>
                </c:pt>
                <c:pt idx="59">
                  <c:v>80</c:v>
                </c:pt>
                <c:pt idx="60">
                  <c:v>77.5</c:v>
                </c:pt>
                <c:pt idx="61">
                  <c:v>75</c:v>
                </c:pt>
                <c:pt idx="62">
                  <c:v>72.5</c:v>
                </c:pt>
                <c:pt idx="63">
                  <c:v>70</c:v>
                </c:pt>
                <c:pt idx="64">
                  <c:v>67.5</c:v>
                </c:pt>
                <c:pt idx="65">
                  <c:v>65.25</c:v>
                </c:pt>
                <c:pt idx="66">
                  <c:v>63</c:v>
                </c:pt>
                <c:pt idx="67">
                  <c:v>60.75</c:v>
                </c:pt>
                <c:pt idx="68">
                  <c:v>58.5</c:v>
                </c:pt>
                <c:pt idx="69">
                  <c:v>56.25</c:v>
                </c:pt>
                <c:pt idx="70">
                  <c:v>54</c:v>
                </c:pt>
                <c:pt idx="71">
                  <c:v>51.75</c:v>
                </c:pt>
                <c:pt idx="72">
                  <c:v>49.75</c:v>
                </c:pt>
                <c:pt idx="73">
                  <c:v>47.75</c:v>
                </c:pt>
                <c:pt idx="74">
                  <c:v>45.75</c:v>
                </c:pt>
                <c:pt idx="75">
                  <c:v>43.75</c:v>
                </c:pt>
                <c:pt idx="76">
                  <c:v>41.75</c:v>
                </c:pt>
                <c:pt idx="77">
                  <c:v>39.75</c:v>
                </c:pt>
                <c:pt idx="78">
                  <c:v>38</c:v>
                </c:pt>
                <c:pt idx="79">
                  <c:v>36.25</c:v>
                </c:pt>
                <c:pt idx="80">
                  <c:v>34.5</c:v>
                </c:pt>
                <c:pt idx="81">
                  <c:v>32.75</c:v>
                </c:pt>
                <c:pt idx="82">
                  <c:v>31</c:v>
                </c:pt>
                <c:pt idx="83">
                  <c:v>29.25</c:v>
                </c:pt>
                <c:pt idx="84">
                  <c:v>27.75</c:v>
                </c:pt>
                <c:pt idx="85">
                  <c:v>26.25</c:v>
                </c:pt>
                <c:pt idx="86">
                  <c:v>24.75</c:v>
                </c:pt>
                <c:pt idx="87">
                  <c:v>23.25</c:v>
                </c:pt>
                <c:pt idx="88">
                  <c:v>21.75</c:v>
                </c:pt>
                <c:pt idx="89">
                  <c:v>20.5</c:v>
                </c:pt>
                <c:pt idx="90">
                  <c:v>19.25</c:v>
                </c:pt>
                <c:pt idx="91">
                  <c:v>18</c:v>
                </c:pt>
                <c:pt idx="92">
                  <c:v>16.75</c:v>
                </c:pt>
                <c:pt idx="93">
                  <c:v>15.5</c:v>
                </c:pt>
                <c:pt idx="94">
                  <c:v>14.25</c:v>
                </c:pt>
                <c:pt idx="95">
                  <c:v>13.25</c:v>
                </c:pt>
                <c:pt idx="96">
                  <c:v>12.25</c:v>
                </c:pt>
                <c:pt idx="97">
                  <c:v>11.25</c:v>
                </c:pt>
                <c:pt idx="98">
                  <c:v>10.25</c:v>
                </c:pt>
                <c:pt idx="99">
                  <c:v>9.25</c:v>
                </c:pt>
                <c:pt idx="100">
                  <c:v>8.25</c:v>
                </c:pt>
                <c:pt idx="101">
                  <c:v>7.5</c:v>
                </c:pt>
                <c:pt idx="102">
                  <c:v>6.75</c:v>
                </c:pt>
                <c:pt idx="103">
                  <c:v>6</c:v>
                </c:pt>
                <c:pt idx="104">
                  <c:v>5.25</c:v>
                </c:pt>
                <c:pt idx="105">
                  <c:v>4.5</c:v>
                </c:pt>
                <c:pt idx="106">
                  <c:v>4</c:v>
                </c:pt>
                <c:pt idx="107">
                  <c:v>3.5</c:v>
                </c:pt>
                <c:pt idx="108">
                  <c:v>3</c:v>
                </c:pt>
                <c:pt idx="109">
                  <c:v>2.5</c:v>
                </c:pt>
                <c:pt idx="110">
                  <c:v>2</c:v>
                </c:pt>
                <c:pt idx="111">
                  <c:v>1.75</c:v>
                </c:pt>
                <c:pt idx="112">
                  <c:v>1.5</c:v>
                </c:pt>
                <c:pt idx="113">
                  <c:v>1.25</c:v>
                </c:pt>
                <c:pt idx="114">
                  <c:v>1.25</c:v>
                </c:pt>
                <c:pt idx="115">
                  <c:v>1.25</c:v>
                </c:pt>
                <c:pt idx="116">
                  <c:v>1.25</c:v>
                </c:pt>
                <c:pt idx="117">
                  <c:v>1.25</c:v>
                </c:pt>
                <c:pt idx="118">
                  <c:v>1.25</c:v>
                </c:pt>
                <c:pt idx="119">
                  <c:v>1.25</c:v>
                </c:pt>
                <c:pt idx="120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E2-44D4-A79E-D0C412D0D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25856"/>
        <c:axId val="884725296"/>
      </c:scatterChart>
      <c:valAx>
        <c:axId val="88472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Tempo [min]</a:t>
                </a:r>
              </a:p>
            </c:rich>
          </c:tx>
          <c:layout>
            <c:manualLayout>
              <c:xMode val="edge"/>
              <c:yMode val="edge"/>
              <c:x val="0.43207301390473901"/>
              <c:y val="0.785152680183353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724736"/>
        <c:crosses val="autoZero"/>
        <c:crossBetween val="midCat"/>
      </c:valAx>
      <c:valAx>
        <c:axId val="88472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Vazão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724176"/>
        <c:crosses val="autoZero"/>
        <c:crossBetween val="midCat"/>
      </c:valAx>
      <c:valAx>
        <c:axId val="8847252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Altura no reservatório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725856"/>
        <c:crosses val="max"/>
        <c:crossBetween val="midCat"/>
      </c:valAx>
      <c:valAx>
        <c:axId val="88472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472529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6348840277114419E-2"/>
          <c:y val="0.84963181418956513"/>
          <c:w val="0.92004512819247586"/>
          <c:h val="0.15036860584752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bg1">
            <a:lumMod val="85000"/>
            <a:shade val="30000"/>
            <a:satMod val="115000"/>
          </a:schemeClr>
        </a:gs>
        <a:gs pos="50000">
          <a:schemeClr val="bg1">
            <a:lumMod val="85000"/>
            <a:shade val="67500"/>
            <a:satMod val="115000"/>
          </a:schemeClr>
        </a:gs>
        <a:gs pos="100000">
          <a:schemeClr val="bg1">
            <a:lumMod val="85000"/>
            <a:shade val="100000"/>
            <a:satMod val="115000"/>
          </a:schemeClr>
        </a:gs>
      </a:gsLst>
      <a:path path="circle">
        <a:fillToRect l="50000" t="50000" r="50000" b="50000"/>
      </a:path>
      <a:tileRect/>
    </a:gradFill>
    <a:ln w="19050" cap="flat" cmpd="sng" algn="ctr">
      <a:solidFill>
        <a:schemeClr val="bg1">
          <a:lumMod val="50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 Front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51159230096238"/>
          <c:y val="0.12541666666666668"/>
          <c:w val="0.81949962247395924"/>
          <c:h val="0.70398950131233606"/>
        </c:manualLayout>
      </c:layout>
      <c:scatterChart>
        <c:scatterStyle val="lineMarker"/>
        <c:varyColors val="0"/>
        <c:ser>
          <c:idx val="0"/>
          <c:order val="0"/>
          <c:tx>
            <c:v>Frente Pareto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chemeClr val="tx1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E5B-4D67-AFD1-973DDA8F4741}"/>
              </c:ext>
            </c:extLst>
          </c:dPt>
          <c:dLbls>
            <c:dLbl>
              <c:idx val="0"/>
              <c:layout>
                <c:manualLayout>
                  <c:x val="0.1861415205266122"/>
                  <c:y val="6.9936934966462513E-2"/>
                </c:manualLayout>
              </c:layout>
              <c:tx>
                <c:rich>
                  <a:bodyPr/>
                  <a:lstStyle/>
                  <a:p>
                    <a:fld id="{5AFE4347-530C-4A6B-AC2B-0488F7EEBF87}" type="CELLRANGE">
                      <a:rPr lang="en-US"/>
                      <a:pPr/>
                      <a:t>[INTERVALODACÉLULA]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9401790566606283"/>
                      <c:h val="0.1518751822688830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EE5B-4D67-AFD1-973DDA8F4741}"/>
                </c:ext>
              </c:extLst>
            </c:dLbl>
            <c:dLbl>
              <c:idx val="1"/>
              <c:layout>
                <c:manualLayout>
                  <c:x val="-0.32856932315775206"/>
                  <c:y val="0.16898148148148148"/>
                </c:manualLayout>
              </c:layout>
              <c:tx>
                <c:rich>
                  <a:bodyPr/>
                  <a:lstStyle/>
                  <a:p>
                    <a:fld id="{B6F473CF-6E58-44A2-9C5B-A5633BBD8A6A}" type="CELLRANGE">
                      <a:rPr lang="en-US"/>
                      <a:pPr/>
                      <a:t>[INTERVALODACÉLULA]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9104475451534474"/>
                      <c:h val="0.1936111111111111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E5B-4D67-AFD1-973DDA8F4741}"/>
                </c:ext>
              </c:extLst>
            </c:dLbl>
            <c:dLbl>
              <c:idx val="2"/>
              <c:layout>
                <c:manualLayout>
                  <c:x val="-1.7514063621984362E-3"/>
                  <c:y val="-0.35416703120443283"/>
                </c:manualLayout>
              </c:layout>
              <c:tx>
                <c:rich>
                  <a:bodyPr/>
                  <a:lstStyle/>
                  <a:p>
                    <a:fld id="{15C68556-5921-4347-868A-A270EAC6739C}" type="CELLRANGE">
                      <a:rPr lang="en-US"/>
                      <a:pPr/>
                      <a:t>[INTERVALODACÉLULA]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066457207528271"/>
                      <c:h val="0.23520851560221639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E5B-4D67-AFD1-973DDA8F4741}"/>
                </c:ext>
              </c:extLst>
            </c:dLbl>
            <c:dLbl>
              <c:idx val="3"/>
              <c:layout>
                <c:manualLayout>
                  <c:x val="-0.37490599987644918"/>
                  <c:y val="3.472222222222222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859733158355202"/>
                      <c:h val="0.124097404491105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E5B-4D67-AFD1-973DDA8F47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5B-4D67-AFD1-973DDA8F47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E5B-4D67-AFD1-973DDA8F47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5B-4D67-AFD1-973DDA8F47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5B-4D67-AFD1-973DDA8F47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5B-4D67-AFD1-973DDA8F47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E5B-4D67-AFD1-973DDA8F47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5B-4D67-AFD1-973DDA8F47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5B-4D67-AFD1-973DDA8F47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5B-4D67-AFD1-973DDA8F4741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'Base de dados'!$AQ$28:$AQ$40</c:f>
              <c:numCache>
                <c:formatCode>General</c:formatCode>
                <c:ptCount val="13"/>
                <c:pt idx="0">
                  <c:v>1.98</c:v>
                </c:pt>
                <c:pt idx="1">
                  <c:v>2.3199999999999998</c:v>
                </c:pt>
                <c:pt idx="2">
                  <c:v>2.5099999999999998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xVal>
          <c:yVal>
            <c:numRef>
              <c:f>'Base de dados'!$AO$28:$AO$40</c:f>
              <c:numCache>
                <c:formatCode>General</c:formatCode>
                <c:ptCount val="13"/>
                <c:pt idx="0">
                  <c:v>5.0599999999999996</c:v>
                </c:pt>
                <c:pt idx="1">
                  <c:v>4.9800000000000004</c:v>
                </c:pt>
                <c:pt idx="2">
                  <c:v>4.93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'Base de dados'!$BE$28:$BE$30</c15:f>
                <c15:dlblRangeCache>
                  <c:ptCount val="3"/>
                  <c:pt idx="0">
                    <c:v>Vol = 5.06m³ / Qmaxef = 1.98L/s / φs = 20 mm / φh = 25 mm / h = 1.35m</c:v>
                  </c:pt>
                  <c:pt idx="1">
                    <c:v>Vol = 4.98m³ / Qmaxef = 2.32L/s / φs = 25 mm / φh = 25 mm / h = 1.33m </c:v>
                  </c:pt>
                  <c:pt idx="2">
                    <c:v>Vol = 4.93m³ / Qmaxef = 2.51L/s / φs = 32 mm / φh = 25 mm /  h = 1.32m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0D4-45CB-8A44-E88A1C39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662016"/>
        <c:axId val="707339872"/>
      </c:scatterChart>
      <c:valAx>
        <c:axId val="786662016"/>
        <c:scaling>
          <c:orientation val="minMax"/>
          <c:max val="2.5499999999999998"/>
          <c:min val="1.9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Qmaxef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339872"/>
        <c:crosses val="autoZero"/>
        <c:crossBetween val="midCat"/>
      </c:valAx>
      <c:valAx>
        <c:axId val="707339872"/>
        <c:scaling>
          <c:orientation val="minMax"/>
          <c:max val="5.0599999999999996"/>
          <c:min val="4.9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Volume [m³]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66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 Front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67747636105153"/>
          <c:y val="0.12541666666666668"/>
          <c:w val="0.80833367585511562"/>
          <c:h val="0.70398950131233606"/>
        </c:manualLayout>
      </c:layout>
      <c:scatterChart>
        <c:scatterStyle val="lineMarker"/>
        <c:varyColors val="0"/>
        <c:ser>
          <c:idx val="0"/>
          <c:order val="0"/>
          <c:tx>
            <c:v>Frente Pareto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4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3"/>
            <c:marker>
              <c:symbol val="triangle"/>
              <c:size val="14"/>
              <c:spPr>
                <a:solidFill>
                  <a:schemeClr val="tx1"/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D1E-41FA-A865-F2F91B126E17}"/>
              </c:ext>
            </c:extLst>
          </c:dPt>
          <c:trendline>
            <c:spPr>
              <a:ln w="28575" cap="rnd">
                <a:solidFill>
                  <a:srgbClr val="00206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'Base de dados'!$AQ$28:$AQ$40</c:f>
              <c:numCache>
                <c:formatCode>General</c:formatCode>
                <c:ptCount val="13"/>
                <c:pt idx="0">
                  <c:v>1.98</c:v>
                </c:pt>
                <c:pt idx="1">
                  <c:v>2.3199999999999998</c:v>
                </c:pt>
                <c:pt idx="2">
                  <c:v>2.5099999999999998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xVal>
          <c:yVal>
            <c:numRef>
              <c:f>'Base de dados'!$AO$28:$AO$40</c:f>
              <c:numCache>
                <c:formatCode>General</c:formatCode>
                <c:ptCount val="13"/>
                <c:pt idx="0">
                  <c:v>5.0599999999999996</c:v>
                </c:pt>
                <c:pt idx="1">
                  <c:v>4.9800000000000004</c:v>
                </c:pt>
                <c:pt idx="2">
                  <c:v>4.93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D1E-41FA-A865-F2F91B126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662016"/>
        <c:axId val="707339872"/>
      </c:scatterChart>
      <c:valAx>
        <c:axId val="78666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Qmaxef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339872"/>
        <c:crosses val="autoZero"/>
        <c:crossBetween val="midCat"/>
      </c:valAx>
      <c:valAx>
        <c:axId val="7073398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Volume [m³]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66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Regressão!$L$4</c:f>
          <c:strCache>
            <c:ptCount val="1"/>
            <c:pt idx="0">
              <c:v>Least square fit  -  R2 = 1</c:v>
            </c:pt>
          </c:strCache>
        </c:strRef>
      </c:tx>
      <c:overlay val="0"/>
      <c:spPr>
        <a:noFill/>
        <a:ln>
          <a:solidFill>
            <a:schemeClr val="bg1">
              <a:lumMod val="95000"/>
              <a:alpha val="96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2490647329643"/>
          <c:y val="8.6750771536734148E-2"/>
          <c:w val="0.73819581576413829"/>
          <c:h val="0.72840476031289703"/>
        </c:manualLayout>
      </c:layout>
      <c:scatterChart>
        <c:scatterStyle val="lineMarker"/>
        <c:varyColors val="0"/>
        <c:ser>
          <c:idx val="2"/>
          <c:order val="0"/>
          <c:tx>
            <c:v>Stage-storage points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[0]!h_obs_quad</c:f>
              <c:numCache>
                <c:formatCode>0.00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</c:numCache>
            </c:numRef>
          </c:xVal>
          <c:yVal>
            <c:numRef>
              <c:f>[0]!Vol_obs_quad</c:f>
              <c:numCache>
                <c:formatCode>0.00</c:formatCode>
                <c:ptCount val="4"/>
                <c:pt idx="0">
                  <c:v>10</c:v>
                </c:pt>
                <c:pt idx="1">
                  <c:v>21.23</c:v>
                </c:pt>
                <c:pt idx="2">
                  <c:v>33.75</c:v>
                </c:pt>
                <c:pt idx="3">
                  <c:v>47.64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BB-4C6D-BDB6-0EA6C0021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30336"/>
        <c:axId val="884730896"/>
      </c:scatterChart>
      <c:scatterChart>
        <c:scatterStyle val="smoothMarker"/>
        <c:varyColors val="0"/>
        <c:ser>
          <c:idx val="4"/>
          <c:order val="1"/>
          <c:tx>
            <c:strRef>
              <c:f>Regressão!$AE$3</c:f>
              <c:strCache>
                <c:ptCount val="1"/>
                <c:pt idx="0">
                  <c:v>S = 60,353.(h ^ 1,1229)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[0]!h_obs_quad</c:f>
              <c:numCache>
                <c:formatCode>0.00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</c:numCache>
            </c:numRef>
          </c:xVal>
          <c:yVal>
            <c:numRef>
              <c:f>[0]!Vcalc_quad</c:f>
              <c:numCache>
                <c:formatCode>0.00</c:formatCode>
                <c:ptCount val="4"/>
                <c:pt idx="0">
                  <c:v>9.9049531238002473</c:v>
                </c:pt>
                <c:pt idx="1">
                  <c:v>21.570855265777389</c:v>
                </c:pt>
                <c:pt idx="2">
                  <c:v>34.008966129602136</c:v>
                </c:pt>
                <c:pt idx="3">
                  <c:v>46.976678342783828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BB-4C6D-BDB6-0EA6C0021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30336"/>
        <c:axId val="884730896"/>
      </c:scatterChart>
      <c:scatterChart>
        <c:scatterStyle val="smoothMarker"/>
        <c:varyColors val="0"/>
        <c:ser>
          <c:idx val="0"/>
          <c:order val="2"/>
          <c:tx>
            <c:strRef>
              <c:f>Regressão!$AE$19</c:f>
              <c:strCache>
                <c:ptCount val="1"/>
                <c:pt idx="0">
                  <c:v>A = 67,768.(h^0,1229)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[0]!h_obs_quad</c:f>
              <c:numCache>
                <c:formatCode>0.00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</c:numCache>
            </c:numRef>
          </c:xVal>
          <c:yVal>
            <c:numRef>
              <c:f>[0]!Area_quad</c:f>
              <c:numCache>
                <c:formatCode>0.00</c:formatCode>
                <c:ptCount val="4"/>
                <c:pt idx="0">
                  <c:v>55.609444027567363</c:v>
                </c:pt>
                <c:pt idx="1">
                  <c:v>60.552697904579986</c:v>
                </c:pt>
                <c:pt idx="2">
                  <c:v>63.645588046758874</c:v>
                </c:pt>
                <c:pt idx="3">
                  <c:v>65.935369210051093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BB-4C6D-BDB6-0EA6C0021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32016"/>
        <c:axId val="884731456"/>
      </c:scatterChart>
      <c:valAx>
        <c:axId val="884730336"/>
        <c:scaling>
          <c:orientation val="minMax"/>
          <c:max val="0.8"/>
          <c:min val="0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 b="1">
                    <a:solidFill>
                      <a:sysClr val="windowText" lastClr="000000"/>
                    </a:solidFill>
                  </a:rPr>
                  <a:t>Water level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730896"/>
        <c:crosses val="autoZero"/>
        <c:crossBetween val="midCat"/>
      </c:valAx>
      <c:valAx>
        <c:axId val="884730896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 b="1">
                    <a:solidFill>
                      <a:sysClr val="windowText" lastClr="000000"/>
                    </a:solidFill>
                  </a:rPr>
                  <a:t>Volume [m³]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730336"/>
        <c:crosses val="autoZero"/>
        <c:crossBetween val="midCat"/>
      </c:valAx>
      <c:valAx>
        <c:axId val="8847314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Area [m²]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5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732016"/>
        <c:crosses val="max"/>
        <c:crossBetween val="midCat"/>
      </c:valAx>
      <c:valAx>
        <c:axId val="8847320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8473145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3180339318919758"/>
          <c:y val="0.58282556889070691"/>
          <c:w val="0.42805977396479516"/>
          <c:h val="0.2141444619125979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  <a:prstDash val="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18" Type="http://schemas.openxmlformats.org/officeDocument/2006/relationships/chart" Target="../charts/chart12.xml"/><Relationship Id="rId3" Type="http://schemas.openxmlformats.org/officeDocument/2006/relationships/image" Target="../media/image3.png"/><Relationship Id="rId21" Type="http://schemas.openxmlformats.org/officeDocument/2006/relationships/chart" Target="../charts/chart15.xml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2.png"/><Relationship Id="rId16" Type="http://schemas.openxmlformats.org/officeDocument/2006/relationships/chart" Target="../charts/chart10.xml"/><Relationship Id="rId20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23" Type="http://schemas.openxmlformats.org/officeDocument/2006/relationships/chart" Target="../charts/chart17.xml"/><Relationship Id="rId10" Type="http://schemas.openxmlformats.org/officeDocument/2006/relationships/chart" Target="../charts/chart4.xml"/><Relationship Id="rId19" Type="http://schemas.openxmlformats.org/officeDocument/2006/relationships/chart" Target="../charts/chart13.xml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chart" Target="../charts/chart8.xml"/><Relationship Id="rId22" Type="http://schemas.openxmlformats.org/officeDocument/2006/relationships/chart" Target="../charts/chart16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chart" Target="../charts/chart20.xml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chart" Target="../charts/chart19.xml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371475</xdr:colOff>
      <xdr:row>63</xdr:row>
      <xdr:rowOff>142875</xdr:rowOff>
    </xdr:from>
    <xdr:ext cx="1767663" cy="5447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7B2ED823-A68C-4EB7-A5A3-D3344D23768D}"/>
                </a:ext>
              </a:extLst>
            </xdr:cNvPr>
            <xdr:cNvSpPr txBox="1"/>
          </xdr:nvSpPr>
          <xdr:spPr>
            <a:xfrm>
              <a:off x="3657600" y="8772525"/>
              <a:ext cx="1767663" cy="5447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  <m:r>
                      <a:rPr lang="pt-BR" sz="1100" b="0" i="1">
                        <a:latin typeface="Cambria Math" panose="02040503050406030204" pitchFamily="18" charset="0"/>
                      </a:rPr>
                      <m:t>=447.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0,60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.</m:t>
                                    </m:r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  <m:sSup>
                                      <m:sSupPr>
                                        <m:ctrlP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𝑅</m:t>
                                        </m:r>
                                      </m:e>
                                      <m:sup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𝑎</m:t>
                                        </m:r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𝑏</m:t>
                                            </m:r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+</m:t>
                                            </m:r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𝑡𝑐</m:t>
                                            </m:r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0,4</m:t>
                            </m:r>
                          </m:sup>
                        </m:s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.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0,3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7B2ED823-A68C-4EB7-A5A3-D3344D23768D}"/>
                </a:ext>
              </a:extLst>
            </xdr:cNvPr>
            <xdr:cNvSpPr txBox="1"/>
          </xdr:nvSpPr>
          <xdr:spPr>
            <a:xfrm>
              <a:off x="3657600" y="8772525"/>
              <a:ext cx="1767663" cy="5447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</a:t>
              </a:r>
              <a:r>
                <a:rPr lang="pt-BR" sz="1100" b="0" i="0">
                  <a:latin typeface="Cambria Math" panose="02040503050406030204" pitchFamily="18" charset="0"/>
                </a:rPr>
                <a:t>=447.(𝐿.𝑛)^0,60/(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[(𝐾.𝑇𝑅^𝑎)/(𝑏+𝑡𝑐)^𝑐 ]^</a:t>
              </a:r>
              <a:r>
                <a:rPr lang="pt-BR" sz="1100" b="0" i="0">
                  <a:latin typeface="Cambria Math" panose="02040503050406030204" pitchFamily="18" charset="0"/>
                </a:rPr>
                <a:t>0,4.𝑆^0,3 )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3</xdr:col>
      <xdr:colOff>390525</xdr:colOff>
      <xdr:row>64</xdr:row>
      <xdr:rowOff>0</xdr:rowOff>
    </xdr:from>
    <xdr:ext cx="1121782" cy="419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8426CE5-2946-40A5-8848-7C49BA4B2017}"/>
                </a:ext>
              </a:extLst>
            </xdr:cNvPr>
            <xdr:cNvSpPr txBox="1"/>
          </xdr:nvSpPr>
          <xdr:spPr>
            <a:xfrm>
              <a:off x="2362200" y="8820150"/>
              <a:ext cx="1121782" cy="419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𝑡𝑐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=57.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𝐿</m:t>
                                    </m:r>
                                  </m:e>
                                  <m:sup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0,385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8426CE5-2946-40A5-8848-7C49BA4B2017}"/>
                </a:ext>
              </a:extLst>
            </xdr:cNvPr>
            <xdr:cNvSpPr txBox="1"/>
          </xdr:nvSpPr>
          <xdr:spPr>
            <a:xfrm>
              <a:off x="2362200" y="8820150"/>
              <a:ext cx="1121782" cy="419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𝑡𝑐=57.(𝐿^2/𝑆)^0,385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3</xdr:col>
      <xdr:colOff>474570</xdr:colOff>
      <xdr:row>83</xdr:row>
      <xdr:rowOff>118782</xdr:rowOff>
    </xdr:from>
    <xdr:ext cx="1767663" cy="5447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A5B350E5-CAB5-4DA8-9C86-BA109C3AB3B0}"/>
                </a:ext>
              </a:extLst>
            </xdr:cNvPr>
            <xdr:cNvSpPr txBox="1"/>
          </xdr:nvSpPr>
          <xdr:spPr>
            <a:xfrm>
              <a:off x="2726952" y="16143194"/>
              <a:ext cx="1767663" cy="5447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  <m:r>
                      <a:rPr lang="pt-BR" sz="1100" b="0" i="1">
                        <a:latin typeface="Cambria Math" panose="02040503050406030204" pitchFamily="18" charset="0"/>
                      </a:rPr>
                      <m:t>=447.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0,60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.</m:t>
                                    </m:r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  <m:sSup>
                                      <m:sSupPr>
                                        <m:ctrlP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𝑅</m:t>
                                        </m:r>
                                      </m:e>
                                      <m:sup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𝑎</m:t>
                                        </m:r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𝑏</m:t>
                                            </m:r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+</m:t>
                                            </m:r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𝑡𝑐</m:t>
                                            </m:r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0,4</m:t>
                            </m:r>
                          </m:sup>
                        </m:s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.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0,3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A5B350E5-CAB5-4DA8-9C86-BA109C3AB3B0}"/>
                </a:ext>
              </a:extLst>
            </xdr:cNvPr>
            <xdr:cNvSpPr txBox="1"/>
          </xdr:nvSpPr>
          <xdr:spPr>
            <a:xfrm>
              <a:off x="2726952" y="16143194"/>
              <a:ext cx="1767663" cy="5447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</a:t>
              </a:r>
              <a:r>
                <a:rPr lang="pt-BR" sz="1100" b="0" i="0">
                  <a:latin typeface="Cambria Math" panose="02040503050406030204" pitchFamily="18" charset="0"/>
                </a:rPr>
                <a:t>=447.(𝐿.𝑛)^0,60/(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[(𝐾.𝑇𝑅^𝑎)/(𝑏+𝑡𝑐)^𝑐 ]^</a:t>
              </a:r>
              <a:r>
                <a:rPr lang="pt-BR" sz="1100" b="0" i="0">
                  <a:latin typeface="Cambria Math" panose="02040503050406030204" pitchFamily="18" charset="0"/>
                </a:rPr>
                <a:t>0,4.𝑆^0,3 )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0</xdr:col>
      <xdr:colOff>771525</xdr:colOff>
      <xdr:row>81</xdr:row>
      <xdr:rowOff>114300</xdr:rowOff>
    </xdr:from>
    <xdr:ext cx="1121782" cy="419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8EFD7CD-9433-4A3B-AB10-8F460F077B8E}"/>
                </a:ext>
              </a:extLst>
            </xdr:cNvPr>
            <xdr:cNvSpPr txBox="1"/>
          </xdr:nvSpPr>
          <xdr:spPr>
            <a:xfrm>
              <a:off x="771525" y="15744825"/>
              <a:ext cx="1121782" cy="419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𝑡𝑐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=57.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𝐿</m:t>
                                    </m:r>
                                  </m:e>
                                  <m:sup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0,385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8EFD7CD-9433-4A3B-AB10-8F460F077B8E}"/>
                </a:ext>
              </a:extLst>
            </xdr:cNvPr>
            <xdr:cNvSpPr txBox="1"/>
          </xdr:nvSpPr>
          <xdr:spPr>
            <a:xfrm>
              <a:off x="771525" y="15744825"/>
              <a:ext cx="1121782" cy="419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𝑡𝑐=57.(𝐿^2/𝑆)^0,385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125</xdr:row>
      <xdr:rowOff>0</xdr:rowOff>
    </xdr:from>
    <xdr:to>
      <xdr:col>1</xdr:col>
      <xdr:colOff>447675</xdr:colOff>
      <xdr:row>125</xdr:row>
      <xdr:rowOff>161925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C5E8414-1451-4768-889F-7FAC1EFFE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014206"/>
          <a:ext cx="1310528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9525</xdr:colOff>
      <xdr:row>124</xdr:row>
      <xdr:rowOff>142875</xdr:rowOff>
    </xdr:from>
    <xdr:to>
      <xdr:col>5</xdr:col>
      <xdr:colOff>361950</xdr:colOff>
      <xdr:row>126</xdr:row>
      <xdr:rowOff>85725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4F4C0E4-D741-4067-B7C5-172B7C7A7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5466" y="23977787"/>
          <a:ext cx="1080808" cy="312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647700</xdr:colOff>
      <xdr:row>125</xdr:row>
      <xdr:rowOff>19050</xdr:rowOff>
    </xdr:from>
    <xdr:to>
      <xdr:col>3</xdr:col>
      <xdr:colOff>428625</xdr:colOff>
      <xdr:row>125</xdr:row>
      <xdr:rowOff>171450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6A98902-C645-443D-850B-FEA2E4E75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553" y="24033256"/>
          <a:ext cx="1192866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523875</xdr:colOff>
      <xdr:row>124</xdr:row>
      <xdr:rowOff>152400</xdr:rowOff>
    </xdr:from>
    <xdr:to>
      <xdr:col>7</xdr:col>
      <xdr:colOff>400050</xdr:colOff>
      <xdr:row>126</xdr:row>
      <xdr:rowOff>38100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9483B5E7-B0C5-4DB0-9EAE-92E175EFF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23012400"/>
          <a:ext cx="11906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627529</xdr:colOff>
      <xdr:row>126</xdr:row>
      <xdr:rowOff>70597</xdr:rowOff>
    </xdr:from>
    <xdr:to>
      <xdr:col>7</xdr:col>
      <xdr:colOff>324410</xdr:colOff>
      <xdr:row>127</xdr:row>
      <xdr:rowOff>42022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5362F7F-A631-4A09-A416-D74C327D56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24275303"/>
          <a:ext cx="626969" cy="150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533400</xdr:colOff>
      <xdr:row>126</xdr:row>
      <xdr:rowOff>76200</xdr:rowOff>
    </xdr:from>
    <xdr:to>
      <xdr:col>6</xdr:col>
      <xdr:colOff>495300</xdr:colOff>
      <xdr:row>127</xdr:row>
      <xdr:rowOff>57150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1372E49-96F2-4397-BC77-10BF47537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9525" y="23307675"/>
          <a:ext cx="619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156882</xdr:colOff>
      <xdr:row>66</xdr:row>
      <xdr:rowOff>122460</xdr:rowOff>
    </xdr:from>
    <xdr:to>
      <xdr:col>27</xdr:col>
      <xdr:colOff>240325</xdr:colOff>
      <xdr:row>89</xdr:row>
      <xdr:rowOff>145676</xdr:rowOff>
    </xdr:to>
    <xdr:graphicFrame macro="">
      <xdr:nvGraphicFramePr>
        <xdr:cNvPr id="26" name="Gráfico_otimizacao">
          <a:extLst>
            <a:ext uri="{FF2B5EF4-FFF2-40B4-BE49-F238E27FC236}">
              <a16:creationId xmlns:a16="http://schemas.microsoft.com/office/drawing/2014/main" id="{082D6DCC-A899-4F27-8AB9-87803225F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208989</xdr:colOff>
      <xdr:row>17</xdr:row>
      <xdr:rowOff>110378</xdr:rowOff>
    </xdr:from>
    <xdr:to>
      <xdr:col>28</xdr:col>
      <xdr:colOff>337857</xdr:colOff>
      <xdr:row>31</xdr:row>
      <xdr:rowOff>168088</xdr:rowOff>
    </xdr:to>
    <xdr:graphicFrame macro="">
      <xdr:nvGraphicFramePr>
        <xdr:cNvPr id="41" name="Gráfico_simulacao">
          <a:extLst>
            <a:ext uri="{FF2B5EF4-FFF2-40B4-BE49-F238E27FC236}">
              <a16:creationId xmlns:a16="http://schemas.microsoft.com/office/drawing/2014/main" id="{6FF4280A-5D74-4411-899A-9697A1D60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203387</xdr:colOff>
      <xdr:row>3</xdr:row>
      <xdr:rowOff>5041</xdr:rowOff>
    </xdr:from>
    <xdr:to>
      <xdr:col>28</xdr:col>
      <xdr:colOff>326651</xdr:colOff>
      <xdr:row>17</xdr:row>
      <xdr:rowOff>20586</xdr:rowOff>
    </xdr:to>
    <xdr:graphicFrame macro="">
      <xdr:nvGraphicFramePr>
        <xdr:cNvPr id="42" name="Gráfico_exutório">
          <a:extLst>
            <a:ext uri="{FF2B5EF4-FFF2-40B4-BE49-F238E27FC236}">
              <a16:creationId xmlns:a16="http://schemas.microsoft.com/office/drawing/2014/main" id="{EECDFF52-9921-4357-A988-BD5A5343CB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17</xdr:row>
      <xdr:rowOff>123262</xdr:rowOff>
    </xdr:from>
    <xdr:to>
      <xdr:col>19</xdr:col>
      <xdr:colOff>123141</xdr:colOff>
      <xdr:row>31</xdr:row>
      <xdr:rowOff>174262</xdr:rowOff>
    </xdr:to>
    <xdr:graphicFrame macro="">
      <xdr:nvGraphicFramePr>
        <xdr:cNvPr id="43" name="Gráfico_vazoes_esp">
          <a:extLst>
            <a:ext uri="{FF2B5EF4-FFF2-40B4-BE49-F238E27FC236}">
              <a16:creationId xmlns:a16="http://schemas.microsoft.com/office/drawing/2014/main" id="{FE10D2FD-E3D3-4E68-818B-75BD33529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11206</xdr:colOff>
      <xdr:row>3</xdr:row>
      <xdr:rowOff>0</xdr:rowOff>
    </xdr:from>
    <xdr:to>
      <xdr:col>19</xdr:col>
      <xdr:colOff>134347</xdr:colOff>
      <xdr:row>17</xdr:row>
      <xdr:rowOff>17382</xdr:rowOff>
    </xdr:to>
    <xdr:graphicFrame macro="">
      <xdr:nvGraphicFramePr>
        <xdr:cNvPr id="44" name="Gráfico_entrada">
          <a:extLst>
            <a:ext uri="{FF2B5EF4-FFF2-40B4-BE49-F238E27FC236}">
              <a16:creationId xmlns:a16="http://schemas.microsoft.com/office/drawing/2014/main" id="{CFDF0A84-FAFA-4272-9D12-ABECF73BA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11205</xdr:colOff>
      <xdr:row>32</xdr:row>
      <xdr:rowOff>0</xdr:rowOff>
    </xdr:from>
    <xdr:to>
      <xdr:col>19</xdr:col>
      <xdr:colOff>134346</xdr:colOff>
      <xdr:row>45</xdr:row>
      <xdr:rowOff>73411</xdr:rowOff>
    </xdr:to>
    <xdr:graphicFrame macro="">
      <xdr:nvGraphicFramePr>
        <xdr:cNvPr id="45" name="Gráfico_orifício">
          <a:extLst>
            <a:ext uri="{FF2B5EF4-FFF2-40B4-BE49-F238E27FC236}">
              <a16:creationId xmlns:a16="http://schemas.microsoft.com/office/drawing/2014/main" id="{806551CB-1B0B-4487-9EC2-50BA5F63D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219075</xdr:colOff>
      <xdr:row>31</xdr:row>
      <xdr:rowOff>211229</xdr:rowOff>
    </xdr:from>
    <xdr:to>
      <xdr:col>28</xdr:col>
      <xdr:colOff>349416</xdr:colOff>
      <xdr:row>45</xdr:row>
      <xdr:rowOff>60523</xdr:rowOff>
    </xdr:to>
    <xdr:graphicFrame macro="">
      <xdr:nvGraphicFramePr>
        <xdr:cNvPr id="46" name="Gráfico_vertedor">
          <a:extLst>
            <a:ext uri="{FF2B5EF4-FFF2-40B4-BE49-F238E27FC236}">
              <a16:creationId xmlns:a16="http://schemas.microsoft.com/office/drawing/2014/main" id="{D71647AF-317D-4A08-AE8C-EA88125DC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33617</xdr:colOff>
      <xdr:row>45</xdr:row>
      <xdr:rowOff>123264</xdr:rowOff>
    </xdr:from>
    <xdr:to>
      <xdr:col>19</xdr:col>
      <xdr:colOff>156758</xdr:colOff>
      <xdr:row>59</xdr:row>
      <xdr:rowOff>174264</xdr:rowOff>
    </xdr:to>
    <xdr:graphicFrame macro="">
      <xdr:nvGraphicFramePr>
        <xdr:cNvPr id="47" name="Gráfico_curva_auxiliar">
          <a:extLst>
            <a:ext uri="{FF2B5EF4-FFF2-40B4-BE49-F238E27FC236}">
              <a16:creationId xmlns:a16="http://schemas.microsoft.com/office/drawing/2014/main" id="{EA17F85A-022D-4A79-88D5-7CBD81768F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219074</xdr:colOff>
      <xdr:row>45</xdr:row>
      <xdr:rowOff>113738</xdr:rowOff>
    </xdr:from>
    <xdr:to>
      <xdr:col>28</xdr:col>
      <xdr:colOff>349062</xdr:colOff>
      <xdr:row>59</xdr:row>
      <xdr:rowOff>164738</xdr:rowOff>
    </xdr:to>
    <xdr:graphicFrame macro="">
      <xdr:nvGraphicFramePr>
        <xdr:cNvPr id="48" name="Gráfico_sistema">
          <a:extLst>
            <a:ext uri="{FF2B5EF4-FFF2-40B4-BE49-F238E27FC236}">
              <a16:creationId xmlns:a16="http://schemas.microsoft.com/office/drawing/2014/main" id="{A3A7ECED-79CE-421D-838B-E72BF6F57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105736</xdr:colOff>
      <xdr:row>2</xdr:row>
      <xdr:rowOff>146477</xdr:rowOff>
    </xdr:from>
    <xdr:to>
      <xdr:col>9</xdr:col>
      <xdr:colOff>523475</xdr:colOff>
      <xdr:row>6</xdr:row>
      <xdr:rowOff>7009</xdr:rowOff>
    </xdr:to>
    <xdr:sp macro="[0]!abrir_formulá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A37C03E-78F8-4988-9EBD-3A143DD3A314}"/>
            </a:ext>
          </a:extLst>
        </xdr:cNvPr>
        <xdr:cNvSpPr/>
      </xdr:nvSpPr>
      <xdr:spPr>
        <a:xfrm>
          <a:off x="5809530" y="527477"/>
          <a:ext cx="1022857" cy="622532"/>
        </a:xfrm>
        <a:prstGeom prst="roundRect">
          <a:avLst/>
        </a:prstGeom>
        <a:solidFill>
          <a:schemeClr val="bg1"/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Abrir</a:t>
          </a:r>
          <a:r>
            <a:rPr lang="pt-BR" sz="2000" baseline="0"/>
            <a:t> Formulário</a:t>
          </a:r>
          <a:endParaRPr lang="pt-BR" sz="2000"/>
        </a:p>
      </xdr:txBody>
    </xdr:sp>
    <xdr:clientData/>
  </xdr:twoCellAnchor>
  <xdr:twoCellAnchor>
    <xdr:from>
      <xdr:col>0</xdr:col>
      <xdr:colOff>68916</xdr:colOff>
      <xdr:row>176</xdr:row>
      <xdr:rowOff>49864</xdr:rowOff>
    </xdr:from>
    <xdr:to>
      <xdr:col>7</xdr:col>
      <xdr:colOff>640415</xdr:colOff>
      <xdr:row>190</xdr:row>
      <xdr:rowOff>93984</xdr:rowOff>
    </xdr:to>
    <xdr:graphicFrame macro="">
      <xdr:nvGraphicFramePr>
        <xdr:cNvPr id="36" name="Gráfico_exutório">
          <a:extLst>
            <a:ext uri="{FF2B5EF4-FFF2-40B4-BE49-F238E27FC236}">
              <a16:creationId xmlns:a16="http://schemas.microsoft.com/office/drawing/2014/main" id="{96174174-063A-4121-83B4-D6B609685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57150</xdr:colOff>
      <xdr:row>161</xdr:row>
      <xdr:rowOff>123262</xdr:rowOff>
    </xdr:from>
    <xdr:to>
      <xdr:col>7</xdr:col>
      <xdr:colOff>647016</xdr:colOff>
      <xdr:row>175</xdr:row>
      <xdr:rowOff>174262</xdr:rowOff>
    </xdr:to>
    <xdr:graphicFrame macro="">
      <xdr:nvGraphicFramePr>
        <xdr:cNvPr id="37" name="Gráfico_vazoes_esp">
          <a:extLst>
            <a:ext uri="{FF2B5EF4-FFF2-40B4-BE49-F238E27FC236}">
              <a16:creationId xmlns:a16="http://schemas.microsoft.com/office/drawing/2014/main" id="{CB6E4218-95E4-43B8-832F-6E9A5E0AA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58831</xdr:colOff>
      <xdr:row>147</xdr:row>
      <xdr:rowOff>38100</xdr:rowOff>
    </xdr:from>
    <xdr:to>
      <xdr:col>7</xdr:col>
      <xdr:colOff>648697</xdr:colOff>
      <xdr:row>161</xdr:row>
      <xdr:rowOff>84057</xdr:rowOff>
    </xdr:to>
    <xdr:graphicFrame macro="">
      <xdr:nvGraphicFramePr>
        <xdr:cNvPr id="38" name="Gráfico_entrada">
          <a:extLst>
            <a:ext uri="{FF2B5EF4-FFF2-40B4-BE49-F238E27FC236}">
              <a16:creationId xmlns:a16="http://schemas.microsoft.com/office/drawing/2014/main" id="{B6D449CE-DD0E-43D7-8857-B30895702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63313</xdr:colOff>
      <xdr:row>199</xdr:row>
      <xdr:rowOff>22412</xdr:rowOff>
    </xdr:from>
    <xdr:to>
      <xdr:col>7</xdr:col>
      <xdr:colOff>640416</xdr:colOff>
      <xdr:row>213</xdr:row>
      <xdr:rowOff>80122</xdr:rowOff>
    </xdr:to>
    <xdr:graphicFrame macro="">
      <xdr:nvGraphicFramePr>
        <xdr:cNvPr id="39" name="Gráfico_simulacao">
          <a:extLst>
            <a:ext uri="{FF2B5EF4-FFF2-40B4-BE49-F238E27FC236}">
              <a16:creationId xmlns:a16="http://schemas.microsoft.com/office/drawing/2014/main" id="{652C002B-265F-4131-9180-112AC2505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89646</xdr:colOff>
      <xdr:row>213</xdr:row>
      <xdr:rowOff>102533</xdr:rowOff>
    </xdr:from>
    <xdr:to>
      <xdr:col>7</xdr:col>
      <xdr:colOff>661022</xdr:colOff>
      <xdr:row>228</xdr:row>
      <xdr:rowOff>131121</xdr:rowOff>
    </xdr:to>
    <xdr:graphicFrame macro="">
      <xdr:nvGraphicFramePr>
        <xdr:cNvPr id="40" name="Gráfico_orifício">
          <a:extLst>
            <a:ext uri="{FF2B5EF4-FFF2-40B4-BE49-F238E27FC236}">
              <a16:creationId xmlns:a16="http://schemas.microsoft.com/office/drawing/2014/main" id="{6BDF40EF-8ED5-40E1-BA2E-A7F28E782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28577</xdr:colOff>
      <xdr:row>228</xdr:row>
      <xdr:rowOff>179292</xdr:rowOff>
    </xdr:from>
    <xdr:to>
      <xdr:col>7</xdr:col>
      <xdr:colOff>607153</xdr:colOff>
      <xdr:row>244</xdr:row>
      <xdr:rowOff>17380</xdr:rowOff>
    </xdr:to>
    <xdr:graphicFrame macro="">
      <xdr:nvGraphicFramePr>
        <xdr:cNvPr id="49" name="Gráfico_vertedor">
          <a:extLst>
            <a:ext uri="{FF2B5EF4-FFF2-40B4-BE49-F238E27FC236}">
              <a16:creationId xmlns:a16="http://schemas.microsoft.com/office/drawing/2014/main" id="{FF1891D0-FF7C-44CC-ACB1-FE10D7E68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56030</xdr:colOff>
      <xdr:row>245</xdr:row>
      <xdr:rowOff>110379</xdr:rowOff>
    </xdr:from>
    <xdr:to>
      <xdr:col>7</xdr:col>
      <xdr:colOff>627406</xdr:colOff>
      <xdr:row>260</xdr:row>
      <xdr:rowOff>4496</xdr:rowOff>
    </xdr:to>
    <xdr:graphicFrame macro="">
      <xdr:nvGraphicFramePr>
        <xdr:cNvPr id="50" name="Gráfico_curva_auxiliar">
          <a:extLst>
            <a:ext uri="{FF2B5EF4-FFF2-40B4-BE49-F238E27FC236}">
              <a16:creationId xmlns:a16="http://schemas.microsoft.com/office/drawing/2014/main" id="{809C36B9-48E3-40C7-966E-A45EAE552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39781</xdr:colOff>
      <xdr:row>260</xdr:row>
      <xdr:rowOff>44824</xdr:rowOff>
    </xdr:from>
    <xdr:to>
      <xdr:col>7</xdr:col>
      <xdr:colOff>618004</xdr:colOff>
      <xdr:row>274</xdr:row>
      <xdr:rowOff>129441</xdr:rowOff>
    </xdr:to>
    <xdr:graphicFrame macro="">
      <xdr:nvGraphicFramePr>
        <xdr:cNvPr id="51" name="Gráfico_sistema">
          <a:extLst>
            <a:ext uri="{FF2B5EF4-FFF2-40B4-BE49-F238E27FC236}">
              <a16:creationId xmlns:a16="http://schemas.microsoft.com/office/drawing/2014/main" id="{34F8F0A0-9638-42A4-9AAE-298046826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602145</xdr:colOff>
      <xdr:row>10</xdr:row>
      <xdr:rowOff>180975</xdr:rowOff>
    </xdr:from>
    <xdr:to>
      <xdr:col>47</xdr:col>
      <xdr:colOff>561367</xdr:colOff>
      <xdr:row>27</xdr:row>
      <xdr:rowOff>57150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71ADF3B-A647-4318-9211-7279330BC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58</xdr:row>
      <xdr:rowOff>51288</xdr:rowOff>
    </xdr:from>
    <xdr:to>
      <xdr:col>17</xdr:col>
      <xdr:colOff>71634</xdr:colOff>
      <xdr:row>72</xdr:row>
      <xdr:rowOff>146015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D5FA144-EF7F-4350-B4EB-EFA53F5AE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43096" y="10814538"/>
          <a:ext cx="4453134" cy="2761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74</xdr:row>
      <xdr:rowOff>51288</xdr:rowOff>
    </xdr:from>
    <xdr:to>
      <xdr:col>17</xdr:col>
      <xdr:colOff>71634</xdr:colOff>
      <xdr:row>88</xdr:row>
      <xdr:rowOff>146015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4868D02-6885-4BC6-8D86-C97460CD2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43096" y="13862538"/>
          <a:ext cx="4453134" cy="2761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89</xdr:row>
      <xdr:rowOff>163598</xdr:rowOff>
    </xdr:from>
    <xdr:to>
      <xdr:col>17</xdr:col>
      <xdr:colOff>85725</xdr:colOff>
      <xdr:row>103</xdr:row>
      <xdr:rowOff>170828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8F10E58-ED15-40C2-81DB-24F304D15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43096" y="16832348"/>
          <a:ext cx="4467225" cy="2674230"/>
        </a:xfrm>
        <a:prstGeom prst="rect">
          <a:avLst/>
        </a:prstGeom>
      </xdr:spPr>
    </xdr:pic>
    <xdr:clientData/>
  </xdr:twoCellAnchor>
  <xdr:twoCellAnchor editAs="oneCell">
    <xdr:from>
      <xdr:col>26</xdr:col>
      <xdr:colOff>148477</xdr:colOff>
      <xdr:row>14</xdr:row>
      <xdr:rowOff>132229</xdr:rowOff>
    </xdr:from>
    <xdr:to>
      <xdr:col>34</xdr:col>
      <xdr:colOff>595770</xdr:colOff>
      <xdr:row>24</xdr:row>
      <xdr:rowOff>46438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B01F98D7-B586-41F7-B622-831240C46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74102" y="2418229"/>
          <a:ext cx="5324093" cy="1819209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105</xdr:row>
      <xdr:rowOff>51288</xdr:rowOff>
    </xdr:from>
    <xdr:to>
      <xdr:col>17</xdr:col>
      <xdr:colOff>75062</xdr:colOff>
      <xdr:row>119</xdr:row>
      <xdr:rowOff>158208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C70B8B4-B4AD-4B98-8144-08447EB93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43096" y="19768038"/>
          <a:ext cx="4456562" cy="2773920"/>
        </a:xfrm>
        <a:prstGeom prst="rect">
          <a:avLst/>
        </a:prstGeom>
      </xdr:spPr>
    </xdr:pic>
    <xdr:clientData/>
  </xdr:twoCellAnchor>
  <xdr:twoCellAnchor>
    <xdr:from>
      <xdr:col>45</xdr:col>
      <xdr:colOff>571499</xdr:colOff>
      <xdr:row>31</xdr:row>
      <xdr:rowOff>109537</xdr:rowOff>
    </xdr:from>
    <xdr:to>
      <xdr:col>54</xdr:col>
      <xdr:colOff>33618</xdr:colOff>
      <xdr:row>45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42D711-01DC-4679-AE74-863D00622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561975</xdr:colOff>
      <xdr:row>47</xdr:row>
      <xdr:rowOff>57150</xdr:rowOff>
    </xdr:from>
    <xdr:to>
      <xdr:col>49</xdr:col>
      <xdr:colOff>406214</xdr:colOff>
      <xdr:row>61</xdr:row>
      <xdr:rowOff>66115</xdr:rowOff>
    </xdr:to>
    <xdr:graphicFrame macro="">
      <xdr:nvGraphicFramePr>
        <xdr:cNvPr id="8" name="Pareto_front">
          <a:extLst>
            <a:ext uri="{FF2B5EF4-FFF2-40B4-BE49-F238E27FC236}">
              <a16:creationId xmlns:a16="http://schemas.microsoft.com/office/drawing/2014/main" id="{DA26CAA1-076D-4984-A237-804BD86863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403412</xdr:colOff>
      <xdr:row>4</xdr:row>
      <xdr:rowOff>35297</xdr:rowOff>
    </xdr:from>
    <xdr:ext cx="1784719" cy="4589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60276EAE-A24E-4BDC-8AC1-F70C9C4F934A}"/>
                </a:ext>
              </a:extLst>
            </xdr:cNvPr>
            <xdr:cNvSpPr txBox="1"/>
          </xdr:nvSpPr>
          <xdr:spPr>
            <a:xfrm>
              <a:off x="7080437" y="835397"/>
              <a:ext cx="1784719" cy="458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4−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3.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1.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2−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𝑁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</m:num>
                              <m:den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sSup>
                                  <m:sSupPr>
                                    <m:ctrlP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e>
                                  <m:sup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𝑁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den>
                            </m:f>
                          </m:e>
                        </m:d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60276EAE-A24E-4BDC-8AC1-F70C9C4F934A}"/>
                </a:ext>
              </a:extLst>
            </xdr:cNvPr>
            <xdr:cNvSpPr txBox="1"/>
          </xdr:nvSpPr>
          <xdr:spPr>
            <a:xfrm>
              <a:off x="7080437" y="835397"/>
              <a:ext cx="1784719" cy="458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𝑎=(𝑘4−𝑘3.[(𝑘1.𝑘2−𝑁.𝑘4)/(𝑘1^2−𝑁.𝑘3)])/𝑘1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30</xdr:col>
      <xdr:colOff>200025</xdr:colOff>
      <xdr:row>7</xdr:row>
      <xdr:rowOff>138392</xdr:rowOff>
    </xdr:from>
    <xdr:ext cx="1142364" cy="3202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965544C8-79C8-4578-9172-D930F2BE57CB}"/>
                </a:ext>
              </a:extLst>
            </xdr:cNvPr>
            <xdr:cNvSpPr txBox="1"/>
          </xdr:nvSpPr>
          <xdr:spPr>
            <a:xfrm>
              <a:off x="7486650" y="1538567"/>
              <a:ext cx="1142364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1.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4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965544C8-79C8-4578-9172-D930F2BE57CB}"/>
                </a:ext>
              </a:extLst>
            </xdr:cNvPr>
            <xdr:cNvSpPr txBox="1"/>
          </xdr:nvSpPr>
          <xdr:spPr>
            <a:xfrm>
              <a:off x="7486650" y="1538567"/>
              <a:ext cx="1142364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𝑏=(𝑘1.𝑘2−𝑁.𝑘4)/(𝑘1^2−𝑁.𝑘3)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33</xdr:col>
      <xdr:colOff>268380</xdr:colOff>
      <xdr:row>10</xdr:row>
      <xdr:rowOff>99733</xdr:rowOff>
    </xdr:from>
    <xdr:ext cx="3000376" cy="21609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90CD9F6A-547C-4F40-AF81-004AA7942848}"/>
                </a:ext>
              </a:extLst>
            </xdr:cNvPr>
            <xdr:cNvSpPr txBox="1"/>
          </xdr:nvSpPr>
          <xdr:spPr>
            <a:xfrm>
              <a:off x="20808762" y="2116792"/>
              <a:ext cx="3000376" cy="21609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𝑘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1=</m:t>
                    </m:r>
                    <m:nary>
                      <m:naryPr>
                        <m:chr m:val="∑"/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r>
                          <m:rPr>
                            <m:sty m:val="p"/>
                          </m:rP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ln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h𝑖</m:t>
                        </m:r>
                      </m:e>
                    </m:nary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      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2= </m:t>
                    </m:r>
                    <m:nary>
                      <m:naryPr>
                        <m:chr m:val="∑"/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r>
                          <m:rPr>
                            <m:sty m:val="p"/>
                          </m:rP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ln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𝑉𝑖</m:t>
                        </m:r>
                      </m:e>
                    </m:nary>
                  </m:oMath>
                </m:oMathPara>
              </a14:m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3= </m:t>
                    </m:r>
                    <m:nary>
                      <m:naryPr>
                        <m:chr m:val="∑"/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sSup>
                          <m:sSup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m:rPr>
                                    <m:sty m:val="p"/>
                                  </m:rPr>
                                  <a:rPr lang="pt-B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ln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⁡(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h𝑖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nary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4= </m:t>
                    </m:r>
                    <m:nary>
                      <m:naryPr>
                        <m:chr m:val="∑"/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func>
                          <m:func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pt-BR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h𝑖</m:t>
                                </m:r>
                              </m:e>
                            </m:d>
                          </m:e>
                        </m:func>
                      </m:e>
                    </m:nary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  <m:r>
                      <m:rPr>
                        <m:sty m:val="p"/>
                      </m:rPr>
                      <a:rPr lang="pt-B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ln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⁡(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𝑉𝑖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>
                <a:effectLst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/>
            </a:p>
            <a:p>
              <a:endParaRPr lang="pt-BR" sz="11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90CD9F6A-547C-4F40-AF81-004AA7942848}"/>
                </a:ext>
              </a:extLst>
            </xdr:cNvPr>
            <xdr:cNvSpPr txBox="1"/>
          </xdr:nvSpPr>
          <xdr:spPr>
            <a:xfrm>
              <a:off x="20808762" y="2116792"/>
              <a:ext cx="3000376" cy="21609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𝑘1=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_(𝑖=1)^𝑁▒〖ln⁡(ℎ𝑖〗)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𝐾2=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_(𝑖=1)^𝑁▒〖ln⁡𝑉𝑖〗</a:t>
              </a:r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/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𝐾3=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_(𝑖=1)^𝑁▒(ln⁡(ℎ𝑖))^2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𝐾4=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_(𝑖=1)^𝑁▒ln⁡(ℎ𝑖) .ln⁡(𝑉𝑖)</a:t>
              </a:r>
              <a:endParaRPr lang="pt-BR">
                <a:effectLst/>
              </a:endParaRPr>
            </a:p>
            <a:p>
              <a:pPr/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/>
            </a:p>
            <a:p>
              <a:endParaRPr lang="pt-BR" sz="1100"/>
            </a:p>
          </xdr:txBody>
        </xdr:sp>
      </mc:Fallback>
    </mc:AlternateContent>
    <xdr:clientData/>
  </xdr:oneCellAnchor>
  <xdr:twoCellAnchor>
    <xdr:from>
      <xdr:col>10</xdr:col>
      <xdr:colOff>537881</xdr:colOff>
      <xdr:row>3</xdr:row>
      <xdr:rowOff>22413</xdr:rowOff>
    </xdr:from>
    <xdr:to>
      <xdr:col>19</xdr:col>
      <xdr:colOff>578224</xdr:colOff>
      <xdr:row>20</xdr:row>
      <xdr:rowOff>89648</xdr:rowOff>
    </xdr:to>
    <xdr:graphicFrame macro="">
      <xdr:nvGraphicFramePr>
        <xdr:cNvPr id="7" name="Gráfico_Regressão">
          <a:extLst>
            <a:ext uri="{FF2B5EF4-FFF2-40B4-BE49-F238E27FC236}">
              <a16:creationId xmlns:a16="http://schemas.microsoft.com/office/drawing/2014/main" id="{2A339B6D-252C-4857-8F36-09D55D45C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235324</xdr:colOff>
      <xdr:row>22</xdr:row>
      <xdr:rowOff>44823</xdr:rowOff>
    </xdr:from>
    <xdr:to>
      <xdr:col>16</xdr:col>
      <xdr:colOff>186282</xdr:colOff>
      <xdr:row>27</xdr:row>
      <xdr:rowOff>188675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6C04B1-F0D6-46AE-9917-98BAC4072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6559" y="4515970"/>
          <a:ext cx="2371429" cy="11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J311"/>
  <sheetViews>
    <sheetView tabSelected="1" view="pageBreakPreview" zoomScale="85" zoomScaleNormal="85" zoomScaleSheetLayoutView="85" workbookViewId="0">
      <selection activeCell="G6" sqref="G6"/>
    </sheetView>
  </sheetViews>
  <sheetFormatPr defaultColWidth="9.109375" defaultRowHeight="16.2"/>
  <cols>
    <col min="1" max="1" width="12" style="17" customWidth="1"/>
    <col min="2" max="2" width="10.5546875" style="17" bestFit="1" customWidth="1"/>
    <col min="3" max="3" width="11.33203125" style="17" customWidth="1"/>
    <col min="4" max="4" width="9.109375" style="17"/>
    <col min="5" max="5" width="10.109375" style="17" customWidth="1"/>
    <col min="6" max="6" width="9.109375" style="17"/>
    <col min="7" max="7" width="13" style="17" customWidth="1"/>
    <col min="8" max="8" width="10.5546875" style="17" bestFit="1" customWidth="1"/>
    <col min="9" max="10" width="9.109375" style="17"/>
    <col min="11" max="16384" width="9.109375" style="1"/>
  </cols>
  <sheetData>
    <row r="1" spans="1:36" s="13" customFormat="1" ht="14.4">
      <c r="A1" s="187" t="s">
        <v>254</v>
      </c>
      <c r="B1" s="187"/>
      <c r="C1" s="187"/>
      <c r="D1" s="187"/>
      <c r="E1" s="187"/>
      <c r="F1" s="187"/>
      <c r="G1" s="187"/>
      <c r="H1" s="187"/>
      <c r="I1" s="1"/>
    </row>
    <row r="2" spans="1:36" s="13" customFormat="1" ht="14.4">
      <c r="A2" s="1" t="s">
        <v>225</v>
      </c>
      <c r="B2" s="1"/>
      <c r="C2" s="1"/>
      <c r="D2" s="1"/>
      <c r="E2" s="1"/>
      <c r="F2" s="1"/>
      <c r="G2" s="1"/>
      <c r="H2" s="1"/>
      <c r="I2" s="1"/>
      <c r="AD2" s="199" t="s">
        <v>100</v>
      </c>
      <c r="AE2" s="200"/>
      <c r="AF2" s="200"/>
      <c r="AG2" s="200"/>
      <c r="AH2" s="200"/>
      <c r="AI2" s="200"/>
      <c r="AJ2" s="201"/>
    </row>
    <row r="3" spans="1:36" s="13" customFormat="1" ht="14.4">
      <c r="B3" s="1"/>
      <c r="C3" s="1"/>
      <c r="D3" s="1"/>
      <c r="E3" s="1"/>
      <c r="F3" s="1"/>
      <c r="G3" s="1"/>
      <c r="H3" s="1"/>
      <c r="I3" s="1"/>
      <c r="AD3" s="113" t="s">
        <v>96</v>
      </c>
      <c r="AE3" s="107">
        <f ca="1">Simulação!AP4</f>
        <v>2.7043379408169734</v>
      </c>
      <c r="AF3" s="108" t="s">
        <v>101</v>
      </c>
      <c r="AG3" s="109" t="s">
        <v>97</v>
      </c>
      <c r="AH3" s="109" t="s">
        <v>102</v>
      </c>
      <c r="AI3" s="107">
        <f>Simulação!AP5</f>
        <v>4.0737011685531748</v>
      </c>
      <c r="AJ3" s="114" t="s">
        <v>42</v>
      </c>
    </row>
    <row r="4" spans="1:36" s="13" customFormat="1" ht="15" customHeight="1">
      <c r="A4" s="7" t="s">
        <v>255</v>
      </c>
      <c r="B4" s="1"/>
      <c r="C4" s="1"/>
      <c r="D4" s="1"/>
      <c r="E4" s="1"/>
      <c r="F4" s="1"/>
      <c r="G4" s="1"/>
      <c r="H4" s="1"/>
      <c r="I4" s="1"/>
      <c r="AD4" s="115" t="s">
        <v>96</v>
      </c>
      <c r="AE4" s="110">
        <f ca="1">Simulação!AP4</f>
        <v>2.7043379408169734</v>
      </c>
      <c r="AF4" s="111" t="s">
        <v>101</v>
      </c>
      <c r="AG4" s="112" t="s">
        <v>113</v>
      </c>
      <c r="AH4" s="112" t="s">
        <v>102</v>
      </c>
      <c r="AI4" s="110">
        <f>Qref_i</f>
        <v>3.0784242293765245</v>
      </c>
      <c r="AJ4" s="116" t="s">
        <v>42</v>
      </c>
    </row>
    <row r="5" spans="1:36" s="13" customFormat="1" ht="15" customHeight="1">
      <c r="A5" s="12" t="s">
        <v>256</v>
      </c>
      <c r="B5" s="1"/>
      <c r="C5" s="1"/>
      <c r="D5" s="1"/>
      <c r="E5" s="12" t="s">
        <v>257</v>
      </c>
      <c r="F5" s="1"/>
      <c r="G5" s="1"/>
      <c r="H5" s="1"/>
      <c r="I5" s="1"/>
      <c r="AD5" s="115" t="s">
        <v>98</v>
      </c>
      <c r="AE5" s="112">
        <f ca="1">Simulação!AP7</f>
        <v>38</v>
      </c>
      <c r="AF5" s="111" t="s">
        <v>103</v>
      </c>
      <c r="AG5" s="112" t="str">
        <f>"Tc + "&amp;F28&amp;"tclot"</f>
        <v>Tc + 0tclot</v>
      </c>
      <c r="AH5" s="112" t="s">
        <v>102</v>
      </c>
      <c r="AI5" s="112">
        <f>tc+F28*tc_lot_i</f>
        <v>35</v>
      </c>
      <c r="AJ5" s="116" t="s">
        <v>0</v>
      </c>
    </row>
    <row r="6" spans="1:36" s="13" customFormat="1" ht="15" customHeight="1">
      <c r="A6" s="12" t="s">
        <v>31</v>
      </c>
      <c r="B6" s="166">
        <v>3</v>
      </c>
      <c r="C6" s="1" t="s">
        <v>32</v>
      </c>
      <c r="D6" s="1"/>
      <c r="E6" s="1" t="s">
        <v>20</v>
      </c>
      <c r="F6" s="166">
        <v>7680.5</v>
      </c>
      <c r="G6" s="1"/>
      <c r="H6" s="1"/>
      <c r="I6" s="1"/>
      <c r="AD6" s="117" t="s">
        <v>37</v>
      </c>
      <c r="AE6" s="118">
        <f>B32</f>
        <v>1.5</v>
      </c>
      <c r="AF6" s="119" t="s">
        <v>103</v>
      </c>
      <c r="AG6" s="118" t="s">
        <v>104</v>
      </c>
      <c r="AH6" s="118" t="s">
        <v>102</v>
      </c>
      <c r="AI6" s="120">
        <f ca="1">hmax/100</f>
        <v>1.0349999999999999</v>
      </c>
      <c r="AJ6" s="121" t="s">
        <v>24</v>
      </c>
    </row>
    <row r="7" spans="1:36" s="13" customFormat="1" ht="14.4">
      <c r="A7" s="1"/>
      <c r="B7" s="1"/>
      <c r="C7" s="1"/>
      <c r="D7" s="1"/>
      <c r="E7" s="1"/>
      <c r="F7" s="1"/>
      <c r="G7" s="1"/>
      <c r="H7" s="1"/>
      <c r="I7" s="1"/>
    </row>
    <row r="8" spans="1:36" s="13" customFormat="1" ht="14.4">
      <c r="A8" s="1" t="s">
        <v>25</v>
      </c>
      <c r="B8" s="166">
        <v>2000</v>
      </c>
      <c r="C8" s="1" t="s">
        <v>24</v>
      </c>
      <c r="D8" s="1"/>
      <c r="E8" s="1" t="s">
        <v>19</v>
      </c>
      <c r="F8" s="166">
        <v>0.191</v>
      </c>
      <c r="G8" s="1"/>
      <c r="H8" s="1"/>
      <c r="I8" s="1"/>
    </row>
    <row r="9" spans="1:36" s="13" customFormat="1" ht="14.4">
      <c r="A9" s="1"/>
      <c r="B9" s="1"/>
      <c r="C9" s="1"/>
      <c r="D9" s="1"/>
      <c r="E9" s="1"/>
      <c r="F9" s="1"/>
      <c r="G9" s="1"/>
      <c r="H9" s="1"/>
      <c r="I9" s="1"/>
    </row>
    <row r="10" spans="1:36" s="13" customFormat="1" ht="14.4">
      <c r="A10" s="1" t="s">
        <v>23</v>
      </c>
      <c r="B10" s="166">
        <v>1.4999999999999999E-2</v>
      </c>
      <c r="C10" s="1" t="s">
        <v>22</v>
      </c>
      <c r="D10" s="1"/>
      <c r="E10" s="1" t="s">
        <v>18</v>
      </c>
      <c r="F10" s="166">
        <v>44.042000000000002</v>
      </c>
      <c r="G10" s="1"/>
      <c r="H10" s="1"/>
      <c r="I10" s="1"/>
    </row>
    <row r="11" spans="1:36" s="13" customFormat="1" ht="14.4">
      <c r="A11" s="1"/>
      <c r="B11" s="1"/>
      <c r="C11" s="1"/>
      <c r="D11" s="1"/>
      <c r="E11" s="1"/>
      <c r="F11" s="1"/>
      <c r="G11" s="1"/>
      <c r="H11" s="1"/>
      <c r="I11" s="1"/>
    </row>
    <row r="12" spans="1:36" s="13" customFormat="1" ht="14.4">
      <c r="A12" s="1" t="s">
        <v>21</v>
      </c>
      <c r="B12" s="166">
        <v>0.02</v>
      </c>
      <c r="C12" s="1"/>
      <c r="D12" s="1"/>
      <c r="E12" s="1" t="s">
        <v>17</v>
      </c>
      <c r="F12" s="166">
        <v>1.077</v>
      </c>
      <c r="G12" s="1"/>
      <c r="H12" s="1"/>
      <c r="I12" s="1"/>
    </row>
    <row r="13" spans="1:36" s="13" customFormat="1" ht="14.4">
      <c r="A13" s="1"/>
      <c r="B13" s="15"/>
      <c r="C13" s="1"/>
      <c r="D13" s="1"/>
      <c r="E13" s="1"/>
      <c r="F13" s="1"/>
      <c r="G13" s="1"/>
      <c r="H13" s="1"/>
      <c r="I13" s="1"/>
    </row>
    <row r="14" spans="1:36" s="13" customFormat="1" ht="14.4">
      <c r="A14" s="1" t="s">
        <v>30</v>
      </c>
      <c r="B14" s="166">
        <v>0.8</v>
      </c>
      <c r="C14" s="1" t="s">
        <v>33</v>
      </c>
      <c r="D14" s="1"/>
      <c r="E14" s="1" t="s">
        <v>16</v>
      </c>
      <c r="F14" s="166">
        <v>10</v>
      </c>
      <c r="G14" s="1" t="s">
        <v>15</v>
      </c>
      <c r="H14" s="1"/>
      <c r="I14" s="1"/>
    </row>
    <row r="15" spans="1:36" s="13" customFormat="1" ht="14.4">
      <c r="A15" s="1"/>
      <c r="B15" s="15"/>
      <c r="C15" s="1"/>
      <c r="D15" s="1"/>
      <c r="E15" s="1"/>
      <c r="F15" s="15"/>
      <c r="G15" s="1"/>
      <c r="H15" s="1"/>
      <c r="I15" s="1"/>
    </row>
    <row r="16" spans="1:36" s="13" customFormat="1" ht="15">
      <c r="A16" s="1" t="s">
        <v>46</v>
      </c>
      <c r="B16" s="166">
        <v>1.1000000000000001</v>
      </c>
      <c r="C16" s="1" t="s">
        <v>32</v>
      </c>
      <c r="D16" s="79">
        <f>(tc_1/Ad_i)/(tc/Area)</f>
        <v>0.85714285714285721</v>
      </c>
      <c r="E16" s="1" t="s">
        <v>26</v>
      </c>
      <c r="F16" s="166">
        <v>10</v>
      </c>
      <c r="G16" s="1" t="s">
        <v>0</v>
      </c>
      <c r="H16" s="1"/>
      <c r="I16" s="1"/>
    </row>
    <row r="17" spans="1:9" s="13" customFormat="1" ht="14.4">
      <c r="A17" s="1"/>
      <c r="B17" s="15"/>
      <c r="C17" s="1"/>
      <c r="D17" s="1"/>
      <c r="E17" s="1"/>
      <c r="F17" s="15"/>
      <c r="G17" s="1"/>
      <c r="H17" s="1"/>
      <c r="I17" s="1"/>
    </row>
    <row r="18" spans="1:9" s="13" customFormat="1" ht="14.4">
      <c r="A18" s="1" t="s">
        <v>52</v>
      </c>
      <c r="B18" s="166">
        <v>150</v>
      </c>
      <c r="C18" s="1" t="s">
        <v>47</v>
      </c>
      <c r="D18" s="1"/>
      <c r="E18" s="1" t="s">
        <v>262</v>
      </c>
      <c r="F18" s="166">
        <v>1</v>
      </c>
      <c r="G18" s="1" t="s">
        <v>0</v>
      </c>
      <c r="H18" s="1"/>
      <c r="I18" s="1"/>
    </row>
    <row r="19" spans="1:9">
      <c r="D19" s="1"/>
      <c r="E19" s="1"/>
      <c r="F19" s="1"/>
      <c r="G19" s="1"/>
      <c r="H19" s="1"/>
      <c r="I19" s="1"/>
    </row>
    <row r="20" spans="1:9" s="13" customFormat="1" ht="14.4">
      <c r="A20" s="1" t="s">
        <v>195</v>
      </c>
      <c r="B20" s="166">
        <v>400</v>
      </c>
      <c r="D20" s="1"/>
      <c r="E20" s="1" t="s">
        <v>72</v>
      </c>
      <c r="F20" s="166">
        <v>10</v>
      </c>
      <c r="G20" s="1" t="s">
        <v>24</v>
      </c>
      <c r="H20" s="1"/>
      <c r="I20" s="1"/>
    </row>
    <row r="21" spans="1:9" s="13" customFormat="1" ht="14.4">
      <c r="D21" s="1"/>
      <c r="E21" s="1"/>
      <c r="F21" s="1"/>
      <c r="G21" s="1"/>
      <c r="H21" s="1"/>
      <c r="I21" s="1"/>
    </row>
    <row r="22" spans="1:9" s="13" customFormat="1" ht="14.4">
      <c r="A22" s="1" t="s">
        <v>14</v>
      </c>
      <c r="B22" s="166">
        <v>98</v>
      </c>
      <c r="D22" s="1"/>
      <c r="E22" s="1" t="s">
        <v>262</v>
      </c>
      <c r="F22" s="167">
        <v>0.25</v>
      </c>
      <c r="G22" s="1" t="s">
        <v>73</v>
      </c>
      <c r="H22" s="1"/>
      <c r="I22" s="1"/>
    </row>
    <row r="23" spans="1:9" s="13" customFormat="1" ht="14.4">
      <c r="A23" s="1"/>
      <c r="B23" s="1"/>
      <c r="D23" s="1"/>
      <c r="H23" s="1"/>
      <c r="I23" s="1"/>
    </row>
    <row r="24" spans="1:9" s="13" customFormat="1" ht="14.4">
      <c r="A24" s="1" t="s">
        <v>55</v>
      </c>
      <c r="B24" s="166">
        <v>0.2</v>
      </c>
      <c r="E24" s="1" t="s">
        <v>80</v>
      </c>
      <c r="F24" s="166">
        <v>120</v>
      </c>
      <c r="G24" s="1" t="s">
        <v>0</v>
      </c>
      <c r="H24" s="1"/>
      <c r="I24" s="1"/>
    </row>
    <row r="25" spans="1:9" s="13" customFormat="1" ht="14.4">
      <c r="H25" s="1"/>
      <c r="I25" s="1"/>
    </row>
    <row r="26" spans="1:9" s="13" customFormat="1" ht="14.4">
      <c r="A26" s="12" t="s">
        <v>258</v>
      </c>
      <c r="B26" s="15"/>
      <c r="C26" s="1"/>
      <c r="E26" s="1" t="s">
        <v>263</v>
      </c>
      <c r="F26" s="11">
        <v>8</v>
      </c>
      <c r="G26" s="1" t="s">
        <v>0</v>
      </c>
      <c r="H26" s="1"/>
      <c r="I26" s="1"/>
    </row>
    <row r="27" spans="1:9" s="13" customFormat="1" ht="14.4">
      <c r="A27" s="1"/>
      <c r="B27" s="15"/>
      <c r="C27" s="1"/>
      <c r="H27" s="1"/>
      <c r="I27" s="1"/>
    </row>
    <row r="28" spans="1:9" s="13" customFormat="1" ht="14.4">
      <c r="A28" s="1" t="s">
        <v>18</v>
      </c>
      <c r="B28" s="166">
        <f>IF(VBA!B18=1,VBA!B21,VBA!B27)</f>
        <v>3.75</v>
      </c>
      <c r="C28" s="1" t="s">
        <v>35</v>
      </c>
      <c r="E28" s="1" t="s">
        <v>264</v>
      </c>
      <c r="F28" s="166">
        <v>0</v>
      </c>
      <c r="H28" s="1"/>
      <c r="I28" s="1"/>
    </row>
    <row r="29" spans="1:9" s="13" customFormat="1" ht="14.4">
      <c r="A29" s="1"/>
      <c r="B29" s="15"/>
      <c r="C29" s="1"/>
      <c r="H29" s="1"/>
      <c r="I29" s="1"/>
    </row>
    <row r="30" spans="1:9" s="13" customFormat="1" ht="14.4">
      <c r="A30" s="1" t="s">
        <v>17</v>
      </c>
      <c r="B30" s="166">
        <f>IF(VBA!B18=1,1,VBA!B29)</f>
        <v>1</v>
      </c>
      <c r="C30" s="1"/>
      <c r="E30" s="13" t="s">
        <v>81</v>
      </c>
      <c r="F30" s="49">
        <f ca="1">b_0*(hmax/100)^c_0</f>
        <v>3.8812499999999996</v>
      </c>
      <c r="G30" s="13" t="s">
        <v>82</v>
      </c>
    </row>
    <row r="31" spans="1:9" s="13" customFormat="1" ht="14.4">
      <c r="A31" s="1"/>
      <c r="B31" s="15"/>
      <c r="C31" s="1"/>
      <c r="E31" s="156"/>
      <c r="F31" s="156"/>
      <c r="G31" s="156"/>
      <c r="H31" s="156"/>
    </row>
    <row r="32" spans="1:9" s="13" customFormat="1" ht="15">
      <c r="A32" s="1" t="s">
        <v>175</v>
      </c>
      <c r="B32" s="168">
        <v>1.5</v>
      </c>
      <c r="C32" s="1" t="s">
        <v>24</v>
      </c>
      <c r="E32" s="188" t="s">
        <v>265</v>
      </c>
      <c r="F32" s="188"/>
      <c r="G32" s="188"/>
      <c r="H32" s="188"/>
    </row>
    <row r="33" spans="1:32" s="13" customFormat="1" ht="14.4">
      <c r="A33" s="1"/>
      <c r="B33" s="1"/>
      <c r="C33" s="1"/>
      <c r="E33" s="157" t="s">
        <v>226</v>
      </c>
      <c r="F33" s="157" t="s">
        <v>227</v>
      </c>
      <c r="G33" s="157" t="s">
        <v>228</v>
      </c>
      <c r="H33" s="157" t="s">
        <v>229</v>
      </c>
    </row>
    <row r="34" spans="1:32" s="13" customFormat="1" ht="15">
      <c r="A34" s="1" t="s">
        <v>259</v>
      </c>
      <c r="B34" s="166">
        <v>1.2</v>
      </c>
      <c r="C34" s="1" t="s">
        <v>24</v>
      </c>
      <c r="E34" s="170">
        <f ca="1">F30</f>
        <v>3.8812499999999996</v>
      </c>
      <c r="F34" s="170">
        <f ca="1">AE3</f>
        <v>2.7043379408169734</v>
      </c>
      <c r="G34" s="170">
        <f>AI4</f>
        <v>3.0784242293765245</v>
      </c>
      <c r="H34" s="170">
        <f ca="1">AI6</f>
        <v>1.0349999999999999</v>
      </c>
    </row>
    <row r="35" spans="1:32" s="13" customFormat="1" ht="14.4">
      <c r="E35" s="158"/>
      <c r="F35" s="158"/>
      <c r="G35" s="158"/>
      <c r="H35" s="1"/>
      <c r="I35" s="1"/>
    </row>
    <row r="36" spans="1:32" s="13" customFormat="1" ht="15">
      <c r="A36" s="1" t="s">
        <v>64</v>
      </c>
      <c r="B36" s="166">
        <f ca="1">OFFSET('Base de dados'!E19:G19,VBA!D35-1,0,1,1)</f>
        <v>35.200000000000003</v>
      </c>
      <c r="C36" s="1" t="s">
        <v>53</v>
      </c>
      <c r="E36" s="189" t="s">
        <v>266</v>
      </c>
      <c r="F36" s="189"/>
      <c r="G36" s="189"/>
      <c r="H36" s="1"/>
      <c r="I36" s="1"/>
    </row>
    <row r="37" spans="1:32" s="13" customFormat="1" ht="15">
      <c r="A37" s="1"/>
      <c r="B37" s="1"/>
      <c r="C37" s="1"/>
      <c r="E37" s="148" t="s">
        <v>230</v>
      </c>
      <c r="F37" s="205" t="str">
        <f ca="1">IF(AE3&lt;=MIN(AI3,AI4),"OK","FALHOU")</f>
        <v>OK</v>
      </c>
      <c r="G37" s="205"/>
      <c r="H37" s="1"/>
      <c r="I37" s="1"/>
    </row>
    <row r="38" spans="1:32" s="13" customFormat="1" ht="15">
      <c r="A38" s="1" t="s">
        <v>189</v>
      </c>
      <c r="B38" s="166">
        <v>1.83</v>
      </c>
      <c r="E38" s="159" t="s">
        <v>231</v>
      </c>
      <c r="F38" s="205" t="str">
        <f ca="1">IF(AE5&gt;=AI5,"OK","FALHOU")</f>
        <v>OK</v>
      </c>
      <c r="G38" s="205"/>
      <c r="H38" s="1"/>
      <c r="I38" s="1"/>
      <c r="AF38" s="1"/>
    </row>
    <row r="39" spans="1:32" s="13" customFormat="1" ht="15">
      <c r="A39" s="1"/>
      <c r="B39" s="1"/>
      <c r="C39" s="1"/>
      <c r="E39" s="134" t="s">
        <v>232</v>
      </c>
      <c r="F39" s="203" t="str">
        <f ca="1">IF(AE6&gt;=AI6,"OK","FALHOU")</f>
        <v>OK</v>
      </c>
      <c r="G39" s="203"/>
      <c r="H39" s="1"/>
      <c r="I39" s="1"/>
      <c r="AF39" s="1"/>
    </row>
    <row r="40" spans="1:32" s="13" customFormat="1" ht="15">
      <c r="A40" s="1" t="s">
        <v>190</v>
      </c>
      <c r="B40" s="166">
        <v>0.6</v>
      </c>
      <c r="C40" s="1" t="s">
        <v>24</v>
      </c>
      <c r="E40" s="158"/>
      <c r="F40" s="158"/>
      <c r="G40" s="1"/>
      <c r="H40" s="1"/>
      <c r="I40" s="1"/>
      <c r="AF40" s="1"/>
    </row>
    <row r="41" spans="1:32" s="13" customFormat="1" ht="14.4">
      <c r="E41" s="189" t="s">
        <v>267</v>
      </c>
      <c r="F41" s="189"/>
      <c r="G41" s="1"/>
      <c r="H41" s="1"/>
      <c r="I41" s="1"/>
      <c r="AF41" s="1"/>
    </row>
    <row r="42" spans="1:32" s="13" customFormat="1" ht="15">
      <c r="A42" s="1" t="s">
        <v>65</v>
      </c>
      <c r="B42" s="168">
        <f ca="1">IF(OFFSET('Base de dados'!E19:E19,VBA!D37-1,0,1,1)="Diâmetro Interno","--",OFFSET('Base de dados'!E19:E19,VBA!D37-1,0,1,1))</f>
        <v>35.200000000000003</v>
      </c>
      <c r="C42" s="1" t="s">
        <v>53</v>
      </c>
      <c r="D42" s="128"/>
      <c r="E42" s="148" t="s">
        <v>233</v>
      </c>
      <c r="F42" s="160" t="str">
        <f ca="1">CONCATENATE(ROUND(Simulação!AS4*100,1),"%")</f>
        <v>88,4%</v>
      </c>
      <c r="G42" s="1"/>
      <c r="H42" s="1"/>
      <c r="I42" s="1"/>
      <c r="AF42" s="1"/>
    </row>
    <row r="43" spans="1:32" s="13" customFormat="1" ht="15">
      <c r="E43" s="148" t="s">
        <v>234</v>
      </c>
      <c r="F43" s="160" t="str">
        <f ca="1">CONCATENATE(ROUND(Simulação!AS5*100,1),"%")</f>
        <v>87,8%</v>
      </c>
      <c r="G43" s="1"/>
      <c r="H43" s="1"/>
      <c r="I43" s="1"/>
      <c r="AF43" s="1"/>
    </row>
    <row r="44" spans="1:32" s="13" customFormat="1" ht="15">
      <c r="A44" s="1" t="s">
        <v>68</v>
      </c>
      <c r="B44" s="166">
        <v>0</v>
      </c>
      <c r="C44" s="1" t="s">
        <v>24</v>
      </c>
      <c r="E44" s="148" t="s">
        <v>235</v>
      </c>
      <c r="F44" s="160" t="str">
        <f ca="1">CONCATENATE(ROUND(Simulação!AS6*100,1),"%")</f>
        <v>69%</v>
      </c>
      <c r="G44" s="1"/>
      <c r="H44" s="1"/>
      <c r="I44" s="1"/>
    </row>
    <row r="45" spans="1:32" s="13" customFormat="1" ht="15">
      <c r="E45" s="148" t="s">
        <v>236</v>
      </c>
      <c r="F45" s="160" t="str">
        <f ca="1">CONCATENATE(ROUND(Simulação!AS7*100,1),"%")</f>
        <v>5,6%</v>
      </c>
      <c r="G45" s="1"/>
      <c r="H45" s="1"/>
      <c r="I45" s="1"/>
    </row>
    <row r="46" spans="1:32" s="13" customFormat="1" ht="15">
      <c r="A46" s="1" t="s">
        <v>260</v>
      </c>
      <c r="B46" s="169" t="str">
        <f>IF(VBA!C31=1,"Circular","Retangular")</f>
        <v>Circular</v>
      </c>
      <c r="E46" s="134" t="s">
        <v>237</v>
      </c>
      <c r="F46" s="161" t="str">
        <f>CONCATENATE(ROUND(Simulação!AS8*100,1),"%")</f>
        <v>85,7%</v>
      </c>
      <c r="G46" s="1"/>
      <c r="H46" s="1"/>
      <c r="I46" s="1"/>
    </row>
    <row r="47" spans="1:32" s="13" customFormat="1" ht="14.4">
      <c r="D47" s="1"/>
      <c r="E47" s="1"/>
      <c r="F47" s="1"/>
      <c r="G47" s="1"/>
      <c r="H47" s="1"/>
      <c r="I47" s="1"/>
    </row>
    <row r="48" spans="1:32" s="13" customFormat="1" ht="14.4">
      <c r="A48" s="1" t="s">
        <v>261</v>
      </c>
      <c r="B48" s="1" t="str">
        <f>IF(VBA!B18=1,"Prismático","Pontos cota-volume")</f>
        <v>Prismático</v>
      </c>
      <c r="C48" s="1"/>
      <c r="D48" s="1"/>
      <c r="E48" s="1"/>
      <c r="F48" s="1"/>
      <c r="G48" s="1"/>
      <c r="H48" s="1"/>
      <c r="I48" s="1"/>
    </row>
    <row r="49" spans="1:32" s="13" customFormat="1" ht="14.4">
      <c r="A49" s="1" t="s">
        <v>268</v>
      </c>
      <c r="B49" s="1"/>
      <c r="C49" s="1"/>
      <c r="D49" s="1"/>
      <c r="E49" s="1"/>
      <c r="F49" s="1"/>
      <c r="G49" s="1"/>
      <c r="H49" s="1"/>
      <c r="I49" s="1"/>
      <c r="AF49" s="1"/>
    </row>
    <row r="50" spans="1:32" s="13" customFormat="1" ht="15" customHeight="1">
      <c r="A50" s="173" t="s">
        <v>269</v>
      </c>
      <c r="B50" s="173"/>
      <c r="C50" s="173"/>
      <c r="D50" s="173"/>
      <c r="E50" s="173"/>
      <c r="F50" s="173"/>
      <c r="G50" s="173"/>
      <c r="H50" s="173"/>
      <c r="I50" s="71"/>
      <c r="AF50" s="1"/>
    </row>
    <row r="51" spans="1:32" s="13" customFormat="1" ht="14.4">
      <c r="A51" s="173"/>
      <c r="B51" s="173"/>
      <c r="C51" s="173"/>
      <c r="D51" s="173"/>
      <c r="E51" s="173"/>
      <c r="F51" s="173"/>
      <c r="G51" s="173"/>
      <c r="H51" s="173"/>
      <c r="I51" s="71"/>
      <c r="AF51" s="1"/>
    </row>
    <row r="52" spans="1:32" s="13" customFormat="1" ht="14.4">
      <c r="A52" s="173"/>
      <c r="B52" s="173"/>
      <c r="C52" s="173"/>
      <c r="D52" s="173"/>
      <c r="E52" s="173"/>
      <c r="F52" s="173"/>
      <c r="G52" s="173"/>
      <c r="H52" s="173"/>
      <c r="I52" s="71"/>
      <c r="AF52" s="1"/>
    </row>
    <row r="53" spans="1:32" s="13" customFormat="1" ht="14.4">
      <c r="A53" s="173"/>
      <c r="B53" s="173"/>
      <c r="C53" s="173"/>
      <c r="D53" s="173"/>
      <c r="E53" s="173"/>
      <c r="F53" s="173"/>
      <c r="G53" s="173"/>
      <c r="H53" s="173"/>
      <c r="I53" s="71"/>
      <c r="AF53" s="1"/>
    </row>
    <row r="54" spans="1:32" s="13" customFormat="1" ht="14.4">
      <c r="A54" s="173"/>
      <c r="B54" s="173"/>
      <c r="C54" s="173"/>
      <c r="D54" s="173"/>
      <c r="E54" s="173"/>
      <c r="F54" s="173"/>
      <c r="G54" s="173"/>
      <c r="H54" s="173"/>
      <c r="I54" s="71"/>
      <c r="AF54" s="1"/>
    </row>
    <row r="55" spans="1:32" s="13" customFormat="1" ht="14.4">
      <c r="A55" s="173"/>
      <c r="B55" s="173"/>
      <c r="C55" s="173"/>
      <c r="D55" s="173"/>
      <c r="E55" s="173"/>
      <c r="F55" s="173"/>
      <c r="G55" s="173"/>
      <c r="H55" s="173"/>
      <c r="I55" s="71"/>
      <c r="AF55" s="1"/>
    </row>
    <row r="56" spans="1:32" s="13" customFormat="1" ht="14.4">
      <c r="A56" s="173"/>
      <c r="B56" s="173"/>
      <c r="C56" s="173"/>
      <c r="D56" s="173"/>
      <c r="E56" s="173"/>
      <c r="F56" s="173"/>
      <c r="G56" s="173"/>
      <c r="H56" s="173"/>
      <c r="I56" s="71"/>
      <c r="AF56" s="1"/>
    </row>
    <row r="57" spans="1:32" s="13" customFormat="1" ht="14.4">
      <c r="A57" s="173"/>
      <c r="B57" s="173"/>
      <c r="C57" s="173"/>
      <c r="D57" s="173"/>
      <c r="E57" s="173"/>
      <c r="F57" s="173"/>
      <c r="G57" s="173"/>
      <c r="H57" s="173"/>
      <c r="I57" s="71"/>
      <c r="AF57" s="1"/>
    </row>
    <row r="58" spans="1:32" s="13" customFormat="1" ht="14.4">
      <c r="A58" s="173"/>
      <c r="B58" s="173"/>
      <c r="C58" s="173"/>
      <c r="D58" s="173"/>
      <c r="E58" s="173"/>
      <c r="F58" s="173"/>
      <c r="G58" s="173"/>
      <c r="H58" s="173"/>
      <c r="I58" s="71"/>
      <c r="AF58" s="1"/>
    </row>
    <row r="59" spans="1:32" s="13" customFormat="1" ht="14.4">
      <c r="A59" s="173"/>
      <c r="B59" s="173"/>
      <c r="C59" s="173"/>
      <c r="D59" s="173"/>
      <c r="E59" s="173"/>
      <c r="F59" s="173"/>
      <c r="G59" s="173"/>
      <c r="H59" s="173"/>
      <c r="I59" s="71"/>
      <c r="AC59" s="1"/>
      <c r="AD59" s="1"/>
      <c r="AE59" s="1"/>
      <c r="AF59" s="1"/>
    </row>
    <row r="60" spans="1:32" s="13" customFormat="1" ht="14.4">
      <c r="A60" s="174" t="str">
        <f ca="1">M63</f>
        <v xml:space="preserve"> - Reservatório  (Prismático) - Vertedor (Circular) - Cota da soleira = 1,2 m  -  φs = 32mm - ϕh = 32 mm</v>
      </c>
      <c r="B60" s="174"/>
      <c r="C60" s="174"/>
      <c r="D60" s="174"/>
      <c r="E60" s="174"/>
      <c r="F60" s="174"/>
      <c r="G60" s="174"/>
      <c r="H60" s="174"/>
      <c r="AE60" s="1"/>
      <c r="AF60" s="1"/>
    </row>
    <row r="61" spans="1:32" s="13" customFormat="1" ht="14.4">
      <c r="A61" s="174"/>
      <c r="B61" s="174"/>
      <c r="C61" s="174"/>
      <c r="D61" s="174"/>
      <c r="E61" s="174"/>
      <c r="F61" s="174"/>
      <c r="G61" s="174"/>
      <c r="H61" s="174"/>
    </row>
    <row r="62" spans="1:32" s="13" customFormat="1" ht="14.4">
      <c r="A62" s="174"/>
      <c r="B62" s="174"/>
      <c r="C62" s="174"/>
      <c r="D62" s="174"/>
      <c r="E62" s="174"/>
      <c r="F62" s="174"/>
      <c r="G62" s="174"/>
      <c r="H62" s="174"/>
    </row>
    <row r="63" spans="1:32" s="13" customFormat="1" ht="14.4">
      <c r="A63" s="1" t="s">
        <v>270</v>
      </c>
      <c r="B63" s="1"/>
      <c r="C63" s="1"/>
      <c r="D63" s="1"/>
      <c r="E63" s="1"/>
      <c r="F63" s="1"/>
      <c r="G63" s="1"/>
      <c r="H63" s="1"/>
      <c r="I63" s="1"/>
      <c r="M63" s="13" t="str">
        <f ca="1">CONCATENATE(" - Reservatório  (",B48,") - Vertedor (",Tipo_Vertedor,") - Cota da soleira = ",cota_s," m  -  ",IF(Tipo_Vertedor="Circular","φs = ","Lef = "),IF(Tipo_Vertedor="Circular",OFFSET('Base de dados'!H18,VBA!D37,0,1,1),Lef_sr),IF(Tipo_Vertedor="Circular","mm","m")," - ϕh = ",OFFSET('Base de dados'!H18:H18,VBA!D35,0,1,1)," mm")</f>
        <v xml:space="preserve"> - Reservatório  (Prismático) - Vertedor (Circular) - Cota da soleira = 1,2 m  -  φs = 32mm - ϕh = 32 mm</v>
      </c>
    </row>
    <row r="64" spans="1:32" s="13" customFormat="1" ht="14.4">
      <c r="A64" s="1"/>
      <c r="B64" s="1"/>
      <c r="C64" s="1"/>
      <c r="D64" s="1"/>
      <c r="E64" s="1"/>
      <c r="F64" s="1"/>
      <c r="G64" s="1"/>
      <c r="H64" s="1"/>
      <c r="I64" s="1"/>
    </row>
    <row r="65" spans="1:14" s="13" customFormat="1" ht="14.4">
      <c r="A65" s="10" t="s">
        <v>10</v>
      </c>
      <c r="B65" s="9">
        <f>ROUND(57*(((B8/1000)^2)/(B10*1000))^0.385,2)</f>
        <v>34.270000000000003</v>
      </c>
      <c r="C65" s="8" t="s">
        <v>0</v>
      </c>
      <c r="D65" s="1"/>
      <c r="E65" s="1"/>
      <c r="F65" s="1"/>
      <c r="G65" s="1"/>
      <c r="H65" s="1"/>
      <c r="I65" s="1"/>
    </row>
    <row r="66" spans="1:14" s="13" customFormat="1" ht="14.4">
      <c r="A66" s="6" t="s">
        <v>9</v>
      </c>
      <c r="B66" s="5">
        <f t="shared" ref="B66:B72" si="0">ROUND(447*((($B$8/1000)*$B$12)^0.6)/((($F$6*(($F$14^$F$8)))/(($F$10+B65)^$F$12))^0.4*$B$10^0.3),2)</f>
        <v>35</v>
      </c>
      <c r="C66" s="4" t="s">
        <v>0</v>
      </c>
      <c r="D66" s="1"/>
      <c r="E66" s="1"/>
      <c r="F66" s="1"/>
      <c r="G66" s="1"/>
      <c r="H66" s="1"/>
      <c r="I66" s="1"/>
      <c r="N66" s="13" t="str">
        <f ca="1">CONCATENATE("Simulation : Reservoir type (",B48,") - Spill (",Tipo_Vertedor,") - Elevation = ",cota_s," m ; ",IF(Tipo_Vertedor="Circular","φs = ","Lef = "),IF(Tipo_Vertedor="Circular",OFFSET('Base de dados'!H19,VBA!D35,0,1,1),Lef_sr),IF(Tipo_Vertedor="Circular","mm","m"))</f>
        <v>Simulation : Reservoir type (Prismático) - Spill (Circular) - Elevation = 1,2 m ; φs = 40mm</v>
      </c>
    </row>
    <row r="67" spans="1:14" s="13" customFormat="1" ht="14.4">
      <c r="A67" s="6" t="s">
        <v>8</v>
      </c>
      <c r="B67" s="5">
        <f t="shared" si="0"/>
        <v>35.14</v>
      </c>
      <c r="C67" s="4" t="s">
        <v>0</v>
      </c>
      <c r="D67" s="1"/>
      <c r="E67" s="1"/>
      <c r="F67" s="1"/>
      <c r="G67" s="1"/>
      <c r="H67" s="1"/>
      <c r="I67" s="1"/>
    </row>
    <row r="68" spans="1:14" s="13" customFormat="1" ht="14.4">
      <c r="A68" s="6" t="s">
        <v>7</v>
      </c>
      <c r="B68" s="5">
        <f t="shared" si="0"/>
        <v>35.159999999999997</v>
      </c>
      <c r="C68" s="4" t="s">
        <v>0</v>
      </c>
      <c r="D68" s="1"/>
      <c r="E68" s="1"/>
      <c r="F68" s="1"/>
      <c r="G68" s="1"/>
      <c r="H68" s="1"/>
      <c r="I68" s="1"/>
    </row>
    <row r="69" spans="1:14" s="13" customFormat="1" ht="14.4">
      <c r="A69" s="6" t="s">
        <v>6</v>
      </c>
      <c r="B69" s="5">
        <f t="shared" si="0"/>
        <v>35.17</v>
      </c>
      <c r="C69" s="4" t="s">
        <v>0</v>
      </c>
      <c r="D69" s="1"/>
      <c r="E69" s="7" t="s">
        <v>271</v>
      </c>
      <c r="F69" s="1"/>
      <c r="G69" s="1"/>
      <c r="H69" s="1"/>
      <c r="I69" s="1"/>
    </row>
    <row r="70" spans="1:14" s="13" customFormat="1" ht="14.4">
      <c r="A70" s="6" t="s">
        <v>4</v>
      </c>
      <c r="B70" s="5">
        <f t="shared" si="0"/>
        <v>35.17</v>
      </c>
      <c r="C70" s="4" t="s">
        <v>0</v>
      </c>
      <c r="D70" s="1"/>
      <c r="E70" s="7" t="s">
        <v>272</v>
      </c>
      <c r="F70" s="1"/>
      <c r="G70" s="1"/>
      <c r="H70" s="1"/>
      <c r="I70" s="1"/>
    </row>
    <row r="71" spans="1:14" s="13" customFormat="1" ht="14.4">
      <c r="A71" s="6" t="s">
        <v>2</v>
      </c>
      <c r="B71" s="5">
        <f t="shared" si="0"/>
        <v>35.17</v>
      </c>
      <c r="C71" s="4" t="s">
        <v>0</v>
      </c>
      <c r="D71" s="1"/>
      <c r="E71" s="1"/>
      <c r="F71" s="1"/>
      <c r="G71" s="1"/>
      <c r="H71" s="1"/>
      <c r="I71" s="1"/>
    </row>
    <row r="72" spans="1:14" s="13" customFormat="1" ht="14.4">
      <c r="A72" s="3" t="s">
        <v>1</v>
      </c>
      <c r="B72" s="14">
        <f t="shared" si="0"/>
        <v>35.17</v>
      </c>
      <c r="C72" s="2" t="s">
        <v>0</v>
      </c>
      <c r="D72" s="1"/>
      <c r="E72" s="1"/>
      <c r="F72" s="1"/>
      <c r="G72" s="1"/>
      <c r="H72" s="1"/>
      <c r="I72" s="1"/>
    </row>
    <row r="73" spans="1:14" s="13" customFormat="1" ht="14.4">
      <c r="A73" s="1"/>
      <c r="B73" s="1"/>
      <c r="C73" s="1"/>
      <c r="D73" s="1"/>
      <c r="E73" s="1"/>
      <c r="F73" s="1"/>
      <c r="G73" s="1"/>
      <c r="H73" s="1"/>
      <c r="I73" s="1"/>
    </row>
    <row r="74" spans="1:14" s="13" customFormat="1" ht="14.4">
      <c r="A74" s="1" t="str">
        <f>"Therefore, the time of concentration is "&amp;B72&amp;" min"</f>
        <v>Therefore, the time of concentration is 35,17 min</v>
      </c>
      <c r="B74" s="1"/>
      <c r="C74" s="1"/>
      <c r="D74" s="1"/>
      <c r="E74" s="1"/>
      <c r="F74" s="1"/>
      <c r="G74" s="1"/>
      <c r="H74" s="1"/>
      <c r="I74" s="1"/>
    </row>
    <row r="75" spans="1:14" s="13" customFormat="1" ht="15" customHeight="1">
      <c r="A75" s="204" t="str">
        <f>IF(B72&gt;=F16,"Once the time of concentration is bigger than the minimum assumed, is used the calculated ")</f>
        <v xml:space="preserve">Once the time of concentration is bigger than the minimum assumed, is used the calculated </v>
      </c>
      <c r="B75" s="204"/>
      <c r="C75" s="204"/>
      <c r="D75" s="204"/>
      <c r="E75" s="204"/>
      <c r="F75" s="204"/>
      <c r="G75" s="204"/>
      <c r="H75" s="204"/>
      <c r="I75" s="137"/>
      <c r="J75" s="137"/>
    </row>
    <row r="76" spans="1:14" s="13" customFormat="1" ht="14.4">
      <c r="A76" s="204"/>
      <c r="B76" s="204"/>
      <c r="C76" s="204"/>
      <c r="D76" s="204"/>
      <c r="E76" s="204"/>
      <c r="F76" s="204"/>
      <c r="G76" s="204"/>
      <c r="H76" s="204"/>
      <c r="I76" s="137"/>
      <c r="J76" s="137"/>
    </row>
    <row r="77" spans="1:14" s="13" customFormat="1" ht="14.4">
      <c r="A77" s="204"/>
      <c r="B77" s="204"/>
      <c r="C77" s="204"/>
      <c r="D77" s="204"/>
      <c r="E77" s="204"/>
      <c r="F77" s="204"/>
      <c r="G77" s="204"/>
      <c r="H77" s="204"/>
      <c r="I77" s="137"/>
      <c r="J77" s="137"/>
    </row>
    <row r="78" spans="1:14" s="13" customFormat="1" ht="15">
      <c r="A78" s="1" t="s">
        <v>27</v>
      </c>
      <c r="B78" s="16">
        <f>ROUND(MAX(B72,F16)/Passo,0)*Passo</f>
        <v>35</v>
      </c>
      <c r="C78" s="1" t="s">
        <v>0</v>
      </c>
      <c r="D78" s="1"/>
      <c r="E78" s="1"/>
      <c r="F78" s="1"/>
      <c r="G78" s="1"/>
      <c r="H78" s="1"/>
      <c r="I78" s="1"/>
    </row>
    <row r="79" spans="1:14" ht="13.8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4" ht="13.8">
      <c r="A80" s="204" t="s">
        <v>273</v>
      </c>
      <c r="B80" s="204"/>
      <c r="C80" s="204"/>
      <c r="D80" s="204"/>
      <c r="E80" s="204"/>
      <c r="F80" s="204"/>
      <c r="G80" s="204"/>
      <c r="H80" s="204"/>
      <c r="I80" s="1"/>
      <c r="J80" s="1"/>
    </row>
    <row r="81" spans="1:10" ht="13.8">
      <c r="A81" s="204"/>
      <c r="B81" s="204"/>
      <c r="C81" s="204"/>
      <c r="D81" s="204"/>
      <c r="E81" s="204"/>
      <c r="F81" s="204"/>
      <c r="G81" s="204"/>
      <c r="H81" s="204"/>
      <c r="I81" s="1"/>
      <c r="J81" s="1"/>
    </row>
    <row r="82" spans="1:10" ht="13.8">
      <c r="A82" s="1"/>
      <c r="B82" s="1"/>
      <c r="C82" s="1"/>
      <c r="D82" s="1"/>
      <c r="E82" s="7" t="s">
        <v>5</v>
      </c>
      <c r="F82" s="1"/>
      <c r="G82" s="1"/>
      <c r="H82" s="1"/>
      <c r="I82" s="1"/>
      <c r="J82" s="1"/>
    </row>
    <row r="83" spans="1:10" ht="13.8">
      <c r="A83" s="1"/>
      <c r="B83" s="1"/>
      <c r="C83" s="1"/>
      <c r="D83" s="1"/>
      <c r="E83" s="7" t="s">
        <v>3</v>
      </c>
      <c r="F83" s="1"/>
      <c r="G83" s="1"/>
      <c r="H83" s="1"/>
      <c r="I83" s="1"/>
      <c r="J83" s="1"/>
    </row>
    <row r="84" spans="1:10" ht="14.4">
      <c r="A84" s="1"/>
      <c r="B84" s="1"/>
      <c r="C84" s="1"/>
      <c r="D84" s="1"/>
      <c r="E84" s="1"/>
      <c r="F84" s="1"/>
      <c r="G84" s="1"/>
      <c r="H84" s="1"/>
      <c r="I84" s="1"/>
      <c r="J84" s="13"/>
    </row>
    <row r="85" spans="1:10" ht="14.4">
      <c r="A85" s="203"/>
      <c r="B85" s="203"/>
      <c r="C85" s="203"/>
      <c r="D85" s="1"/>
      <c r="E85" s="1"/>
      <c r="F85" s="1"/>
      <c r="G85" s="1"/>
      <c r="H85" s="1"/>
      <c r="I85" s="1"/>
      <c r="J85" s="13"/>
    </row>
    <row r="86" spans="1:10" ht="15" customHeight="1">
      <c r="A86" s="10" t="s">
        <v>10</v>
      </c>
      <c r="B86" s="9">
        <f>ROUND(57*(((B20/1000)^2)/(B10*1000))^0.385,2)</f>
        <v>9.92</v>
      </c>
      <c r="C86" s="8" t="s">
        <v>0</v>
      </c>
      <c r="D86" s="206" t="s">
        <v>274</v>
      </c>
      <c r="E86" s="207"/>
      <c r="F86" s="207"/>
      <c r="G86" s="207"/>
      <c r="H86" s="207"/>
      <c r="I86" s="207"/>
      <c r="J86" s="207"/>
    </row>
    <row r="87" spans="1:10" ht="15" customHeight="1">
      <c r="A87" s="6" t="s">
        <v>9</v>
      </c>
      <c r="B87" s="5">
        <f t="shared" ref="B87:B92" si="1">ROUND(447*((($B$20/1000)*$B$12)^0.6)/((($F$6*(($F$14^$F$8)))/(($F$10+B86)^$F$12))^0.4*$B$10^0.3),2)</f>
        <v>11.35</v>
      </c>
      <c r="C87" s="4" t="s">
        <v>0</v>
      </c>
      <c r="D87" s="206"/>
      <c r="E87" s="207"/>
      <c r="F87" s="207"/>
      <c r="G87" s="207"/>
      <c r="H87" s="207"/>
      <c r="I87" s="207"/>
      <c r="J87" s="207"/>
    </row>
    <row r="88" spans="1:10" ht="15" customHeight="1">
      <c r="A88" s="6" t="s">
        <v>8</v>
      </c>
      <c r="B88" s="5">
        <f t="shared" si="1"/>
        <v>11.48</v>
      </c>
      <c r="C88" s="4" t="s">
        <v>0</v>
      </c>
      <c r="D88" s="206"/>
      <c r="E88" s="207"/>
      <c r="F88" s="207"/>
      <c r="G88" s="207"/>
      <c r="H88" s="207"/>
      <c r="I88" s="207"/>
      <c r="J88" s="207"/>
    </row>
    <row r="89" spans="1:10" ht="15" customHeight="1">
      <c r="A89" s="6" t="s">
        <v>7</v>
      </c>
      <c r="B89" s="5">
        <f t="shared" si="1"/>
        <v>11.49</v>
      </c>
      <c r="C89" s="4" t="s">
        <v>0</v>
      </c>
      <c r="D89" s="206"/>
      <c r="E89" s="207"/>
      <c r="F89" s="207"/>
      <c r="G89" s="207"/>
      <c r="H89" s="207"/>
      <c r="I89" s="207"/>
      <c r="J89" s="207"/>
    </row>
    <row r="90" spans="1:10" ht="15" customHeight="1">
      <c r="A90" s="6" t="s">
        <v>6</v>
      </c>
      <c r="B90" s="5">
        <f t="shared" si="1"/>
        <v>11.49</v>
      </c>
      <c r="C90" s="4" t="s">
        <v>0</v>
      </c>
      <c r="D90" s="206"/>
      <c r="E90" s="207"/>
      <c r="F90" s="207"/>
      <c r="G90" s="207"/>
      <c r="H90" s="207"/>
      <c r="I90" s="207"/>
      <c r="J90" s="207"/>
    </row>
    <row r="91" spans="1:10" ht="15" customHeight="1">
      <c r="A91" s="6" t="s">
        <v>4</v>
      </c>
      <c r="B91" s="5">
        <f t="shared" si="1"/>
        <v>11.49</v>
      </c>
      <c r="C91" s="4" t="s">
        <v>0</v>
      </c>
      <c r="D91" s="206"/>
      <c r="E91" s="207"/>
      <c r="F91" s="207"/>
      <c r="G91" s="207"/>
      <c r="H91" s="207"/>
      <c r="I91" s="207"/>
      <c r="J91" s="207"/>
    </row>
    <row r="92" spans="1:10" ht="15" customHeight="1">
      <c r="A92" s="6" t="s">
        <v>2</v>
      </c>
      <c r="B92" s="5">
        <f t="shared" si="1"/>
        <v>11.49</v>
      </c>
      <c r="C92" s="4" t="s">
        <v>0</v>
      </c>
      <c r="D92" s="206"/>
      <c r="E92" s="207"/>
      <c r="F92" s="207"/>
      <c r="G92" s="207"/>
      <c r="H92" s="207"/>
      <c r="I92" s="207"/>
      <c r="J92" s="207"/>
    </row>
    <row r="93" spans="1:10" ht="15" customHeight="1">
      <c r="A93" s="3" t="s">
        <v>157</v>
      </c>
      <c r="B93" s="14">
        <f>IF(ROUND(447*((($B$20/1000)*$B$12)^0.6)/((($F$6*(($F$14^$F$8)))/(($F$10+B92)^$F$12))^0.4*$B$10^0.3),0)&lt;$F$16,$F$16,ROUND(447*((($B$20/1000)*$B$12)^0.6)/((($F$6*(($F$14^$F$8)))/(($F$10+B92)^$F$12))^0.4*$B$10^0.3),0))</f>
        <v>11</v>
      </c>
      <c r="C93" s="2" t="s">
        <v>0</v>
      </c>
      <c r="D93" s="206"/>
      <c r="E93" s="207"/>
      <c r="F93" s="207"/>
      <c r="G93" s="207"/>
      <c r="H93" s="207"/>
      <c r="I93" s="207"/>
      <c r="J93" s="207"/>
    </row>
    <row r="94" spans="1:10" ht="13.8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ht="13.8">
      <c r="A95" s="1" t="s">
        <v>275</v>
      </c>
      <c r="B95" s="1"/>
      <c r="C95" s="1"/>
      <c r="D95" s="1"/>
      <c r="E95" s="1"/>
      <c r="F95" s="1"/>
      <c r="G95" s="1"/>
      <c r="H95" s="1"/>
      <c r="I95" s="1"/>
      <c r="J95" s="1"/>
    </row>
    <row r="96" spans="1:10" ht="13.8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6" ht="13.8">
      <c r="A97" s="1" t="s">
        <v>38</v>
      </c>
      <c r="B97" s="1"/>
      <c r="C97" s="1"/>
      <c r="D97" s="1"/>
      <c r="E97" s="1"/>
      <c r="F97" s="1"/>
      <c r="G97" s="1"/>
      <c r="H97" s="1"/>
      <c r="I97" s="1"/>
      <c r="J97" s="1"/>
    </row>
    <row r="98" spans="1:16" ht="13.8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6" ht="13.8">
      <c r="A99" s="1" t="s">
        <v>39</v>
      </c>
      <c r="B99" s="20">
        <f>(k*TR^a)/((tc+b)^c_)</f>
        <v>107.74484802817835</v>
      </c>
      <c r="C99" s="1" t="s">
        <v>40</v>
      </c>
      <c r="D99" s="1"/>
      <c r="E99" s="1"/>
      <c r="F99" s="1"/>
      <c r="G99" s="1"/>
      <c r="H99" s="1"/>
      <c r="I99" s="1"/>
      <c r="J99" s="1"/>
    </row>
    <row r="100" spans="1:16" ht="13.8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6" ht="13.8">
      <c r="A101" s="1" t="s">
        <v>276</v>
      </c>
      <c r="B101" s="1"/>
      <c r="C101" s="1"/>
      <c r="D101" s="1"/>
      <c r="E101" s="1"/>
      <c r="F101" s="1"/>
      <c r="G101" s="1"/>
      <c r="H101" s="1"/>
      <c r="I101" s="1"/>
      <c r="J101" s="1"/>
    </row>
    <row r="102" spans="1:16" ht="13.8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6" ht="15">
      <c r="A103" s="202" t="s">
        <v>43</v>
      </c>
      <c r="B103" s="202"/>
      <c r="C103" s="202"/>
      <c r="D103" s="1"/>
      <c r="E103" s="1"/>
      <c r="F103" s="1"/>
      <c r="G103" s="1"/>
      <c r="H103" s="1"/>
      <c r="I103" s="1"/>
      <c r="J103" s="1"/>
    </row>
    <row r="104" spans="1:16" ht="13.8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6" ht="15">
      <c r="A105" s="1" t="s">
        <v>44</v>
      </c>
      <c r="B105" s="20">
        <f>Runoff*chuva_bacia*Area*10^4/1000/3600*1000</f>
        <v>718.29898685452247</v>
      </c>
      <c r="C105" s="1" t="s">
        <v>42</v>
      </c>
      <c r="D105" s="1"/>
      <c r="E105" s="1"/>
      <c r="F105" s="1"/>
      <c r="G105" s="1"/>
      <c r="H105" s="1"/>
      <c r="I105" s="1"/>
      <c r="J105" s="1"/>
    </row>
    <row r="106" spans="1:16" ht="13.8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6" ht="13.8">
      <c r="A107" s="1" t="s">
        <v>278</v>
      </c>
      <c r="B107" s="1"/>
      <c r="C107" s="1"/>
      <c r="D107" s="1"/>
      <c r="E107" s="1"/>
      <c r="F107" s="1"/>
      <c r="G107" s="1"/>
      <c r="H107" s="1"/>
      <c r="I107" s="1"/>
      <c r="J107" s="1"/>
    </row>
    <row r="108" spans="1:16" ht="15">
      <c r="A108" s="202" t="s">
        <v>161</v>
      </c>
      <c r="B108" s="202"/>
      <c r="C108" s="202"/>
      <c r="D108" s="1"/>
      <c r="E108" s="1"/>
      <c r="F108" s="1"/>
      <c r="G108" s="1"/>
      <c r="H108" s="1"/>
      <c r="I108" s="1"/>
      <c r="J108" s="1"/>
      <c r="P108" s="101"/>
    </row>
    <row r="109" spans="1:16" ht="13.8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6" ht="15">
      <c r="A110" s="1" t="s">
        <v>160</v>
      </c>
      <c r="B110" s="20">
        <f>(tc_1/tc)*Qmax</f>
        <v>225.75111015427848</v>
      </c>
      <c r="C110" s="1" t="s">
        <v>42</v>
      </c>
      <c r="D110" s="1"/>
      <c r="E110" s="1"/>
      <c r="F110" s="1"/>
      <c r="G110" s="1"/>
      <c r="H110" s="1"/>
      <c r="I110" s="1"/>
      <c r="J110" s="1"/>
    </row>
    <row r="111" spans="1:16" ht="13.8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6" ht="15">
      <c r="A112" s="202" t="s">
        <v>45</v>
      </c>
      <c r="B112" s="202"/>
      <c r="C112" s="202"/>
      <c r="D112" s="1"/>
      <c r="E112" s="1"/>
      <c r="F112" s="1"/>
      <c r="G112" s="1"/>
      <c r="H112" s="1"/>
      <c r="I112" s="1"/>
      <c r="J112" s="1"/>
    </row>
    <row r="113" spans="1:10" ht="13.8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ht="13.8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ht="15">
      <c r="A115" s="1" t="s">
        <v>159</v>
      </c>
      <c r="B115" s="20">
        <f>Q_max_i/Ad_i</f>
        <v>205.22828195843496</v>
      </c>
      <c r="C115" s="1" t="s">
        <v>48</v>
      </c>
      <c r="D115" s="1"/>
      <c r="E115" s="1"/>
      <c r="F115" s="1"/>
      <c r="G115" s="1"/>
      <c r="H115" s="1"/>
      <c r="I115" s="1"/>
      <c r="J115" s="1"/>
    </row>
    <row r="116" spans="1:10" ht="13.8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ht="13.8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ht="13.8">
      <c r="A118" s="1" t="s">
        <v>277</v>
      </c>
      <c r="B118" s="1"/>
      <c r="C118" s="1"/>
      <c r="D118" s="1"/>
      <c r="E118" s="1"/>
      <c r="F118" s="1"/>
      <c r="G118" s="1"/>
      <c r="H118" s="1"/>
      <c r="I118" s="1"/>
      <c r="J118" s="1"/>
    </row>
    <row r="119" spans="1:10" ht="13.8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ht="15">
      <c r="A120" s="1" t="s">
        <v>51</v>
      </c>
      <c r="B120" s="1"/>
      <c r="C120" s="1"/>
      <c r="D120" s="1"/>
      <c r="E120" s="1"/>
      <c r="F120" s="1"/>
      <c r="G120" s="1"/>
      <c r="H120" s="1"/>
      <c r="I120" s="1"/>
      <c r="J120" s="1"/>
    </row>
    <row r="121" spans="1:10" ht="13.8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ht="15">
      <c r="A122" s="1" t="s">
        <v>50</v>
      </c>
      <c r="B122" s="16">
        <f>qmax_i*alot_i/10^4</f>
        <v>3.0784242293765245</v>
      </c>
      <c r="C122" s="1" t="s">
        <v>42</v>
      </c>
      <c r="D122" s="1"/>
      <c r="E122" s="1"/>
      <c r="F122" s="1"/>
      <c r="G122" s="1"/>
      <c r="H122" s="1"/>
      <c r="I122" s="1"/>
      <c r="J122" s="1"/>
    </row>
    <row r="123" spans="1:10" ht="13.8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ht="13.8">
      <c r="A124" s="1" t="s">
        <v>279</v>
      </c>
      <c r="B124" s="1"/>
      <c r="C124" s="1"/>
      <c r="D124" s="1"/>
      <c r="E124" s="1"/>
      <c r="F124" s="1"/>
      <c r="G124" s="1"/>
      <c r="H124" s="1"/>
      <c r="I124" s="1"/>
      <c r="J124" s="1"/>
    </row>
    <row r="125" spans="1:10" ht="13.8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ht="14.4">
      <c r="A126"/>
      <c r="B126" s="1"/>
      <c r="C126" s="1"/>
      <c r="D126" s="1"/>
      <c r="E126" s="1"/>
      <c r="F126" s="1"/>
      <c r="G126" s="1"/>
      <c r="H126" s="1"/>
      <c r="I126" s="1"/>
      <c r="J126" s="1"/>
    </row>
    <row r="127" spans="1:10" ht="13.8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>
      <c r="A128" s="85" t="s">
        <v>23</v>
      </c>
      <c r="B128" s="84">
        <f>25400/CN_pos-254</f>
        <v>5.1836734693877702</v>
      </c>
      <c r="C128" s="1" t="s">
        <v>53</v>
      </c>
      <c r="D128" s="1"/>
    </row>
    <row r="129" spans="1:12">
      <c r="A129" s="1"/>
      <c r="B129" s="1"/>
      <c r="C129" s="1"/>
      <c r="D129" s="1"/>
    </row>
    <row r="130" spans="1:12">
      <c r="A130" s="1" t="s">
        <v>54</v>
      </c>
      <c r="B130" s="1">
        <f>coef_IA*S_i</f>
        <v>1.0367346938775541</v>
      </c>
      <c r="C130" s="1" t="s">
        <v>53</v>
      </c>
      <c r="D130" s="1"/>
    </row>
    <row r="131" spans="1:12">
      <c r="A131" s="85"/>
      <c r="B131" s="1"/>
      <c r="C131" s="1"/>
      <c r="D131" s="1"/>
    </row>
    <row r="132" spans="1:12">
      <c r="A132" s="1" t="str">
        <f>"Pi("&amp;ROUND(tc,1)&amp;")"</f>
        <v>Pi(35)</v>
      </c>
      <c r="B132" s="84">
        <f>tc*chuva_bacia/60</f>
        <v>62.851161349770706</v>
      </c>
      <c r="C132" s="1" t="s">
        <v>53</v>
      </c>
      <c r="D132" s="1"/>
    </row>
    <row r="133" spans="1:12">
      <c r="A133" s="85"/>
      <c r="B133" s="1"/>
      <c r="C133" s="1"/>
      <c r="D133" s="1"/>
    </row>
    <row r="134" spans="1:12">
      <c r="A134" s="1" t="str">
        <f>"Pef("&amp;ROUND(tc,1)&amp;")"</f>
        <v>Pef(35)</v>
      </c>
      <c r="B134" s="1">
        <f>((Ptotal-I_a)^2)/(Ptotal+0.8*S_i)</f>
        <v>57.031816359744454</v>
      </c>
      <c r="C134" s="1" t="s">
        <v>53</v>
      </c>
      <c r="D134" s="1"/>
    </row>
    <row r="135" spans="1:12">
      <c r="A135" s="1"/>
      <c r="B135" s="1"/>
      <c r="C135" s="1"/>
      <c r="D135" s="1"/>
    </row>
    <row r="136" spans="1:12">
      <c r="A136" s="1" t="s">
        <v>162</v>
      </c>
      <c r="B136" s="16">
        <f>Pef/Ptotal</f>
        <v>0.90741070069268526</v>
      </c>
      <c r="C136" s="1"/>
      <c r="D136" s="1"/>
    </row>
    <row r="137" spans="1:12">
      <c r="A137" s="1"/>
      <c r="B137" s="1"/>
      <c r="C137" s="1"/>
      <c r="D137" s="1"/>
    </row>
    <row r="138" spans="1:12">
      <c r="A138" s="17" t="s">
        <v>280</v>
      </c>
    </row>
    <row r="140" spans="1:12" ht="18.600000000000001">
      <c r="A140" s="17" t="s">
        <v>94</v>
      </c>
      <c r="K140" s="17"/>
      <c r="L140" s="17"/>
    </row>
    <row r="142" spans="1:12" ht="18.600000000000001">
      <c r="A142" s="17" t="s">
        <v>60</v>
      </c>
      <c r="B142" s="21">
        <f>Runoff_pos*chuva_bacia*alot_i/3600</f>
        <v>4.0737011685531748</v>
      </c>
      <c r="C142" s="17" t="s">
        <v>42</v>
      </c>
    </row>
    <row r="145" spans="1:1">
      <c r="A145" s="17" t="s">
        <v>281</v>
      </c>
    </row>
    <row r="192" spans="1:7">
      <c r="A192" s="1"/>
      <c r="B192" s="1"/>
      <c r="C192" s="1"/>
      <c r="D192" s="1"/>
      <c r="E192" s="1"/>
      <c r="F192" s="1"/>
      <c r="G192" s="1"/>
    </row>
    <row r="193" spans="1:12">
      <c r="A193" s="1"/>
      <c r="B193" s="1"/>
      <c r="C193" s="1"/>
      <c r="D193" s="1"/>
      <c r="E193" s="1"/>
      <c r="F193" s="1"/>
      <c r="G193" s="1"/>
    </row>
    <row r="194" spans="1:12">
      <c r="A194" s="1"/>
      <c r="B194" s="1"/>
      <c r="C194" s="1"/>
      <c r="D194" s="1"/>
      <c r="E194" s="1"/>
      <c r="F194" s="1"/>
      <c r="G194" s="1"/>
    </row>
    <row r="195" spans="1:12">
      <c r="A195" s="1"/>
      <c r="B195" s="1"/>
      <c r="C195" s="1"/>
      <c r="D195" s="1"/>
      <c r="E195" s="1"/>
      <c r="F195" s="1"/>
      <c r="G195" s="1"/>
    </row>
    <row r="196" spans="1:12" ht="18.600000000000001">
      <c r="A196" s="172" t="s">
        <v>220</v>
      </c>
      <c r="B196" s="172"/>
      <c r="C196" s="138">
        <f ca="1">Simulação!AS4</f>
        <v>0.88372093023255816</v>
      </c>
      <c r="D196" s="1"/>
      <c r="E196" s="172" t="s">
        <v>222</v>
      </c>
      <c r="F196" s="172"/>
      <c r="G196" s="138">
        <f ca="1">Simulação!AS6</f>
        <v>0.69</v>
      </c>
    </row>
    <row r="197" spans="1:12" ht="18.600000000000001">
      <c r="A197" s="172" t="s">
        <v>221</v>
      </c>
      <c r="B197" s="172"/>
      <c r="C197" s="138">
        <f ca="1">Simulação!AS5</f>
        <v>0.87848124212714018</v>
      </c>
      <c r="D197" s="1"/>
      <c r="E197" s="172" t="s">
        <v>223</v>
      </c>
      <c r="F197" s="172"/>
      <c r="G197" s="138">
        <f ca="1">Simulação!AS7</f>
        <v>5.5692714423551171E-2</v>
      </c>
    </row>
    <row r="198" spans="1:12">
      <c r="A198" s="1" t="s">
        <v>282</v>
      </c>
      <c r="B198" s="1"/>
      <c r="C198" s="1"/>
      <c r="D198" s="1"/>
      <c r="E198" s="1"/>
      <c r="F198" s="1"/>
      <c r="G198" s="1"/>
    </row>
    <row r="199" spans="1:12" ht="18.600000000000001">
      <c r="A199" s="139" t="s">
        <v>224</v>
      </c>
      <c r="B199" s="140">
        <f>Simulação!AS8</f>
        <v>0.85714285714285721</v>
      </c>
      <c r="C199" s="141" t="str">
        <f>IF(B199&lt;1,"Reference catchment with lower resilience","Reference catchment with higher resilience")</f>
        <v>Reference catchment with lower resilience</v>
      </c>
      <c r="D199" s="1"/>
      <c r="E199" s="1"/>
      <c r="F199" s="1"/>
      <c r="G199" s="1"/>
    </row>
    <row r="200" spans="1:12">
      <c r="A200" s="1"/>
      <c r="B200" s="1"/>
      <c r="C200" s="1"/>
      <c r="D200" s="1"/>
      <c r="E200" s="1"/>
      <c r="F200" s="1"/>
      <c r="G200" s="1"/>
    </row>
    <row r="201" spans="1:12">
      <c r="A201" s="1"/>
      <c r="B201" s="1"/>
      <c r="C201" s="1"/>
      <c r="D201" s="1"/>
      <c r="E201" s="1"/>
      <c r="F201" s="1"/>
      <c r="G201" s="1"/>
      <c r="K201" s="17"/>
      <c r="L201" s="17"/>
    </row>
    <row r="202" spans="1:12">
      <c r="A202" s="1"/>
      <c r="B202" s="1"/>
      <c r="C202" s="1"/>
      <c r="D202" s="1"/>
      <c r="E202" s="1"/>
      <c r="F202" s="1"/>
      <c r="G202" s="1"/>
      <c r="J202" s="85"/>
      <c r="K202" s="17"/>
      <c r="L202" s="17"/>
    </row>
    <row r="203" spans="1:12">
      <c r="A203" s="1"/>
      <c r="B203" s="1"/>
      <c r="C203" s="1"/>
      <c r="D203" s="1"/>
      <c r="E203" s="1"/>
      <c r="F203" s="1"/>
      <c r="G203" s="1"/>
      <c r="J203" s="1"/>
      <c r="K203" s="17"/>
      <c r="L203" s="17"/>
    </row>
    <row r="204" spans="1:12">
      <c r="A204" s="1"/>
      <c r="B204" s="1"/>
      <c r="C204" s="1"/>
      <c r="D204" s="1"/>
      <c r="E204" s="1"/>
      <c r="F204" s="1"/>
      <c r="G204" s="1"/>
      <c r="J204" s="1"/>
      <c r="K204" s="17"/>
      <c r="L204" s="17"/>
    </row>
    <row r="205" spans="1:12">
      <c r="A205" s="1"/>
      <c r="B205" s="1"/>
      <c r="C205" s="1"/>
      <c r="D205" s="1"/>
      <c r="E205" s="1"/>
      <c r="F205" s="1"/>
      <c r="G205" s="1"/>
      <c r="J205" s="1"/>
      <c r="K205" s="17"/>
      <c r="L205" s="17"/>
    </row>
    <row r="206" spans="1:12">
      <c r="A206" s="1"/>
      <c r="B206" s="1"/>
      <c r="C206" s="1"/>
      <c r="D206" s="1"/>
      <c r="E206" s="1"/>
      <c r="F206" s="1"/>
      <c r="G206" s="1"/>
      <c r="K206" s="17"/>
      <c r="L206" s="17"/>
    </row>
    <row r="207" spans="1:12">
      <c r="A207" s="1"/>
      <c r="B207" s="1"/>
      <c r="C207" s="1"/>
      <c r="D207" s="1"/>
      <c r="E207" s="1"/>
      <c r="F207" s="1"/>
      <c r="G207" s="1"/>
      <c r="K207" s="17"/>
      <c r="L207" s="17"/>
    </row>
    <row r="208" spans="1:12">
      <c r="A208" s="1"/>
      <c r="B208" s="1"/>
      <c r="C208" s="1"/>
      <c r="D208" s="1"/>
      <c r="E208" s="1"/>
      <c r="F208" s="1"/>
      <c r="G208" s="1"/>
    </row>
    <row r="209" spans="1:7">
      <c r="A209" s="1"/>
      <c r="B209" s="1"/>
      <c r="C209" s="1"/>
      <c r="D209" s="1"/>
      <c r="E209" s="1"/>
      <c r="F209" s="1"/>
      <c r="G209" s="1"/>
    </row>
    <row r="210" spans="1:7">
      <c r="A210" s="1"/>
      <c r="B210" s="1"/>
      <c r="C210" s="1"/>
      <c r="D210" s="1"/>
      <c r="E210" s="1"/>
      <c r="F210" s="1"/>
      <c r="G210" s="1"/>
    </row>
    <row r="211" spans="1:7">
      <c r="A211" s="155"/>
    </row>
    <row r="217" spans="1:7">
      <c r="G217" s="142"/>
    </row>
    <row r="218" spans="1:7">
      <c r="B218" s="143"/>
      <c r="C218" s="171"/>
      <c r="D218" s="171"/>
      <c r="E218" s="15"/>
      <c r="F218" s="142"/>
      <c r="G218" s="142"/>
    </row>
    <row r="219" spans="1:7">
      <c r="B219" s="144"/>
      <c r="C219" s="171"/>
      <c r="D219" s="171"/>
      <c r="E219" s="15"/>
      <c r="F219" s="142"/>
      <c r="G219" s="142"/>
    </row>
    <row r="220" spans="1:7">
      <c r="B220" s="144"/>
      <c r="C220" s="171"/>
      <c r="D220" s="171"/>
      <c r="E220" s="15"/>
      <c r="F220" s="142"/>
      <c r="G220" s="142"/>
    </row>
    <row r="221" spans="1:7">
      <c r="B221" s="144"/>
      <c r="C221" s="171"/>
      <c r="D221" s="171"/>
      <c r="E221" s="142"/>
      <c r="F221" s="142"/>
      <c r="G221" s="142"/>
    </row>
    <row r="222" spans="1:7">
      <c r="B222" s="144"/>
      <c r="C222" s="171"/>
      <c r="D222" s="171"/>
      <c r="E222" s="142"/>
      <c r="F222" s="145"/>
      <c r="G222" s="142"/>
    </row>
    <row r="223" spans="1:7">
      <c r="C223" s="171"/>
      <c r="D223" s="171"/>
    </row>
    <row r="224" spans="1:7">
      <c r="C224" s="171"/>
      <c r="D224" s="171"/>
    </row>
    <row r="225" spans="1:7">
      <c r="C225" s="171"/>
      <c r="D225" s="171"/>
    </row>
    <row r="235" spans="1:7">
      <c r="A235" s="1"/>
      <c r="B235" s="1"/>
      <c r="C235" s="1"/>
      <c r="D235" s="1"/>
      <c r="E235" s="1"/>
      <c r="F235" s="1"/>
      <c r="G235" s="1"/>
    </row>
    <row r="236" spans="1:7">
      <c r="A236" s="1"/>
      <c r="B236" s="1"/>
      <c r="C236" s="1"/>
      <c r="D236" s="1"/>
      <c r="E236" s="1"/>
      <c r="F236" s="1"/>
      <c r="G236" s="1"/>
    </row>
    <row r="237" spans="1:7">
      <c r="A237" s="1"/>
      <c r="B237" s="1"/>
      <c r="C237" s="1"/>
      <c r="D237" s="1"/>
      <c r="E237" s="1"/>
      <c r="F237" s="1"/>
      <c r="G237" s="1"/>
    </row>
    <row r="238" spans="1:7">
      <c r="A238" s="1"/>
      <c r="B238" s="1"/>
      <c r="C238" s="1"/>
      <c r="D238" s="1"/>
      <c r="E238" s="1"/>
      <c r="F238" s="1"/>
      <c r="G238" s="1"/>
    </row>
    <row r="239" spans="1:7">
      <c r="A239" s="1"/>
      <c r="B239" s="1"/>
      <c r="C239" s="1"/>
      <c r="D239" s="1"/>
      <c r="E239" s="1"/>
      <c r="F239" s="1"/>
      <c r="G239" s="1"/>
    </row>
    <row r="240" spans="1:7">
      <c r="A240" s="1"/>
      <c r="B240" s="1"/>
      <c r="C240" s="1"/>
      <c r="D240" s="1"/>
      <c r="E240" s="1"/>
      <c r="F240" s="1"/>
      <c r="G240" s="1"/>
    </row>
    <row r="241" spans="1:7">
      <c r="A241" s="1"/>
      <c r="B241" s="1"/>
      <c r="C241" s="1"/>
      <c r="D241" s="1"/>
      <c r="E241" s="1"/>
      <c r="F241" s="1"/>
      <c r="G241" s="1"/>
    </row>
    <row r="242" spans="1:7">
      <c r="A242" s="1"/>
      <c r="B242" s="1"/>
      <c r="C242" s="1"/>
      <c r="D242" s="1"/>
      <c r="E242" s="1"/>
      <c r="F242" s="1"/>
      <c r="G242" s="1"/>
    </row>
    <row r="243" spans="1:7">
      <c r="A243" s="1"/>
      <c r="B243" s="1"/>
      <c r="C243" s="1"/>
      <c r="D243" s="1"/>
      <c r="E243" s="1"/>
      <c r="F243" s="1"/>
      <c r="G243" s="1"/>
    </row>
    <row r="244" spans="1:7">
      <c r="A244" s="1"/>
      <c r="B244" s="1"/>
      <c r="C244" s="1"/>
      <c r="D244" s="1"/>
      <c r="E244" s="1"/>
      <c r="F244" s="1"/>
      <c r="G244" s="1"/>
    </row>
    <row r="245" spans="1:7">
      <c r="A245" s="1"/>
      <c r="B245" s="1"/>
      <c r="C245" s="1"/>
      <c r="D245" s="1"/>
      <c r="E245" s="1"/>
      <c r="F245" s="1"/>
      <c r="G245" s="1"/>
    </row>
    <row r="246" spans="1:7">
      <c r="A246" s="1"/>
      <c r="B246" s="1"/>
      <c r="C246" s="1"/>
      <c r="D246" s="1"/>
      <c r="E246" s="1"/>
      <c r="F246" s="1"/>
      <c r="G246" s="1"/>
    </row>
    <row r="247" spans="1:7">
      <c r="A247" s="1"/>
      <c r="B247" s="1"/>
      <c r="C247" s="1"/>
      <c r="D247" s="1"/>
      <c r="E247" s="1"/>
      <c r="F247" s="1"/>
      <c r="G247" s="1"/>
    </row>
    <row r="272" spans="1:7">
      <c r="A272" s="1"/>
      <c r="B272" s="1"/>
      <c r="C272" s="1"/>
      <c r="D272" s="1"/>
      <c r="E272" s="1"/>
      <c r="F272" s="1"/>
      <c r="G272" s="1"/>
    </row>
    <row r="273" spans="1:7">
      <c r="A273" s="1"/>
      <c r="B273" s="1"/>
      <c r="C273" s="1"/>
      <c r="D273" s="1"/>
      <c r="E273" s="1"/>
      <c r="F273" s="1"/>
      <c r="G273" s="1"/>
    </row>
    <row r="274" spans="1:7">
      <c r="A274" s="1"/>
      <c r="B274" s="1"/>
      <c r="C274" s="1"/>
      <c r="D274" s="1"/>
      <c r="E274" s="1"/>
      <c r="F274" s="1"/>
      <c r="G274" s="1"/>
    </row>
    <row r="275" spans="1:7">
      <c r="A275" s="1"/>
      <c r="B275" s="1"/>
      <c r="C275" s="1"/>
      <c r="D275" s="1"/>
      <c r="E275" s="1"/>
      <c r="F275" s="1"/>
      <c r="G275" s="1"/>
    </row>
    <row r="276" spans="1:7">
      <c r="A276" s="1"/>
      <c r="B276" s="1"/>
      <c r="C276" s="1"/>
      <c r="D276" s="1"/>
      <c r="E276" s="1"/>
      <c r="F276" s="1"/>
      <c r="G276" s="1"/>
    </row>
    <row r="277" spans="1:7">
      <c r="A277" s="1"/>
      <c r="B277" s="1"/>
      <c r="C277" s="1"/>
      <c r="D277" s="1"/>
      <c r="E277" s="1"/>
      <c r="F277" s="1"/>
      <c r="G277" s="1"/>
    </row>
    <row r="278" spans="1:7">
      <c r="A278" s="1"/>
      <c r="B278" s="1"/>
      <c r="C278" s="1"/>
      <c r="D278" s="1"/>
      <c r="E278" s="1"/>
      <c r="F278" s="1"/>
      <c r="G278" s="1"/>
    </row>
    <row r="279" spans="1:7">
      <c r="A279" s="1"/>
      <c r="B279" s="1"/>
      <c r="C279" s="1"/>
      <c r="D279" s="1"/>
      <c r="E279" s="1"/>
      <c r="F279" s="1"/>
      <c r="G279" s="1"/>
    </row>
    <row r="280" spans="1:7">
      <c r="A280" s="1"/>
      <c r="B280" s="1"/>
      <c r="C280" s="1"/>
      <c r="D280" s="1"/>
      <c r="E280" s="1"/>
      <c r="F280" s="1"/>
      <c r="G280" s="1"/>
    </row>
    <row r="281" spans="1:7">
      <c r="A281" s="1"/>
      <c r="B281" s="1"/>
      <c r="C281" s="1"/>
      <c r="D281" s="1"/>
      <c r="E281" s="1"/>
      <c r="F281" s="1"/>
      <c r="G281" s="1"/>
    </row>
    <row r="282" spans="1:7">
      <c r="A282" s="1"/>
      <c r="B282" s="1"/>
      <c r="C282" s="1"/>
      <c r="D282" s="1"/>
      <c r="E282" s="1"/>
      <c r="F282" s="1"/>
      <c r="G282" s="1"/>
    </row>
    <row r="302" spans="1:7">
      <c r="A302" s="1" t="s">
        <v>283</v>
      </c>
      <c r="B302" s="1"/>
      <c r="C302" s="1"/>
      <c r="D302" s="1"/>
      <c r="E302" s="1"/>
      <c r="F302" s="1"/>
      <c r="G302" s="1"/>
    </row>
    <row r="303" spans="1:7">
      <c r="A303" s="146"/>
      <c r="B303" s="146"/>
      <c r="C303" s="146"/>
      <c r="D303" s="146"/>
      <c r="E303" s="146"/>
      <c r="F303" s="146"/>
      <c r="G303" s="146"/>
    </row>
    <row r="304" spans="1:7">
      <c r="A304" s="192" t="s">
        <v>284</v>
      </c>
      <c r="B304" s="193"/>
      <c r="C304" s="193"/>
      <c r="D304" s="193"/>
      <c r="E304" s="193"/>
      <c r="F304" s="193"/>
      <c r="G304" s="194"/>
    </row>
    <row r="305" spans="1:7">
      <c r="A305" s="151" t="s">
        <v>244</v>
      </c>
      <c r="B305" s="193" t="s">
        <v>245</v>
      </c>
      <c r="C305" s="193"/>
      <c r="D305" s="193"/>
      <c r="E305" s="147" t="s">
        <v>244</v>
      </c>
      <c r="F305" s="193" t="s">
        <v>245</v>
      </c>
      <c r="G305" s="194"/>
    </row>
    <row r="306" spans="1:7">
      <c r="A306" s="152" t="s">
        <v>27</v>
      </c>
      <c r="B306" s="195">
        <f>tc</f>
        <v>35</v>
      </c>
      <c r="C306" s="195"/>
      <c r="D306" s="196"/>
      <c r="E306" s="149" t="s">
        <v>23</v>
      </c>
      <c r="F306" s="197">
        <f>S_i</f>
        <v>5.1836734693877702</v>
      </c>
      <c r="G306" s="198"/>
    </row>
    <row r="307" spans="1:7">
      <c r="A307" s="153" t="s">
        <v>158</v>
      </c>
      <c r="B307" s="190">
        <f>tc_1</f>
        <v>11</v>
      </c>
      <c r="C307" s="190"/>
      <c r="D307" s="191"/>
      <c r="E307" s="148" t="s">
        <v>54</v>
      </c>
      <c r="F307" s="183">
        <f>I_a</f>
        <v>1.0367346938775541</v>
      </c>
      <c r="G307" s="184"/>
    </row>
    <row r="308" spans="1:7">
      <c r="A308" s="152" t="s">
        <v>44</v>
      </c>
      <c r="B308" s="177">
        <f>Qmax</f>
        <v>718.29898685452247</v>
      </c>
      <c r="C308" s="177"/>
      <c r="D308" s="178"/>
      <c r="E308" s="148" t="str">
        <f>"Pef("&amp;ROUND(tc,1)&amp;")"</f>
        <v>Pef(35)</v>
      </c>
      <c r="F308" s="183">
        <f>Pef</f>
        <v>57.031816359744454</v>
      </c>
      <c r="G308" s="184"/>
    </row>
    <row r="309" spans="1:7">
      <c r="A309" s="152" t="s">
        <v>160</v>
      </c>
      <c r="B309" s="177">
        <f>Q_max_i</f>
        <v>225.75111015427848</v>
      </c>
      <c r="C309" s="177"/>
      <c r="D309" s="178"/>
      <c r="E309" s="148" t="s">
        <v>162</v>
      </c>
      <c r="F309" s="185">
        <f>Runoff_pos</f>
        <v>0.90741070069268526</v>
      </c>
      <c r="G309" s="186"/>
    </row>
    <row r="310" spans="1:7" ht="18.600000000000001">
      <c r="A310" s="152" t="s">
        <v>159</v>
      </c>
      <c r="B310" s="175">
        <f>qmax_i</f>
        <v>205.22828195843496</v>
      </c>
      <c r="C310" s="175"/>
      <c r="D310" s="176"/>
      <c r="E310" s="143" t="s">
        <v>60</v>
      </c>
      <c r="F310" s="177">
        <f>Qmax_lot_i</f>
        <v>4.0737011685531748</v>
      </c>
      <c r="G310" s="178"/>
    </row>
    <row r="311" spans="1:7" ht="18.600000000000001">
      <c r="A311" s="154" t="s">
        <v>50</v>
      </c>
      <c r="B311" s="179">
        <f>Qref_i</f>
        <v>3.0784242293765245</v>
      </c>
      <c r="C311" s="179"/>
      <c r="D311" s="180"/>
      <c r="E311" s="150" t="s">
        <v>163</v>
      </c>
      <c r="F311" s="181">
        <f>$B$199</f>
        <v>0.85714285714285721</v>
      </c>
      <c r="G311" s="182"/>
    </row>
  </sheetData>
  <mergeCells count="44">
    <mergeCell ref="AD2:AJ2"/>
    <mergeCell ref="A196:B196"/>
    <mergeCell ref="A197:B197"/>
    <mergeCell ref="A103:C103"/>
    <mergeCell ref="A108:C108"/>
    <mergeCell ref="A112:C112"/>
    <mergeCell ref="A85:C85"/>
    <mergeCell ref="A75:H77"/>
    <mergeCell ref="A80:H81"/>
    <mergeCell ref="F37:G37"/>
    <mergeCell ref="F38:G38"/>
    <mergeCell ref="F39:G39"/>
    <mergeCell ref="E36:G36"/>
    <mergeCell ref="D86:J93"/>
    <mergeCell ref="A1:H1"/>
    <mergeCell ref="E32:H32"/>
    <mergeCell ref="E41:F41"/>
    <mergeCell ref="B307:D307"/>
    <mergeCell ref="F307:G307"/>
    <mergeCell ref="A304:G304"/>
    <mergeCell ref="B305:D305"/>
    <mergeCell ref="F305:G305"/>
    <mergeCell ref="B306:D306"/>
    <mergeCell ref="F306:G306"/>
    <mergeCell ref="C223:D223"/>
    <mergeCell ref="C224:D224"/>
    <mergeCell ref="C225:D225"/>
    <mergeCell ref="C218:D218"/>
    <mergeCell ref="C219:D219"/>
    <mergeCell ref="C220:D220"/>
    <mergeCell ref="B310:D310"/>
    <mergeCell ref="F310:G310"/>
    <mergeCell ref="B311:D311"/>
    <mergeCell ref="F311:G311"/>
    <mergeCell ref="B308:D308"/>
    <mergeCell ref="F308:G308"/>
    <mergeCell ref="B309:D309"/>
    <mergeCell ref="F309:G309"/>
    <mergeCell ref="C221:D221"/>
    <mergeCell ref="C222:D222"/>
    <mergeCell ref="E196:F196"/>
    <mergeCell ref="E197:F197"/>
    <mergeCell ref="A50:H59"/>
    <mergeCell ref="A60:H62"/>
  </mergeCells>
  <conditionalFormatting sqref="F37:G39">
    <cfRule type="containsText" dxfId="56" priority="1" operator="containsText" text="FALHOU">
      <formula>NOT(ISERROR(SEARCH("FALHOU",F37)))</formula>
    </cfRule>
  </conditionalFormatting>
  <pageMargins left="0.59055118110236227" right="0.78740157480314965" top="0.78740157480314965" bottom="0.78740157480314965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2:G54"/>
  <sheetViews>
    <sheetView topLeftCell="A23" zoomScale="115" zoomScaleNormal="115" workbookViewId="0">
      <selection activeCell="D35" sqref="D35"/>
    </sheetView>
  </sheetViews>
  <sheetFormatPr defaultColWidth="9.109375" defaultRowHeight="15.6"/>
  <cols>
    <col min="1" max="6" width="9.109375" style="18"/>
    <col min="7" max="7" width="3.6640625" style="124" customWidth="1"/>
    <col min="8" max="16384" width="9.109375" style="18"/>
  </cols>
  <sheetData>
    <row r="2" spans="1:5">
      <c r="A2" s="18" t="s">
        <v>196</v>
      </c>
      <c r="D2" s="18" t="s">
        <v>202</v>
      </c>
      <c r="E2" s="18">
        <f>MIN(COUNT($A$4:$A$15),COUNT($B$4:$B$15))</f>
        <v>4</v>
      </c>
    </row>
    <row r="3" spans="1:5">
      <c r="A3" s="122" t="s">
        <v>197</v>
      </c>
      <c r="B3" s="122" t="s">
        <v>198</v>
      </c>
    </row>
    <row r="4" spans="1:5">
      <c r="A4" s="123">
        <v>0.2</v>
      </c>
      <c r="B4" s="123">
        <v>10</v>
      </c>
    </row>
    <row r="5" spans="1:5">
      <c r="A5" s="123">
        <v>0.4</v>
      </c>
      <c r="B5" s="123">
        <v>21.23</v>
      </c>
    </row>
    <row r="6" spans="1:5">
      <c r="A6" s="123">
        <v>0.6</v>
      </c>
      <c r="B6" s="123">
        <v>33.75</v>
      </c>
    </row>
    <row r="7" spans="1:5">
      <c r="A7" s="123">
        <v>0.8</v>
      </c>
      <c r="B7" s="123">
        <v>47.64</v>
      </c>
    </row>
    <row r="8" spans="1:5">
      <c r="A8" s="123"/>
      <c r="B8" s="123"/>
    </row>
    <row r="9" spans="1:5">
      <c r="A9" s="123"/>
      <c r="B9" s="123"/>
    </row>
    <row r="10" spans="1:5">
      <c r="A10" s="123"/>
      <c r="B10" s="123"/>
    </row>
    <row r="11" spans="1:5">
      <c r="A11" s="123"/>
      <c r="B11" s="123"/>
    </row>
    <row r="12" spans="1:5">
      <c r="A12" s="123"/>
      <c r="B12" s="123"/>
    </row>
    <row r="13" spans="1:5">
      <c r="A13" s="123"/>
      <c r="B13" s="123"/>
    </row>
    <row r="14" spans="1:5">
      <c r="A14" s="123"/>
      <c r="B14" s="123"/>
    </row>
    <row r="15" spans="1:5">
      <c r="A15" s="123"/>
      <c r="B15" s="123"/>
    </row>
    <row r="16" spans="1:5">
      <c r="A16" s="18" t="s">
        <v>208</v>
      </c>
    </row>
    <row r="17" spans="1:4">
      <c r="A17" s="18" t="s">
        <v>203</v>
      </c>
    </row>
    <row r="18" spans="1:4">
      <c r="A18" s="18" t="s">
        <v>207</v>
      </c>
      <c r="B18" s="18">
        <v>1</v>
      </c>
    </row>
    <row r="19" spans="1:4">
      <c r="A19" s="18" t="s">
        <v>204</v>
      </c>
    </row>
    <row r="21" spans="1:4">
      <c r="A21" s="18" t="s">
        <v>18</v>
      </c>
      <c r="B21" s="18">
        <v>3.75</v>
      </c>
    </row>
    <row r="23" spans="1:4">
      <c r="A23" s="18" t="s">
        <v>17</v>
      </c>
      <c r="B23" s="18">
        <v>1</v>
      </c>
    </row>
    <row r="25" spans="1:4">
      <c r="A25" s="18" t="s">
        <v>205</v>
      </c>
    </row>
    <row r="27" spans="1:4">
      <c r="A27" s="18" t="s">
        <v>18</v>
      </c>
      <c r="B27" s="18">
        <f>alfa_1_quad</f>
        <v>60.352992807583718</v>
      </c>
    </row>
    <row r="29" spans="1:4">
      <c r="A29" s="18" t="s">
        <v>17</v>
      </c>
      <c r="B29" s="18">
        <f>alfa_2_quad</f>
        <v>1.1228613267022027</v>
      </c>
    </row>
    <row r="31" spans="1:4">
      <c r="A31" s="18" t="s">
        <v>206</v>
      </c>
      <c r="C31" s="18">
        <v>1</v>
      </c>
      <c r="D31" s="18" t="str">
        <f>IF(C31=1,"Circular","Retangular")</f>
        <v>Circular</v>
      </c>
    </row>
    <row r="33" spans="1:4">
      <c r="A33" s="18" t="s">
        <v>209</v>
      </c>
    </row>
    <row r="34" spans="1:4">
      <c r="D34" s="18" t="s">
        <v>212</v>
      </c>
    </row>
    <row r="35" spans="1:4">
      <c r="A35" s="18" t="s">
        <v>210</v>
      </c>
      <c r="D35" s="18">
        <v>4</v>
      </c>
    </row>
    <row r="37" spans="1:4">
      <c r="A37" s="18" t="s">
        <v>211</v>
      </c>
      <c r="D37" s="18">
        <v>4</v>
      </c>
    </row>
    <row r="39" spans="1:4">
      <c r="A39" s="18" t="s">
        <v>213</v>
      </c>
    </row>
    <row r="41" spans="1:4">
      <c r="A41" s="125" t="s">
        <v>214</v>
      </c>
    </row>
    <row r="42" spans="1:4">
      <c r="A42" s="125">
        <v>1</v>
      </c>
      <c r="B42" s="126">
        <v>15</v>
      </c>
    </row>
    <row r="43" spans="1:4">
      <c r="A43" s="125">
        <v>2</v>
      </c>
      <c r="B43" s="126">
        <v>20</v>
      </c>
    </row>
    <row r="44" spans="1:4">
      <c r="A44" s="126">
        <v>3</v>
      </c>
      <c r="B44" s="126">
        <v>25</v>
      </c>
    </row>
    <row r="45" spans="1:4">
      <c r="A45" s="126">
        <v>4</v>
      </c>
      <c r="B45" s="126">
        <v>32</v>
      </c>
    </row>
    <row r="46" spans="1:4">
      <c r="A46" s="126">
        <v>5</v>
      </c>
      <c r="B46" s="126">
        <v>40</v>
      </c>
    </row>
    <row r="47" spans="1:4">
      <c r="A47" s="126">
        <v>6</v>
      </c>
      <c r="B47" s="126">
        <v>50</v>
      </c>
    </row>
    <row r="48" spans="1:4">
      <c r="A48" s="126">
        <v>7</v>
      </c>
      <c r="B48" s="126">
        <v>60</v>
      </c>
    </row>
    <row r="49" spans="1:2">
      <c r="A49" s="126">
        <v>8</v>
      </c>
      <c r="B49" s="126">
        <v>75</v>
      </c>
    </row>
    <row r="50" spans="1:2">
      <c r="A50" s="126">
        <v>9</v>
      </c>
      <c r="B50" s="126">
        <v>100</v>
      </c>
    </row>
    <row r="51" spans="1:2">
      <c r="A51" s="126">
        <v>10</v>
      </c>
      <c r="B51" s="126">
        <v>110</v>
      </c>
    </row>
    <row r="52" spans="1:2">
      <c r="A52" s="126">
        <v>11</v>
      </c>
      <c r="B52" s="126">
        <v>125</v>
      </c>
    </row>
    <row r="53" spans="1:2">
      <c r="A53" s="126">
        <v>12</v>
      </c>
      <c r="B53" s="126">
        <v>150</v>
      </c>
    </row>
    <row r="54" spans="1:2">
      <c r="A54" s="126">
        <v>13</v>
      </c>
      <c r="B54" s="126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/>
  <dimension ref="A1:A5"/>
  <sheetViews>
    <sheetView zoomScale="55" zoomScaleNormal="55" workbookViewId="0">
      <selection activeCell="H14" sqref="H14"/>
    </sheetView>
  </sheetViews>
  <sheetFormatPr defaultRowHeight="14.4"/>
  <sheetData>
    <row r="1" ht="15" customHeight="1"/>
    <row r="2" ht="15" customHeight="1"/>
    <row r="3" ht="15" customHeight="1"/>
    <row r="4" ht="15" customHeight="1"/>
    <row r="5" ht="15" customHeight="1"/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L492"/>
  <sheetViews>
    <sheetView view="pageLayout" topLeftCell="A355" zoomScale="85" zoomScaleNormal="100" zoomScalePageLayoutView="85" workbookViewId="0">
      <selection activeCell="B12" sqref="B12:B375"/>
    </sheetView>
  </sheetViews>
  <sheetFormatPr defaultColWidth="9.109375" defaultRowHeight="15.6"/>
  <cols>
    <col min="1" max="2" width="9.88671875" style="23" bestFit="1" customWidth="1"/>
    <col min="3" max="3" width="9.109375" style="44"/>
    <col min="4" max="4" width="9.109375" style="23"/>
    <col min="5" max="5" width="9.109375" style="24"/>
    <col min="6" max="6" width="11.88671875" style="23" customWidth="1"/>
    <col min="7" max="7" width="13.109375" style="23" customWidth="1"/>
    <col min="8" max="16384" width="9.109375" style="23"/>
  </cols>
  <sheetData>
    <row r="1" spans="1:12" s="22" customFormat="1">
      <c r="A1" s="210" t="s">
        <v>56</v>
      </c>
      <c r="B1" s="210"/>
      <c r="C1" s="210"/>
      <c r="D1" s="210"/>
      <c r="E1" s="210"/>
      <c r="F1" s="210"/>
      <c r="G1" s="210"/>
      <c r="H1" s="210"/>
      <c r="I1" s="210"/>
    </row>
    <row r="2" spans="1:12">
      <c r="C2" s="23"/>
      <c r="E2" s="23"/>
    </row>
    <row r="3" spans="1:12" ht="18">
      <c r="A3" s="25" t="s">
        <v>62</v>
      </c>
      <c r="B3" s="26">
        <f>chuva_bacia</f>
        <v>107.74484802817835</v>
      </c>
      <c r="C3" s="27" t="s">
        <v>40</v>
      </c>
      <c r="D3" s="25" t="s">
        <v>14</v>
      </c>
      <c r="E3" s="208">
        <f>CN_pos</f>
        <v>98</v>
      </c>
      <c r="F3" s="209"/>
      <c r="G3" s="23" t="s">
        <v>83</v>
      </c>
      <c r="H3" s="24">
        <f>MAX(C12:C1048576)</f>
        <v>8.554772453961661</v>
      </c>
      <c r="I3" s="45" t="s">
        <v>82</v>
      </c>
    </row>
    <row r="4" spans="1:12" ht="18">
      <c r="A4" s="28" t="s">
        <v>57</v>
      </c>
      <c r="B4" s="35">
        <f>tc_1</f>
        <v>11</v>
      </c>
      <c r="C4" s="29" t="s">
        <v>0</v>
      </c>
      <c r="D4" s="28" t="s">
        <v>23</v>
      </c>
      <c r="E4" s="35">
        <f>S_i</f>
        <v>5.1836734693877702</v>
      </c>
      <c r="F4" s="29" t="s">
        <v>53</v>
      </c>
      <c r="G4" s="28" t="s">
        <v>86</v>
      </c>
      <c r="H4" s="24">
        <f>Qmax/(tc)</f>
        <v>20.522828195843498</v>
      </c>
      <c r="I4" s="23" t="s">
        <v>61</v>
      </c>
    </row>
    <row r="5" spans="1:12">
      <c r="A5" s="28" t="s">
        <v>29</v>
      </c>
      <c r="B5" s="35">
        <f>tc</f>
        <v>35</v>
      </c>
      <c r="C5" s="29" t="s">
        <v>0</v>
      </c>
      <c r="D5" s="28" t="s">
        <v>54</v>
      </c>
      <c r="E5" s="35">
        <f>I_a</f>
        <v>1.0367346938775541</v>
      </c>
      <c r="F5" s="29" t="s">
        <v>53</v>
      </c>
      <c r="G5" s="28" t="s">
        <v>88</v>
      </c>
      <c r="H5" s="24">
        <f>Q_max_i/tc_1</f>
        <v>20.522828195843498</v>
      </c>
      <c r="I5" s="23" t="s">
        <v>61</v>
      </c>
    </row>
    <row r="6" spans="1:12" ht="18">
      <c r="A6" s="28" t="s">
        <v>59</v>
      </c>
      <c r="B6" s="35">
        <f>tc_lot_i</f>
        <v>8</v>
      </c>
      <c r="C6" s="29" t="s">
        <v>0</v>
      </c>
      <c r="D6" s="28" t="s">
        <v>85</v>
      </c>
      <c r="E6" s="35">
        <f>Qmax_lot_i/tc_lot_i</f>
        <v>0.50921264606914685</v>
      </c>
      <c r="F6" s="29" t="s">
        <v>61</v>
      </c>
    </row>
    <row r="7" spans="1:12">
      <c r="A7" s="30" t="s">
        <v>58</v>
      </c>
      <c r="B7" s="31">
        <f>Qmax</f>
        <v>718.29898685452247</v>
      </c>
      <c r="C7" s="32" t="s">
        <v>42</v>
      </c>
      <c r="D7" s="30" t="s">
        <v>49</v>
      </c>
      <c r="E7" s="31">
        <f>Qref_i</f>
        <v>3.0784242293765245</v>
      </c>
      <c r="F7" s="32" t="s">
        <v>42</v>
      </c>
    </row>
    <row r="8" spans="1:12">
      <c r="C8" s="23"/>
      <c r="E8" s="23"/>
    </row>
    <row r="9" spans="1:12">
      <c r="B9" s="24"/>
      <c r="C9" s="23"/>
      <c r="E9" s="23"/>
    </row>
    <row r="10" spans="1:12" ht="18">
      <c r="A10" s="33" t="s">
        <v>28</v>
      </c>
      <c r="B10" s="34" t="s">
        <v>41</v>
      </c>
      <c r="C10" s="33" t="s">
        <v>81</v>
      </c>
      <c r="D10" s="33" t="s">
        <v>89</v>
      </c>
      <c r="E10" s="33" t="s">
        <v>87</v>
      </c>
      <c r="F10" s="33" t="s">
        <v>90</v>
      </c>
      <c r="G10" s="33" t="s">
        <v>91</v>
      </c>
      <c r="H10" s="33" t="s">
        <v>93</v>
      </c>
      <c r="I10" s="33" t="s">
        <v>145</v>
      </c>
      <c r="J10" s="23" t="s">
        <v>252</v>
      </c>
      <c r="L10" s="23" t="s">
        <v>253</v>
      </c>
    </row>
    <row r="11" spans="1:12">
      <c r="A11" s="33" t="s">
        <v>11</v>
      </c>
      <c r="B11" s="33" t="s">
        <v>34</v>
      </c>
      <c r="C11" s="33" t="s">
        <v>75</v>
      </c>
      <c r="D11" s="33" t="s">
        <v>34</v>
      </c>
      <c r="E11" s="33" t="s">
        <v>34</v>
      </c>
      <c r="F11" s="33" t="s">
        <v>92</v>
      </c>
      <c r="G11" s="33" t="s">
        <v>92</v>
      </c>
      <c r="H11" s="33" t="s">
        <v>34</v>
      </c>
      <c r="I11" s="33" t="s">
        <v>34</v>
      </c>
    </row>
    <row r="12" spans="1:12">
      <c r="A12" s="23">
        <v>0</v>
      </c>
      <c r="B12" s="24">
        <f>IF(A12&lt;=tc_lot_i,declividade_afluente*A12,IF(A12&lt;=tc,Qmax_lot_i,IF(A12&lt;=tc+tc_lot_i,Qmax_lot_i-declividade_afluente*(A12-tc),"")))</f>
        <v>0</v>
      </c>
      <c r="C12" s="44">
        <v>0</v>
      </c>
      <c r="D12" s="44">
        <f t="shared" ref="D12:D75" si="0">IF(A12&lt;=tc,$H$4*A12,IF(A12&lt;=2*tc,Qmax-$H$4*(A12-tc),""))</f>
        <v>0</v>
      </c>
      <c r="E12" s="44">
        <f t="shared" ref="E12:E75" si="1">IF(A12&lt;=tc_1,$H$5*A12,IF(A12&lt;=tc,Q_max_i,IF(A12&lt;=tc_1+tc,Q_max_i-$H$5*(A12-(tc)),"")))</f>
        <v>0</v>
      </c>
      <c r="F12" s="44">
        <f t="shared" ref="F12:F75" si="2">IF(A12="","",IF(ISERROR(D12/(Area*10^2)),"",D12/(Area*10^2)))</f>
        <v>0</v>
      </c>
      <c r="G12" s="44">
        <f t="shared" ref="G12:G75" si="3">IF(A12="","",IF(ISERROR(E12/(Ad_i*10^2)),"",E12/(Ad_i*10^2)))</f>
        <v>0</v>
      </c>
      <c r="H12" s="24">
        <f t="shared" ref="H12:H75" si="4">IF(G12="","",IF(ISERROR(G12*alot_i/100),"",G12*alot_i/100))</f>
        <v>0</v>
      </c>
      <c r="I12" s="24">
        <f>IF(A12="","",IF(ISERROR(E12-H12),0,E12-H12))</f>
        <v>0</v>
      </c>
      <c r="J12" s="24">
        <f>I12+B12</f>
        <v>0</v>
      </c>
      <c r="L12" s="24">
        <f ca="1">I12+Simulação!G5</f>
        <v>0</v>
      </c>
    </row>
    <row r="13" spans="1:12">
      <c r="A13" s="23">
        <f t="shared" ref="A13:A76" si="5">IF(ISERROR(IF(A12+Passo&lt;=tc+tc,A12+Passo,"")),"",IF(A12+Passo&lt;=tc+tc,A12+Passo,""))</f>
        <v>1</v>
      </c>
      <c r="B13" s="24">
        <f>IF(A13&lt;=tc_lot_i,declividade_afluente*A13,IF(A13&lt;=tc,Qmax_lot_i,IF(A13&lt;=tc+tc_lot_i,Qmax_lot_i-declividade_afluente*(A13-tc),"")))</f>
        <v>0.50921264606914685</v>
      </c>
      <c r="C13" s="44">
        <f t="shared" ref="C13:C76" si="6">IF(ISERROR(IF(A13="","",C12+AVERAGE(B12:B13)*Passo*60/1000)),C12,IF(A13="","",C12+AVERAGE(B12:B13)*Passo*60/1000))</f>
        <v>1.5276379382074406E-2</v>
      </c>
      <c r="D13" s="44">
        <f t="shared" si="0"/>
        <v>20.522828195843498</v>
      </c>
      <c r="E13" s="44">
        <f t="shared" si="1"/>
        <v>20.522828195843498</v>
      </c>
      <c r="F13" s="44">
        <f t="shared" si="2"/>
        <v>6.8409427319478328E-2</v>
      </c>
      <c r="G13" s="44">
        <f t="shared" si="3"/>
        <v>0.18657116541675905</v>
      </c>
      <c r="H13" s="24">
        <f t="shared" si="4"/>
        <v>0.27985674812513855</v>
      </c>
      <c r="I13" s="24">
        <f t="shared" ref="I13:I76" si="7">IF(A13="","",IF(ISERROR(E13-H13),0,E13-H13))</f>
        <v>20.242971447718361</v>
      </c>
      <c r="J13" s="24">
        <f t="shared" ref="J13:J76" si="8">I13+B13</f>
        <v>20.752184093787509</v>
      </c>
      <c r="K13" s="44"/>
      <c r="L13" s="24">
        <f ca="1">I13+Simulação!G6</f>
        <v>20.242971447718361</v>
      </c>
    </row>
    <row r="14" spans="1:12">
      <c r="A14" s="23">
        <f t="shared" si="5"/>
        <v>2</v>
      </c>
      <c r="B14" s="24">
        <f t="shared" ref="B14:B45" si="9">IF(ISERROR(IF(A14&lt;=tc_lot_i,declividade_afluente*A14,IF(A14&lt;=tc,Qmax_lot_i,IF(A14&lt;=tc+tc_lot_i,Qmax_lot_i-declividade_afluente*(A14-tc),"")))),"",IF(A14&lt;=tc_lot_i,declividade_afluente*A14,IF(A14&lt;=tc,Qmax_lot_i,IF(A14&lt;=tc+tc_lot_i,Qmax_lot_i-declividade_afluente*(A14-tc),""))))</f>
        <v>1.0184252921382937</v>
      </c>
      <c r="C14" s="44">
        <f t="shared" si="6"/>
        <v>6.1105517528297619E-2</v>
      </c>
      <c r="D14" s="44">
        <f t="shared" si="0"/>
        <v>41.045656391686997</v>
      </c>
      <c r="E14" s="44">
        <f t="shared" si="1"/>
        <v>41.045656391686997</v>
      </c>
      <c r="F14" s="44">
        <f t="shared" si="2"/>
        <v>0.13681885463895666</v>
      </c>
      <c r="G14" s="44">
        <f t="shared" si="3"/>
        <v>0.37314233083351811</v>
      </c>
      <c r="H14" s="24">
        <f t="shared" si="4"/>
        <v>0.55971349625027711</v>
      </c>
      <c r="I14" s="24">
        <f t="shared" si="7"/>
        <v>40.485942895436722</v>
      </c>
      <c r="J14" s="24">
        <f t="shared" si="8"/>
        <v>41.504368187575018</v>
      </c>
      <c r="L14" s="24">
        <f ca="1">I14+Simulação!G7</f>
        <v>40.485942895436722</v>
      </c>
    </row>
    <row r="15" spans="1:12">
      <c r="A15" s="23">
        <f t="shared" si="5"/>
        <v>3</v>
      </c>
      <c r="B15" s="24">
        <f t="shared" si="9"/>
        <v>1.5276379382074405</v>
      </c>
      <c r="C15" s="44">
        <f t="shared" si="6"/>
        <v>0.13748741443866963</v>
      </c>
      <c r="D15" s="44">
        <f t="shared" si="0"/>
        <v>61.568484587530492</v>
      </c>
      <c r="E15" s="44">
        <f t="shared" si="1"/>
        <v>61.568484587530492</v>
      </c>
      <c r="F15" s="44">
        <f t="shared" si="2"/>
        <v>0.20522828195843498</v>
      </c>
      <c r="G15" s="44">
        <f t="shared" si="3"/>
        <v>0.55971349625027711</v>
      </c>
      <c r="H15" s="24">
        <f t="shared" si="4"/>
        <v>0.83957024437541561</v>
      </c>
      <c r="I15" s="24">
        <f t="shared" si="7"/>
        <v>60.728914343155076</v>
      </c>
      <c r="J15" s="24">
        <f t="shared" si="8"/>
        <v>62.256552281362517</v>
      </c>
      <c r="L15" s="24">
        <f ca="1">I15+Simulação!G8</f>
        <v>60.996968363014773</v>
      </c>
    </row>
    <row r="16" spans="1:12">
      <c r="A16" s="23">
        <f t="shared" si="5"/>
        <v>4</v>
      </c>
      <c r="B16" s="24">
        <f t="shared" si="9"/>
        <v>2.0368505842765874</v>
      </c>
      <c r="C16" s="44">
        <f t="shared" si="6"/>
        <v>0.24442207011319048</v>
      </c>
      <c r="D16" s="44">
        <f t="shared" si="0"/>
        <v>82.091312783373994</v>
      </c>
      <c r="E16" s="44">
        <f t="shared" si="1"/>
        <v>82.091312783373994</v>
      </c>
      <c r="F16" s="44">
        <f t="shared" si="2"/>
        <v>0.27363770927791331</v>
      </c>
      <c r="G16" s="44">
        <f t="shared" si="3"/>
        <v>0.74628466166703622</v>
      </c>
      <c r="H16" s="24">
        <f t="shared" si="4"/>
        <v>1.1194269925005542</v>
      </c>
      <c r="I16" s="24">
        <f t="shared" si="7"/>
        <v>80.971885790873444</v>
      </c>
      <c r="J16" s="24">
        <f t="shared" si="8"/>
        <v>83.008736375150036</v>
      </c>
      <c r="L16" s="24">
        <f ca="1">I16+Simulação!G9</f>
        <v>81.437729592580723</v>
      </c>
    </row>
    <row r="17" spans="1:12">
      <c r="A17" s="23">
        <f t="shared" si="5"/>
        <v>5</v>
      </c>
      <c r="B17" s="24">
        <f t="shared" si="9"/>
        <v>2.5460632303457342</v>
      </c>
      <c r="C17" s="44">
        <f t="shared" si="6"/>
        <v>0.38190948455186013</v>
      </c>
      <c r="D17" s="44">
        <f t="shared" si="0"/>
        <v>102.6141409792175</v>
      </c>
      <c r="E17" s="44">
        <f t="shared" si="1"/>
        <v>102.6141409792175</v>
      </c>
      <c r="F17" s="44">
        <f t="shared" si="2"/>
        <v>0.34204713659739167</v>
      </c>
      <c r="G17" s="44">
        <f t="shared" si="3"/>
        <v>0.93285582708379533</v>
      </c>
      <c r="H17" s="24">
        <f t="shared" si="4"/>
        <v>1.3992837406256931</v>
      </c>
      <c r="I17" s="24">
        <f t="shared" si="7"/>
        <v>101.2148572385918</v>
      </c>
      <c r="J17" s="24">
        <f t="shared" si="8"/>
        <v>103.76092046893754</v>
      </c>
      <c r="L17" s="24">
        <f ca="1">I17+Simulação!G10</f>
        <v>101.86030436762333</v>
      </c>
    </row>
    <row r="18" spans="1:12">
      <c r="A18" s="23">
        <f t="shared" si="5"/>
        <v>6</v>
      </c>
      <c r="B18" s="24">
        <f t="shared" si="9"/>
        <v>3.0552758764148811</v>
      </c>
      <c r="C18" s="44">
        <f t="shared" si="6"/>
        <v>0.54994965775467863</v>
      </c>
      <c r="D18" s="44">
        <f t="shared" si="0"/>
        <v>123.13696917506098</v>
      </c>
      <c r="E18" s="44">
        <f t="shared" si="1"/>
        <v>123.13696917506098</v>
      </c>
      <c r="F18" s="44">
        <f t="shared" si="2"/>
        <v>0.41045656391686997</v>
      </c>
      <c r="G18" s="44">
        <f t="shared" si="3"/>
        <v>1.1194269925005542</v>
      </c>
      <c r="H18" s="24">
        <f t="shared" si="4"/>
        <v>1.6791404887508312</v>
      </c>
      <c r="I18" s="24">
        <f t="shared" si="7"/>
        <v>121.45782868631015</v>
      </c>
      <c r="J18" s="24">
        <f t="shared" si="8"/>
        <v>124.51310456272503</v>
      </c>
      <c r="L18" s="24">
        <f ca="1">I18+Simulação!G11</f>
        <v>122.26559283361277</v>
      </c>
    </row>
    <row r="19" spans="1:12">
      <c r="A19" s="23">
        <f t="shared" si="5"/>
        <v>7</v>
      </c>
      <c r="B19" s="24">
        <f t="shared" si="9"/>
        <v>3.5644885224840279</v>
      </c>
      <c r="C19" s="44">
        <f t="shared" si="6"/>
        <v>0.74854258972164589</v>
      </c>
      <c r="D19" s="44">
        <f t="shared" si="0"/>
        <v>143.6597973709045</v>
      </c>
      <c r="E19" s="44">
        <f t="shared" si="1"/>
        <v>143.6597973709045</v>
      </c>
      <c r="F19" s="44">
        <f t="shared" si="2"/>
        <v>0.47886599123634832</v>
      </c>
      <c r="G19" s="44">
        <f t="shared" si="3"/>
        <v>1.3059981579173134</v>
      </c>
      <c r="H19" s="24">
        <f t="shared" si="4"/>
        <v>1.95899723687597</v>
      </c>
      <c r="I19" s="24">
        <f t="shared" si="7"/>
        <v>141.70080013402853</v>
      </c>
      <c r="J19" s="24">
        <f t="shared" si="8"/>
        <v>145.26528865651255</v>
      </c>
      <c r="L19" s="24">
        <f ca="1">I19+Simulação!G12</f>
        <v>142.66238903343751</v>
      </c>
    </row>
    <row r="20" spans="1:12">
      <c r="A20" s="23">
        <f t="shared" si="5"/>
        <v>8</v>
      </c>
      <c r="B20" s="24">
        <f t="shared" si="9"/>
        <v>4.0737011685531748</v>
      </c>
      <c r="C20" s="44">
        <f t="shared" si="6"/>
        <v>0.97768828045276202</v>
      </c>
      <c r="D20" s="44">
        <f t="shared" si="0"/>
        <v>164.18262556674799</v>
      </c>
      <c r="E20" s="44">
        <f t="shared" si="1"/>
        <v>164.18262556674799</v>
      </c>
      <c r="F20" s="44">
        <f t="shared" si="2"/>
        <v>0.54727541855582662</v>
      </c>
      <c r="G20" s="44">
        <f t="shared" si="3"/>
        <v>1.4925693233340724</v>
      </c>
      <c r="H20" s="24">
        <f t="shared" si="4"/>
        <v>2.2388539850011084</v>
      </c>
      <c r="I20" s="24">
        <f t="shared" si="7"/>
        <v>161.94377158174689</v>
      </c>
      <c r="J20" s="24">
        <f t="shared" si="8"/>
        <v>166.01747275030007</v>
      </c>
      <c r="L20" s="24">
        <f ca="1">I20+Simulação!G13</f>
        <v>163.054227739266</v>
      </c>
    </row>
    <row r="21" spans="1:12">
      <c r="A21" s="23">
        <f t="shared" si="5"/>
        <v>9</v>
      </c>
      <c r="B21" s="24">
        <f t="shared" si="9"/>
        <v>4.0737011685531748</v>
      </c>
      <c r="C21" s="44">
        <f t="shared" si="6"/>
        <v>1.2221103505659525</v>
      </c>
      <c r="D21" s="44">
        <f t="shared" si="0"/>
        <v>184.70545376259147</v>
      </c>
      <c r="E21" s="44">
        <f t="shared" si="1"/>
        <v>184.70545376259147</v>
      </c>
      <c r="F21" s="44">
        <f t="shared" si="2"/>
        <v>0.61568484587530492</v>
      </c>
      <c r="G21" s="44">
        <f t="shared" si="3"/>
        <v>1.6791404887508314</v>
      </c>
      <c r="H21" s="24">
        <f t="shared" si="4"/>
        <v>2.5187107331262468</v>
      </c>
      <c r="I21" s="24">
        <f t="shared" si="7"/>
        <v>182.18674302946522</v>
      </c>
      <c r="J21" s="24">
        <f t="shared" si="8"/>
        <v>186.2604441980184</v>
      </c>
      <c r="L21" s="24">
        <f ca="1">I21+Simulação!G14</f>
        <v>183.43562942555212</v>
      </c>
    </row>
    <row r="22" spans="1:12">
      <c r="A22" s="23">
        <f t="shared" si="5"/>
        <v>10</v>
      </c>
      <c r="B22" s="24">
        <f t="shared" si="9"/>
        <v>4.0737011685531748</v>
      </c>
      <c r="C22" s="44">
        <f t="shared" si="6"/>
        <v>1.466532420679143</v>
      </c>
      <c r="D22" s="44">
        <f t="shared" si="0"/>
        <v>205.22828195843499</v>
      </c>
      <c r="E22" s="44">
        <f t="shared" si="1"/>
        <v>205.22828195843499</v>
      </c>
      <c r="F22" s="44">
        <f t="shared" si="2"/>
        <v>0.68409427319478333</v>
      </c>
      <c r="G22" s="44">
        <f t="shared" si="3"/>
        <v>1.8657116541675907</v>
      </c>
      <c r="H22" s="24">
        <f t="shared" si="4"/>
        <v>2.7985674812513861</v>
      </c>
      <c r="I22" s="24">
        <f t="shared" si="7"/>
        <v>202.42971447718361</v>
      </c>
      <c r="J22" s="24">
        <f t="shared" si="8"/>
        <v>206.50341564573679</v>
      </c>
      <c r="L22" s="24">
        <f ca="1">I22+Simulação!G15</f>
        <v>203.79652715514518</v>
      </c>
    </row>
    <row r="23" spans="1:12">
      <c r="A23" s="23">
        <f t="shared" si="5"/>
        <v>11</v>
      </c>
      <c r="B23" s="24">
        <f t="shared" si="9"/>
        <v>4.0737011685531748</v>
      </c>
      <c r="C23" s="44">
        <f t="shared" si="6"/>
        <v>1.7109544907923335</v>
      </c>
      <c r="D23" s="44">
        <f t="shared" si="0"/>
        <v>225.75111015427848</v>
      </c>
      <c r="E23" s="44">
        <f t="shared" si="1"/>
        <v>225.75111015427848</v>
      </c>
      <c r="F23" s="44">
        <f t="shared" si="2"/>
        <v>0.75250370051426163</v>
      </c>
      <c r="G23" s="44">
        <f t="shared" si="3"/>
        <v>2.0522828195843497</v>
      </c>
      <c r="H23" s="24">
        <f t="shared" si="4"/>
        <v>3.0784242293765245</v>
      </c>
      <c r="I23" s="24">
        <f t="shared" si="7"/>
        <v>222.67268592490194</v>
      </c>
      <c r="J23" s="24">
        <f t="shared" si="8"/>
        <v>226.74638709345513</v>
      </c>
      <c r="L23" s="24">
        <f ca="1">I23+Simulação!G16</f>
        <v>224.14186660701316</v>
      </c>
    </row>
    <row r="24" spans="1:12">
      <c r="A24" s="23">
        <f t="shared" si="5"/>
        <v>12</v>
      </c>
      <c r="B24" s="24">
        <f t="shared" si="9"/>
        <v>4.0737011685531748</v>
      </c>
      <c r="C24" s="44">
        <f t="shared" si="6"/>
        <v>1.955376560905524</v>
      </c>
      <c r="D24" s="44">
        <f t="shared" si="0"/>
        <v>246.27393835012197</v>
      </c>
      <c r="E24" s="44">
        <f t="shared" si="1"/>
        <v>225.75111015427848</v>
      </c>
      <c r="F24" s="44">
        <f t="shared" si="2"/>
        <v>0.82091312783373993</v>
      </c>
      <c r="G24" s="44">
        <f t="shared" si="3"/>
        <v>2.0522828195843497</v>
      </c>
      <c r="H24" s="24">
        <f t="shared" si="4"/>
        <v>3.0784242293765245</v>
      </c>
      <c r="I24" s="24">
        <f t="shared" si="7"/>
        <v>222.67268592490194</v>
      </c>
      <c r="J24" s="24">
        <f t="shared" si="8"/>
        <v>226.74638709345513</v>
      </c>
      <c r="L24" s="24">
        <f ca="1">I24+Simulação!G17</f>
        <v>224.23755232710408</v>
      </c>
    </row>
    <row r="25" spans="1:12">
      <c r="A25" s="23">
        <f t="shared" si="5"/>
        <v>13</v>
      </c>
      <c r="B25" s="24">
        <f t="shared" si="9"/>
        <v>4.0737011685531748</v>
      </c>
      <c r="C25" s="44">
        <f t="shared" si="6"/>
        <v>2.1997986310187145</v>
      </c>
      <c r="D25" s="44">
        <f t="shared" si="0"/>
        <v>266.79676654596545</v>
      </c>
      <c r="E25" s="44">
        <f t="shared" si="1"/>
        <v>225.75111015427848</v>
      </c>
      <c r="F25" s="44">
        <f t="shared" si="2"/>
        <v>0.88932255515321823</v>
      </c>
      <c r="G25" s="44">
        <f t="shared" si="3"/>
        <v>2.0522828195843497</v>
      </c>
      <c r="H25" s="24">
        <f t="shared" si="4"/>
        <v>3.0784242293765245</v>
      </c>
      <c r="I25" s="24">
        <f t="shared" si="7"/>
        <v>222.67268592490194</v>
      </c>
      <c r="J25" s="24">
        <f t="shared" si="8"/>
        <v>226.74638709345513</v>
      </c>
      <c r="L25" s="24">
        <f ca="1">I25+Simulação!G18</f>
        <v>224.32222439081903</v>
      </c>
    </row>
    <row r="26" spans="1:12">
      <c r="A26" s="23">
        <f t="shared" si="5"/>
        <v>14</v>
      </c>
      <c r="B26" s="24">
        <f t="shared" si="9"/>
        <v>4.0737011685531748</v>
      </c>
      <c r="C26" s="44">
        <f t="shared" si="6"/>
        <v>2.444220701131905</v>
      </c>
      <c r="D26" s="44">
        <f t="shared" si="0"/>
        <v>287.319594741809</v>
      </c>
      <c r="E26" s="44">
        <f t="shared" si="1"/>
        <v>225.75111015427848</v>
      </c>
      <c r="F26" s="44">
        <f t="shared" si="2"/>
        <v>0.95773198247269664</v>
      </c>
      <c r="G26" s="44">
        <f t="shared" si="3"/>
        <v>2.0522828195843497</v>
      </c>
      <c r="H26" s="24">
        <f t="shared" si="4"/>
        <v>3.0784242293765245</v>
      </c>
      <c r="I26" s="24">
        <f t="shared" si="7"/>
        <v>222.67268592490194</v>
      </c>
      <c r="J26" s="24">
        <f t="shared" si="8"/>
        <v>226.74638709345513</v>
      </c>
      <c r="L26" s="24">
        <f ca="1">I26+Simulação!G19</f>
        <v>224.40275743912878</v>
      </c>
    </row>
    <row r="27" spans="1:12">
      <c r="A27" s="23">
        <f t="shared" si="5"/>
        <v>15</v>
      </c>
      <c r="B27" s="24">
        <f t="shared" si="9"/>
        <v>4.0737011685531748</v>
      </c>
      <c r="C27" s="44">
        <f t="shared" si="6"/>
        <v>2.6886427712450955</v>
      </c>
      <c r="D27" s="44">
        <f t="shared" si="0"/>
        <v>307.84242293765249</v>
      </c>
      <c r="E27" s="44">
        <f t="shared" si="1"/>
        <v>225.75111015427848</v>
      </c>
      <c r="F27" s="44">
        <f t="shared" si="2"/>
        <v>1.0261414097921751</v>
      </c>
      <c r="G27" s="44">
        <f t="shared" si="3"/>
        <v>2.0522828195843497</v>
      </c>
      <c r="H27" s="24">
        <f t="shared" si="4"/>
        <v>3.0784242293765245</v>
      </c>
      <c r="I27" s="24">
        <f t="shared" si="7"/>
        <v>222.67268592490194</v>
      </c>
      <c r="J27" s="24">
        <f t="shared" si="8"/>
        <v>226.74638709345513</v>
      </c>
      <c r="L27" s="24">
        <f ca="1">I27+Simulação!G20</f>
        <v>224.47467733772413</v>
      </c>
    </row>
    <row r="28" spans="1:12">
      <c r="A28" s="23">
        <f t="shared" si="5"/>
        <v>16</v>
      </c>
      <c r="B28" s="24">
        <f t="shared" si="9"/>
        <v>4.0737011685531748</v>
      </c>
      <c r="C28" s="44">
        <f t="shared" si="6"/>
        <v>2.933064841358286</v>
      </c>
      <c r="D28" s="44">
        <f t="shared" si="0"/>
        <v>328.36525113349597</v>
      </c>
      <c r="E28" s="44">
        <f t="shared" si="1"/>
        <v>225.75111015427848</v>
      </c>
      <c r="F28" s="44">
        <f t="shared" si="2"/>
        <v>1.0945508371116532</v>
      </c>
      <c r="G28" s="44">
        <f t="shared" si="3"/>
        <v>2.0522828195843497</v>
      </c>
      <c r="H28" s="24">
        <f t="shared" si="4"/>
        <v>3.0784242293765245</v>
      </c>
      <c r="I28" s="24">
        <f t="shared" si="7"/>
        <v>222.67268592490194</v>
      </c>
      <c r="J28" s="24">
        <f t="shared" si="8"/>
        <v>226.74638709345513</v>
      </c>
      <c r="L28" s="24">
        <f ca="1">I28+Simulação!G21</f>
        <v>224.54383494607333</v>
      </c>
    </row>
    <row r="29" spans="1:12">
      <c r="A29" s="23">
        <f t="shared" si="5"/>
        <v>17</v>
      </c>
      <c r="B29" s="24">
        <f t="shared" si="9"/>
        <v>4.0737011685531748</v>
      </c>
      <c r="C29" s="44">
        <f t="shared" si="6"/>
        <v>3.1774869114714765</v>
      </c>
      <c r="D29" s="44">
        <f t="shared" si="0"/>
        <v>348.88807932933946</v>
      </c>
      <c r="E29" s="44">
        <f t="shared" si="1"/>
        <v>225.75111015427848</v>
      </c>
      <c r="F29" s="44">
        <f t="shared" si="2"/>
        <v>1.1629602644311314</v>
      </c>
      <c r="G29" s="44">
        <f t="shared" si="3"/>
        <v>2.0522828195843497</v>
      </c>
      <c r="H29" s="24">
        <f t="shared" si="4"/>
        <v>3.0784242293765245</v>
      </c>
      <c r="I29" s="24">
        <f t="shared" si="7"/>
        <v>222.67268592490194</v>
      </c>
      <c r="J29" s="24">
        <f t="shared" si="8"/>
        <v>226.74638709345513</v>
      </c>
      <c r="L29" s="24">
        <f ca="1">I29+Simulação!G22</f>
        <v>224.60583868159841</v>
      </c>
    </row>
    <row r="30" spans="1:12">
      <c r="A30" s="23">
        <f t="shared" si="5"/>
        <v>18</v>
      </c>
      <c r="B30" s="24">
        <f t="shared" si="9"/>
        <v>4.0737011685531748</v>
      </c>
      <c r="C30" s="44">
        <f t="shared" si="6"/>
        <v>3.4219089815846671</v>
      </c>
      <c r="D30" s="44">
        <f t="shared" si="0"/>
        <v>369.41090752518295</v>
      </c>
      <c r="E30" s="44">
        <f t="shared" si="1"/>
        <v>225.75111015427848</v>
      </c>
      <c r="F30" s="44">
        <f t="shared" si="2"/>
        <v>1.2313696917506098</v>
      </c>
      <c r="G30" s="44">
        <f t="shared" si="3"/>
        <v>2.0522828195843497</v>
      </c>
      <c r="H30" s="24">
        <f t="shared" si="4"/>
        <v>3.0784242293765245</v>
      </c>
      <c r="I30" s="24">
        <f t="shared" si="7"/>
        <v>222.67268592490194</v>
      </c>
      <c r="J30" s="24">
        <f t="shared" si="8"/>
        <v>226.74638709345513</v>
      </c>
      <c r="L30" s="24">
        <f ca="1">I30+Simulação!G23</f>
        <v>224.66591458765382</v>
      </c>
    </row>
    <row r="31" spans="1:12">
      <c r="A31" s="23">
        <f t="shared" si="5"/>
        <v>19</v>
      </c>
      <c r="B31" s="24">
        <f t="shared" si="9"/>
        <v>4.0737011685531748</v>
      </c>
      <c r="C31" s="44">
        <f t="shared" si="6"/>
        <v>3.6663310516978576</v>
      </c>
      <c r="D31" s="44">
        <f t="shared" si="0"/>
        <v>389.93373572102649</v>
      </c>
      <c r="E31" s="44">
        <f t="shared" si="1"/>
        <v>225.75111015427848</v>
      </c>
      <c r="F31" s="44">
        <f t="shared" si="2"/>
        <v>1.2997791190700883</v>
      </c>
      <c r="G31" s="44">
        <f t="shared" si="3"/>
        <v>2.0522828195843497</v>
      </c>
      <c r="H31" s="24">
        <f t="shared" si="4"/>
        <v>3.0784242293765245</v>
      </c>
      <c r="I31" s="24">
        <f t="shared" si="7"/>
        <v>222.67268592490194</v>
      </c>
      <c r="J31" s="24">
        <f t="shared" si="8"/>
        <v>226.74638709345513</v>
      </c>
      <c r="L31" s="24">
        <f ca="1">I31+Simulação!G24</f>
        <v>224.72423203047893</v>
      </c>
    </row>
    <row r="32" spans="1:12">
      <c r="A32" s="23">
        <f t="shared" si="5"/>
        <v>20</v>
      </c>
      <c r="B32" s="24">
        <f t="shared" si="9"/>
        <v>4.0737011685531748</v>
      </c>
      <c r="C32" s="44">
        <f t="shared" si="6"/>
        <v>3.9107531218110481</v>
      </c>
      <c r="D32" s="44">
        <f t="shared" si="0"/>
        <v>410.45656391686998</v>
      </c>
      <c r="E32" s="44">
        <f t="shared" si="1"/>
        <v>225.75111015427848</v>
      </c>
      <c r="F32" s="44">
        <f t="shared" si="2"/>
        <v>1.3681885463895667</v>
      </c>
      <c r="G32" s="44">
        <f t="shared" si="3"/>
        <v>2.0522828195843497</v>
      </c>
      <c r="H32" s="24">
        <f t="shared" si="4"/>
        <v>3.0784242293765245</v>
      </c>
      <c r="I32" s="24">
        <f t="shared" si="7"/>
        <v>222.67268592490194</v>
      </c>
      <c r="J32" s="24">
        <f t="shared" si="8"/>
        <v>226.74638709345513</v>
      </c>
      <c r="L32" s="24">
        <f ca="1">I32+Simulação!G25</f>
        <v>224.76989666526379</v>
      </c>
    </row>
    <row r="33" spans="1:12">
      <c r="A33" s="23">
        <f t="shared" si="5"/>
        <v>21</v>
      </c>
      <c r="B33" s="24">
        <f t="shared" si="9"/>
        <v>4.0737011685531748</v>
      </c>
      <c r="C33" s="44">
        <f t="shared" si="6"/>
        <v>4.1551751919242381</v>
      </c>
      <c r="D33" s="44">
        <f t="shared" si="0"/>
        <v>430.97939211271347</v>
      </c>
      <c r="E33" s="44">
        <f t="shared" si="1"/>
        <v>225.75111015427848</v>
      </c>
      <c r="F33" s="44">
        <f t="shared" si="2"/>
        <v>1.4365979737090449</v>
      </c>
      <c r="G33" s="44">
        <f t="shared" si="3"/>
        <v>2.0522828195843497</v>
      </c>
      <c r="H33" s="24">
        <f t="shared" si="4"/>
        <v>3.0784242293765245</v>
      </c>
      <c r="I33" s="24">
        <f t="shared" si="7"/>
        <v>222.67268592490194</v>
      </c>
      <c r="J33" s="24">
        <f t="shared" si="8"/>
        <v>226.74638709345513</v>
      </c>
      <c r="L33" s="24">
        <f ca="1">I33+Simulação!G26</f>
        <v>224.82085673799924</v>
      </c>
    </row>
    <row r="34" spans="1:12">
      <c r="A34" s="23">
        <f t="shared" si="5"/>
        <v>22</v>
      </c>
      <c r="B34" s="24">
        <f t="shared" si="9"/>
        <v>4.0737011685531748</v>
      </c>
      <c r="C34" s="44">
        <f t="shared" si="6"/>
        <v>4.3995972620374282</v>
      </c>
      <c r="D34" s="44">
        <f t="shared" si="0"/>
        <v>451.50222030855696</v>
      </c>
      <c r="E34" s="44">
        <f t="shared" si="1"/>
        <v>225.75111015427848</v>
      </c>
      <c r="F34" s="44">
        <f t="shared" si="2"/>
        <v>1.5050074010285233</v>
      </c>
      <c r="G34" s="44">
        <f t="shared" si="3"/>
        <v>2.0522828195843497</v>
      </c>
      <c r="H34" s="24">
        <f t="shared" si="4"/>
        <v>3.0784242293765245</v>
      </c>
      <c r="I34" s="24">
        <f t="shared" si="7"/>
        <v>222.67268592490194</v>
      </c>
      <c r="J34" s="24">
        <f t="shared" si="8"/>
        <v>226.74638709345513</v>
      </c>
      <c r="L34" s="24">
        <f ca="1">I34+Simulação!G27</f>
        <v>224.87063560471657</v>
      </c>
    </row>
    <row r="35" spans="1:12">
      <c r="A35" s="23">
        <f t="shared" si="5"/>
        <v>23</v>
      </c>
      <c r="B35" s="24">
        <f t="shared" si="9"/>
        <v>4.0737011685531748</v>
      </c>
      <c r="C35" s="44">
        <f t="shared" si="6"/>
        <v>4.6440193321506182</v>
      </c>
      <c r="D35" s="44">
        <f t="shared" si="0"/>
        <v>472.02504850440044</v>
      </c>
      <c r="E35" s="44">
        <f t="shared" si="1"/>
        <v>225.75111015427848</v>
      </c>
      <c r="F35" s="44">
        <f t="shared" si="2"/>
        <v>1.5734168283480015</v>
      </c>
      <c r="G35" s="44">
        <f t="shared" si="3"/>
        <v>2.0522828195843497</v>
      </c>
      <c r="H35" s="24">
        <f t="shared" si="4"/>
        <v>3.0784242293765245</v>
      </c>
      <c r="I35" s="24">
        <f t="shared" si="7"/>
        <v>222.67268592490194</v>
      </c>
      <c r="J35" s="24">
        <f t="shared" si="8"/>
        <v>226.74638709345513</v>
      </c>
      <c r="L35" s="24">
        <f ca="1">I35+Simulação!G28</f>
        <v>224.9152957888079</v>
      </c>
    </row>
    <row r="36" spans="1:12">
      <c r="A36" s="23">
        <f t="shared" si="5"/>
        <v>24</v>
      </c>
      <c r="B36" s="24">
        <f t="shared" si="9"/>
        <v>4.0737011685531748</v>
      </c>
      <c r="C36" s="44">
        <f t="shared" si="6"/>
        <v>4.8884414022638083</v>
      </c>
      <c r="D36" s="44">
        <f t="shared" si="0"/>
        <v>492.54787670024393</v>
      </c>
      <c r="E36" s="44">
        <f t="shared" si="1"/>
        <v>225.75111015427848</v>
      </c>
      <c r="F36" s="44">
        <f t="shared" si="2"/>
        <v>1.6418262556674799</v>
      </c>
      <c r="G36" s="44">
        <f t="shared" si="3"/>
        <v>2.0522828195843497</v>
      </c>
      <c r="H36" s="24">
        <f t="shared" si="4"/>
        <v>3.0784242293765245</v>
      </c>
      <c r="I36" s="24">
        <f t="shared" si="7"/>
        <v>222.67268592490194</v>
      </c>
      <c r="J36" s="24">
        <f t="shared" si="8"/>
        <v>226.74638709345513</v>
      </c>
      <c r="L36" s="24">
        <f ca="1">I36+Simulação!G29</f>
        <v>224.95908379237372</v>
      </c>
    </row>
    <row r="37" spans="1:12">
      <c r="A37" s="23">
        <f t="shared" si="5"/>
        <v>25</v>
      </c>
      <c r="B37" s="24">
        <f t="shared" si="9"/>
        <v>4.0737011685531748</v>
      </c>
      <c r="C37" s="44">
        <f t="shared" si="6"/>
        <v>5.1328634723769984</v>
      </c>
      <c r="D37" s="44">
        <f t="shared" si="0"/>
        <v>513.07070489608748</v>
      </c>
      <c r="E37" s="44">
        <f t="shared" si="1"/>
        <v>225.75111015427848</v>
      </c>
      <c r="F37" s="44">
        <f t="shared" si="2"/>
        <v>1.7102356829869583</v>
      </c>
      <c r="G37" s="44">
        <f t="shared" si="3"/>
        <v>2.0522828195843497</v>
      </c>
      <c r="H37" s="24">
        <f t="shared" si="4"/>
        <v>3.0784242293765245</v>
      </c>
      <c r="I37" s="24">
        <f t="shared" si="7"/>
        <v>222.67268592490194</v>
      </c>
      <c r="J37" s="24">
        <f t="shared" si="8"/>
        <v>226.74638709345513</v>
      </c>
      <c r="L37" s="24">
        <f ca="1">I37+Simulação!G30</f>
        <v>225.00204880240099</v>
      </c>
    </row>
    <row r="38" spans="1:12">
      <c r="A38" s="23">
        <f t="shared" si="5"/>
        <v>26</v>
      </c>
      <c r="B38" s="24">
        <f t="shared" si="9"/>
        <v>4.0737011685531748</v>
      </c>
      <c r="C38" s="44">
        <f t="shared" si="6"/>
        <v>5.3772855424901884</v>
      </c>
      <c r="D38" s="44">
        <f t="shared" si="0"/>
        <v>533.59353309193091</v>
      </c>
      <c r="E38" s="44">
        <f t="shared" si="1"/>
        <v>225.75111015427848</v>
      </c>
      <c r="F38" s="44">
        <f t="shared" si="2"/>
        <v>1.7786451103064365</v>
      </c>
      <c r="G38" s="44">
        <f t="shared" si="3"/>
        <v>2.0522828195843497</v>
      </c>
      <c r="H38" s="24">
        <f t="shared" si="4"/>
        <v>3.0784242293765245</v>
      </c>
      <c r="I38" s="24">
        <f t="shared" si="7"/>
        <v>222.67268592490194</v>
      </c>
      <c r="J38" s="24">
        <f t="shared" si="8"/>
        <v>226.74638709345513</v>
      </c>
      <c r="L38" s="24">
        <f ca="1">I38+Simulação!G31</f>
        <v>225.0442355494643</v>
      </c>
    </row>
    <row r="39" spans="1:12">
      <c r="A39" s="23">
        <f t="shared" si="5"/>
        <v>27</v>
      </c>
      <c r="B39" s="24">
        <f t="shared" si="9"/>
        <v>4.0737011685531748</v>
      </c>
      <c r="C39" s="44">
        <f t="shared" si="6"/>
        <v>5.6217076126033785</v>
      </c>
      <c r="D39" s="44">
        <f t="shared" si="0"/>
        <v>554.11636128777445</v>
      </c>
      <c r="E39" s="44">
        <f t="shared" si="1"/>
        <v>225.75111015427848</v>
      </c>
      <c r="F39" s="44">
        <f t="shared" si="2"/>
        <v>1.8470545376259149</v>
      </c>
      <c r="G39" s="44">
        <f t="shared" si="3"/>
        <v>2.0522828195843497</v>
      </c>
      <c r="H39" s="24">
        <f t="shared" si="4"/>
        <v>3.0784242293765245</v>
      </c>
      <c r="I39" s="24">
        <f t="shared" si="7"/>
        <v>222.67268592490194</v>
      </c>
      <c r="J39" s="24">
        <f t="shared" si="8"/>
        <v>226.74638709345513</v>
      </c>
      <c r="L39" s="24">
        <f ca="1">I39+Simulação!G32</f>
        <v>225.07807901045854</v>
      </c>
    </row>
    <row r="40" spans="1:12">
      <c r="A40" s="23">
        <f t="shared" si="5"/>
        <v>28</v>
      </c>
      <c r="B40" s="24">
        <f t="shared" si="9"/>
        <v>4.0737011685531748</v>
      </c>
      <c r="C40" s="44">
        <f t="shared" si="6"/>
        <v>5.8661296827165685</v>
      </c>
      <c r="D40" s="44">
        <f t="shared" si="0"/>
        <v>574.639189483618</v>
      </c>
      <c r="E40" s="44">
        <f t="shared" si="1"/>
        <v>225.75111015427848</v>
      </c>
      <c r="F40" s="44">
        <f t="shared" si="2"/>
        <v>1.9154639649453933</v>
      </c>
      <c r="G40" s="44">
        <f t="shared" si="3"/>
        <v>2.0522828195843497</v>
      </c>
      <c r="H40" s="24">
        <f t="shared" si="4"/>
        <v>3.0784242293765245</v>
      </c>
      <c r="I40" s="24">
        <f t="shared" si="7"/>
        <v>222.67268592490194</v>
      </c>
      <c r="J40" s="24">
        <f t="shared" si="8"/>
        <v>226.74638709345513</v>
      </c>
      <c r="L40" s="24">
        <f ca="1">I40+Simulação!G33</f>
        <v>225.11514883132071</v>
      </c>
    </row>
    <row r="41" spans="1:12">
      <c r="A41" s="23">
        <f t="shared" si="5"/>
        <v>29</v>
      </c>
      <c r="B41" s="24">
        <f t="shared" si="9"/>
        <v>4.0737011685531748</v>
      </c>
      <c r="C41" s="44">
        <f t="shared" si="6"/>
        <v>6.1105517528297586</v>
      </c>
      <c r="D41" s="44">
        <f t="shared" si="0"/>
        <v>595.16201767946143</v>
      </c>
      <c r="E41" s="44">
        <f t="shared" si="1"/>
        <v>225.75111015427848</v>
      </c>
      <c r="F41" s="44">
        <f t="shared" si="2"/>
        <v>1.9838733922648715</v>
      </c>
      <c r="G41" s="44">
        <f t="shared" si="3"/>
        <v>2.0522828195843497</v>
      </c>
      <c r="H41" s="24">
        <f t="shared" si="4"/>
        <v>3.0784242293765245</v>
      </c>
      <c r="I41" s="24">
        <f t="shared" si="7"/>
        <v>222.67268592490194</v>
      </c>
      <c r="J41" s="24">
        <f t="shared" si="8"/>
        <v>226.74638709345513</v>
      </c>
      <c r="L41" s="24">
        <f ca="1">I41+Simulação!G34</f>
        <v>225.15166438435244</v>
      </c>
    </row>
    <row r="42" spans="1:12">
      <c r="A42" s="23">
        <f t="shared" si="5"/>
        <v>30</v>
      </c>
      <c r="B42" s="24">
        <f t="shared" si="9"/>
        <v>4.0737011685531748</v>
      </c>
      <c r="C42" s="44">
        <f t="shared" si="6"/>
        <v>6.3549738229429487</v>
      </c>
      <c r="D42" s="44">
        <f t="shared" si="0"/>
        <v>615.68484587530497</v>
      </c>
      <c r="E42" s="44">
        <f t="shared" si="1"/>
        <v>225.75111015427848</v>
      </c>
      <c r="F42" s="44">
        <f t="shared" si="2"/>
        <v>2.0522828195843501</v>
      </c>
      <c r="G42" s="44">
        <f t="shared" si="3"/>
        <v>2.0522828195843497</v>
      </c>
      <c r="H42" s="24">
        <f t="shared" si="4"/>
        <v>3.0784242293765245</v>
      </c>
      <c r="I42" s="24">
        <f t="shared" si="7"/>
        <v>222.67268592490194</v>
      </c>
      <c r="J42" s="24">
        <f t="shared" si="8"/>
        <v>226.74638709345513</v>
      </c>
      <c r="L42" s="24">
        <f ca="1">I42+Simulação!G35</f>
        <v>225.18764981243746</v>
      </c>
    </row>
    <row r="43" spans="1:12">
      <c r="A43" s="23">
        <f t="shared" si="5"/>
        <v>31</v>
      </c>
      <c r="B43" s="24">
        <f t="shared" si="9"/>
        <v>4.0737011685531748</v>
      </c>
      <c r="C43" s="44">
        <f t="shared" si="6"/>
        <v>6.5993958930561387</v>
      </c>
      <c r="D43" s="44">
        <f t="shared" si="0"/>
        <v>636.2076740711484</v>
      </c>
      <c r="E43" s="44">
        <f t="shared" si="1"/>
        <v>225.75111015427848</v>
      </c>
      <c r="F43" s="44">
        <f t="shared" si="2"/>
        <v>2.1206922469038281</v>
      </c>
      <c r="G43" s="44">
        <f t="shared" si="3"/>
        <v>2.0522828195843497</v>
      </c>
      <c r="H43" s="24">
        <f t="shared" si="4"/>
        <v>3.0784242293765245</v>
      </c>
      <c r="I43" s="24">
        <f t="shared" si="7"/>
        <v>222.67268592490194</v>
      </c>
      <c r="J43" s="24">
        <f t="shared" si="8"/>
        <v>226.74638709345513</v>
      </c>
      <c r="L43" s="24">
        <f ca="1">I43+Simulação!G36</f>
        <v>225.21960201960883</v>
      </c>
    </row>
    <row r="44" spans="1:12">
      <c r="A44" s="23">
        <f t="shared" si="5"/>
        <v>32</v>
      </c>
      <c r="B44" s="24">
        <f t="shared" si="9"/>
        <v>4.0737011685531748</v>
      </c>
      <c r="C44" s="44">
        <f t="shared" si="6"/>
        <v>6.8438179631693288</v>
      </c>
      <c r="D44" s="44">
        <f t="shared" si="0"/>
        <v>656.73050226699195</v>
      </c>
      <c r="E44" s="44">
        <f t="shared" si="1"/>
        <v>225.75111015427848</v>
      </c>
      <c r="F44" s="44">
        <f t="shared" si="2"/>
        <v>2.1891016742233065</v>
      </c>
      <c r="G44" s="44">
        <f t="shared" si="3"/>
        <v>2.0522828195843497</v>
      </c>
      <c r="H44" s="24">
        <f t="shared" si="4"/>
        <v>3.0784242293765245</v>
      </c>
      <c r="I44" s="24">
        <f t="shared" si="7"/>
        <v>222.67268592490194</v>
      </c>
      <c r="J44" s="24">
        <f t="shared" si="8"/>
        <v>226.74638709345513</v>
      </c>
      <c r="L44" s="24">
        <f ca="1">I44+Simulação!G37</f>
        <v>225.25115830818362</v>
      </c>
    </row>
    <row r="45" spans="1:12">
      <c r="A45" s="23">
        <f t="shared" si="5"/>
        <v>33</v>
      </c>
      <c r="B45" s="24">
        <f t="shared" si="9"/>
        <v>4.0737011685531748</v>
      </c>
      <c r="C45" s="44">
        <f t="shared" si="6"/>
        <v>7.0882400332825188</v>
      </c>
      <c r="D45" s="44">
        <f t="shared" si="0"/>
        <v>677.25333046283549</v>
      </c>
      <c r="E45" s="44">
        <f t="shared" si="1"/>
        <v>225.75111015427848</v>
      </c>
      <c r="F45" s="44">
        <f t="shared" si="2"/>
        <v>2.2575111015427849</v>
      </c>
      <c r="G45" s="44">
        <f t="shared" si="3"/>
        <v>2.0522828195843497</v>
      </c>
      <c r="H45" s="24">
        <f t="shared" si="4"/>
        <v>3.0784242293765245</v>
      </c>
      <c r="I45" s="24">
        <f t="shared" si="7"/>
        <v>222.67268592490194</v>
      </c>
      <c r="J45" s="24">
        <f t="shared" si="8"/>
        <v>226.74638709345513</v>
      </c>
      <c r="L45" s="24">
        <f ca="1">I45+Simulação!G38</f>
        <v>225.28233304074263</v>
      </c>
    </row>
    <row r="46" spans="1:12">
      <c r="A46" s="23">
        <f t="shared" si="5"/>
        <v>34</v>
      </c>
      <c r="B46" s="24">
        <f t="shared" ref="B46:B77" si="10">IF(ISERROR(IF(A46&lt;=tc_lot_i,declividade_afluente*A46,IF(A46&lt;=tc,Qmax_lot_i,IF(A46&lt;=tc+tc_lot_i,Qmax_lot_i-declividade_afluente*(A46-tc),"")))),"",IF(A46&lt;=tc_lot_i,declividade_afluente*A46,IF(A46&lt;=tc,Qmax_lot_i,IF(A46&lt;=tc+tc_lot_i,Qmax_lot_i-declividade_afluente*(A46-tc),""))))</f>
        <v>4.0737011685531748</v>
      </c>
      <c r="C46" s="44">
        <f t="shared" si="6"/>
        <v>7.3326621033957089</v>
      </c>
      <c r="D46" s="44">
        <f t="shared" si="0"/>
        <v>697.77615865867892</v>
      </c>
      <c r="E46" s="44">
        <f t="shared" si="1"/>
        <v>225.75111015427848</v>
      </c>
      <c r="F46" s="44">
        <f t="shared" si="2"/>
        <v>2.3259205288622629</v>
      </c>
      <c r="G46" s="44">
        <f t="shared" si="3"/>
        <v>2.0522828195843497</v>
      </c>
      <c r="H46" s="24">
        <f t="shared" si="4"/>
        <v>3.0784242293765245</v>
      </c>
      <c r="I46" s="24">
        <f t="shared" si="7"/>
        <v>222.67268592490194</v>
      </c>
      <c r="J46" s="24">
        <f t="shared" si="8"/>
        <v>226.74638709345513</v>
      </c>
      <c r="L46" s="24">
        <f ca="1">I46+Simulação!G39</f>
        <v>225.31313973193679</v>
      </c>
    </row>
    <row r="47" spans="1:12">
      <c r="A47" s="23">
        <f t="shared" si="5"/>
        <v>35</v>
      </c>
      <c r="B47" s="24">
        <f t="shared" si="10"/>
        <v>4.0737011685531748</v>
      </c>
      <c r="C47" s="44">
        <f t="shared" si="6"/>
        <v>7.577084173508899</v>
      </c>
      <c r="D47" s="44">
        <f t="shared" si="0"/>
        <v>718.29898685452247</v>
      </c>
      <c r="E47" s="44">
        <f t="shared" si="1"/>
        <v>225.75111015427848</v>
      </c>
      <c r="F47" s="44">
        <f t="shared" si="2"/>
        <v>2.3943299561817417</v>
      </c>
      <c r="G47" s="44">
        <f t="shared" si="3"/>
        <v>2.0522828195843497</v>
      </c>
      <c r="H47" s="24">
        <f t="shared" si="4"/>
        <v>3.0784242293765245</v>
      </c>
      <c r="I47" s="24">
        <f t="shared" si="7"/>
        <v>222.67268592490194</v>
      </c>
      <c r="J47" s="24">
        <f t="shared" si="8"/>
        <v>226.74638709345513</v>
      </c>
      <c r="L47" s="24">
        <f ca="1">I47+Simulação!G40</f>
        <v>225.34359111695838</v>
      </c>
    </row>
    <row r="48" spans="1:12">
      <c r="A48" s="23">
        <f t="shared" si="5"/>
        <v>36</v>
      </c>
      <c r="B48" s="24">
        <f t="shared" si="10"/>
        <v>3.5644885224840279</v>
      </c>
      <c r="C48" s="44">
        <f t="shared" si="6"/>
        <v>7.8062298642400147</v>
      </c>
      <c r="D48" s="44">
        <f t="shared" si="0"/>
        <v>697.77615865867892</v>
      </c>
      <c r="E48" s="44">
        <f t="shared" si="1"/>
        <v>205.22828195843499</v>
      </c>
      <c r="F48" s="44">
        <f t="shared" si="2"/>
        <v>2.3259205288622629</v>
      </c>
      <c r="G48" s="44">
        <f t="shared" si="3"/>
        <v>1.8657116541675907</v>
      </c>
      <c r="H48" s="24">
        <f t="shared" si="4"/>
        <v>2.7985674812513861</v>
      </c>
      <c r="I48" s="24">
        <f t="shared" si="7"/>
        <v>202.42971447718361</v>
      </c>
      <c r="J48" s="24">
        <f t="shared" si="8"/>
        <v>205.99420299966764</v>
      </c>
      <c r="L48" s="24">
        <f ca="1">I48+Simulação!G41</f>
        <v>205.1240661528536</v>
      </c>
    </row>
    <row r="49" spans="1:12">
      <c r="A49" s="23">
        <f t="shared" si="5"/>
        <v>37</v>
      </c>
      <c r="B49" s="24">
        <f t="shared" si="10"/>
        <v>3.0552758764148811</v>
      </c>
      <c r="C49" s="44">
        <f t="shared" si="6"/>
        <v>8.004822796206982</v>
      </c>
      <c r="D49" s="44">
        <f t="shared" si="0"/>
        <v>677.25333046283549</v>
      </c>
      <c r="E49" s="44">
        <f t="shared" si="1"/>
        <v>184.70545376259147</v>
      </c>
      <c r="F49" s="44">
        <f t="shared" si="2"/>
        <v>2.2575111015427849</v>
      </c>
      <c r="G49" s="44">
        <f t="shared" si="3"/>
        <v>1.6791404887508314</v>
      </c>
      <c r="H49" s="24">
        <f t="shared" si="4"/>
        <v>2.5187107331262468</v>
      </c>
      <c r="I49" s="24">
        <f t="shared" si="7"/>
        <v>182.18674302946522</v>
      </c>
      <c r="J49" s="24">
        <f t="shared" si="8"/>
        <v>185.24201890588009</v>
      </c>
      <c r="L49" s="24">
        <f ca="1">I49+Simulação!G42</f>
        <v>184.89108097028219</v>
      </c>
    </row>
    <row r="50" spans="1:12">
      <c r="A50" s="23">
        <f t="shared" si="5"/>
        <v>38</v>
      </c>
      <c r="B50" s="24">
        <f t="shared" si="10"/>
        <v>2.5460632303457342</v>
      </c>
      <c r="C50" s="44">
        <f t="shared" si="6"/>
        <v>8.1728629694098007</v>
      </c>
      <c r="D50" s="44">
        <f t="shared" si="0"/>
        <v>656.73050226699195</v>
      </c>
      <c r="E50" s="44">
        <f t="shared" si="1"/>
        <v>164.18262556674799</v>
      </c>
      <c r="F50" s="44">
        <f t="shared" si="2"/>
        <v>2.1891016742233065</v>
      </c>
      <c r="G50" s="44">
        <f t="shared" si="3"/>
        <v>1.4925693233340724</v>
      </c>
      <c r="H50" s="24">
        <f t="shared" si="4"/>
        <v>2.2388539850011084</v>
      </c>
      <c r="I50" s="24">
        <f t="shared" si="7"/>
        <v>161.94377158174689</v>
      </c>
      <c r="J50" s="24">
        <f t="shared" si="8"/>
        <v>164.48983481209262</v>
      </c>
      <c r="L50" s="24">
        <f ca="1">I50+Simulação!G43</f>
        <v>164.64810952256386</v>
      </c>
    </row>
    <row r="51" spans="1:12">
      <c r="A51" s="23">
        <f t="shared" si="5"/>
        <v>39</v>
      </c>
      <c r="B51" s="24">
        <f t="shared" si="10"/>
        <v>2.0368505842765874</v>
      </c>
      <c r="C51" s="44">
        <f t="shared" si="6"/>
        <v>8.3103503838484709</v>
      </c>
      <c r="D51" s="44">
        <f t="shared" si="0"/>
        <v>636.20767407114852</v>
      </c>
      <c r="E51" s="44">
        <f t="shared" si="1"/>
        <v>143.65979737090447</v>
      </c>
      <c r="F51" s="44">
        <f t="shared" si="2"/>
        <v>2.1206922469038285</v>
      </c>
      <c r="G51" s="44">
        <f t="shared" si="3"/>
        <v>1.3059981579173132</v>
      </c>
      <c r="H51" s="24">
        <f t="shared" si="4"/>
        <v>1.9589972368759698</v>
      </c>
      <c r="I51" s="24">
        <f t="shared" si="7"/>
        <v>141.7008001340285</v>
      </c>
      <c r="J51" s="24">
        <f t="shared" si="8"/>
        <v>143.73765071830508</v>
      </c>
      <c r="L51" s="24">
        <f ca="1">I51+Simulação!G44</f>
        <v>144.39515180969849</v>
      </c>
    </row>
    <row r="52" spans="1:12">
      <c r="A52" s="23">
        <f t="shared" si="5"/>
        <v>40</v>
      </c>
      <c r="B52" s="24">
        <f t="shared" si="10"/>
        <v>1.5276379382074405</v>
      </c>
      <c r="C52" s="44">
        <f t="shared" si="6"/>
        <v>8.4172850395229926</v>
      </c>
      <c r="D52" s="44">
        <f t="shared" si="0"/>
        <v>615.68484587530497</v>
      </c>
      <c r="E52" s="44">
        <f t="shared" si="1"/>
        <v>123.13696917506098</v>
      </c>
      <c r="F52" s="44">
        <f t="shared" si="2"/>
        <v>2.0522828195843501</v>
      </c>
      <c r="G52" s="44">
        <f t="shared" si="3"/>
        <v>1.1194269925005542</v>
      </c>
      <c r="H52" s="24">
        <f t="shared" si="4"/>
        <v>1.6791404887508312</v>
      </c>
      <c r="I52" s="24">
        <f t="shared" si="7"/>
        <v>121.45782868631015</v>
      </c>
      <c r="J52" s="24">
        <f t="shared" si="8"/>
        <v>122.98546662451758</v>
      </c>
      <c r="L52" s="24">
        <f ca="1">I52+Simulação!G45</f>
        <v>124.13209596170969</v>
      </c>
    </row>
    <row r="53" spans="1:12">
      <c r="A53" s="23">
        <f t="shared" si="5"/>
        <v>41</v>
      </c>
      <c r="B53" s="24">
        <f t="shared" si="10"/>
        <v>1.0184252921382937</v>
      </c>
      <c r="C53" s="44">
        <f t="shared" si="6"/>
        <v>8.4936669364333639</v>
      </c>
      <c r="D53" s="44">
        <f t="shared" si="0"/>
        <v>595.16201767946154</v>
      </c>
      <c r="E53" s="44">
        <f t="shared" si="1"/>
        <v>102.6141409792175</v>
      </c>
      <c r="F53" s="44">
        <f t="shared" si="2"/>
        <v>1.9838733922648719</v>
      </c>
      <c r="G53" s="44">
        <f t="shared" si="3"/>
        <v>0.93285582708379533</v>
      </c>
      <c r="H53" s="24">
        <f t="shared" si="4"/>
        <v>1.3992837406256931</v>
      </c>
      <c r="I53" s="24">
        <f t="shared" si="7"/>
        <v>101.2148572385918</v>
      </c>
      <c r="J53" s="24">
        <f t="shared" si="8"/>
        <v>102.23328253073009</v>
      </c>
      <c r="L53" s="24">
        <f ca="1">I53+Simulação!G46</f>
        <v>103.85871185305223</v>
      </c>
    </row>
    <row r="54" spans="1:12">
      <c r="A54" s="23">
        <f t="shared" si="5"/>
        <v>42</v>
      </c>
      <c r="B54" s="24">
        <f t="shared" si="10"/>
        <v>0.50921264606914685</v>
      </c>
      <c r="C54" s="44">
        <f t="shared" si="6"/>
        <v>8.5394960745795867</v>
      </c>
      <c r="D54" s="44">
        <f t="shared" si="0"/>
        <v>574.639189483618</v>
      </c>
      <c r="E54" s="44">
        <f t="shared" si="1"/>
        <v>82.091312783373979</v>
      </c>
      <c r="F54" s="44">
        <f t="shared" si="2"/>
        <v>1.9154639649453933</v>
      </c>
      <c r="G54" s="44">
        <f t="shared" si="3"/>
        <v>0.74628466166703611</v>
      </c>
      <c r="H54" s="24">
        <f t="shared" si="4"/>
        <v>1.1194269925005542</v>
      </c>
      <c r="I54" s="24">
        <f t="shared" si="7"/>
        <v>80.971885790873429</v>
      </c>
      <c r="J54" s="24">
        <f t="shared" si="8"/>
        <v>81.481098436942574</v>
      </c>
      <c r="L54" s="24">
        <f ca="1">I54+Simulação!G47</f>
        <v>83.574637457586547</v>
      </c>
    </row>
    <row r="55" spans="1:12">
      <c r="A55" s="23">
        <f t="shared" si="5"/>
        <v>43</v>
      </c>
      <c r="B55" s="24">
        <f t="shared" si="10"/>
        <v>0</v>
      </c>
      <c r="C55" s="44">
        <f t="shared" si="6"/>
        <v>8.554772453961661</v>
      </c>
      <c r="D55" s="44">
        <f t="shared" si="0"/>
        <v>554.11636128777445</v>
      </c>
      <c r="E55" s="44">
        <f t="shared" si="1"/>
        <v>61.568484587530492</v>
      </c>
      <c r="F55" s="44">
        <f t="shared" si="2"/>
        <v>1.8470545376259149</v>
      </c>
      <c r="G55" s="44">
        <f t="shared" si="3"/>
        <v>0.55971349625027711</v>
      </c>
      <c r="H55" s="24">
        <f t="shared" si="4"/>
        <v>0.83957024437541561</v>
      </c>
      <c r="I55" s="24">
        <f t="shared" si="7"/>
        <v>60.728914343155076</v>
      </c>
      <c r="J55" s="24">
        <f t="shared" si="8"/>
        <v>60.728914343155076</v>
      </c>
      <c r="L55" s="24">
        <f ca="1">I55+Simulação!G48</f>
        <v>63.279355973303829</v>
      </c>
    </row>
    <row r="56" spans="1:12">
      <c r="A56" s="23">
        <f t="shared" si="5"/>
        <v>44</v>
      </c>
      <c r="B56" s="24" t="str">
        <f t="shared" si="10"/>
        <v/>
      </c>
      <c r="C56" s="44">
        <f t="shared" si="6"/>
        <v>8.554772453961661</v>
      </c>
      <c r="D56" s="44">
        <f t="shared" si="0"/>
        <v>533.59353309193102</v>
      </c>
      <c r="E56" s="44">
        <f t="shared" si="1"/>
        <v>41.045656391687004</v>
      </c>
      <c r="F56" s="44">
        <f t="shared" si="2"/>
        <v>1.7786451103064367</v>
      </c>
      <c r="G56" s="44">
        <f t="shared" si="3"/>
        <v>0.37314233083351817</v>
      </c>
      <c r="H56" s="24">
        <f t="shared" si="4"/>
        <v>0.55971349625027722</v>
      </c>
      <c r="I56" s="24">
        <f t="shared" si="7"/>
        <v>40.485942895436729</v>
      </c>
      <c r="J56" s="24" t="e">
        <f t="shared" si="8"/>
        <v>#VALUE!</v>
      </c>
      <c r="L56" s="24">
        <f ca="1">I56+Simulação!G49</f>
        <v>42.975771594037511</v>
      </c>
    </row>
    <row r="57" spans="1:12">
      <c r="A57" s="23">
        <f t="shared" si="5"/>
        <v>45</v>
      </c>
      <c r="B57" s="24" t="str">
        <f t="shared" si="10"/>
        <v/>
      </c>
      <c r="C57" s="44">
        <f t="shared" si="6"/>
        <v>8.554772453961661</v>
      </c>
      <c r="D57" s="44">
        <f t="shared" si="0"/>
        <v>513.07070489608748</v>
      </c>
      <c r="E57" s="44">
        <f t="shared" si="1"/>
        <v>20.522828195843488</v>
      </c>
      <c r="F57" s="44">
        <f t="shared" si="2"/>
        <v>1.7102356829869583</v>
      </c>
      <c r="G57" s="44">
        <f t="shared" si="3"/>
        <v>0.18657116541675894</v>
      </c>
      <c r="H57" s="24">
        <f t="shared" si="4"/>
        <v>0.27985674812513844</v>
      </c>
      <c r="I57" s="24">
        <f t="shared" si="7"/>
        <v>20.24297144771835</v>
      </c>
      <c r="J57" s="24" t="e">
        <f t="shared" si="8"/>
        <v>#VALUE!</v>
      </c>
      <c r="L57" s="24">
        <f ca="1">I57+Simulação!G50</f>
        <v>22.674372752167113</v>
      </c>
    </row>
    <row r="58" spans="1:12">
      <c r="A58" s="23">
        <f t="shared" si="5"/>
        <v>46</v>
      </c>
      <c r="B58" s="24" t="str">
        <f t="shared" si="10"/>
        <v/>
      </c>
      <c r="C58" s="44">
        <f t="shared" si="6"/>
        <v>8.554772453961661</v>
      </c>
      <c r="D58" s="44">
        <f t="shared" si="0"/>
        <v>492.54787670024399</v>
      </c>
      <c r="E58" s="44">
        <f t="shared" si="1"/>
        <v>0</v>
      </c>
      <c r="F58" s="44">
        <f t="shared" si="2"/>
        <v>1.6418262556674799</v>
      </c>
      <c r="G58" s="44">
        <f t="shared" si="3"/>
        <v>0</v>
      </c>
      <c r="H58" s="24">
        <f t="shared" si="4"/>
        <v>0</v>
      </c>
      <c r="I58" s="24">
        <f t="shared" si="7"/>
        <v>0</v>
      </c>
      <c r="J58" s="24" t="e">
        <f t="shared" si="8"/>
        <v>#VALUE!</v>
      </c>
      <c r="L58" s="24">
        <f ca="1">I58+Simulação!G51</f>
        <v>2.3715348739106106</v>
      </c>
    </row>
    <row r="59" spans="1:12">
      <c r="A59" s="23">
        <f t="shared" si="5"/>
        <v>47</v>
      </c>
      <c r="B59" s="24" t="str">
        <f t="shared" si="10"/>
        <v/>
      </c>
      <c r="C59" s="44">
        <f t="shared" si="6"/>
        <v>8.554772453961661</v>
      </c>
      <c r="D59" s="44">
        <f t="shared" si="0"/>
        <v>472.0250485044005</v>
      </c>
      <c r="E59" s="44" t="str">
        <f t="shared" si="1"/>
        <v/>
      </c>
      <c r="F59" s="44">
        <f t="shared" si="2"/>
        <v>1.5734168283480017</v>
      </c>
      <c r="G59" s="44" t="str">
        <f t="shared" si="3"/>
        <v/>
      </c>
      <c r="H59" s="24" t="str">
        <f t="shared" si="4"/>
        <v/>
      </c>
      <c r="I59" s="24">
        <f t="shared" si="7"/>
        <v>0</v>
      </c>
      <c r="J59" s="24" t="e">
        <f t="shared" si="8"/>
        <v>#VALUE!</v>
      </c>
      <c r="L59" s="24">
        <f ca="1">I59+Simulação!G52</f>
        <v>2.3138315476324918</v>
      </c>
    </row>
    <row r="60" spans="1:12">
      <c r="A60" s="23">
        <f t="shared" si="5"/>
        <v>48</v>
      </c>
      <c r="B60" s="24" t="str">
        <f t="shared" si="10"/>
        <v/>
      </c>
      <c r="C60" s="44">
        <f t="shared" si="6"/>
        <v>8.554772453961661</v>
      </c>
      <c r="D60" s="44">
        <f t="shared" si="0"/>
        <v>451.50222030855701</v>
      </c>
      <c r="E60" s="44" t="str">
        <f t="shared" si="1"/>
        <v/>
      </c>
      <c r="F60" s="44">
        <f t="shared" si="2"/>
        <v>1.5050074010285235</v>
      </c>
      <c r="G60" s="44" t="str">
        <f t="shared" si="3"/>
        <v/>
      </c>
      <c r="H60" s="24" t="str">
        <f t="shared" si="4"/>
        <v/>
      </c>
      <c r="I60" s="24">
        <f t="shared" si="7"/>
        <v>0</v>
      </c>
      <c r="J60" s="24" t="e">
        <f t="shared" si="8"/>
        <v>#VALUE!</v>
      </c>
      <c r="L60" s="24">
        <f ca="1">I60+Simulação!G53</f>
        <v>2.2546363875083828</v>
      </c>
    </row>
    <row r="61" spans="1:12">
      <c r="A61" s="23">
        <f t="shared" si="5"/>
        <v>49</v>
      </c>
      <c r="B61" s="24" t="str">
        <f t="shared" si="10"/>
        <v/>
      </c>
      <c r="C61" s="44">
        <f t="shared" si="6"/>
        <v>8.554772453961661</v>
      </c>
      <c r="D61" s="44">
        <f t="shared" si="0"/>
        <v>430.97939211271347</v>
      </c>
      <c r="E61" s="44" t="str">
        <f t="shared" si="1"/>
        <v/>
      </c>
      <c r="F61" s="44">
        <f t="shared" si="2"/>
        <v>1.4365979737090449</v>
      </c>
      <c r="G61" s="44" t="str">
        <f t="shared" si="3"/>
        <v/>
      </c>
      <c r="H61" s="24" t="str">
        <f t="shared" si="4"/>
        <v/>
      </c>
      <c r="I61" s="24">
        <f t="shared" si="7"/>
        <v>0</v>
      </c>
      <c r="J61" s="24" t="e">
        <f t="shared" si="8"/>
        <v>#VALUE!</v>
      </c>
      <c r="L61" s="24">
        <f ca="1">I61+Simulação!G54</f>
        <v>2.1938445817637886</v>
      </c>
    </row>
    <row r="62" spans="1:12">
      <c r="A62" s="23">
        <f t="shared" si="5"/>
        <v>50</v>
      </c>
      <c r="B62" s="24" t="str">
        <f t="shared" si="10"/>
        <v/>
      </c>
      <c r="C62" s="44">
        <f t="shared" si="6"/>
        <v>8.554772453961661</v>
      </c>
      <c r="D62" s="44">
        <f t="shared" si="0"/>
        <v>410.45656391686998</v>
      </c>
      <c r="E62" s="44" t="str">
        <f t="shared" si="1"/>
        <v/>
      </c>
      <c r="F62" s="44">
        <f t="shared" si="2"/>
        <v>1.3681885463895667</v>
      </c>
      <c r="G62" s="44" t="str">
        <f t="shared" si="3"/>
        <v/>
      </c>
      <c r="H62" s="24" t="str">
        <f t="shared" si="4"/>
        <v/>
      </c>
      <c r="I62" s="24">
        <f t="shared" si="7"/>
        <v>0</v>
      </c>
      <c r="J62" s="24" t="e">
        <f t="shared" si="8"/>
        <v>#VALUE!</v>
      </c>
      <c r="L62" s="24">
        <f ca="1">I62+Simulação!G55</f>
        <v>2.1355448026334281</v>
      </c>
    </row>
    <row r="63" spans="1:12">
      <c r="A63" s="23">
        <f t="shared" si="5"/>
        <v>51</v>
      </c>
      <c r="B63" s="24" t="str">
        <f t="shared" si="10"/>
        <v/>
      </c>
      <c r="C63" s="44">
        <f t="shared" si="6"/>
        <v>8.554772453961661</v>
      </c>
      <c r="D63" s="44">
        <f t="shared" si="0"/>
        <v>389.93373572102649</v>
      </c>
      <c r="E63" s="44" t="str">
        <f t="shared" si="1"/>
        <v/>
      </c>
      <c r="F63" s="44">
        <f t="shared" si="2"/>
        <v>1.2997791190700883</v>
      </c>
      <c r="G63" s="44" t="str">
        <f t="shared" si="3"/>
        <v/>
      </c>
      <c r="H63" s="24" t="str">
        <f t="shared" si="4"/>
        <v/>
      </c>
      <c r="I63" s="24">
        <f t="shared" si="7"/>
        <v>0</v>
      </c>
      <c r="J63" s="24" t="e">
        <f t="shared" si="8"/>
        <v>#VALUE!</v>
      </c>
      <c r="L63" s="24">
        <f ca="1">I63+Simulação!G56</f>
        <v>2.0756081420092189</v>
      </c>
    </row>
    <row r="64" spans="1:12">
      <c r="A64" s="23">
        <f t="shared" si="5"/>
        <v>52</v>
      </c>
      <c r="B64" s="24" t="str">
        <f t="shared" si="10"/>
        <v/>
      </c>
      <c r="C64" s="44">
        <f t="shared" si="6"/>
        <v>8.554772453961661</v>
      </c>
      <c r="D64" s="44">
        <f t="shared" si="0"/>
        <v>369.41090752518301</v>
      </c>
      <c r="E64" s="44" t="str">
        <f t="shared" si="1"/>
        <v/>
      </c>
      <c r="F64" s="44">
        <f t="shared" si="2"/>
        <v>1.2313696917506101</v>
      </c>
      <c r="G64" s="44" t="str">
        <f t="shared" si="3"/>
        <v/>
      </c>
      <c r="H64" s="24" t="str">
        <f t="shared" si="4"/>
        <v/>
      </c>
      <c r="I64" s="24">
        <f t="shared" si="7"/>
        <v>0</v>
      </c>
      <c r="J64" s="24" t="e">
        <f t="shared" si="8"/>
        <v>#VALUE!</v>
      </c>
      <c r="L64" s="24">
        <f ca="1">I64+Simulação!G57</f>
        <v>2.020353587750233</v>
      </c>
    </row>
    <row r="65" spans="1:12">
      <c r="A65" s="23">
        <f t="shared" si="5"/>
        <v>53</v>
      </c>
      <c r="B65" s="24" t="str">
        <f t="shared" si="10"/>
        <v/>
      </c>
      <c r="C65" s="44">
        <f t="shared" si="6"/>
        <v>8.554772453961661</v>
      </c>
      <c r="D65" s="44">
        <f t="shared" si="0"/>
        <v>348.88807932933952</v>
      </c>
      <c r="E65" s="44" t="str">
        <f t="shared" si="1"/>
        <v/>
      </c>
      <c r="F65" s="44">
        <f t="shared" si="2"/>
        <v>1.1629602644311317</v>
      </c>
      <c r="G65" s="44" t="str">
        <f t="shared" si="3"/>
        <v/>
      </c>
      <c r="H65" s="24" t="str">
        <f t="shared" si="4"/>
        <v/>
      </c>
      <c r="I65" s="24">
        <f t="shared" si="7"/>
        <v>0</v>
      </c>
      <c r="J65" s="24" t="e">
        <f t="shared" si="8"/>
        <v>#VALUE!</v>
      </c>
      <c r="L65" s="24">
        <f ca="1">I65+Simulação!G58</f>
        <v>1.9611087930665019</v>
      </c>
    </row>
    <row r="66" spans="1:12">
      <c r="A66" s="23">
        <f t="shared" si="5"/>
        <v>54</v>
      </c>
      <c r="B66" s="24" t="str">
        <f t="shared" si="10"/>
        <v/>
      </c>
      <c r="C66" s="44">
        <f t="shared" si="6"/>
        <v>8.554772453961661</v>
      </c>
      <c r="D66" s="44">
        <f t="shared" si="0"/>
        <v>328.36525113349597</v>
      </c>
      <c r="E66" s="44" t="str">
        <f t="shared" si="1"/>
        <v/>
      </c>
      <c r="F66" s="44">
        <f t="shared" si="2"/>
        <v>1.0945508371116532</v>
      </c>
      <c r="G66" s="44" t="str">
        <f t="shared" si="3"/>
        <v/>
      </c>
      <c r="H66" s="24" t="str">
        <f t="shared" si="4"/>
        <v/>
      </c>
      <c r="I66" s="24">
        <f t="shared" si="7"/>
        <v>0</v>
      </c>
      <c r="J66" s="24" t="e">
        <f t="shared" si="8"/>
        <v>#VALUE!</v>
      </c>
      <c r="L66" s="24">
        <f ca="1">I66+Simulação!G59</f>
        <v>1.9000175728003841</v>
      </c>
    </row>
    <row r="67" spans="1:12">
      <c r="A67" s="23">
        <f t="shared" si="5"/>
        <v>55</v>
      </c>
      <c r="B67" s="24" t="str">
        <f t="shared" si="10"/>
        <v/>
      </c>
      <c r="C67" s="44">
        <f t="shared" si="6"/>
        <v>8.554772453961661</v>
      </c>
      <c r="D67" s="44">
        <f t="shared" si="0"/>
        <v>307.84242293765249</v>
      </c>
      <c r="E67" s="44" t="str">
        <f t="shared" si="1"/>
        <v/>
      </c>
      <c r="F67" s="44">
        <f t="shared" si="2"/>
        <v>1.0261414097921751</v>
      </c>
      <c r="G67" s="44" t="str">
        <f t="shared" si="3"/>
        <v/>
      </c>
      <c r="H67" s="24" t="str">
        <f t="shared" si="4"/>
        <v/>
      </c>
      <c r="I67" s="24">
        <f t="shared" si="7"/>
        <v>0</v>
      </c>
      <c r="J67" s="24" t="e">
        <f t="shared" si="8"/>
        <v>#VALUE!</v>
      </c>
      <c r="L67" s="24">
        <f ca="1">I67+Simulação!G60</f>
        <v>1.841828043523891</v>
      </c>
    </row>
    <row r="68" spans="1:12">
      <c r="A68" s="23">
        <f t="shared" si="5"/>
        <v>56</v>
      </c>
      <c r="B68" s="24" t="str">
        <f t="shared" si="10"/>
        <v/>
      </c>
      <c r="C68" s="44">
        <f t="shared" si="6"/>
        <v>8.554772453961661</v>
      </c>
      <c r="D68" s="44">
        <f t="shared" si="0"/>
        <v>287.319594741809</v>
      </c>
      <c r="E68" s="44" t="str">
        <f t="shared" si="1"/>
        <v/>
      </c>
      <c r="F68" s="44">
        <f t="shared" si="2"/>
        <v>0.95773198247269664</v>
      </c>
      <c r="G68" s="44" t="str">
        <f t="shared" si="3"/>
        <v/>
      </c>
      <c r="H68" s="24" t="str">
        <f t="shared" si="4"/>
        <v/>
      </c>
      <c r="I68" s="24">
        <f t="shared" si="7"/>
        <v>0</v>
      </c>
      <c r="J68" s="24" t="e">
        <f t="shared" si="8"/>
        <v>#VALUE!</v>
      </c>
      <c r="L68" s="24">
        <f ca="1">I68+Simulação!G61</f>
        <v>1.7817391242468195</v>
      </c>
    </row>
    <row r="69" spans="1:12">
      <c r="A69" s="23">
        <f t="shared" si="5"/>
        <v>57</v>
      </c>
      <c r="B69" s="24" t="str">
        <f t="shared" si="10"/>
        <v/>
      </c>
      <c r="C69" s="44">
        <f t="shared" si="6"/>
        <v>8.554772453961661</v>
      </c>
      <c r="D69" s="44">
        <f t="shared" si="0"/>
        <v>266.79676654596551</v>
      </c>
      <c r="E69" s="44" t="str">
        <f t="shared" si="1"/>
        <v/>
      </c>
      <c r="F69" s="44">
        <f t="shared" si="2"/>
        <v>0.88932255515321834</v>
      </c>
      <c r="G69" s="44" t="str">
        <f t="shared" si="3"/>
        <v/>
      </c>
      <c r="H69" s="24" t="str">
        <f t="shared" si="4"/>
        <v/>
      </c>
      <c r="I69" s="24">
        <f t="shared" si="7"/>
        <v>0</v>
      </c>
      <c r="J69" s="24" t="e">
        <f t="shared" si="8"/>
        <v>#VALUE!</v>
      </c>
      <c r="L69" s="24">
        <f ca="1">I69+Simulação!G62</f>
        <v>1.7195517066469983</v>
      </c>
    </row>
    <row r="70" spans="1:12">
      <c r="A70" s="23">
        <f t="shared" si="5"/>
        <v>58</v>
      </c>
      <c r="B70" s="24" t="str">
        <f t="shared" si="10"/>
        <v/>
      </c>
      <c r="C70" s="44">
        <f t="shared" si="6"/>
        <v>8.554772453961661</v>
      </c>
      <c r="D70" s="44">
        <f t="shared" si="0"/>
        <v>246.27393835012202</v>
      </c>
      <c r="E70" s="44" t="str">
        <f t="shared" si="1"/>
        <v/>
      </c>
      <c r="F70" s="44">
        <f t="shared" si="2"/>
        <v>0.82091312783374004</v>
      </c>
      <c r="G70" s="44" t="str">
        <f t="shared" si="3"/>
        <v/>
      </c>
      <c r="H70" s="24" t="str">
        <f t="shared" si="4"/>
        <v/>
      </c>
      <c r="I70" s="24">
        <f t="shared" si="7"/>
        <v>0</v>
      </c>
      <c r="J70" s="24" t="e">
        <f t="shared" si="8"/>
        <v>#VALUE!</v>
      </c>
      <c r="L70" s="24">
        <f ca="1">I70+Simulação!G63</f>
        <v>1.6605018889018621</v>
      </c>
    </row>
    <row r="71" spans="1:12">
      <c r="A71" s="23">
        <f t="shared" si="5"/>
        <v>59</v>
      </c>
      <c r="B71" s="24" t="str">
        <f t="shared" si="10"/>
        <v/>
      </c>
      <c r="C71" s="44">
        <f t="shared" si="6"/>
        <v>8.554772453961661</v>
      </c>
      <c r="D71" s="44">
        <f t="shared" si="0"/>
        <v>225.75111015427854</v>
      </c>
      <c r="E71" s="44" t="str">
        <f t="shared" si="1"/>
        <v/>
      </c>
      <c r="F71" s="44">
        <f t="shared" si="2"/>
        <v>0.75250370051426174</v>
      </c>
      <c r="G71" s="44" t="str">
        <f t="shared" si="3"/>
        <v/>
      </c>
      <c r="H71" s="24" t="str">
        <f t="shared" si="4"/>
        <v/>
      </c>
      <c r="I71" s="24">
        <f t="shared" si="7"/>
        <v>0</v>
      </c>
      <c r="J71" s="24" t="e">
        <f t="shared" si="8"/>
        <v>#VALUE!</v>
      </c>
      <c r="L71" s="24">
        <f ca="1">I71+Simulação!G64</f>
        <v>1.5992732644112766</v>
      </c>
    </row>
    <row r="72" spans="1:12">
      <c r="A72" s="23">
        <f t="shared" si="5"/>
        <v>60</v>
      </c>
      <c r="B72" s="24" t="str">
        <f t="shared" si="10"/>
        <v/>
      </c>
      <c r="C72" s="44">
        <f t="shared" si="6"/>
        <v>8.554772453961661</v>
      </c>
      <c r="D72" s="44">
        <f t="shared" si="0"/>
        <v>205.22828195843499</v>
      </c>
      <c r="E72" s="44" t="str">
        <f t="shared" si="1"/>
        <v/>
      </c>
      <c r="F72" s="44">
        <f t="shared" si="2"/>
        <v>0.68409427319478333</v>
      </c>
      <c r="G72" s="44" t="str">
        <f t="shared" si="3"/>
        <v/>
      </c>
      <c r="H72" s="24" t="str">
        <f t="shared" si="4"/>
        <v/>
      </c>
      <c r="I72" s="24">
        <f t="shared" si="7"/>
        <v>0</v>
      </c>
      <c r="J72" s="24" t="e">
        <f t="shared" si="8"/>
        <v>#VALUE!</v>
      </c>
      <c r="L72" s="24">
        <f ca="1">I72+Simulação!G65</f>
        <v>1.5356052310000607</v>
      </c>
    </row>
    <row r="73" spans="1:12">
      <c r="A73" s="23">
        <f t="shared" si="5"/>
        <v>61</v>
      </c>
      <c r="B73" s="24" t="str">
        <f t="shared" si="10"/>
        <v/>
      </c>
      <c r="C73" s="44">
        <f t="shared" si="6"/>
        <v>8.554772453961661</v>
      </c>
      <c r="D73" s="44">
        <f t="shared" si="0"/>
        <v>184.70545376259156</v>
      </c>
      <c r="E73" s="44" t="str">
        <f t="shared" si="1"/>
        <v/>
      </c>
      <c r="F73" s="44">
        <f t="shared" si="2"/>
        <v>0.61568484587530525</v>
      </c>
      <c r="G73" s="44" t="str">
        <f t="shared" si="3"/>
        <v/>
      </c>
      <c r="H73" s="24" t="str">
        <f t="shared" si="4"/>
        <v/>
      </c>
      <c r="I73" s="24">
        <f t="shared" si="7"/>
        <v>0</v>
      </c>
      <c r="J73" s="24" t="e">
        <f t="shared" si="8"/>
        <v>#VALUE!</v>
      </c>
      <c r="L73" s="24">
        <f ca="1">I73+Simulação!G66</f>
        <v>1.4753428628430976</v>
      </c>
    </row>
    <row r="74" spans="1:12">
      <c r="A74" s="23">
        <f t="shared" si="5"/>
        <v>62</v>
      </c>
      <c r="B74" s="24" t="str">
        <f t="shared" si="10"/>
        <v/>
      </c>
      <c r="C74" s="44">
        <f t="shared" si="6"/>
        <v>8.554772453961661</v>
      </c>
      <c r="D74" s="44">
        <f t="shared" si="0"/>
        <v>164.18262556674802</v>
      </c>
      <c r="E74" s="44" t="str">
        <f t="shared" si="1"/>
        <v/>
      </c>
      <c r="F74" s="44">
        <f t="shared" si="2"/>
        <v>0.54727541855582673</v>
      </c>
      <c r="G74" s="44" t="str">
        <f t="shared" si="3"/>
        <v/>
      </c>
      <c r="H74" s="24" t="str">
        <f t="shared" si="4"/>
        <v/>
      </c>
      <c r="I74" s="24">
        <f t="shared" si="7"/>
        <v>0</v>
      </c>
      <c r="J74" s="24" t="e">
        <f t="shared" si="8"/>
        <v>#VALUE!</v>
      </c>
      <c r="L74" s="24">
        <f ca="1">I74+Simulação!G67</f>
        <v>1.4125118408032491</v>
      </c>
    </row>
    <row r="75" spans="1:12">
      <c r="A75" s="23">
        <f t="shared" si="5"/>
        <v>63</v>
      </c>
      <c r="B75" s="24" t="str">
        <f t="shared" si="10"/>
        <v/>
      </c>
      <c r="C75" s="44">
        <f t="shared" si="6"/>
        <v>8.554772453961661</v>
      </c>
      <c r="D75" s="44">
        <f t="shared" si="0"/>
        <v>143.65979737090447</v>
      </c>
      <c r="E75" s="44" t="str">
        <f t="shared" si="1"/>
        <v/>
      </c>
      <c r="F75" s="44">
        <f t="shared" si="2"/>
        <v>0.47886599123634821</v>
      </c>
      <c r="G75" s="44" t="str">
        <f t="shared" si="3"/>
        <v/>
      </c>
      <c r="H75" s="24" t="str">
        <f t="shared" si="4"/>
        <v/>
      </c>
      <c r="I75" s="24">
        <f t="shared" si="7"/>
        <v>0</v>
      </c>
      <c r="J75" s="24" t="e">
        <f t="shared" si="8"/>
        <v>#VALUE!</v>
      </c>
      <c r="L75" s="24">
        <f ca="1">I75+Simulação!G68</f>
        <v>1.3534723950380254</v>
      </c>
    </row>
    <row r="76" spans="1:12">
      <c r="A76" s="23">
        <f t="shared" si="5"/>
        <v>64</v>
      </c>
      <c r="B76" s="24" t="str">
        <f t="shared" si="10"/>
        <v/>
      </c>
      <c r="C76" s="44">
        <f t="shared" si="6"/>
        <v>8.554772453961661</v>
      </c>
      <c r="D76" s="44">
        <f t="shared" ref="D76:D139" si="11">IF(A76&lt;=tc,$H$4*A76,IF(A76&lt;=2*tc,Qmax-$H$4*(A76-tc),""))</f>
        <v>123.13696917506104</v>
      </c>
      <c r="E76" s="44" t="str">
        <f t="shared" ref="E76:E139" si="12">IF(A76&lt;=tc_1,$H$5*A76,IF(A76&lt;=tc,Q_max_i,IF(A76&lt;=tc_1+tc,Q_max_i-$H$5*(A76-(tc)),"")))</f>
        <v/>
      </c>
      <c r="F76" s="44">
        <f t="shared" ref="F76:F139" si="13">IF(A76="","",IF(ISERROR(D76/(Area*10^2)),"",D76/(Area*10^2)))</f>
        <v>0.41045656391687013</v>
      </c>
      <c r="G76" s="44" t="str">
        <f t="shared" ref="G76:G139" si="14">IF(A76="","",IF(ISERROR(E76/(Ad_i*10^2)),"",E76/(Ad_i*10^2)))</f>
        <v/>
      </c>
      <c r="H76" s="24" t="str">
        <f t="shared" ref="H76:H139" si="15">IF(G76="","",IF(ISERROR(G76*alot_i/100),"",G76*alot_i/100))</f>
        <v/>
      </c>
      <c r="I76" s="24">
        <f t="shared" si="7"/>
        <v>0</v>
      </c>
      <c r="J76" s="24" t="e">
        <f t="shared" si="8"/>
        <v>#VALUE!</v>
      </c>
      <c r="L76" s="24">
        <f ca="1">I76+Simulação!G69</f>
        <v>1.2917373370196257</v>
      </c>
    </row>
    <row r="77" spans="1:12">
      <c r="A77" s="23">
        <f t="shared" ref="A77:A140" si="16">IF(ISERROR(IF(A76+Passo&lt;=tc+tc,A76+Passo,"")),"",IF(A76+Passo&lt;=tc+tc,A76+Passo,""))</f>
        <v>65</v>
      </c>
      <c r="B77" s="24" t="str">
        <f t="shared" si="10"/>
        <v/>
      </c>
      <c r="C77" s="44">
        <f t="shared" ref="C77:C140" si="17">IF(ISERROR(IF(A77="","",C76+AVERAGE(B76:B77)*Passo*60/1000)),C76,IF(A77="","",C76+AVERAGE(B76:B77)*Passo*60/1000))</f>
        <v>8.554772453961661</v>
      </c>
      <c r="D77" s="44">
        <f t="shared" si="11"/>
        <v>102.6141409792175</v>
      </c>
      <c r="E77" s="44" t="str">
        <f t="shared" si="12"/>
        <v/>
      </c>
      <c r="F77" s="44">
        <f t="shared" si="13"/>
        <v>0.34204713659739167</v>
      </c>
      <c r="G77" s="44" t="str">
        <f t="shared" si="14"/>
        <v/>
      </c>
      <c r="H77" s="24" t="str">
        <f t="shared" si="15"/>
        <v/>
      </c>
      <c r="I77" s="24">
        <f t="shared" ref="I77:I140" si="18">IF(A77="","",IF(ISERROR(E77-H77),0,E77-H77))</f>
        <v>0</v>
      </c>
      <c r="J77" s="24" t="e">
        <f t="shared" ref="J77:J140" si="19">I77+B77</f>
        <v>#VALUE!</v>
      </c>
      <c r="L77" s="24">
        <f ca="1">I77+Simulação!G70</f>
        <v>1.2268998213265576</v>
      </c>
    </row>
    <row r="78" spans="1:12">
      <c r="A78" s="23">
        <f t="shared" si="16"/>
        <v>66</v>
      </c>
      <c r="B78" s="24" t="str">
        <f t="shared" ref="B78:B141" si="20">IF(ISERROR(IF(A78&lt;=tc_lot_i,declividade_afluente*A78,IF(A78&lt;=tc,Qmax_lot_i,IF(A78&lt;=tc+tc_lot_i,Qmax_lot_i-declividade_afluente*(A78-tc),"")))),"",IF(A78&lt;=tc_lot_i,declividade_afluente*A78,IF(A78&lt;=tc,Qmax_lot_i,IF(A78&lt;=tc+tc_lot_i,Qmax_lot_i-declividade_afluente*(A78-tc),""))))</f>
        <v/>
      </c>
      <c r="C78" s="44">
        <f t="shared" si="17"/>
        <v>8.554772453961661</v>
      </c>
      <c r="D78" s="44">
        <f t="shared" si="11"/>
        <v>82.091312783374065</v>
      </c>
      <c r="E78" s="44" t="str">
        <f t="shared" si="12"/>
        <v/>
      </c>
      <c r="F78" s="44">
        <f t="shared" si="13"/>
        <v>0.27363770927791353</v>
      </c>
      <c r="G78" s="44" t="str">
        <f t="shared" si="14"/>
        <v/>
      </c>
      <c r="H78" s="24" t="str">
        <f t="shared" si="15"/>
        <v/>
      </c>
      <c r="I78" s="24">
        <f t="shared" si="18"/>
        <v>0</v>
      </c>
      <c r="J78" s="24" t="e">
        <f t="shared" si="19"/>
        <v>#VALUE!</v>
      </c>
      <c r="L78" s="24">
        <f ca="1">I78+Simulação!G71</f>
        <v>1.1662442632420502</v>
      </c>
    </row>
    <row r="79" spans="1:12">
      <c r="A79" s="23">
        <f t="shared" si="16"/>
        <v>67</v>
      </c>
      <c r="B79" s="24" t="str">
        <f t="shared" si="20"/>
        <v/>
      </c>
      <c r="C79" s="44">
        <f t="shared" si="17"/>
        <v>8.554772453961661</v>
      </c>
      <c r="D79" s="44">
        <f t="shared" si="11"/>
        <v>61.56848458753052</v>
      </c>
      <c r="E79" s="44" t="str">
        <f t="shared" si="12"/>
        <v/>
      </c>
      <c r="F79" s="44">
        <f t="shared" si="13"/>
        <v>0.20522828195843507</v>
      </c>
      <c r="G79" s="44" t="str">
        <f t="shared" si="14"/>
        <v/>
      </c>
      <c r="H79" s="24" t="str">
        <f t="shared" si="15"/>
        <v/>
      </c>
      <c r="I79" s="24">
        <f t="shared" si="18"/>
        <v>0</v>
      </c>
      <c r="J79" s="24" t="e">
        <f t="shared" si="19"/>
        <v>#VALUE!</v>
      </c>
      <c r="L79" s="24">
        <f ca="1">I79+Simulação!G72</f>
        <v>1.102255955537935</v>
      </c>
    </row>
    <row r="80" spans="1:12">
      <c r="A80" s="23">
        <f t="shared" si="16"/>
        <v>68</v>
      </c>
      <c r="B80" s="24" t="str">
        <f t="shared" si="20"/>
        <v/>
      </c>
      <c r="C80" s="44">
        <f t="shared" si="17"/>
        <v>8.554772453961661</v>
      </c>
      <c r="D80" s="44">
        <f t="shared" si="11"/>
        <v>41.045656391686975</v>
      </c>
      <c r="E80" s="44" t="str">
        <f t="shared" si="12"/>
        <v/>
      </c>
      <c r="F80" s="44">
        <f t="shared" si="13"/>
        <v>0.13681885463895657</v>
      </c>
      <c r="G80" s="44" t="str">
        <f t="shared" si="14"/>
        <v/>
      </c>
      <c r="H80" s="24" t="str">
        <f t="shared" si="15"/>
        <v/>
      </c>
      <c r="I80" s="24">
        <f t="shared" si="18"/>
        <v>0</v>
      </c>
      <c r="J80" s="24" t="e">
        <f t="shared" si="19"/>
        <v>#VALUE!</v>
      </c>
      <c r="L80" s="24">
        <f ca="1">I80+Simulação!G73</f>
        <v>1.0430509995901294</v>
      </c>
    </row>
    <row r="81" spans="1:12">
      <c r="A81" s="23">
        <f t="shared" si="16"/>
        <v>69</v>
      </c>
      <c r="B81" s="24" t="str">
        <f t="shared" si="20"/>
        <v/>
      </c>
      <c r="C81" s="44">
        <f t="shared" si="17"/>
        <v>8.554772453961661</v>
      </c>
      <c r="D81" s="44">
        <f t="shared" si="11"/>
        <v>20.522828195843545</v>
      </c>
      <c r="E81" s="44" t="str">
        <f t="shared" si="12"/>
        <v/>
      </c>
      <c r="F81" s="44">
        <f t="shared" si="13"/>
        <v>6.840942731947848E-2</v>
      </c>
      <c r="G81" s="44" t="str">
        <f t="shared" si="14"/>
        <v/>
      </c>
      <c r="H81" s="24" t="str">
        <f t="shared" si="15"/>
        <v/>
      </c>
      <c r="I81" s="24">
        <f t="shared" si="18"/>
        <v>0</v>
      </c>
      <c r="J81" s="24" t="e">
        <f t="shared" si="19"/>
        <v>#VALUE!</v>
      </c>
      <c r="L81" s="24">
        <f ca="1">I81+Simulação!G74</f>
        <v>0.98027678946973418</v>
      </c>
    </row>
    <row r="82" spans="1:12">
      <c r="A82" s="23">
        <f t="shared" si="16"/>
        <v>70</v>
      </c>
      <c r="B82" s="24" t="str">
        <f t="shared" si="20"/>
        <v/>
      </c>
      <c r="C82" s="44">
        <f t="shared" si="17"/>
        <v>8.554772453961661</v>
      </c>
      <c r="D82" s="44">
        <f t="shared" si="11"/>
        <v>0</v>
      </c>
      <c r="E82" s="44" t="str">
        <f t="shared" si="12"/>
        <v/>
      </c>
      <c r="F82" s="44">
        <f t="shared" si="13"/>
        <v>0</v>
      </c>
      <c r="G82" s="44" t="str">
        <f t="shared" si="14"/>
        <v/>
      </c>
      <c r="H82" s="24" t="str">
        <f t="shared" si="15"/>
        <v/>
      </c>
      <c r="I82" s="24">
        <f t="shared" si="18"/>
        <v>0</v>
      </c>
      <c r="J82" s="24" t="e">
        <f t="shared" si="19"/>
        <v>#VALUE!</v>
      </c>
      <c r="L82" s="24">
        <f ca="1">I82+Simulação!G75</f>
        <v>0.91319755814402581</v>
      </c>
    </row>
    <row r="83" spans="1:12">
      <c r="A83" s="23" t="str">
        <f t="shared" si="16"/>
        <v/>
      </c>
      <c r="B83" s="24" t="str">
        <f t="shared" si="20"/>
        <v/>
      </c>
      <c r="C83" s="44" t="str">
        <f t="shared" si="17"/>
        <v/>
      </c>
      <c r="D83" s="44" t="str">
        <f t="shared" si="11"/>
        <v/>
      </c>
      <c r="E83" s="44" t="str">
        <f t="shared" si="12"/>
        <v/>
      </c>
      <c r="F83" s="44" t="str">
        <f t="shared" si="13"/>
        <v/>
      </c>
      <c r="G83" s="44" t="str">
        <f t="shared" si="14"/>
        <v/>
      </c>
      <c r="H83" s="24" t="str">
        <f t="shared" si="15"/>
        <v/>
      </c>
      <c r="I83" s="24" t="str">
        <f t="shared" si="18"/>
        <v/>
      </c>
      <c r="J83" s="24" t="e">
        <f t="shared" si="19"/>
        <v>#VALUE!</v>
      </c>
      <c r="L83" s="24" t="e">
        <f ca="1">I83+Simulação!G76</f>
        <v>#VALUE!</v>
      </c>
    </row>
    <row r="84" spans="1:12">
      <c r="A84" s="23" t="str">
        <f t="shared" si="16"/>
        <v/>
      </c>
      <c r="B84" s="24" t="str">
        <f t="shared" si="20"/>
        <v/>
      </c>
      <c r="C84" s="44" t="str">
        <f t="shared" si="17"/>
        <v/>
      </c>
      <c r="D84" s="44" t="str">
        <f t="shared" si="11"/>
        <v/>
      </c>
      <c r="E84" s="44" t="str">
        <f t="shared" si="12"/>
        <v/>
      </c>
      <c r="F84" s="44" t="str">
        <f t="shared" si="13"/>
        <v/>
      </c>
      <c r="G84" s="44" t="str">
        <f t="shared" si="14"/>
        <v/>
      </c>
      <c r="H84" s="24" t="str">
        <f t="shared" si="15"/>
        <v/>
      </c>
      <c r="I84" s="24" t="str">
        <f t="shared" si="18"/>
        <v/>
      </c>
      <c r="J84" s="24" t="e">
        <f t="shared" si="19"/>
        <v>#VALUE!</v>
      </c>
      <c r="L84" s="24" t="e">
        <f ca="1">I84+Simulação!G77</f>
        <v>#VALUE!</v>
      </c>
    </row>
    <row r="85" spans="1:12">
      <c r="A85" s="23" t="str">
        <f t="shared" si="16"/>
        <v/>
      </c>
      <c r="B85" s="24" t="str">
        <f t="shared" si="20"/>
        <v/>
      </c>
      <c r="C85" s="44" t="str">
        <f t="shared" si="17"/>
        <v/>
      </c>
      <c r="D85" s="44" t="str">
        <f t="shared" si="11"/>
        <v/>
      </c>
      <c r="E85" s="44" t="str">
        <f t="shared" si="12"/>
        <v/>
      </c>
      <c r="F85" s="44" t="str">
        <f t="shared" si="13"/>
        <v/>
      </c>
      <c r="G85" s="44" t="str">
        <f t="shared" si="14"/>
        <v/>
      </c>
      <c r="H85" s="24" t="str">
        <f t="shared" si="15"/>
        <v/>
      </c>
      <c r="I85" s="24" t="str">
        <f t="shared" si="18"/>
        <v/>
      </c>
      <c r="J85" s="24" t="e">
        <f t="shared" si="19"/>
        <v>#VALUE!</v>
      </c>
      <c r="L85" s="24" t="e">
        <f ca="1">I85+Simulação!G78</f>
        <v>#VALUE!</v>
      </c>
    </row>
    <row r="86" spans="1:12">
      <c r="A86" s="23" t="str">
        <f t="shared" si="16"/>
        <v/>
      </c>
      <c r="B86" s="24" t="str">
        <f t="shared" si="20"/>
        <v/>
      </c>
      <c r="C86" s="44" t="str">
        <f t="shared" si="17"/>
        <v/>
      </c>
      <c r="D86" s="44" t="str">
        <f t="shared" si="11"/>
        <v/>
      </c>
      <c r="E86" s="44" t="str">
        <f t="shared" si="12"/>
        <v/>
      </c>
      <c r="F86" s="44" t="str">
        <f t="shared" si="13"/>
        <v/>
      </c>
      <c r="G86" s="44" t="str">
        <f t="shared" si="14"/>
        <v/>
      </c>
      <c r="H86" s="24" t="str">
        <f t="shared" si="15"/>
        <v/>
      </c>
      <c r="I86" s="24" t="str">
        <f t="shared" si="18"/>
        <v/>
      </c>
      <c r="J86" s="24" t="e">
        <f t="shared" si="19"/>
        <v>#VALUE!</v>
      </c>
      <c r="L86" s="24" t="e">
        <f ca="1">I86+Simulação!G79</f>
        <v>#VALUE!</v>
      </c>
    </row>
    <row r="87" spans="1:12">
      <c r="A87" s="23" t="str">
        <f t="shared" si="16"/>
        <v/>
      </c>
      <c r="B87" s="24" t="str">
        <f t="shared" si="20"/>
        <v/>
      </c>
      <c r="C87" s="44" t="str">
        <f t="shared" si="17"/>
        <v/>
      </c>
      <c r="D87" s="44" t="str">
        <f t="shared" si="11"/>
        <v/>
      </c>
      <c r="E87" s="44" t="str">
        <f t="shared" si="12"/>
        <v/>
      </c>
      <c r="F87" s="44" t="str">
        <f t="shared" si="13"/>
        <v/>
      </c>
      <c r="G87" s="44" t="str">
        <f t="shared" si="14"/>
        <v/>
      </c>
      <c r="H87" s="24" t="str">
        <f t="shared" si="15"/>
        <v/>
      </c>
      <c r="I87" s="24" t="str">
        <f t="shared" si="18"/>
        <v/>
      </c>
      <c r="J87" s="24" t="e">
        <f t="shared" si="19"/>
        <v>#VALUE!</v>
      </c>
    </row>
    <row r="88" spans="1:12">
      <c r="A88" s="23" t="str">
        <f t="shared" si="16"/>
        <v/>
      </c>
      <c r="B88" s="24" t="str">
        <f t="shared" si="20"/>
        <v/>
      </c>
      <c r="C88" s="44" t="str">
        <f t="shared" si="17"/>
        <v/>
      </c>
      <c r="D88" s="44" t="str">
        <f t="shared" si="11"/>
        <v/>
      </c>
      <c r="E88" s="44" t="str">
        <f t="shared" si="12"/>
        <v/>
      </c>
      <c r="F88" s="44" t="str">
        <f t="shared" si="13"/>
        <v/>
      </c>
      <c r="G88" s="44" t="str">
        <f t="shared" si="14"/>
        <v/>
      </c>
      <c r="H88" s="24" t="str">
        <f t="shared" si="15"/>
        <v/>
      </c>
      <c r="I88" s="24" t="str">
        <f t="shared" si="18"/>
        <v/>
      </c>
      <c r="J88" s="24" t="e">
        <f t="shared" si="19"/>
        <v>#VALUE!</v>
      </c>
    </row>
    <row r="89" spans="1:12">
      <c r="A89" s="23" t="str">
        <f t="shared" si="16"/>
        <v/>
      </c>
      <c r="B89" s="24" t="str">
        <f t="shared" si="20"/>
        <v/>
      </c>
      <c r="C89" s="44" t="str">
        <f t="shared" si="17"/>
        <v/>
      </c>
      <c r="D89" s="44" t="str">
        <f t="shared" si="11"/>
        <v/>
      </c>
      <c r="E89" s="44" t="str">
        <f t="shared" si="12"/>
        <v/>
      </c>
      <c r="F89" s="44" t="str">
        <f t="shared" si="13"/>
        <v/>
      </c>
      <c r="G89" s="44" t="str">
        <f t="shared" si="14"/>
        <v/>
      </c>
      <c r="H89" s="24" t="str">
        <f t="shared" si="15"/>
        <v/>
      </c>
      <c r="I89" s="24" t="str">
        <f t="shared" si="18"/>
        <v/>
      </c>
      <c r="J89" s="24" t="e">
        <f t="shared" si="19"/>
        <v>#VALUE!</v>
      </c>
    </row>
    <row r="90" spans="1:12">
      <c r="A90" s="23" t="str">
        <f t="shared" si="16"/>
        <v/>
      </c>
      <c r="B90" s="24" t="str">
        <f t="shared" si="20"/>
        <v/>
      </c>
      <c r="C90" s="44" t="str">
        <f t="shared" si="17"/>
        <v/>
      </c>
      <c r="D90" s="44" t="str">
        <f t="shared" si="11"/>
        <v/>
      </c>
      <c r="E90" s="44" t="str">
        <f t="shared" si="12"/>
        <v/>
      </c>
      <c r="F90" s="44" t="str">
        <f t="shared" si="13"/>
        <v/>
      </c>
      <c r="G90" s="44" t="str">
        <f t="shared" si="14"/>
        <v/>
      </c>
      <c r="H90" s="24" t="str">
        <f t="shared" si="15"/>
        <v/>
      </c>
      <c r="I90" s="24" t="str">
        <f t="shared" si="18"/>
        <v/>
      </c>
      <c r="J90" s="24" t="e">
        <f t="shared" si="19"/>
        <v>#VALUE!</v>
      </c>
    </row>
    <row r="91" spans="1:12">
      <c r="A91" s="23" t="str">
        <f t="shared" si="16"/>
        <v/>
      </c>
      <c r="B91" s="24" t="str">
        <f t="shared" si="20"/>
        <v/>
      </c>
      <c r="C91" s="44" t="str">
        <f t="shared" si="17"/>
        <v/>
      </c>
      <c r="D91" s="44" t="str">
        <f t="shared" si="11"/>
        <v/>
      </c>
      <c r="E91" s="44" t="str">
        <f t="shared" si="12"/>
        <v/>
      </c>
      <c r="F91" s="44" t="str">
        <f t="shared" si="13"/>
        <v/>
      </c>
      <c r="G91" s="44" t="str">
        <f t="shared" si="14"/>
        <v/>
      </c>
      <c r="H91" s="24" t="str">
        <f t="shared" si="15"/>
        <v/>
      </c>
      <c r="I91" s="24" t="str">
        <f t="shared" si="18"/>
        <v/>
      </c>
      <c r="J91" s="24" t="e">
        <f t="shared" si="19"/>
        <v>#VALUE!</v>
      </c>
    </row>
    <row r="92" spans="1:12">
      <c r="A92" s="23" t="str">
        <f t="shared" si="16"/>
        <v/>
      </c>
      <c r="B92" s="24" t="str">
        <f t="shared" si="20"/>
        <v/>
      </c>
      <c r="C92" s="44" t="str">
        <f t="shared" si="17"/>
        <v/>
      </c>
      <c r="D92" s="44" t="str">
        <f t="shared" si="11"/>
        <v/>
      </c>
      <c r="E92" s="44" t="str">
        <f t="shared" si="12"/>
        <v/>
      </c>
      <c r="F92" s="44" t="str">
        <f t="shared" si="13"/>
        <v/>
      </c>
      <c r="G92" s="44" t="str">
        <f t="shared" si="14"/>
        <v/>
      </c>
      <c r="H92" s="24" t="str">
        <f t="shared" si="15"/>
        <v/>
      </c>
      <c r="I92" s="24" t="str">
        <f t="shared" si="18"/>
        <v/>
      </c>
      <c r="J92" s="24" t="e">
        <f t="shared" si="19"/>
        <v>#VALUE!</v>
      </c>
    </row>
    <row r="93" spans="1:12">
      <c r="A93" s="23" t="str">
        <f t="shared" si="16"/>
        <v/>
      </c>
      <c r="B93" s="24" t="str">
        <f t="shared" si="20"/>
        <v/>
      </c>
      <c r="C93" s="44" t="str">
        <f t="shared" si="17"/>
        <v/>
      </c>
      <c r="D93" s="44" t="str">
        <f t="shared" si="11"/>
        <v/>
      </c>
      <c r="E93" s="44" t="str">
        <f t="shared" si="12"/>
        <v/>
      </c>
      <c r="F93" s="44" t="str">
        <f t="shared" si="13"/>
        <v/>
      </c>
      <c r="G93" s="44" t="str">
        <f t="shared" si="14"/>
        <v/>
      </c>
      <c r="H93" s="24" t="str">
        <f t="shared" si="15"/>
        <v/>
      </c>
      <c r="I93" s="24" t="str">
        <f t="shared" si="18"/>
        <v/>
      </c>
      <c r="J93" s="24" t="e">
        <f t="shared" si="19"/>
        <v>#VALUE!</v>
      </c>
    </row>
    <row r="94" spans="1:12">
      <c r="A94" s="23" t="str">
        <f t="shared" si="16"/>
        <v/>
      </c>
      <c r="B94" s="24" t="str">
        <f t="shared" si="20"/>
        <v/>
      </c>
      <c r="C94" s="44" t="str">
        <f t="shared" si="17"/>
        <v/>
      </c>
      <c r="D94" s="44" t="str">
        <f t="shared" si="11"/>
        <v/>
      </c>
      <c r="E94" s="44" t="str">
        <f t="shared" si="12"/>
        <v/>
      </c>
      <c r="F94" s="44" t="str">
        <f t="shared" si="13"/>
        <v/>
      </c>
      <c r="G94" s="44" t="str">
        <f t="shared" si="14"/>
        <v/>
      </c>
      <c r="H94" s="24" t="str">
        <f t="shared" si="15"/>
        <v/>
      </c>
      <c r="I94" s="24" t="str">
        <f t="shared" si="18"/>
        <v/>
      </c>
      <c r="J94" s="24" t="e">
        <f t="shared" si="19"/>
        <v>#VALUE!</v>
      </c>
    </row>
    <row r="95" spans="1:12">
      <c r="A95" s="23" t="str">
        <f t="shared" si="16"/>
        <v/>
      </c>
      <c r="B95" s="24" t="str">
        <f t="shared" si="20"/>
        <v/>
      </c>
      <c r="C95" s="44" t="str">
        <f t="shared" si="17"/>
        <v/>
      </c>
      <c r="D95" s="44" t="str">
        <f t="shared" si="11"/>
        <v/>
      </c>
      <c r="E95" s="44" t="str">
        <f t="shared" si="12"/>
        <v/>
      </c>
      <c r="F95" s="44" t="str">
        <f t="shared" si="13"/>
        <v/>
      </c>
      <c r="G95" s="44" t="str">
        <f t="shared" si="14"/>
        <v/>
      </c>
      <c r="H95" s="24" t="str">
        <f t="shared" si="15"/>
        <v/>
      </c>
      <c r="I95" s="24" t="str">
        <f t="shared" si="18"/>
        <v/>
      </c>
      <c r="J95" s="24" t="e">
        <f t="shared" si="19"/>
        <v>#VALUE!</v>
      </c>
    </row>
    <row r="96" spans="1:12">
      <c r="A96" s="23" t="str">
        <f t="shared" si="16"/>
        <v/>
      </c>
      <c r="B96" s="24" t="str">
        <f t="shared" si="20"/>
        <v/>
      </c>
      <c r="C96" s="44" t="str">
        <f t="shared" si="17"/>
        <v/>
      </c>
      <c r="D96" s="44" t="str">
        <f t="shared" si="11"/>
        <v/>
      </c>
      <c r="E96" s="44" t="str">
        <f t="shared" si="12"/>
        <v/>
      </c>
      <c r="F96" s="44" t="str">
        <f t="shared" si="13"/>
        <v/>
      </c>
      <c r="G96" s="44" t="str">
        <f t="shared" si="14"/>
        <v/>
      </c>
      <c r="H96" s="24" t="str">
        <f t="shared" si="15"/>
        <v/>
      </c>
      <c r="I96" s="24" t="str">
        <f t="shared" si="18"/>
        <v/>
      </c>
      <c r="J96" s="24" t="e">
        <f t="shared" si="19"/>
        <v>#VALUE!</v>
      </c>
    </row>
    <row r="97" spans="1:10">
      <c r="A97" s="23" t="str">
        <f t="shared" si="16"/>
        <v/>
      </c>
      <c r="B97" s="24" t="str">
        <f t="shared" si="20"/>
        <v/>
      </c>
      <c r="C97" s="44" t="str">
        <f t="shared" si="17"/>
        <v/>
      </c>
      <c r="D97" s="44" t="str">
        <f t="shared" si="11"/>
        <v/>
      </c>
      <c r="E97" s="44" t="str">
        <f t="shared" si="12"/>
        <v/>
      </c>
      <c r="F97" s="44" t="str">
        <f t="shared" si="13"/>
        <v/>
      </c>
      <c r="G97" s="44" t="str">
        <f t="shared" si="14"/>
        <v/>
      </c>
      <c r="H97" s="24" t="str">
        <f t="shared" si="15"/>
        <v/>
      </c>
      <c r="I97" s="24" t="str">
        <f t="shared" si="18"/>
        <v/>
      </c>
      <c r="J97" s="24" t="e">
        <f t="shared" si="19"/>
        <v>#VALUE!</v>
      </c>
    </row>
    <row r="98" spans="1:10">
      <c r="A98" s="23" t="str">
        <f t="shared" si="16"/>
        <v/>
      </c>
      <c r="B98" s="24" t="str">
        <f t="shared" si="20"/>
        <v/>
      </c>
      <c r="C98" s="44" t="str">
        <f t="shared" si="17"/>
        <v/>
      </c>
      <c r="D98" s="44" t="str">
        <f t="shared" si="11"/>
        <v/>
      </c>
      <c r="E98" s="44" t="str">
        <f t="shared" si="12"/>
        <v/>
      </c>
      <c r="F98" s="44" t="str">
        <f t="shared" si="13"/>
        <v/>
      </c>
      <c r="G98" s="44" t="str">
        <f t="shared" si="14"/>
        <v/>
      </c>
      <c r="H98" s="24" t="str">
        <f t="shared" si="15"/>
        <v/>
      </c>
      <c r="I98" s="24" t="str">
        <f t="shared" si="18"/>
        <v/>
      </c>
      <c r="J98" s="24" t="e">
        <f t="shared" si="19"/>
        <v>#VALUE!</v>
      </c>
    </row>
    <row r="99" spans="1:10">
      <c r="A99" s="23" t="str">
        <f t="shared" si="16"/>
        <v/>
      </c>
      <c r="B99" s="24" t="str">
        <f t="shared" si="20"/>
        <v/>
      </c>
      <c r="C99" s="44" t="str">
        <f t="shared" si="17"/>
        <v/>
      </c>
      <c r="D99" s="44" t="str">
        <f t="shared" si="11"/>
        <v/>
      </c>
      <c r="E99" s="44" t="str">
        <f t="shared" si="12"/>
        <v/>
      </c>
      <c r="F99" s="44" t="str">
        <f t="shared" si="13"/>
        <v/>
      </c>
      <c r="G99" s="44" t="str">
        <f t="shared" si="14"/>
        <v/>
      </c>
      <c r="H99" s="24" t="str">
        <f t="shared" si="15"/>
        <v/>
      </c>
      <c r="I99" s="24" t="str">
        <f t="shared" si="18"/>
        <v/>
      </c>
      <c r="J99" s="24" t="e">
        <f t="shared" si="19"/>
        <v>#VALUE!</v>
      </c>
    </row>
    <row r="100" spans="1:10">
      <c r="A100" s="23" t="str">
        <f t="shared" si="16"/>
        <v/>
      </c>
      <c r="B100" s="24" t="str">
        <f t="shared" si="20"/>
        <v/>
      </c>
      <c r="C100" s="44" t="str">
        <f t="shared" si="17"/>
        <v/>
      </c>
      <c r="D100" s="44" t="str">
        <f t="shared" si="11"/>
        <v/>
      </c>
      <c r="E100" s="44" t="str">
        <f t="shared" si="12"/>
        <v/>
      </c>
      <c r="F100" s="44" t="str">
        <f t="shared" si="13"/>
        <v/>
      </c>
      <c r="G100" s="44" t="str">
        <f t="shared" si="14"/>
        <v/>
      </c>
      <c r="H100" s="24" t="str">
        <f t="shared" si="15"/>
        <v/>
      </c>
      <c r="I100" s="24" t="str">
        <f t="shared" si="18"/>
        <v/>
      </c>
      <c r="J100" s="24" t="e">
        <f t="shared" si="19"/>
        <v>#VALUE!</v>
      </c>
    </row>
    <row r="101" spans="1:10">
      <c r="A101" s="23" t="str">
        <f t="shared" si="16"/>
        <v/>
      </c>
      <c r="B101" s="24" t="str">
        <f t="shared" si="20"/>
        <v/>
      </c>
      <c r="C101" s="44" t="str">
        <f t="shared" si="17"/>
        <v/>
      </c>
      <c r="D101" s="44" t="str">
        <f t="shared" si="11"/>
        <v/>
      </c>
      <c r="E101" s="44" t="str">
        <f t="shared" si="12"/>
        <v/>
      </c>
      <c r="F101" s="44" t="str">
        <f t="shared" si="13"/>
        <v/>
      </c>
      <c r="G101" s="44" t="str">
        <f t="shared" si="14"/>
        <v/>
      </c>
      <c r="H101" s="24" t="str">
        <f t="shared" si="15"/>
        <v/>
      </c>
      <c r="I101" s="24" t="str">
        <f t="shared" si="18"/>
        <v/>
      </c>
      <c r="J101" s="24" t="e">
        <f t="shared" si="19"/>
        <v>#VALUE!</v>
      </c>
    </row>
    <row r="102" spans="1:10">
      <c r="A102" s="23" t="str">
        <f t="shared" si="16"/>
        <v/>
      </c>
      <c r="B102" s="24" t="str">
        <f t="shared" si="20"/>
        <v/>
      </c>
      <c r="C102" s="44" t="str">
        <f t="shared" si="17"/>
        <v/>
      </c>
      <c r="D102" s="44" t="str">
        <f t="shared" si="11"/>
        <v/>
      </c>
      <c r="E102" s="44" t="str">
        <f t="shared" si="12"/>
        <v/>
      </c>
      <c r="F102" s="44" t="str">
        <f t="shared" si="13"/>
        <v/>
      </c>
      <c r="G102" s="44" t="str">
        <f t="shared" si="14"/>
        <v/>
      </c>
      <c r="H102" s="24" t="str">
        <f t="shared" si="15"/>
        <v/>
      </c>
      <c r="I102" s="24" t="str">
        <f t="shared" si="18"/>
        <v/>
      </c>
      <c r="J102" s="24" t="e">
        <f t="shared" si="19"/>
        <v>#VALUE!</v>
      </c>
    </row>
    <row r="103" spans="1:10">
      <c r="A103" s="23" t="str">
        <f t="shared" si="16"/>
        <v/>
      </c>
      <c r="B103" s="24" t="str">
        <f t="shared" si="20"/>
        <v/>
      </c>
      <c r="C103" s="44" t="str">
        <f t="shared" si="17"/>
        <v/>
      </c>
      <c r="D103" s="44" t="str">
        <f t="shared" si="11"/>
        <v/>
      </c>
      <c r="E103" s="44" t="str">
        <f t="shared" si="12"/>
        <v/>
      </c>
      <c r="F103" s="44" t="str">
        <f t="shared" si="13"/>
        <v/>
      </c>
      <c r="G103" s="44" t="str">
        <f t="shared" si="14"/>
        <v/>
      </c>
      <c r="H103" s="24" t="str">
        <f t="shared" si="15"/>
        <v/>
      </c>
      <c r="I103" s="24" t="str">
        <f t="shared" si="18"/>
        <v/>
      </c>
      <c r="J103" s="24" t="e">
        <f t="shared" si="19"/>
        <v>#VALUE!</v>
      </c>
    </row>
    <row r="104" spans="1:10">
      <c r="A104" s="23" t="str">
        <f t="shared" si="16"/>
        <v/>
      </c>
      <c r="B104" s="24" t="str">
        <f t="shared" si="20"/>
        <v/>
      </c>
      <c r="C104" s="44" t="str">
        <f t="shared" si="17"/>
        <v/>
      </c>
      <c r="D104" s="44" t="str">
        <f t="shared" si="11"/>
        <v/>
      </c>
      <c r="E104" s="44" t="str">
        <f t="shared" si="12"/>
        <v/>
      </c>
      <c r="F104" s="44" t="str">
        <f t="shared" si="13"/>
        <v/>
      </c>
      <c r="G104" s="44" t="str">
        <f t="shared" si="14"/>
        <v/>
      </c>
      <c r="H104" s="24" t="str">
        <f t="shared" si="15"/>
        <v/>
      </c>
      <c r="I104" s="24" t="str">
        <f t="shared" si="18"/>
        <v/>
      </c>
      <c r="J104" s="24" t="e">
        <f t="shared" si="19"/>
        <v>#VALUE!</v>
      </c>
    </row>
    <row r="105" spans="1:10">
      <c r="A105" s="23" t="str">
        <f t="shared" si="16"/>
        <v/>
      </c>
      <c r="B105" s="24" t="str">
        <f t="shared" si="20"/>
        <v/>
      </c>
      <c r="C105" s="44" t="str">
        <f t="shared" si="17"/>
        <v/>
      </c>
      <c r="D105" s="44" t="str">
        <f t="shared" si="11"/>
        <v/>
      </c>
      <c r="E105" s="44" t="str">
        <f t="shared" si="12"/>
        <v/>
      </c>
      <c r="F105" s="44" t="str">
        <f t="shared" si="13"/>
        <v/>
      </c>
      <c r="G105" s="44" t="str">
        <f t="shared" si="14"/>
        <v/>
      </c>
      <c r="H105" s="24" t="str">
        <f t="shared" si="15"/>
        <v/>
      </c>
      <c r="I105" s="24" t="str">
        <f t="shared" si="18"/>
        <v/>
      </c>
      <c r="J105" s="24" t="e">
        <f t="shared" si="19"/>
        <v>#VALUE!</v>
      </c>
    </row>
    <row r="106" spans="1:10">
      <c r="A106" s="23" t="str">
        <f t="shared" si="16"/>
        <v/>
      </c>
      <c r="B106" s="24" t="str">
        <f t="shared" si="20"/>
        <v/>
      </c>
      <c r="C106" s="44" t="str">
        <f t="shared" si="17"/>
        <v/>
      </c>
      <c r="D106" s="44" t="str">
        <f t="shared" si="11"/>
        <v/>
      </c>
      <c r="E106" s="44" t="str">
        <f t="shared" si="12"/>
        <v/>
      </c>
      <c r="F106" s="44" t="str">
        <f t="shared" si="13"/>
        <v/>
      </c>
      <c r="G106" s="44" t="str">
        <f t="shared" si="14"/>
        <v/>
      </c>
      <c r="H106" s="24" t="str">
        <f t="shared" si="15"/>
        <v/>
      </c>
      <c r="I106" s="24" t="str">
        <f t="shared" si="18"/>
        <v/>
      </c>
      <c r="J106" s="24" t="e">
        <f t="shared" si="19"/>
        <v>#VALUE!</v>
      </c>
    </row>
    <row r="107" spans="1:10">
      <c r="A107" s="23" t="str">
        <f t="shared" si="16"/>
        <v/>
      </c>
      <c r="B107" s="24" t="str">
        <f t="shared" si="20"/>
        <v/>
      </c>
      <c r="C107" s="44" t="str">
        <f t="shared" si="17"/>
        <v/>
      </c>
      <c r="D107" s="44" t="str">
        <f t="shared" si="11"/>
        <v/>
      </c>
      <c r="E107" s="44" t="str">
        <f t="shared" si="12"/>
        <v/>
      </c>
      <c r="F107" s="44" t="str">
        <f t="shared" si="13"/>
        <v/>
      </c>
      <c r="G107" s="44" t="str">
        <f t="shared" si="14"/>
        <v/>
      </c>
      <c r="H107" s="24" t="str">
        <f t="shared" si="15"/>
        <v/>
      </c>
      <c r="I107" s="24" t="str">
        <f t="shared" si="18"/>
        <v/>
      </c>
      <c r="J107" s="24" t="e">
        <f t="shared" si="19"/>
        <v>#VALUE!</v>
      </c>
    </row>
    <row r="108" spans="1:10">
      <c r="A108" s="23" t="str">
        <f t="shared" si="16"/>
        <v/>
      </c>
      <c r="B108" s="24" t="str">
        <f t="shared" si="20"/>
        <v/>
      </c>
      <c r="C108" s="44" t="str">
        <f t="shared" si="17"/>
        <v/>
      </c>
      <c r="D108" s="44" t="str">
        <f t="shared" si="11"/>
        <v/>
      </c>
      <c r="E108" s="44" t="str">
        <f t="shared" si="12"/>
        <v/>
      </c>
      <c r="F108" s="44" t="str">
        <f t="shared" si="13"/>
        <v/>
      </c>
      <c r="G108" s="44" t="str">
        <f t="shared" si="14"/>
        <v/>
      </c>
      <c r="H108" s="24" t="str">
        <f t="shared" si="15"/>
        <v/>
      </c>
      <c r="I108" s="24" t="str">
        <f t="shared" si="18"/>
        <v/>
      </c>
      <c r="J108" s="24" t="e">
        <f t="shared" si="19"/>
        <v>#VALUE!</v>
      </c>
    </row>
    <row r="109" spans="1:10">
      <c r="A109" s="23" t="str">
        <f t="shared" si="16"/>
        <v/>
      </c>
      <c r="B109" s="24" t="str">
        <f t="shared" si="20"/>
        <v/>
      </c>
      <c r="C109" s="44" t="str">
        <f t="shared" si="17"/>
        <v/>
      </c>
      <c r="D109" s="44" t="str">
        <f t="shared" si="11"/>
        <v/>
      </c>
      <c r="E109" s="44" t="str">
        <f t="shared" si="12"/>
        <v/>
      </c>
      <c r="F109" s="44" t="str">
        <f t="shared" si="13"/>
        <v/>
      </c>
      <c r="G109" s="44" t="str">
        <f t="shared" si="14"/>
        <v/>
      </c>
      <c r="H109" s="24" t="str">
        <f t="shared" si="15"/>
        <v/>
      </c>
      <c r="I109" s="24" t="str">
        <f t="shared" si="18"/>
        <v/>
      </c>
      <c r="J109" s="24" t="e">
        <f t="shared" si="19"/>
        <v>#VALUE!</v>
      </c>
    </row>
    <row r="110" spans="1:10">
      <c r="A110" s="23" t="str">
        <f t="shared" si="16"/>
        <v/>
      </c>
      <c r="B110" s="24" t="str">
        <f t="shared" si="20"/>
        <v/>
      </c>
      <c r="C110" s="44" t="str">
        <f t="shared" si="17"/>
        <v/>
      </c>
      <c r="D110" s="44" t="str">
        <f t="shared" si="11"/>
        <v/>
      </c>
      <c r="E110" s="44" t="str">
        <f t="shared" si="12"/>
        <v/>
      </c>
      <c r="F110" s="44" t="str">
        <f t="shared" si="13"/>
        <v/>
      </c>
      <c r="G110" s="44" t="str">
        <f t="shared" si="14"/>
        <v/>
      </c>
      <c r="H110" s="24" t="str">
        <f t="shared" si="15"/>
        <v/>
      </c>
      <c r="I110" s="24" t="str">
        <f t="shared" si="18"/>
        <v/>
      </c>
      <c r="J110" s="24" t="e">
        <f t="shared" si="19"/>
        <v>#VALUE!</v>
      </c>
    </row>
    <row r="111" spans="1:10">
      <c r="A111" s="23" t="str">
        <f t="shared" si="16"/>
        <v/>
      </c>
      <c r="B111" s="24" t="str">
        <f t="shared" si="20"/>
        <v/>
      </c>
      <c r="C111" s="44" t="str">
        <f t="shared" si="17"/>
        <v/>
      </c>
      <c r="D111" s="44" t="str">
        <f t="shared" si="11"/>
        <v/>
      </c>
      <c r="E111" s="44" t="str">
        <f t="shared" si="12"/>
        <v/>
      </c>
      <c r="F111" s="44" t="str">
        <f t="shared" si="13"/>
        <v/>
      </c>
      <c r="G111" s="44" t="str">
        <f t="shared" si="14"/>
        <v/>
      </c>
      <c r="H111" s="24" t="str">
        <f t="shared" si="15"/>
        <v/>
      </c>
      <c r="I111" s="24" t="str">
        <f t="shared" si="18"/>
        <v/>
      </c>
      <c r="J111" s="24" t="e">
        <f t="shared" si="19"/>
        <v>#VALUE!</v>
      </c>
    </row>
    <row r="112" spans="1:10">
      <c r="A112" s="23" t="str">
        <f t="shared" si="16"/>
        <v/>
      </c>
      <c r="B112" s="24" t="str">
        <f t="shared" si="20"/>
        <v/>
      </c>
      <c r="C112" s="44" t="str">
        <f t="shared" si="17"/>
        <v/>
      </c>
      <c r="D112" s="44" t="str">
        <f t="shared" si="11"/>
        <v/>
      </c>
      <c r="E112" s="44" t="str">
        <f t="shared" si="12"/>
        <v/>
      </c>
      <c r="F112" s="44" t="str">
        <f t="shared" si="13"/>
        <v/>
      </c>
      <c r="G112" s="44" t="str">
        <f t="shared" si="14"/>
        <v/>
      </c>
      <c r="H112" s="24" t="str">
        <f t="shared" si="15"/>
        <v/>
      </c>
      <c r="I112" s="24" t="str">
        <f t="shared" si="18"/>
        <v/>
      </c>
      <c r="J112" s="24" t="e">
        <f t="shared" si="19"/>
        <v>#VALUE!</v>
      </c>
    </row>
    <row r="113" spans="1:10">
      <c r="A113" s="23" t="str">
        <f t="shared" si="16"/>
        <v/>
      </c>
      <c r="B113" s="24" t="str">
        <f t="shared" si="20"/>
        <v/>
      </c>
      <c r="C113" s="44" t="str">
        <f t="shared" si="17"/>
        <v/>
      </c>
      <c r="D113" s="44" t="str">
        <f t="shared" si="11"/>
        <v/>
      </c>
      <c r="E113" s="44" t="str">
        <f t="shared" si="12"/>
        <v/>
      </c>
      <c r="F113" s="44" t="str">
        <f t="shared" si="13"/>
        <v/>
      </c>
      <c r="G113" s="44" t="str">
        <f t="shared" si="14"/>
        <v/>
      </c>
      <c r="H113" s="24" t="str">
        <f t="shared" si="15"/>
        <v/>
      </c>
      <c r="I113" s="24" t="str">
        <f t="shared" si="18"/>
        <v/>
      </c>
      <c r="J113" s="24" t="e">
        <f t="shared" si="19"/>
        <v>#VALUE!</v>
      </c>
    </row>
    <row r="114" spans="1:10">
      <c r="A114" s="23" t="str">
        <f t="shared" si="16"/>
        <v/>
      </c>
      <c r="B114" s="24" t="str">
        <f t="shared" si="20"/>
        <v/>
      </c>
      <c r="C114" s="44" t="str">
        <f t="shared" si="17"/>
        <v/>
      </c>
      <c r="D114" s="44" t="str">
        <f t="shared" si="11"/>
        <v/>
      </c>
      <c r="E114" s="44" t="str">
        <f t="shared" si="12"/>
        <v/>
      </c>
      <c r="F114" s="44" t="str">
        <f t="shared" si="13"/>
        <v/>
      </c>
      <c r="G114" s="44" t="str">
        <f t="shared" si="14"/>
        <v/>
      </c>
      <c r="H114" s="24" t="str">
        <f t="shared" si="15"/>
        <v/>
      </c>
      <c r="I114" s="24" t="str">
        <f t="shared" si="18"/>
        <v/>
      </c>
      <c r="J114" s="24" t="e">
        <f t="shared" si="19"/>
        <v>#VALUE!</v>
      </c>
    </row>
    <row r="115" spans="1:10">
      <c r="A115" s="23" t="str">
        <f t="shared" si="16"/>
        <v/>
      </c>
      <c r="B115" s="24" t="str">
        <f t="shared" si="20"/>
        <v/>
      </c>
      <c r="C115" s="44" t="str">
        <f t="shared" si="17"/>
        <v/>
      </c>
      <c r="D115" s="44" t="str">
        <f t="shared" si="11"/>
        <v/>
      </c>
      <c r="E115" s="44" t="str">
        <f t="shared" si="12"/>
        <v/>
      </c>
      <c r="F115" s="44" t="str">
        <f t="shared" si="13"/>
        <v/>
      </c>
      <c r="G115" s="44" t="str">
        <f t="shared" si="14"/>
        <v/>
      </c>
      <c r="H115" s="24" t="str">
        <f t="shared" si="15"/>
        <v/>
      </c>
      <c r="I115" s="24" t="str">
        <f t="shared" si="18"/>
        <v/>
      </c>
      <c r="J115" s="24" t="e">
        <f t="shared" si="19"/>
        <v>#VALUE!</v>
      </c>
    </row>
    <row r="116" spans="1:10">
      <c r="A116" s="23" t="str">
        <f t="shared" si="16"/>
        <v/>
      </c>
      <c r="B116" s="24" t="str">
        <f t="shared" si="20"/>
        <v/>
      </c>
      <c r="C116" s="44" t="str">
        <f t="shared" si="17"/>
        <v/>
      </c>
      <c r="D116" s="44" t="str">
        <f t="shared" si="11"/>
        <v/>
      </c>
      <c r="E116" s="44" t="str">
        <f t="shared" si="12"/>
        <v/>
      </c>
      <c r="F116" s="44" t="str">
        <f t="shared" si="13"/>
        <v/>
      </c>
      <c r="G116" s="44" t="str">
        <f t="shared" si="14"/>
        <v/>
      </c>
      <c r="H116" s="24" t="str">
        <f t="shared" si="15"/>
        <v/>
      </c>
      <c r="I116" s="24" t="str">
        <f t="shared" si="18"/>
        <v/>
      </c>
      <c r="J116" s="24" t="e">
        <f t="shared" si="19"/>
        <v>#VALUE!</v>
      </c>
    </row>
    <row r="117" spans="1:10">
      <c r="A117" s="23" t="str">
        <f t="shared" si="16"/>
        <v/>
      </c>
      <c r="B117" s="24" t="str">
        <f t="shared" si="20"/>
        <v/>
      </c>
      <c r="C117" s="44" t="str">
        <f t="shared" si="17"/>
        <v/>
      </c>
      <c r="D117" s="44" t="str">
        <f t="shared" si="11"/>
        <v/>
      </c>
      <c r="E117" s="44" t="str">
        <f t="shared" si="12"/>
        <v/>
      </c>
      <c r="F117" s="44" t="str">
        <f t="shared" si="13"/>
        <v/>
      </c>
      <c r="G117" s="44" t="str">
        <f t="shared" si="14"/>
        <v/>
      </c>
      <c r="H117" s="24" t="str">
        <f t="shared" si="15"/>
        <v/>
      </c>
      <c r="I117" s="24" t="str">
        <f t="shared" si="18"/>
        <v/>
      </c>
      <c r="J117" s="24" t="e">
        <f t="shared" si="19"/>
        <v>#VALUE!</v>
      </c>
    </row>
    <row r="118" spans="1:10">
      <c r="A118" s="23" t="str">
        <f t="shared" si="16"/>
        <v/>
      </c>
      <c r="B118" s="24" t="str">
        <f t="shared" si="20"/>
        <v/>
      </c>
      <c r="C118" s="44" t="str">
        <f t="shared" si="17"/>
        <v/>
      </c>
      <c r="D118" s="44" t="str">
        <f t="shared" si="11"/>
        <v/>
      </c>
      <c r="E118" s="44" t="str">
        <f t="shared" si="12"/>
        <v/>
      </c>
      <c r="F118" s="44" t="str">
        <f t="shared" si="13"/>
        <v/>
      </c>
      <c r="G118" s="44" t="str">
        <f t="shared" si="14"/>
        <v/>
      </c>
      <c r="H118" s="24" t="str">
        <f t="shared" si="15"/>
        <v/>
      </c>
      <c r="I118" s="24" t="str">
        <f t="shared" si="18"/>
        <v/>
      </c>
      <c r="J118" s="24" t="e">
        <f t="shared" si="19"/>
        <v>#VALUE!</v>
      </c>
    </row>
    <row r="119" spans="1:10">
      <c r="A119" s="23" t="str">
        <f t="shared" si="16"/>
        <v/>
      </c>
      <c r="B119" s="24" t="str">
        <f t="shared" si="20"/>
        <v/>
      </c>
      <c r="C119" s="44" t="str">
        <f t="shared" si="17"/>
        <v/>
      </c>
      <c r="D119" s="44" t="str">
        <f t="shared" si="11"/>
        <v/>
      </c>
      <c r="E119" s="44" t="str">
        <f t="shared" si="12"/>
        <v/>
      </c>
      <c r="F119" s="44" t="str">
        <f t="shared" si="13"/>
        <v/>
      </c>
      <c r="G119" s="44" t="str">
        <f t="shared" si="14"/>
        <v/>
      </c>
      <c r="H119" s="24" t="str">
        <f t="shared" si="15"/>
        <v/>
      </c>
      <c r="I119" s="24" t="str">
        <f t="shared" si="18"/>
        <v/>
      </c>
      <c r="J119" s="24" t="e">
        <f t="shared" si="19"/>
        <v>#VALUE!</v>
      </c>
    </row>
    <row r="120" spans="1:10">
      <c r="A120" s="23" t="str">
        <f t="shared" si="16"/>
        <v/>
      </c>
      <c r="B120" s="24" t="str">
        <f t="shared" si="20"/>
        <v/>
      </c>
      <c r="C120" s="44" t="str">
        <f t="shared" si="17"/>
        <v/>
      </c>
      <c r="D120" s="44" t="str">
        <f t="shared" si="11"/>
        <v/>
      </c>
      <c r="E120" s="44" t="str">
        <f t="shared" si="12"/>
        <v/>
      </c>
      <c r="F120" s="44" t="str">
        <f t="shared" si="13"/>
        <v/>
      </c>
      <c r="G120" s="44" t="str">
        <f t="shared" si="14"/>
        <v/>
      </c>
      <c r="H120" s="24" t="str">
        <f t="shared" si="15"/>
        <v/>
      </c>
      <c r="I120" s="24" t="str">
        <f t="shared" si="18"/>
        <v/>
      </c>
      <c r="J120" s="24" t="e">
        <f t="shared" si="19"/>
        <v>#VALUE!</v>
      </c>
    </row>
    <row r="121" spans="1:10">
      <c r="A121" s="23" t="str">
        <f t="shared" si="16"/>
        <v/>
      </c>
      <c r="B121" s="24" t="str">
        <f t="shared" si="20"/>
        <v/>
      </c>
      <c r="C121" s="44" t="str">
        <f t="shared" si="17"/>
        <v/>
      </c>
      <c r="D121" s="44" t="str">
        <f t="shared" si="11"/>
        <v/>
      </c>
      <c r="E121" s="44" t="str">
        <f t="shared" si="12"/>
        <v/>
      </c>
      <c r="F121" s="44" t="str">
        <f t="shared" si="13"/>
        <v/>
      </c>
      <c r="G121" s="44" t="str">
        <f t="shared" si="14"/>
        <v/>
      </c>
      <c r="H121" s="24" t="str">
        <f t="shared" si="15"/>
        <v/>
      </c>
      <c r="I121" s="24" t="str">
        <f t="shared" si="18"/>
        <v/>
      </c>
      <c r="J121" s="24" t="e">
        <f t="shared" si="19"/>
        <v>#VALUE!</v>
      </c>
    </row>
    <row r="122" spans="1:10">
      <c r="A122" s="23" t="str">
        <f t="shared" si="16"/>
        <v/>
      </c>
      <c r="B122" s="24" t="str">
        <f t="shared" si="20"/>
        <v/>
      </c>
      <c r="C122" s="44" t="str">
        <f t="shared" si="17"/>
        <v/>
      </c>
      <c r="D122" s="44" t="str">
        <f t="shared" si="11"/>
        <v/>
      </c>
      <c r="E122" s="44" t="str">
        <f t="shared" si="12"/>
        <v/>
      </c>
      <c r="F122" s="44" t="str">
        <f t="shared" si="13"/>
        <v/>
      </c>
      <c r="G122" s="44" t="str">
        <f t="shared" si="14"/>
        <v/>
      </c>
      <c r="H122" s="24" t="str">
        <f t="shared" si="15"/>
        <v/>
      </c>
      <c r="I122" s="24" t="str">
        <f t="shared" si="18"/>
        <v/>
      </c>
      <c r="J122" s="24" t="e">
        <f t="shared" si="19"/>
        <v>#VALUE!</v>
      </c>
    </row>
    <row r="123" spans="1:10">
      <c r="A123" s="23" t="str">
        <f t="shared" si="16"/>
        <v/>
      </c>
      <c r="B123" s="24" t="str">
        <f t="shared" si="20"/>
        <v/>
      </c>
      <c r="C123" s="44" t="str">
        <f t="shared" si="17"/>
        <v/>
      </c>
      <c r="D123" s="44" t="str">
        <f t="shared" si="11"/>
        <v/>
      </c>
      <c r="E123" s="44" t="str">
        <f t="shared" si="12"/>
        <v/>
      </c>
      <c r="F123" s="44" t="str">
        <f t="shared" si="13"/>
        <v/>
      </c>
      <c r="G123" s="44" t="str">
        <f t="shared" si="14"/>
        <v/>
      </c>
      <c r="H123" s="24" t="str">
        <f t="shared" si="15"/>
        <v/>
      </c>
      <c r="I123" s="24" t="str">
        <f t="shared" si="18"/>
        <v/>
      </c>
      <c r="J123" s="24" t="e">
        <f t="shared" si="19"/>
        <v>#VALUE!</v>
      </c>
    </row>
    <row r="124" spans="1:10">
      <c r="A124" s="23" t="str">
        <f t="shared" si="16"/>
        <v/>
      </c>
      <c r="B124" s="24" t="str">
        <f t="shared" si="20"/>
        <v/>
      </c>
      <c r="C124" s="44" t="str">
        <f t="shared" si="17"/>
        <v/>
      </c>
      <c r="D124" s="44" t="str">
        <f t="shared" si="11"/>
        <v/>
      </c>
      <c r="E124" s="44" t="str">
        <f t="shared" si="12"/>
        <v/>
      </c>
      <c r="F124" s="44" t="str">
        <f t="shared" si="13"/>
        <v/>
      </c>
      <c r="G124" s="44" t="str">
        <f t="shared" si="14"/>
        <v/>
      </c>
      <c r="H124" s="24" t="str">
        <f t="shared" si="15"/>
        <v/>
      </c>
      <c r="I124" s="24" t="str">
        <f t="shared" si="18"/>
        <v/>
      </c>
      <c r="J124" s="24" t="e">
        <f t="shared" si="19"/>
        <v>#VALUE!</v>
      </c>
    </row>
    <row r="125" spans="1:10">
      <c r="A125" s="23" t="str">
        <f t="shared" si="16"/>
        <v/>
      </c>
      <c r="B125" s="24" t="str">
        <f t="shared" si="20"/>
        <v/>
      </c>
      <c r="C125" s="44" t="str">
        <f t="shared" si="17"/>
        <v/>
      </c>
      <c r="D125" s="44" t="str">
        <f t="shared" si="11"/>
        <v/>
      </c>
      <c r="E125" s="44" t="str">
        <f t="shared" si="12"/>
        <v/>
      </c>
      <c r="F125" s="44" t="str">
        <f t="shared" si="13"/>
        <v/>
      </c>
      <c r="G125" s="44" t="str">
        <f t="shared" si="14"/>
        <v/>
      </c>
      <c r="H125" s="24" t="str">
        <f t="shared" si="15"/>
        <v/>
      </c>
      <c r="I125" s="24" t="str">
        <f t="shared" si="18"/>
        <v/>
      </c>
      <c r="J125" s="24" t="e">
        <f t="shared" si="19"/>
        <v>#VALUE!</v>
      </c>
    </row>
    <row r="126" spans="1:10">
      <c r="A126" s="23" t="str">
        <f t="shared" si="16"/>
        <v/>
      </c>
      <c r="B126" s="24" t="str">
        <f t="shared" si="20"/>
        <v/>
      </c>
      <c r="C126" s="44" t="str">
        <f t="shared" si="17"/>
        <v/>
      </c>
      <c r="D126" s="44" t="str">
        <f t="shared" si="11"/>
        <v/>
      </c>
      <c r="E126" s="44" t="str">
        <f t="shared" si="12"/>
        <v/>
      </c>
      <c r="F126" s="44" t="str">
        <f t="shared" si="13"/>
        <v/>
      </c>
      <c r="G126" s="44" t="str">
        <f t="shared" si="14"/>
        <v/>
      </c>
      <c r="H126" s="24" t="str">
        <f t="shared" si="15"/>
        <v/>
      </c>
      <c r="I126" s="24" t="str">
        <f t="shared" si="18"/>
        <v/>
      </c>
      <c r="J126" s="24" t="e">
        <f t="shared" si="19"/>
        <v>#VALUE!</v>
      </c>
    </row>
    <row r="127" spans="1:10">
      <c r="A127" s="23" t="str">
        <f t="shared" si="16"/>
        <v/>
      </c>
      <c r="B127" s="24" t="str">
        <f t="shared" si="20"/>
        <v/>
      </c>
      <c r="C127" s="44" t="str">
        <f t="shared" si="17"/>
        <v/>
      </c>
      <c r="D127" s="44" t="str">
        <f t="shared" si="11"/>
        <v/>
      </c>
      <c r="E127" s="44" t="str">
        <f t="shared" si="12"/>
        <v/>
      </c>
      <c r="F127" s="44" t="str">
        <f t="shared" si="13"/>
        <v/>
      </c>
      <c r="G127" s="44" t="str">
        <f t="shared" si="14"/>
        <v/>
      </c>
      <c r="H127" s="24" t="str">
        <f t="shared" si="15"/>
        <v/>
      </c>
      <c r="I127" s="24" t="str">
        <f t="shared" si="18"/>
        <v/>
      </c>
      <c r="J127" s="24" t="e">
        <f t="shared" si="19"/>
        <v>#VALUE!</v>
      </c>
    </row>
    <row r="128" spans="1:10">
      <c r="A128" s="23" t="str">
        <f t="shared" si="16"/>
        <v/>
      </c>
      <c r="B128" s="24" t="str">
        <f t="shared" si="20"/>
        <v/>
      </c>
      <c r="C128" s="44" t="str">
        <f t="shared" si="17"/>
        <v/>
      </c>
      <c r="D128" s="44" t="str">
        <f t="shared" si="11"/>
        <v/>
      </c>
      <c r="E128" s="44" t="str">
        <f t="shared" si="12"/>
        <v/>
      </c>
      <c r="F128" s="44" t="str">
        <f t="shared" si="13"/>
        <v/>
      </c>
      <c r="G128" s="44" t="str">
        <f t="shared" si="14"/>
        <v/>
      </c>
      <c r="H128" s="24" t="str">
        <f t="shared" si="15"/>
        <v/>
      </c>
      <c r="I128" s="24" t="str">
        <f t="shared" si="18"/>
        <v/>
      </c>
      <c r="J128" s="24" t="e">
        <f t="shared" si="19"/>
        <v>#VALUE!</v>
      </c>
    </row>
    <row r="129" spans="1:10">
      <c r="A129" s="23" t="str">
        <f t="shared" si="16"/>
        <v/>
      </c>
      <c r="B129" s="24" t="str">
        <f t="shared" si="20"/>
        <v/>
      </c>
      <c r="C129" s="44" t="str">
        <f t="shared" si="17"/>
        <v/>
      </c>
      <c r="D129" s="44" t="str">
        <f t="shared" si="11"/>
        <v/>
      </c>
      <c r="E129" s="44" t="str">
        <f t="shared" si="12"/>
        <v/>
      </c>
      <c r="F129" s="44" t="str">
        <f t="shared" si="13"/>
        <v/>
      </c>
      <c r="G129" s="44" t="str">
        <f t="shared" si="14"/>
        <v/>
      </c>
      <c r="H129" s="24" t="str">
        <f t="shared" si="15"/>
        <v/>
      </c>
      <c r="I129" s="24" t="str">
        <f t="shared" si="18"/>
        <v/>
      </c>
      <c r="J129" s="24" t="e">
        <f t="shared" si="19"/>
        <v>#VALUE!</v>
      </c>
    </row>
    <row r="130" spans="1:10">
      <c r="A130" s="23" t="str">
        <f t="shared" si="16"/>
        <v/>
      </c>
      <c r="B130" s="24" t="str">
        <f t="shared" si="20"/>
        <v/>
      </c>
      <c r="C130" s="44" t="str">
        <f t="shared" si="17"/>
        <v/>
      </c>
      <c r="D130" s="44" t="str">
        <f t="shared" si="11"/>
        <v/>
      </c>
      <c r="E130" s="44" t="str">
        <f t="shared" si="12"/>
        <v/>
      </c>
      <c r="F130" s="44" t="str">
        <f t="shared" si="13"/>
        <v/>
      </c>
      <c r="G130" s="44" t="str">
        <f t="shared" si="14"/>
        <v/>
      </c>
      <c r="H130" s="24" t="str">
        <f t="shared" si="15"/>
        <v/>
      </c>
      <c r="I130" s="24" t="str">
        <f t="shared" si="18"/>
        <v/>
      </c>
      <c r="J130" s="24" t="e">
        <f t="shared" si="19"/>
        <v>#VALUE!</v>
      </c>
    </row>
    <row r="131" spans="1:10">
      <c r="A131" s="23" t="str">
        <f t="shared" si="16"/>
        <v/>
      </c>
      <c r="B131" s="24" t="str">
        <f t="shared" si="20"/>
        <v/>
      </c>
      <c r="C131" s="44" t="str">
        <f t="shared" si="17"/>
        <v/>
      </c>
      <c r="D131" s="44" t="str">
        <f t="shared" si="11"/>
        <v/>
      </c>
      <c r="E131" s="44" t="str">
        <f t="shared" si="12"/>
        <v/>
      </c>
      <c r="F131" s="44" t="str">
        <f t="shared" si="13"/>
        <v/>
      </c>
      <c r="G131" s="44" t="str">
        <f t="shared" si="14"/>
        <v/>
      </c>
      <c r="H131" s="24" t="str">
        <f t="shared" si="15"/>
        <v/>
      </c>
      <c r="I131" s="24" t="str">
        <f t="shared" si="18"/>
        <v/>
      </c>
      <c r="J131" s="24" t="e">
        <f t="shared" si="19"/>
        <v>#VALUE!</v>
      </c>
    </row>
    <row r="132" spans="1:10">
      <c r="A132" s="23" t="str">
        <f t="shared" si="16"/>
        <v/>
      </c>
      <c r="B132" s="24" t="str">
        <f t="shared" si="20"/>
        <v/>
      </c>
      <c r="C132" s="44" t="str">
        <f t="shared" si="17"/>
        <v/>
      </c>
      <c r="D132" s="44" t="str">
        <f t="shared" si="11"/>
        <v/>
      </c>
      <c r="E132" s="44" t="str">
        <f t="shared" si="12"/>
        <v/>
      </c>
      <c r="F132" s="44" t="str">
        <f t="shared" si="13"/>
        <v/>
      </c>
      <c r="G132" s="44" t="str">
        <f t="shared" si="14"/>
        <v/>
      </c>
      <c r="H132" s="24" t="str">
        <f t="shared" si="15"/>
        <v/>
      </c>
      <c r="I132" s="24" t="str">
        <f t="shared" si="18"/>
        <v/>
      </c>
      <c r="J132" s="24" t="e">
        <f t="shared" si="19"/>
        <v>#VALUE!</v>
      </c>
    </row>
    <row r="133" spans="1:10">
      <c r="A133" s="23" t="str">
        <f t="shared" si="16"/>
        <v/>
      </c>
      <c r="B133" s="24" t="str">
        <f t="shared" si="20"/>
        <v/>
      </c>
      <c r="C133" s="44" t="str">
        <f t="shared" si="17"/>
        <v/>
      </c>
      <c r="D133" s="44" t="str">
        <f t="shared" si="11"/>
        <v/>
      </c>
      <c r="E133" s="44" t="str">
        <f t="shared" si="12"/>
        <v/>
      </c>
      <c r="F133" s="44" t="str">
        <f t="shared" si="13"/>
        <v/>
      </c>
      <c r="G133" s="44" t="str">
        <f t="shared" si="14"/>
        <v/>
      </c>
      <c r="H133" s="24" t="str">
        <f t="shared" si="15"/>
        <v/>
      </c>
      <c r="I133" s="24" t="str">
        <f t="shared" si="18"/>
        <v/>
      </c>
      <c r="J133" s="24" t="e">
        <f t="shared" si="19"/>
        <v>#VALUE!</v>
      </c>
    </row>
    <row r="134" spans="1:10">
      <c r="A134" s="23" t="str">
        <f t="shared" si="16"/>
        <v/>
      </c>
      <c r="B134" s="24" t="str">
        <f t="shared" si="20"/>
        <v/>
      </c>
      <c r="C134" s="44" t="str">
        <f t="shared" si="17"/>
        <v/>
      </c>
      <c r="D134" s="44" t="str">
        <f t="shared" si="11"/>
        <v/>
      </c>
      <c r="E134" s="44" t="str">
        <f t="shared" si="12"/>
        <v/>
      </c>
      <c r="F134" s="44" t="str">
        <f t="shared" si="13"/>
        <v/>
      </c>
      <c r="G134" s="44" t="str">
        <f t="shared" si="14"/>
        <v/>
      </c>
      <c r="H134" s="24" t="str">
        <f t="shared" si="15"/>
        <v/>
      </c>
      <c r="I134" s="24" t="str">
        <f t="shared" si="18"/>
        <v/>
      </c>
      <c r="J134" s="24" t="e">
        <f t="shared" si="19"/>
        <v>#VALUE!</v>
      </c>
    </row>
    <row r="135" spans="1:10">
      <c r="A135" s="23" t="str">
        <f t="shared" si="16"/>
        <v/>
      </c>
      <c r="B135" s="24" t="str">
        <f t="shared" si="20"/>
        <v/>
      </c>
      <c r="C135" s="44" t="str">
        <f t="shared" si="17"/>
        <v/>
      </c>
      <c r="D135" s="44" t="str">
        <f t="shared" si="11"/>
        <v/>
      </c>
      <c r="E135" s="44" t="str">
        <f t="shared" si="12"/>
        <v/>
      </c>
      <c r="F135" s="44" t="str">
        <f t="shared" si="13"/>
        <v/>
      </c>
      <c r="G135" s="44" t="str">
        <f t="shared" si="14"/>
        <v/>
      </c>
      <c r="H135" s="24" t="str">
        <f t="shared" si="15"/>
        <v/>
      </c>
      <c r="I135" s="24" t="str">
        <f t="shared" si="18"/>
        <v/>
      </c>
      <c r="J135" s="24" t="e">
        <f t="shared" si="19"/>
        <v>#VALUE!</v>
      </c>
    </row>
    <row r="136" spans="1:10">
      <c r="A136" s="23" t="str">
        <f t="shared" si="16"/>
        <v/>
      </c>
      <c r="B136" s="24" t="str">
        <f t="shared" si="20"/>
        <v/>
      </c>
      <c r="C136" s="44" t="str">
        <f t="shared" si="17"/>
        <v/>
      </c>
      <c r="D136" s="44" t="str">
        <f t="shared" si="11"/>
        <v/>
      </c>
      <c r="E136" s="44" t="str">
        <f t="shared" si="12"/>
        <v/>
      </c>
      <c r="F136" s="44" t="str">
        <f t="shared" si="13"/>
        <v/>
      </c>
      <c r="G136" s="44" t="str">
        <f t="shared" si="14"/>
        <v/>
      </c>
      <c r="H136" s="24" t="str">
        <f t="shared" si="15"/>
        <v/>
      </c>
      <c r="I136" s="24" t="str">
        <f t="shared" si="18"/>
        <v/>
      </c>
      <c r="J136" s="24" t="e">
        <f t="shared" si="19"/>
        <v>#VALUE!</v>
      </c>
    </row>
    <row r="137" spans="1:10">
      <c r="A137" s="23" t="str">
        <f t="shared" si="16"/>
        <v/>
      </c>
      <c r="B137" s="24" t="str">
        <f t="shared" si="20"/>
        <v/>
      </c>
      <c r="C137" s="44" t="str">
        <f t="shared" si="17"/>
        <v/>
      </c>
      <c r="D137" s="44" t="str">
        <f t="shared" si="11"/>
        <v/>
      </c>
      <c r="E137" s="44" t="str">
        <f t="shared" si="12"/>
        <v/>
      </c>
      <c r="F137" s="44" t="str">
        <f t="shared" si="13"/>
        <v/>
      </c>
      <c r="G137" s="44" t="str">
        <f t="shared" si="14"/>
        <v/>
      </c>
      <c r="H137" s="24" t="str">
        <f t="shared" si="15"/>
        <v/>
      </c>
      <c r="I137" s="24" t="str">
        <f t="shared" si="18"/>
        <v/>
      </c>
      <c r="J137" s="24" t="e">
        <f t="shared" si="19"/>
        <v>#VALUE!</v>
      </c>
    </row>
    <row r="138" spans="1:10">
      <c r="A138" s="23" t="str">
        <f t="shared" si="16"/>
        <v/>
      </c>
      <c r="B138" s="24" t="str">
        <f t="shared" si="20"/>
        <v/>
      </c>
      <c r="C138" s="44" t="str">
        <f t="shared" si="17"/>
        <v/>
      </c>
      <c r="D138" s="44" t="str">
        <f t="shared" si="11"/>
        <v/>
      </c>
      <c r="E138" s="44" t="str">
        <f t="shared" si="12"/>
        <v/>
      </c>
      <c r="F138" s="44" t="str">
        <f t="shared" si="13"/>
        <v/>
      </c>
      <c r="G138" s="44" t="str">
        <f t="shared" si="14"/>
        <v/>
      </c>
      <c r="H138" s="24" t="str">
        <f t="shared" si="15"/>
        <v/>
      </c>
      <c r="I138" s="24" t="str">
        <f t="shared" si="18"/>
        <v/>
      </c>
      <c r="J138" s="24" t="e">
        <f t="shared" si="19"/>
        <v>#VALUE!</v>
      </c>
    </row>
    <row r="139" spans="1:10">
      <c r="A139" s="23" t="str">
        <f t="shared" si="16"/>
        <v/>
      </c>
      <c r="B139" s="24" t="str">
        <f t="shared" si="20"/>
        <v/>
      </c>
      <c r="C139" s="44" t="str">
        <f t="shared" si="17"/>
        <v/>
      </c>
      <c r="D139" s="44" t="str">
        <f t="shared" si="11"/>
        <v/>
      </c>
      <c r="E139" s="44" t="str">
        <f t="shared" si="12"/>
        <v/>
      </c>
      <c r="F139" s="44" t="str">
        <f t="shared" si="13"/>
        <v/>
      </c>
      <c r="G139" s="44" t="str">
        <f t="shared" si="14"/>
        <v/>
      </c>
      <c r="H139" s="24" t="str">
        <f t="shared" si="15"/>
        <v/>
      </c>
      <c r="I139" s="24" t="str">
        <f t="shared" si="18"/>
        <v/>
      </c>
      <c r="J139" s="24" t="e">
        <f t="shared" si="19"/>
        <v>#VALUE!</v>
      </c>
    </row>
    <row r="140" spans="1:10">
      <c r="A140" s="23" t="str">
        <f t="shared" si="16"/>
        <v/>
      </c>
      <c r="B140" s="24" t="str">
        <f t="shared" si="20"/>
        <v/>
      </c>
      <c r="C140" s="44" t="str">
        <f t="shared" si="17"/>
        <v/>
      </c>
      <c r="D140" s="44" t="str">
        <f t="shared" ref="D140:D203" si="21">IF(A140&lt;=tc,$H$4*A140,IF(A140&lt;=2*tc,Qmax-$H$4*(A140-tc),""))</f>
        <v/>
      </c>
      <c r="E140" s="44" t="str">
        <f t="shared" ref="E140:E203" si="22">IF(A140&lt;=tc_1,$H$5*A140,IF(A140&lt;=tc,Q_max_i,IF(A140&lt;=tc_1+tc,Q_max_i-$H$5*(A140-(tc)),"")))</f>
        <v/>
      </c>
      <c r="F140" s="44" t="str">
        <f t="shared" ref="F140:F203" si="23">IF(A140="","",IF(ISERROR(D140/(Area*10^2)),"",D140/(Area*10^2)))</f>
        <v/>
      </c>
      <c r="G140" s="44" t="str">
        <f t="shared" ref="G140:G203" si="24">IF(A140="","",IF(ISERROR(E140/(Ad_i*10^2)),"",E140/(Ad_i*10^2)))</f>
        <v/>
      </c>
      <c r="H140" s="24" t="str">
        <f t="shared" ref="H140:H203" si="25">IF(G140="","",IF(ISERROR(G140*alot_i/100),"",G140*alot_i/100))</f>
        <v/>
      </c>
      <c r="I140" s="24" t="str">
        <f t="shared" si="18"/>
        <v/>
      </c>
      <c r="J140" s="24" t="e">
        <f t="shared" si="19"/>
        <v>#VALUE!</v>
      </c>
    </row>
    <row r="141" spans="1:10">
      <c r="A141" s="23" t="str">
        <f t="shared" ref="A141:A204" si="26">IF(ISERROR(IF(A140+Passo&lt;=tc+tc,A140+Passo,"")),"",IF(A140+Passo&lt;=tc+tc,A140+Passo,""))</f>
        <v/>
      </c>
      <c r="B141" s="24" t="str">
        <f t="shared" si="20"/>
        <v/>
      </c>
      <c r="C141" s="44" t="str">
        <f t="shared" ref="C141:C204" si="27">IF(ISERROR(IF(A141="","",C140+AVERAGE(B140:B141)*Passo*60/1000)),C140,IF(A141="","",C140+AVERAGE(B140:B141)*Passo*60/1000))</f>
        <v/>
      </c>
      <c r="D141" s="44" t="str">
        <f t="shared" si="21"/>
        <v/>
      </c>
      <c r="E141" s="44" t="str">
        <f t="shared" si="22"/>
        <v/>
      </c>
      <c r="F141" s="44" t="str">
        <f t="shared" si="23"/>
        <v/>
      </c>
      <c r="G141" s="44" t="str">
        <f t="shared" si="24"/>
        <v/>
      </c>
      <c r="H141" s="24" t="str">
        <f t="shared" si="25"/>
        <v/>
      </c>
      <c r="I141" s="24" t="str">
        <f t="shared" ref="I141:I204" si="28">IF(A141="","",IF(ISERROR(E141-H141),0,E141-H141))</f>
        <v/>
      </c>
      <c r="J141" s="24" t="e">
        <f t="shared" ref="J141:J204" si="29">I141+B141</f>
        <v>#VALUE!</v>
      </c>
    </row>
    <row r="142" spans="1:10">
      <c r="A142" s="23" t="str">
        <f t="shared" si="26"/>
        <v/>
      </c>
      <c r="B142" s="24" t="str">
        <f t="shared" ref="B142:B205" si="30">IF(ISERROR(IF(A142&lt;=tc_lot_i,declividade_afluente*A142,IF(A142&lt;=tc,Qmax_lot_i,IF(A142&lt;=tc+tc_lot_i,Qmax_lot_i-declividade_afluente*(A142-tc),"")))),"",IF(A142&lt;=tc_lot_i,declividade_afluente*A142,IF(A142&lt;=tc,Qmax_lot_i,IF(A142&lt;=tc+tc_lot_i,Qmax_lot_i-declividade_afluente*(A142-tc),""))))</f>
        <v/>
      </c>
      <c r="C142" s="44" t="str">
        <f t="shared" si="27"/>
        <v/>
      </c>
      <c r="D142" s="44" t="str">
        <f t="shared" si="21"/>
        <v/>
      </c>
      <c r="E142" s="44" t="str">
        <f t="shared" si="22"/>
        <v/>
      </c>
      <c r="F142" s="44" t="str">
        <f t="shared" si="23"/>
        <v/>
      </c>
      <c r="G142" s="44" t="str">
        <f t="shared" si="24"/>
        <v/>
      </c>
      <c r="H142" s="24" t="str">
        <f t="shared" si="25"/>
        <v/>
      </c>
      <c r="I142" s="24" t="str">
        <f t="shared" si="28"/>
        <v/>
      </c>
      <c r="J142" s="24" t="e">
        <f t="shared" si="29"/>
        <v>#VALUE!</v>
      </c>
    </row>
    <row r="143" spans="1:10">
      <c r="A143" s="23" t="str">
        <f t="shared" si="26"/>
        <v/>
      </c>
      <c r="B143" s="24" t="str">
        <f t="shared" si="30"/>
        <v/>
      </c>
      <c r="C143" s="44" t="str">
        <f t="shared" si="27"/>
        <v/>
      </c>
      <c r="D143" s="44" t="str">
        <f t="shared" si="21"/>
        <v/>
      </c>
      <c r="E143" s="44" t="str">
        <f t="shared" si="22"/>
        <v/>
      </c>
      <c r="F143" s="44" t="str">
        <f t="shared" si="23"/>
        <v/>
      </c>
      <c r="G143" s="44" t="str">
        <f t="shared" si="24"/>
        <v/>
      </c>
      <c r="H143" s="24" t="str">
        <f t="shared" si="25"/>
        <v/>
      </c>
      <c r="I143" s="24" t="str">
        <f t="shared" si="28"/>
        <v/>
      </c>
      <c r="J143" s="24" t="e">
        <f t="shared" si="29"/>
        <v>#VALUE!</v>
      </c>
    </row>
    <row r="144" spans="1:10">
      <c r="A144" s="23" t="str">
        <f t="shared" si="26"/>
        <v/>
      </c>
      <c r="B144" s="24" t="str">
        <f t="shared" si="30"/>
        <v/>
      </c>
      <c r="C144" s="44" t="str">
        <f t="shared" si="27"/>
        <v/>
      </c>
      <c r="D144" s="44" t="str">
        <f t="shared" si="21"/>
        <v/>
      </c>
      <c r="E144" s="44" t="str">
        <f t="shared" si="22"/>
        <v/>
      </c>
      <c r="F144" s="44" t="str">
        <f t="shared" si="23"/>
        <v/>
      </c>
      <c r="G144" s="44" t="str">
        <f t="shared" si="24"/>
        <v/>
      </c>
      <c r="H144" s="24" t="str">
        <f t="shared" si="25"/>
        <v/>
      </c>
      <c r="I144" s="24" t="str">
        <f t="shared" si="28"/>
        <v/>
      </c>
      <c r="J144" s="24" t="e">
        <f t="shared" si="29"/>
        <v>#VALUE!</v>
      </c>
    </row>
    <row r="145" spans="1:10">
      <c r="A145" s="23" t="str">
        <f t="shared" si="26"/>
        <v/>
      </c>
      <c r="B145" s="24" t="str">
        <f t="shared" si="30"/>
        <v/>
      </c>
      <c r="C145" s="44" t="str">
        <f t="shared" si="27"/>
        <v/>
      </c>
      <c r="D145" s="44" t="str">
        <f t="shared" si="21"/>
        <v/>
      </c>
      <c r="E145" s="44" t="str">
        <f t="shared" si="22"/>
        <v/>
      </c>
      <c r="F145" s="44" t="str">
        <f t="shared" si="23"/>
        <v/>
      </c>
      <c r="G145" s="44" t="str">
        <f t="shared" si="24"/>
        <v/>
      </c>
      <c r="H145" s="24" t="str">
        <f t="shared" si="25"/>
        <v/>
      </c>
      <c r="I145" s="24" t="str">
        <f t="shared" si="28"/>
        <v/>
      </c>
      <c r="J145" s="24" t="e">
        <f t="shared" si="29"/>
        <v>#VALUE!</v>
      </c>
    </row>
    <row r="146" spans="1:10">
      <c r="A146" s="23" t="str">
        <f t="shared" si="26"/>
        <v/>
      </c>
      <c r="B146" s="24" t="str">
        <f t="shared" si="30"/>
        <v/>
      </c>
      <c r="C146" s="44" t="str">
        <f t="shared" si="27"/>
        <v/>
      </c>
      <c r="D146" s="44" t="str">
        <f t="shared" si="21"/>
        <v/>
      </c>
      <c r="E146" s="44" t="str">
        <f t="shared" si="22"/>
        <v/>
      </c>
      <c r="F146" s="44" t="str">
        <f t="shared" si="23"/>
        <v/>
      </c>
      <c r="G146" s="44" t="str">
        <f t="shared" si="24"/>
        <v/>
      </c>
      <c r="H146" s="24" t="str">
        <f t="shared" si="25"/>
        <v/>
      </c>
      <c r="I146" s="24" t="str">
        <f t="shared" si="28"/>
        <v/>
      </c>
      <c r="J146" s="24" t="e">
        <f t="shared" si="29"/>
        <v>#VALUE!</v>
      </c>
    </row>
    <row r="147" spans="1:10">
      <c r="A147" s="23" t="str">
        <f t="shared" si="26"/>
        <v/>
      </c>
      <c r="B147" s="24" t="str">
        <f t="shared" si="30"/>
        <v/>
      </c>
      <c r="C147" s="44" t="str">
        <f t="shared" si="27"/>
        <v/>
      </c>
      <c r="D147" s="44" t="str">
        <f t="shared" si="21"/>
        <v/>
      </c>
      <c r="E147" s="44" t="str">
        <f t="shared" si="22"/>
        <v/>
      </c>
      <c r="F147" s="44" t="str">
        <f t="shared" si="23"/>
        <v/>
      </c>
      <c r="G147" s="44" t="str">
        <f t="shared" si="24"/>
        <v/>
      </c>
      <c r="H147" s="24" t="str">
        <f t="shared" si="25"/>
        <v/>
      </c>
      <c r="I147" s="24" t="str">
        <f t="shared" si="28"/>
        <v/>
      </c>
      <c r="J147" s="24" t="e">
        <f t="shared" si="29"/>
        <v>#VALUE!</v>
      </c>
    </row>
    <row r="148" spans="1:10">
      <c r="A148" s="23" t="str">
        <f t="shared" si="26"/>
        <v/>
      </c>
      <c r="B148" s="24" t="str">
        <f t="shared" si="30"/>
        <v/>
      </c>
      <c r="C148" s="44" t="str">
        <f t="shared" si="27"/>
        <v/>
      </c>
      <c r="D148" s="44" t="str">
        <f t="shared" si="21"/>
        <v/>
      </c>
      <c r="E148" s="44" t="str">
        <f t="shared" si="22"/>
        <v/>
      </c>
      <c r="F148" s="44" t="str">
        <f t="shared" si="23"/>
        <v/>
      </c>
      <c r="G148" s="44" t="str">
        <f t="shared" si="24"/>
        <v/>
      </c>
      <c r="H148" s="24" t="str">
        <f t="shared" si="25"/>
        <v/>
      </c>
      <c r="I148" s="24" t="str">
        <f t="shared" si="28"/>
        <v/>
      </c>
      <c r="J148" s="24" t="e">
        <f t="shared" si="29"/>
        <v>#VALUE!</v>
      </c>
    </row>
    <row r="149" spans="1:10">
      <c r="A149" s="23" t="str">
        <f t="shared" si="26"/>
        <v/>
      </c>
      <c r="B149" s="24" t="str">
        <f t="shared" si="30"/>
        <v/>
      </c>
      <c r="C149" s="44" t="str">
        <f t="shared" si="27"/>
        <v/>
      </c>
      <c r="D149" s="44" t="str">
        <f t="shared" si="21"/>
        <v/>
      </c>
      <c r="E149" s="44" t="str">
        <f t="shared" si="22"/>
        <v/>
      </c>
      <c r="F149" s="44" t="str">
        <f t="shared" si="23"/>
        <v/>
      </c>
      <c r="G149" s="44" t="str">
        <f t="shared" si="24"/>
        <v/>
      </c>
      <c r="H149" s="24" t="str">
        <f t="shared" si="25"/>
        <v/>
      </c>
      <c r="I149" s="24" t="str">
        <f t="shared" si="28"/>
        <v/>
      </c>
      <c r="J149" s="24" t="e">
        <f t="shared" si="29"/>
        <v>#VALUE!</v>
      </c>
    </row>
    <row r="150" spans="1:10">
      <c r="A150" s="23" t="str">
        <f t="shared" si="26"/>
        <v/>
      </c>
      <c r="B150" s="24" t="str">
        <f t="shared" si="30"/>
        <v/>
      </c>
      <c r="C150" s="44" t="str">
        <f t="shared" si="27"/>
        <v/>
      </c>
      <c r="D150" s="44" t="str">
        <f t="shared" si="21"/>
        <v/>
      </c>
      <c r="E150" s="44" t="str">
        <f t="shared" si="22"/>
        <v/>
      </c>
      <c r="F150" s="44" t="str">
        <f t="shared" si="23"/>
        <v/>
      </c>
      <c r="G150" s="44" t="str">
        <f t="shared" si="24"/>
        <v/>
      </c>
      <c r="H150" s="24" t="str">
        <f t="shared" si="25"/>
        <v/>
      </c>
      <c r="I150" s="24" t="str">
        <f t="shared" si="28"/>
        <v/>
      </c>
      <c r="J150" s="24" t="e">
        <f t="shared" si="29"/>
        <v>#VALUE!</v>
      </c>
    </row>
    <row r="151" spans="1:10">
      <c r="A151" s="23" t="str">
        <f t="shared" si="26"/>
        <v/>
      </c>
      <c r="B151" s="24" t="str">
        <f t="shared" si="30"/>
        <v/>
      </c>
      <c r="C151" s="44" t="str">
        <f t="shared" si="27"/>
        <v/>
      </c>
      <c r="D151" s="44" t="str">
        <f t="shared" si="21"/>
        <v/>
      </c>
      <c r="E151" s="44" t="str">
        <f t="shared" si="22"/>
        <v/>
      </c>
      <c r="F151" s="44" t="str">
        <f t="shared" si="23"/>
        <v/>
      </c>
      <c r="G151" s="44" t="str">
        <f t="shared" si="24"/>
        <v/>
      </c>
      <c r="H151" s="24" t="str">
        <f t="shared" si="25"/>
        <v/>
      </c>
      <c r="I151" s="24" t="str">
        <f t="shared" si="28"/>
        <v/>
      </c>
      <c r="J151" s="24" t="e">
        <f t="shared" si="29"/>
        <v>#VALUE!</v>
      </c>
    </row>
    <row r="152" spans="1:10">
      <c r="A152" s="23" t="str">
        <f t="shared" si="26"/>
        <v/>
      </c>
      <c r="B152" s="24" t="str">
        <f t="shared" si="30"/>
        <v/>
      </c>
      <c r="C152" s="44" t="str">
        <f t="shared" si="27"/>
        <v/>
      </c>
      <c r="D152" s="44" t="str">
        <f t="shared" si="21"/>
        <v/>
      </c>
      <c r="E152" s="44" t="str">
        <f t="shared" si="22"/>
        <v/>
      </c>
      <c r="F152" s="44" t="str">
        <f t="shared" si="23"/>
        <v/>
      </c>
      <c r="G152" s="44" t="str">
        <f t="shared" si="24"/>
        <v/>
      </c>
      <c r="H152" s="24" t="str">
        <f t="shared" si="25"/>
        <v/>
      </c>
      <c r="I152" s="24" t="str">
        <f t="shared" si="28"/>
        <v/>
      </c>
      <c r="J152" s="24" t="e">
        <f t="shared" si="29"/>
        <v>#VALUE!</v>
      </c>
    </row>
    <row r="153" spans="1:10">
      <c r="A153" s="23" t="str">
        <f t="shared" si="26"/>
        <v/>
      </c>
      <c r="B153" s="24" t="str">
        <f t="shared" si="30"/>
        <v/>
      </c>
      <c r="C153" s="44" t="str">
        <f t="shared" si="27"/>
        <v/>
      </c>
      <c r="D153" s="44" t="str">
        <f t="shared" si="21"/>
        <v/>
      </c>
      <c r="E153" s="44" t="str">
        <f t="shared" si="22"/>
        <v/>
      </c>
      <c r="F153" s="44" t="str">
        <f t="shared" si="23"/>
        <v/>
      </c>
      <c r="G153" s="44" t="str">
        <f t="shared" si="24"/>
        <v/>
      </c>
      <c r="H153" s="24" t="str">
        <f t="shared" si="25"/>
        <v/>
      </c>
      <c r="I153" s="24" t="str">
        <f t="shared" si="28"/>
        <v/>
      </c>
      <c r="J153" s="24" t="e">
        <f t="shared" si="29"/>
        <v>#VALUE!</v>
      </c>
    </row>
    <row r="154" spans="1:10">
      <c r="A154" s="23" t="str">
        <f t="shared" si="26"/>
        <v/>
      </c>
      <c r="B154" s="24" t="str">
        <f t="shared" si="30"/>
        <v/>
      </c>
      <c r="C154" s="44" t="str">
        <f t="shared" si="27"/>
        <v/>
      </c>
      <c r="D154" s="44" t="str">
        <f t="shared" si="21"/>
        <v/>
      </c>
      <c r="E154" s="44" t="str">
        <f t="shared" si="22"/>
        <v/>
      </c>
      <c r="F154" s="44" t="str">
        <f t="shared" si="23"/>
        <v/>
      </c>
      <c r="G154" s="44" t="str">
        <f t="shared" si="24"/>
        <v/>
      </c>
      <c r="H154" s="24" t="str">
        <f t="shared" si="25"/>
        <v/>
      </c>
      <c r="I154" s="24" t="str">
        <f t="shared" si="28"/>
        <v/>
      </c>
      <c r="J154" s="24" t="e">
        <f t="shared" si="29"/>
        <v>#VALUE!</v>
      </c>
    </row>
    <row r="155" spans="1:10">
      <c r="A155" s="23" t="str">
        <f t="shared" si="26"/>
        <v/>
      </c>
      <c r="B155" s="24" t="str">
        <f t="shared" si="30"/>
        <v/>
      </c>
      <c r="C155" s="44" t="str">
        <f t="shared" si="27"/>
        <v/>
      </c>
      <c r="D155" s="44" t="str">
        <f t="shared" si="21"/>
        <v/>
      </c>
      <c r="E155" s="44" t="str">
        <f t="shared" si="22"/>
        <v/>
      </c>
      <c r="F155" s="44" t="str">
        <f t="shared" si="23"/>
        <v/>
      </c>
      <c r="G155" s="44" t="str">
        <f t="shared" si="24"/>
        <v/>
      </c>
      <c r="H155" s="24" t="str">
        <f t="shared" si="25"/>
        <v/>
      </c>
      <c r="I155" s="24" t="str">
        <f t="shared" si="28"/>
        <v/>
      </c>
      <c r="J155" s="24" t="e">
        <f t="shared" si="29"/>
        <v>#VALUE!</v>
      </c>
    </row>
    <row r="156" spans="1:10">
      <c r="A156" s="23" t="str">
        <f t="shared" si="26"/>
        <v/>
      </c>
      <c r="B156" s="24" t="str">
        <f t="shared" si="30"/>
        <v/>
      </c>
      <c r="C156" s="44" t="str">
        <f t="shared" si="27"/>
        <v/>
      </c>
      <c r="D156" s="44" t="str">
        <f t="shared" si="21"/>
        <v/>
      </c>
      <c r="E156" s="44" t="str">
        <f t="shared" si="22"/>
        <v/>
      </c>
      <c r="F156" s="44" t="str">
        <f t="shared" si="23"/>
        <v/>
      </c>
      <c r="G156" s="44" t="str">
        <f t="shared" si="24"/>
        <v/>
      </c>
      <c r="H156" s="24" t="str">
        <f t="shared" si="25"/>
        <v/>
      </c>
      <c r="I156" s="24" t="str">
        <f t="shared" si="28"/>
        <v/>
      </c>
      <c r="J156" s="24" t="e">
        <f t="shared" si="29"/>
        <v>#VALUE!</v>
      </c>
    </row>
    <row r="157" spans="1:10">
      <c r="A157" s="23" t="str">
        <f t="shared" si="26"/>
        <v/>
      </c>
      <c r="B157" s="24" t="str">
        <f t="shared" si="30"/>
        <v/>
      </c>
      <c r="C157" s="44" t="str">
        <f t="shared" si="27"/>
        <v/>
      </c>
      <c r="D157" s="44" t="str">
        <f t="shared" si="21"/>
        <v/>
      </c>
      <c r="E157" s="44" t="str">
        <f t="shared" si="22"/>
        <v/>
      </c>
      <c r="F157" s="44" t="str">
        <f t="shared" si="23"/>
        <v/>
      </c>
      <c r="G157" s="44" t="str">
        <f t="shared" si="24"/>
        <v/>
      </c>
      <c r="H157" s="24" t="str">
        <f t="shared" si="25"/>
        <v/>
      </c>
      <c r="I157" s="24" t="str">
        <f t="shared" si="28"/>
        <v/>
      </c>
      <c r="J157" s="24" t="e">
        <f t="shared" si="29"/>
        <v>#VALUE!</v>
      </c>
    </row>
    <row r="158" spans="1:10">
      <c r="A158" s="23" t="str">
        <f t="shared" si="26"/>
        <v/>
      </c>
      <c r="B158" s="24" t="str">
        <f t="shared" si="30"/>
        <v/>
      </c>
      <c r="C158" s="44" t="str">
        <f t="shared" si="27"/>
        <v/>
      </c>
      <c r="D158" s="44" t="str">
        <f t="shared" si="21"/>
        <v/>
      </c>
      <c r="E158" s="44" t="str">
        <f t="shared" si="22"/>
        <v/>
      </c>
      <c r="F158" s="44" t="str">
        <f t="shared" si="23"/>
        <v/>
      </c>
      <c r="G158" s="44" t="str">
        <f t="shared" si="24"/>
        <v/>
      </c>
      <c r="H158" s="24" t="str">
        <f t="shared" si="25"/>
        <v/>
      </c>
      <c r="I158" s="24" t="str">
        <f t="shared" si="28"/>
        <v/>
      </c>
      <c r="J158" s="24" t="e">
        <f t="shared" si="29"/>
        <v>#VALUE!</v>
      </c>
    </row>
    <row r="159" spans="1:10">
      <c r="A159" s="23" t="str">
        <f t="shared" si="26"/>
        <v/>
      </c>
      <c r="B159" s="24" t="str">
        <f t="shared" si="30"/>
        <v/>
      </c>
      <c r="C159" s="44" t="str">
        <f t="shared" si="27"/>
        <v/>
      </c>
      <c r="D159" s="44" t="str">
        <f t="shared" si="21"/>
        <v/>
      </c>
      <c r="E159" s="44" t="str">
        <f t="shared" si="22"/>
        <v/>
      </c>
      <c r="F159" s="44" t="str">
        <f t="shared" si="23"/>
        <v/>
      </c>
      <c r="G159" s="44" t="str">
        <f t="shared" si="24"/>
        <v/>
      </c>
      <c r="H159" s="24" t="str">
        <f t="shared" si="25"/>
        <v/>
      </c>
      <c r="I159" s="24" t="str">
        <f t="shared" si="28"/>
        <v/>
      </c>
      <c r="J159" s="24" t="e">
        <f t="shared" si="29"/>
        <v>#VALUE!</v>
      </c>
    </row>
    <row r="160" spans="1:10">
      <c r="A160" s="23" t="str">
        <f t="shared" si="26"/>
        <v/>
      </c>
      <c r="B160" s="24" t="str">
        <f t="shared" si="30"/>
        <v/>
      </c>
      <c r="C160" s="44" t="str">
        <f t="shared" si="27"/>
        <v/>
      </c>
      <c r="D160" s="44" t="str">
        <f t="shared" si="21"/>
        <v/>
      </c>
      <c r="E160" s="44" t="str">
        <f t="shared" si="22"/>
        <v/>
      </c>
      <c r="F160" s="44" t="str">
        <f t="shared" si="23"/>
        <v/>
      </c>
      <c r="G160" s="44" t="str">
        <f t="shared" si="24"/>
        <v/>
      </c>
      <c r="H160" s="24" t="str">
        <f t="shared" si="25"/>
        <v/>
      </c>
      <c r="I160" s="24" t="str">
        <f t="shared" si="28"/>
        <v/>
      </c>
      <c r="J160" s="24" t="e">
        <f t="shared" si="29"/>
        <v>#VALUE!</v>
      </c>
    </row>
    <row r="161" spans="1:10">
      <c r="A161" s="23" t="str">
        <f t="shared" si="26"/>
        <v/>
      </c>
      <c r="B161" s="24" t="str">
        <f t="shared" si="30"/>
        <v/>
      </c>
      <c r="C161" s="44" t="str">
        <f t="shared" si="27"/>
        <v/>
      </c>
      <c r="D161" s="44" t="str">
        <f t="shared" si="21"/>
        <v/>
      </c>
      <c r="E161" s="44" t="str">
        <f t="shared" si="22"/>
        <v/>
      </c>
      <c r="F161" s="44" t="str">
        <f t="shared" si="23"/>
        <v/>
      </c>
      <c r="G161" s="44" t="str">
        <f t="shared" si="24"/>
        <v/>
      </c>
      <c r="H161" s="24" t="str">
        <f t="shared" si="25"/>
        <v/>
      </c>
      <c r="I161" s="24" t="str">
        <f t="shared" si="28"/>
        <v/>
      </c>
      <c r="J161" s="24" t="e">
        <f t="shared" si="29"/>
        <v>#VALUE!</v>
      </c>
    </row>
    <row r="162" spans="1:10">
      <c r="A162" s="23" t="str">
        <f t="shared" si="26"/>
        <v/>
      </c>
      <c r="B162" s="24" t="str">
        <f t="shared" si="30"/>
        <v/>
      </c>
      <c r="C162" s="44" t="str">
        <f t="shared" si="27"/>
        <v/>
      </c>
      <c r="D162" s="44" t="str">
        <f t="shared" si="21"/>
        <v/>
      </c>
      <c r="E162" s="44" t="str">
        <f t="shared" si="22"/>
        <v/>
      </c>
      <c r="F162" s="44" t="str">
        <f t="shared" si="23"/>
        <v/>
      </c>
      <c r="G162" s="44" t="str">
        <f t="shared" si="24"/>
        <v/>
      </c>
      <c r="H162" s="24" t="str">
        <f t="shared" si="25"/>
        <v/>
      </c>
      <c r="I162" s="24" t="str">
        <f t="shared" si="28"/>
        <v/>
      </c>
      <c r="J162" s="24" t="e">
        <f t="shared" si="29"/>
        <v>#VALUE!</v>
      </c>
    </row>
    <row r="163" spans="1:10">
      <c r="A163" s="23" t="str">
        <f t="shared" si="26"/>
        <v/>
      </c>
      <c r="B163" s="24" t="str">
        <f t="shared" si="30"/>
        <v/>
      </c>
      <c r="C163" s="44" t="str">
        <f t="shared" si="27"/>
        <v/>
      </c>
      <c r="D163" s="44" t="str">
        <f t="shared" si="21"/>
        <v/>
      </c>
      <c r="E163" s="44" t="str">
        <f t="shared" si="22"/>
        <v/>
      </c>
      <c r="F163" s="44" t="str">
        <f t="shared" si="23"/>
        <v/>
      </c>
      <c r="G163" s="44" t="str">
        <f t="shared" si="24"/>
        <v/>
      </c>
      <c r="H163" s="24" t="str">
        <f t="shared" si="25"/>
        <v/>
      </c>
      <c r="I163" s="24" t="str">
        <f t="shared" si="28"/>
        <v/>
      </c>
      <c r="J163" s="24" t="e">
        <f t="shared" si="29"/>
        <v>#VALUE!</v>
      </c>
    </row>
    <row r="164" spans="1:10">
      <c r="A164" s="23" t="str">
        <f t="shared" si="26"/>
        <v/>
      </c>
      <c r="B164" s="24" t="str">
        <f t="shared" si="30"/>
        <v/>
      </c>
      <c r="C164" s="44" t="str">
        <f t="shared" si="27"/>
        <v/>
      </c>
      <c r="D164" s="44" t="str">
        <f t="shared" si="21"/>
        <v/>
      </c>
      <c r="E164" s="44" t="str">
        <f t="shared" si="22"/>
        <v/>
      </c>
      <c r="F164" s="44" t="str">
        <f t="shared" si="23"/>
        <v/>
      </c>
      <c r="G164" s="44" t="str">
        <f t="shared" si="24"/>
        <v/>
      </c>
      <c r="H164" s="24" t="str">
        <f t="shared" si="25"/>
        <v/>
      </c>
      <c r="I164" s="24" t="str">
        <f t="shared" si="28"/>
        <v/>
      </c>
      <c r="J164" s="24" t="e">
        <f t="shared" si="29"/>
        <v>#VALUE!</v>
      </c>
    </row>
    <row r="165" spans="1:10">
      <c r="A165" s="23" t="str">
        <f t="shared" si="26"/>
        <v/>
      </c>
      <c r="B165" s="24" t="str">
        <f t="shared" si="30"/>
        <v/>
      </c>
      <c r="C165" s="44" t="str">
        <f t="shared" si="27"/>
        <v/>
      </c>
      <c r="D165" s="44" t="str">
        <f t="shared" si="21"/>
        <v/>
      </c>
      <c r="E165" s="44" t="str">
        <f t="shared" si="22"/>
        <v/>
      </c>
      <c r="F165" s="44" t="str">
        <f t="shared" si="23"/>
        <v/>
      </c>
      <c r="G165" s="44" t="str">
        <f t="shared" si="24"/>
        <v/>
      </c>
      <c r="H165" s="24" t="str">
        <f t="shared" si="25"/>
        <v/>
      </c>
      <c r="I165" s="24" t="str">
        <f t="shared" si="28"/>
        <v/>
      </c>
      <c r="J165" s="24" t="e">
        <f t="shared" si="29"/>
        <v>#VALUE!</v>
      </c>
    </row>
    <row r="166" spans="1:10">
      <c r="A166" s="23" t="str">
        <f t="shared" si="26"/>
        <v/>
      </c>
      <c r="B166" s="24" t="str">
        <f t="shared" si="30"/>
        <v/>
      </c>
      <c r="C166" s="44" t="str">
        <f t="shared" si="27"/>
        <v/>
      </c>
      <c r="D166" s="44" t="str">
        <f t="shared" si="21"/>
        <v/>
      </c>
      <c r="E166" s="44" t="str">
        <f t="shared" si="22"/>
        <v/>
      </c>
      <c r="F166" s="44" t="str">
        <f t="shared" si="23"/>
        <v/>
      </c>
      <c r="G166" s="44" t="str">
        <f t="shared" si="24"/>
        <v/>
      </c>
      <c r="H166" s="24" t="str">
        <f t="shared" si="25"/>
        <v/>
      </c>
      <c r="I166" s="24" t="str">
        <f t="shared" si="28"/>
        <v/>
      </c>
      <c r="J166" s="24" t="e">
        <f t="shared" si="29"/>
        <v>#VALUE!</v>
      </c>
    </row>
    <row r="167" spans="1:10">
      <c r="A167" s="23" t="str">
        <f t="shared" si="26"/>
        <v/>
      </c>
      <c r="B167" s="24" t="str">
        <f t="shared" si="30"/>
        <v/>
      </c>
      <c r="C167" s="44" t="str">
        <f t="shared" si="27"/>
        <v/>
      </c>
      <c r="D167" s="44" t="str">
        <f t="shared" si="21"/>
        <v/>
      </c>
      <c r="E167" s="44" t="str">
        <f t="shared" si="22"/>
        <v/>
      </c>
      <c r="F167" s="44" t="str">
        <f t="shared" si="23"/>
        <v/>
      </c>
      <c r="G167" s="44" t="str">
        <f t="shared" si="24"/>
        <v/>
      </c>
      <c r="H167" s="24" t="str">
        <f t="shared" si="25"/>
        <v/>
      </c>
      <c r="I167" s="24" t="str">
        <f t="shared" si="28"/>
        <v/>
      </c>
      <c r="J167" s="24" t="e">
        <f t="shared" si="29"/>
        <v>#VALUE!</v>
      </c>
    </row>
    <row r="168" spans="1:10">
      <c r="A168" s="23" t="str">
        <f t="shared" si="26"/>
        <v/>
      </c>
      <c r="B168" s="24" t="str">
        <f t="shared" si="30"/>
        <v/>
      </c>
      <c r="C168" s="44" t="str">
        <f t="shared" si="27"/>
        <v/>
      </c>
      <c r="D168" s="44" t="str">
        <f t="shared" si="21"/>
        <v/>
      </c>
      <c r="E168" s="44" t="str">
        <f t="shared" si="22"/>
        <v/>
      </c>
      <c r="F168" s="44" t="str">
        <f t="shared" si="23"/>
        <v/>
      </c>
      <c r="G168" s="44" t="str">
        <f t="shared" si="24"/>
        <v/>
      </c>
      <c r="H168" s="24" t="str">
        <f t="shared" si="25"/>
        <v/>
      </c>
      <c r="I168" s="24" t="str">
        <f t="shared" si="28"/>
        <v/>
      </c>
      <c r="J168" s="24" t="e">
        <f t="shared" si="29"/>
        <v>#VALUE!</v>
      </c>
    </row>
    <row r="169" spans="1:10">
      <c r="A169" s="23" t="str">
        <f t="shared" si="26"/>
        <v/>
      </c>
      <c r="B169" s="24" t="str">
        <f t="shared" si="30"/>
        <v/>
      </c>
      <c r="C169" s="44" t="str">
        <f t="shared" si="27"/>
        <v/>
      </c>
      <c r="D169" s="44" t="str">
        <f t="shared" si="21"/>
        <v/>
      </c>
      <c r="E169" s="44" t="str">
        <f t="shared" si="22"/>
        <v/>
      </c>
      <c r="F169" s="44" t="str">
        <f t="shared" si="23"/>
        <v/>
      </c>
      <c r="G169" s="44" t="str">
        <f t="shared" si="24"/>
        <v/>
      </c>
      <c r="H169" s="24" t="str">
        <f t="shared" si="25"/>
        <v/>
      </c>
      <c r="I169" s="24" t="str">
        <f t="shared" si="28"/>
        <v/>
      </c>
      <c r="J169" s="24" t="e">
        <f t="shared" si="29"/>
        <v>#VALUE!</v>
      </c>
    </row>
    <row r="170" spans="1:10">
      <c r="A170" s="23" t="str">
        <f t="shared" si="26"/>
        <v/>
      </c>
      <c r="B170" s="24" t="str">
        <f t="shared" si="30"/>
        <v/>
      </c>
      <c r="C170" s="44" t="str">
        <f t="shared" si="27"/>
        <v/>
      </c>
      <c r="D170" s="44" t="str">
        <f t="shared" si="21"/>
        <v/>
      </c>
      <c r="E170" s="44" t="str">
        <f t="shared" si="22"/>
        <v/>
      </c>
      <c r="F170" s="44" t="str">
        <f t="shared" si="23"/>
        <v/>
      </c>
      <c r="G170" s="44" t="str">
        <f t="shared" si="24"/>
        <v/>
      </c>
      <c r="H170" s="24" t="str">
        <f t="shared" si="25"/>
        <v/>
      </c>
      <c r="I170" s="24" t="str">
        <f t="shared" si="28"/>
        <v/>
      </c>
      <c r="J170" s="24" t="e">
        <f t="shared" si="29"/>
        <v>#VALUE!</v>
      </c>
    </row>
    <row r="171" spans="1:10">
      <c r="A171" s="23" t="str">
        <f t="shared" si="26"/>
        <v/>
      </c>
      <c r="B171" s="24" t="str">
        <f t="shared" si="30"/>
        <v/>
      </c>
      <c r="C171" s="44" t="str">
        <f t="shared" si="27"/>
        <v/>
      </c>
      <c r="D171" s="44" t="str">
        <f t="shared" si="21"/>
        <v/>
      </c>
      <c r="E171" s="44" t="str">
        <f t="shared" si="22"/>
        <v/>
      </c>
      <c r="F171" s="44" t="str">
        <f t="shared" si="23"/>
        <v/>
      </c>
      <c r="G171" s="44" t="str">
        <f t="shared" si="24"/>
        <v/>
      </c>
      <c r="H171" s="24" t="str">
        <f t="shared" si="25"/>
        <v/>
      </c>
      <c r="I171" s="24" t="str">
        <f t="shared" si="28"/>
        <v/>
      </c>
      <c r="J171" s="24" t="e">
        <f t="shared" si="29"/>
        <v>#VALUE!</v>
      </c>
    </row>
    <row r="172" spans="1:10">
      <c r="A172" s="23" t="str">
        <f t="shared" si="26"/>
        <v/>
      </c>
      <c r="B172" s="24" t="str">
        <f t="shared" si="30"/>
        <v/>
      </c>
      <c r="C172" s="44" t="str">
        <f t="shared" si="27"/>
        <v/>
      </c>
      <c r="D172" s="44" t="str">
        <f t="shared" si="21"/>
        <v/>
      </c>
      <c r="E172" s="44" t="str">
        <f t="shared" si="22"/>
        <v/>
      </c>
      <c r="F172" s="44" t="str">
        <f t="shared" si="23"/>
        <v/>
      </c>
      <c r="G172" s="44" t="str">
        <f t="shared" si="24"/>
        <v/>
      </c>
      <c r="H172" s="24" t="str">
        <f t="shared" si="25"/>
        <v/>
      </c>
      <c r="I172" s="24" t="str">
        <f t="shared" si="28"/>
        <v/>
      </c>
      <c r="J172" s="24" t="e">
        <f t="shared" si="29"/>
        <v>#VALUE!</v>
      </c>
    </row>
    <row r="173" spans="1:10">
      <c r="A173" s="23" t="str">
        <f t="shared" si="26"/>
        <v/>
      </c>
      <c r="B173" s="24" t="str">
        <f t="shared" si="30"/>
        <v/>
      </c>
      <c r="C173" s="44" t="str">
        <f t="shared" si="27"/>
        <v/>
      </c>
      <c r="D173" s="44" t="str">
        <f t="shared" si="21"/>
        <v/>
      </c>
      <c r="E173" s="44" t="str">
        <f t="shared" si="22"/>
        <v/>
      </c>
      <c r="F173" s="44" t="str">
        <f t="shared" si="23"/>
        <v/>
      </c>
      <c r="G173" s="44" t="str">
        <f t="shared" si="24"/>
        <v/>
      </c>
      <c r="H173" s="24" t="str">
        <f t="shared" si="25"/>
        <v/>
      </c>
      <c r="I173" s="24" t="str">
        <f t="shared" si="28"/>
        <v/>
      </c>
      <c r="J173" s="24" t="e">
        <f t="shared" si="29"/>
        <v>#VALUE!</v>
      </c>
    </row>
    <row r="174" spans="1:10">
      <c r="A174" s="23" t="str">
        <f t="shared" si="26"/>
        <v/>
      </c>
      <c r="B174" s="24" t="str">
        <f t="shared" si="30"/>
        <v/>
      </c>
      <c r="C174" s="44" t="str">
        <f t="shared" si="27"/>
        <v/>
      </c>
      <c r="D174" s="44" t="str">
        <f t="shared" si="21"/>
        <v/>
      </c>
      <c r="E174" s="44" t="str">
        <f t="shared" si="22"/>
        <v/>
      </c>
      <c r="F174" s="44" t="str">
        <f t="shared" si="23"/>
        <v/>
      </c>
      <c r="G174" s="44" t="str">
        <f t="shared" si="24"/>
        <v/>
      </c>
      <c r="H174" s="24" t="str">
        <f t="shared" si="25"/>
        <v/>
      </c>
      <c r="I174" s="24" t="str">
        <f t="shared" si="28"/>
        <v/>
      </c>
      <c r="J174" s="24" t="e">
        <f t="shared" si="29"/>
        <v>#VALUE!</v>
      </c>
    </row>
    <row r="175" spans="1:10">
      <c r="A175" s="23" t="str">
        <f t="shared" si="26"/>
        <v/>
      </c>
      <c r="B175" s="24" t="str">
        <f t="shared" si="30"/>
        <v/>
      </c>
      <c r="C175" s="44" t="str">
        <f t="shared" si="27"/>
        <v/>
      </c>
      <c r="D175" s="44" t="str">
        <f t="shared" si="21"/>
        <v/>
      </c>
      <c r="E175" s="44" t="str">
        <f t="shared" si="22"/>
        <v/>
      </c>
      <c r="F175" s="44" t="str">
        <f t="shared" si="23"/>
        <v/>
      </c>
      <c r="G175" s="44" t="str">
        <f t="shared" si="24"/>
        <v/>
      </c>
      <c r="H175" s="24" t="str">
        <f t="shared" si="25"/>
        <v/>
      </c>
      <c r="I175" s="24" t="str">
        <f t="shared" si="28"/>
        <v/>
      </c>
      <c r="J175" s="24" t="e">
        <f t="shared" si="29"/>
        <v>#VALUE!</v>
      </c>
    </row>
    <row r="176" spans="1:10">
      <c r="A176" s="23" t="str">
        <f t="shared" si="26"/>
        <v/>
      </c>
      <c r="B176" s="24" t="str">
        <f t="shared" si="30"/>
        <v/>
      </c>
      <c r="C176" s="44" t="str">
        <f t="shared" si="27"/>
        <v/>
      </c>
      <c r="D176" s="44" t="str">
        <f t="shared" si="21"/>
        <v/>
      </c>
      <c r="E176" s="44" t="str">
        <f t="shared" si="22"/>
        <v/>
      </c>
      <c r="F176" s="44" t="str">
        <f t="shared" si="23"/>
        <v/>
      </c>
      <c r="G176" s="44" t="str">
        <f t="shared" si="24"/>
        <v/>
      </c>
      <c r="H176" s="24" t="str">
        <f t="shared" si="25"/>
        <v/>
      </c>
      <c r="I176" s="24" t="str">
        <f t="shared" si="28"/>
        <v/>
      </c>
      <c r="J176" s="24" t="e">
        <f t="shared" si="29"/>
        <v>#VALUE!</v>
      </c>
    </row>
    <row r="177" spans="1:10">
      <c r="A177" s="23" t="str">
        <f t="shared" si="26"/>
        <v/>
      </c>
      <c r="B177" s="24" t="str">
        <f t="shared" si="30"/>
        <v/>
      </c>
      <c r="C177" s="44" t="str">
        <f t="shared" si="27"/>
        <v/>
      </c>
      <c r="D177" s="44" t="str">
        <f t="shared" si="21"/>
        <v/>
      </c>
      <c r="E177" s="44" t="str">
        <f t="shared" si="22"/>
        <v/>
      </c>
      <c r="F177" s="44" t="str">
        <f t="shared" si="23"/>
        <v/>
      </c>
      <c r="G177" s="44" t="str">
        <f t="shared" si="24"/>
        <v/>
      </c>
      <c r="H177" s="24" t="str">
        <f t="shared" si="25"/>
        <v/>
      </c>
      <c r="I177" s="24" t="str">
        <f t="shared" si="28"/>
        <v/>
      </c>
      <c r="J177" s="24" t="e">
        <f t="shared" si="29"/>
        <v>#VALUE!</v>
      </c>
    </row>
    <row r="178" spans="1:10">
      <c r="A178" s="23" t="str">
        <f t="shared" si="26"/>
        <v/>
      </c>
      <c r="B178" s="24" t="str">
        <f t="shared" si="30"/>
        <v/>
      </c>
      <c r="C178" s="44" t="str">
        <f t="shared" si="27"/>
        <v/>
      </c>
      <c r="D178" s="44" t="str">
        <f t="shared" si="21"/>
        <v/>
      </c>
      <c r="E178" s="44" t="str">
        <f t="shared" si="22"/>
        <v/>
      </c>
      <c r="F178" s="44" t="str">
        <f t="shared" si="23"/>
        <v/>
      </c>
      <c r="G178" s="44" t="str">
        <f t="shared" si="24"/>
        <v/>
      </c>
      <c r="H178" s="24" t="str">
        <f t="shared" si="25"/>
        <v/>
      </c>
      <c r="I178" s="24" t="str">
        <f t="shared" si="28"/>
        <v/>
      </c>
      <c r="J178" s="24" t="e">
        <f t="shared" si="29"/>
        <v>#VALUE!</v>
      </c>
    </row>
    <row r="179" spans="1:10">
      <c r="A179" s="23" t="str">
        <f t="shared" si="26"/>
        <v/>
      </c>
      <c r="B179" s="24" t="str">
        <f t="shared" si="30"/>
        <v/>
      </c>
      <c r="C179" s="44" t="str">
        <f t="shared" si="27"/>
        <v/>
      </c>
      <c r="D179" s="44" t="str">
        <f t="shared" si="21"/>
        <v/>
      </c>
      <c r="E179" s="44" t="str">
        <f t="shared" si="22"/>
        <v/>
      </c>
      <c r="F179" s="44" t="str">
        <f t="shared" si="23"/>
        <v/>
      </c>
      <c r="G179" s="44" t="str">
        <f t="shared" si="24"/>
        <v/>
      </c>
      <c r="H179" s="24" t="str">
        <f t="shared" si="25"/>
        <v/>
      </c>
      <c r="I179" s="24" t="str">
        <f t="shared" si="28"/>
        <v/>
      </c>
      <c r="J179" s="24" t="e">
        <f t="shared" si="29"/>
        <v>#VALUE!</v>
      </c>
    </row>
    <row r="180" spans="1:10">
      <c r="A180" s="23" t="str">
        <f t="shared" si="26"/>
        <v/>
      </c>
      <c r="B180" s="24" t="str">
        <f t="shared" si="30"/>
        <v/>
      </c>
      <c r="C180" s="44" t="str">
        <f t="shared" si="27"/>
        <v/>
      </c>
      <c r="D180" s="44" t="str">
        <f t="shared" si="21"/>
        <v/>
      </c>
      <c r="E180" s="44" t="str">
        <f t="shared" si="22"/>
        <v/>
      </c>
      <c r="F180" s="44" t="str">
        <f t="shared" si="23"/>
        <v/>
      </c>
      <c r="G180" s="44" t="str">
        <f t="shared" si="24"/>
        <v/>
      </c>
      <c r="H180" s="24" t="str">
        <f t="shared" si="25"/>
        <v/>
      </c>
      <c r="I180" s="24" t="str">
        <f t="shared" si="28"/>
        <v/>
      </c>
      <c r="J180" s="24" t="e">
        <f t="shared" si="29"/>
        <v>#VALUE!</v>
      </c>
    </row>
    <row r="181" spans="1:10">
      <c r="A181" s="23" t="str">
        <f t="shared" si="26"/>
        <v/>
      </c>
      <c r="B181" s="24" t="str">
        <f t="shared" si="30"/>
        <v/>
      </c>
      <c r="C181" s="44" t="str">
        <f t="shared" si="27"/>
        <v/>
      </c>
      <c r="D181" s="44" t="str">
        <f t="shared" si="21"/>
        <v/>
      </c>
      <c r="E181" s="44" t="str">
        <f t="shared" si="22"/>
        <v/>
      </c>
      <c r="F181" s="44" t="str">
        <f t="shared" si="23"/>
        <v/>
      </c>
      <c r="G181" s="44" t="str">
        <f t="shared" si="24"/>
        <v/>
      </c>
      <c r="H181" s="24" t="str">
        <f t="shared" si="25"/>
        <v/>
      </c>
      <c r="I181" s="24" t="str">
        <f t="shared" si="28"/>
        <v/>
      </c>
      <c r="J181" s="24" t="e">
        <f t="shared" si="29"/>
        <v>#VALUE!</v>
      </c>
    </row>
    <row r="182" spans="1:10">
      <c r="A182" s="23" t="str">
        <f t="shared" si="26"/>
        <v/>
      </c>
      <c r="B182" s="24" t="str">
        <f t="shared" si="30"/>
        <v/>
      </c>
      <c r="C182" s="44" t="str">
        <f t="shared" si="27"/>
        <v/>
      </c>
      <c r="D182" s="44" t="str">
        <f t="shared" si="21"/>
        <v/>
      </c>
      <c r="E182" s="44" t="str">
        <f t="shared" si="22"/>
        <v/>
      </c>
      <c r="F182" s="44" t="str">
        <f t="shared" si="23"/>
        <v/>
      </c>
      <c r="G182" s="44" t="str">
        <f t="shared" si="24"/>
        <v/>
      </c>
      <c r="H182" s="24" t="str">
        <f t="shared" si="25"/>
        <v/>
      </c>
      <c r="I182" s="24" t="str">
        <f t="shared" si="28"/>
        <v/>
      </c>
      <c r="J182" s="24" t="e">
        <f t="shared" si="29"/>
        <v>#VALUE!</v>
      </c>
    </row>
    <row r="183" spans="1:10">
      <c r="A183" s="23" t="str">
        <f t="shared" si="26"/>
        <v/>
      </c>
      <c r="B183" s="24" t="str">
        <f t="shared" si="30"/>
        <v/>
      </c>
      <c r="C183" s="44" t="str">
        <f t="shared" si="27"/>
        <v/>
      </c>
      <c r="D183" s="44" t="str">
        <f t="shared" si="21"/>
        <v/>
      </c>
      <c r="E183" s="44" t="str">
        <f t="shared" si="22"/>
        <v/>
      </c>
      <c r="F183" s="44" t="str">
        <f t="shared" si="23"/>
        <v/>
      </c>
      <c r="G183" s="44" t="str">
        <f t="shared" si="24"/>
        <v/>
      </c>
      <c r="H183" s="24" t="str">
        <f t="shared" si="25"/>
        <v/>
      </c>
      <c r="I183" s="24" t="str">
        <f t="shared" si="28"/>
        <v/>
      </c>
      <c r="J183" s="24" t="e">
        <f t="shared" si="29"/>
        <v>#VALUE!</v>
      </c>
    </row>
    <row r="184" spans="1:10">
      <c r="A184" s="23" t="str">
        <f t="shared" si="26"/>
        <v/>
      </c>
      <c r="B184" s="24" t="str">
        <f t="shared" si="30"/>
        <v/>
      </c>
      <c r="C184" s="44" t="str">
        <f t="shared" si="27"/>
        <v/>
      </c>
      <c r="D184" s="44" t="str">
        <f t="shared" si="21"/>
        <v/>
      </c>
      <c r="E184" s="44" t="str">
        <f t="shared" si="22"/>
        <v/>
      </c>
      <c r="F184" s="44" t="str">
        <f t="shared" si="23"/>
        <v/>
      </c>
      <c r="G184" s="44" t="str">
        <f t="shared" si="24"/>
        <v/>
      </c>
      <c r="H184" s="24" t="str">
        <f t="shared" si="25"/>
        <v/>
      </c>
      <c r="I184" s="24" t="str">
        <f t="shared" si="28"/>
        <v/>
      </c>
      <c r="J184" s="24" t="e">
        <f t="shared" si="29"/>
        <v>#VALUE!</v>
      </c>
    </row>
    <row r="185" spans="1:10">
      <c r="A185" s="23" t="str">
        <f t="shared" si="26"/>
        <v/>
      </c>
      <c r="B185" s="24" t="str">
        <f t="shared" si="30"/>
        <v/>
      </c>
      <c r="C185" s="44" t="str">
        <f t="shared" si="27"/>
        <v/>
      </c>
      <c r="D185" s="44" t="str">
        <f t="shared" si="21"/>
        <v/>
      </c>
      <c r="E185" s="44" t="str">
        <f t="shared" si="22"/>
        <v/>
      </c>
      <c r="F185" s="44" t="str">
        <f t="shared" si="23"/>
        <v/>
      </c>
      <c r="G185" s="44" t="str">
        <f t="shared" si="24"/>
        <v/>
      </c>
      <c r="H185" s="24" t="str">
        <f t="shared" si="25"/>
        <v/>
      </c>
      <c r="I185" s="24" t="str">
        <f t="shared" si="28"/>
        <v/>
      </c>
      <c r="J185" s="24" t="e">
        <f t="shared" si="29"/>
        <v>#VALUE!</v>
      </c>
    </row>
    <row r="186" spans="1:10">
      <c r="A186" s="23" t="str">
        <f t="shared" si="26"/>
        <v/>
      </c>
      <c r="B186" s="24" t="str">
        <f t="shared" si="30"/>
        <v/>
      </c>
      <c r="C186" s="44" t="str">
        <f t="shared" si="27"/>
        <v/>
      </c>
      <c r="D186" s="44" t="str">
        <f t="shared" si="21"/>
        <v/>
      </c>
      <c r="E186" s="44" t="str">
        <f t="shared" si="22"/>
        <v/>
      </c>
      <c r="F186" s="44" t="str">
        <f t="shared" si="23"/>
        <v/>
      </c>
      <c r="G186" s="44" t="str">
        <f t="shared" si="24"/>
        <v/>
      </c>
      <c r="H186" s="24" t="str">
        <f t="shared" si="25"/>
        <v/>
      </c>
      <c r="I186" s="24" t="str">
        <f t="shared" si="28"/>
        <v/>
      </c>
      <c r="J186" s="24" t="e">
        <f t="shared" si="29"/>
        <v>#VALUE!</v>
      </c>
    </row>
    <row r="187" spans="1:10">
      <c r="A187" s="23" t="str">
        <f t="shared" si="26"/>
        <v/>
      </c>
      <c r="B187" s="24" t="str">
        <f t="shared" si="30"/>
        <v/>
      </c>
      <c r="C187" s="44" t="str">
        <f t="shared" si="27"/>
        <v/>
      </c>
      <c r="D187" s="44" t="str">
        <f t="shared" si="21"/>
        <v/>
      </c>
      <c r="E187" s="44" t="str">
        <f t="shared" si="22"/>
        <v/>
      </c>
      <c r="F187" s="44" t="str">
        <f t="shared" si="23"/>
        <v/>
      </c>
      <c r="G187" s="44" t="str">
        <f t="shared" si="24"/>
        <v/>
      </c>
      <c r="H187" s="24" t="str">
        <f t="shared" si="25"/>
        <v/>
      </c>
      <c r="I187" s="24" t="str">
        <f t="shared" si="28"/>
        <v/>
      </c>
      <c r="J187" s="24" t="e">
        <f t="shared" si="29"/>
        <v>#VALUE!</v>
      </c>
    </row>
    <row r="188" spans="1:10">
      <c r="A188" s="23" t="str">
        <f t="shared" si="26"/>
        <v/>
      </c>
      <c r="B188" s="24" t="str">
        <f t="shared" si="30"/>
        <v/>
      </c>
      <c r="C188" s="44" t="str">
        <f t="shared" si="27"/>
        <v/>
      </c>
      <c r="D188" s="44" t="str">
        <f t="shared" si="21"/>
        <v/>
      </c>
      <c r="E188" s="44" t="str">
        <f t="shared" si="22"/>
        <v/>
      </c>
      <c r="F188" s="44" t="str">
        <f t="shared" si="23"/>
        <v/>
      </c>
      <c r="G188" s="44" t="str">
        <f t="shared" si="24"/>
        <v/>
      </c>
      <c r="H188" s="24" t="str">
        <f t="shared" si="25"/>
        <v/>
      </c>
      <c r="I188" s="24" t="str">
        <f t="shared" si="28"/>
        <v/>
      </c>
      <c r="J188" s="24" t="e">
        <f t="shared" si="29"/>
        <v>#VALUE!</v>
      </c>
    </row>
    <row r="189" spans="1:10">
      <c r="A189" s="23" t="str">
        <f t="shared" si="26"/>
        <v/>
      </c>
      <c r="B189" s="24" t="str">
        <f t="shared" si="30"/>
        <v/>
      </c>
      <c r="C189" s="44" t="str">
        <f t="shared" si="27"/>
        <v/>
      </c>
      <c r="D189" s="44" t="str">
        <f t="shared" si="21"/>
        <v/>
      </c>
      <c r="E189" s="44" t="str">
        <f t="shared" si="22"/>
        <v/>
      </c>
      <c r="F189" s="44" t="str">
        <f t="shared" si="23"/>
        <v/>
      </c>
      <c r="G189" s="44" t="str">
        <f t="shared" si="24"/>
        <v/>
      </c>
      <c r="H189" s="24" t="str">
        <f t="shared" si="25"/>
        <v/>
      </c>
      <c r="I189" s="24" t="str">
        <f t="shared" si="28"/>
        <v/>
      </c>
      <c r="J189" s="24" t="e">
        <f t="shared" si="29"/>
        <v>#VALUE!</v>
      </c>
    </row>
    <row r="190" spans="1:10">
      <c r="A190" s="23" t="str">
        <f t="shared" si="26"/>
        <v/>
      </c>
      <c r="B190" s="24" t="str">
        <f t="shared" si="30"/>
        <v/>
      </c>
      <c r="C190" s="44" t="str">
        <f t="shared" si="27"/>
        <v/>
      </c>
      <c r="D190" s="44" t="str">
        <f t="shared" si="21"/>
        <v/>
      </c>
      <c r="E190" s="44" t="str">
        <f t="shared" si="22"/>
        <v/>
      </c>
      <c r="F190" s="44" t="str">
        <f t="shared" si="23"/>
        <v/>
      </c>
      <c r="G190" s="44" t="str">
        <f t="shared" si="24"/>
        <v/>
      </c>
      <c r="H190" s="24" t="str">
        <f t="shared" si="25"/>
        <v/>
      </c>
      <c r="I190" s="24" t="str">
        <f t="shared" si="28"/>
        <v/>
      </c>
      <c r="J190" s="24" t="e">
        <f t="shared" si="29"/>
        <v>#VALUE!</v>
      </c>
    </row>
    <row r="191" spans="1:10">
      <c r="A191" s="23" t="str">
        <f t="shared" si="26"/>
        <v/>
      </c>
      <c r="B191" s="24" t="str">
        <f t="shared" si="30"/>
        <v/>
      </c>
      <c r="C191" s="44" t="str">
        <f t="shared" si="27"/>
        <v/>
      </c>
      <c r="D191" s="44" t="str">
        <f t="shared" si="21"/>
        <v/>
      </c>
      <c r="E191" s="44" t="str">
        <f t="shared" si="22"/>
        <v/>
      </c>
      <c r="F191" s="44" t="str">
        <f t="shared" si="23"/>
        <v/>
      </c>
      <c r="G191" s="44" t="str">
        <f t="shared" si="24"/>
        <v/>
      </c>
      <c r="H191" s="24" t="str">
        <f t="shared" si="25"/>
        <v/>
      </c>
      <c r="I191" s="24" t="str">
        <f t="shared" si="28"/>
        <v/>
      </c>
      <c r="J191" s="24" t="e">
        <f t="shared" si="29"/>
        <v>#VALUE!</v>
      </c>
    </row>
    <row r="192" spans="1:10">
      <c r="A192" s="23" t="str">
        <f t="shared" si="26"/>
        <v/>
      </c>
      <c r="B192" s="24" t="str">
        <f t="shared" si="30"/>
        <v/>
      </c>
      <c r="C192" s="44" t="str">
        <f t="shared" si="27"/>
        <v/>
      </c>
      <c r="D192" s="44" t="str">
        <f t="shared" si="21"/>
        <v/>
      </c>
      <c r="E192" s="44" t="str">
        <f t="shared" si="22"/>
        <v/>
      </c>
      <c r="F192" s="44" t="str">
        <f t="shared" si="23"/>
        <v/>
      </c>
      <c r="G192" s="44" t="str">
        <f t="shared" si="24"/>
        <v/>
      </c>
      <c r="H192" s="24" t="str">
        <f t="shared" si="25"/>
        <v/>
      </c>
      <c r="I192" s="24" t="str">
        <f t="shared" si="28"/>
        <v/>
      </c>
      <c r="J192" s="24" t="e">
        <f t="shared" si="29"/>
        <v>#VALUE!</v>
      </c>
    </row>
    <row r="193" spans="1:10">
      <c r="A193" s="23" t="str">
        <f t="shared" si="26"/>
        <v/>
      </c>
      <c r="B193" s="24" t="str">
        <f t="shared" si="30"/>
        <v/>
      </c>
      <c r="C193" s="44" t="str">
        <f t="shared" si="27"/>
        <v/>
      </c>
      <c r="D193" s="44" t="str">
        <f t="shared" si="21"/>
        <v/>
      </c>
      <c r="E193" s="44" t="str">
        <f t="shared" si="22"/>
        <v/>
      </c>
      <c r="F193" s="44" t="str">
        <f t="shared" si="23"/>
        <v/>
      </c>
      <c r="G193" s="44" t="str">
        <f t="shared" si="24"/>
        <v/>
      </c>
      <c r="H193" s="24" t="str">
        <f t="shared" si="25"/>
        <v/>
      </c>
      <c r="I193" s="24" t="str">
        <f t="shared" si="28"/>
        <v/>
      </c>
      <c r="J193" s="24" t="e">
        <f t="shared" si="29"/>
        <v>#VALUE!</v>
      </c>
    </row>
    <row r="194" spans="1:10">
      <c r="A194" s="23" t="str">
        <f t="shared" si="26"/>
        <v/>
      </c>
      <c r="B194" s="24" t="str">
        <f t="shared" si="30"/>
        <v/>
      </c>
      <c r="C194" s="44" t="str">
        <f t="shared" si="27"/>
        <v/>
      </c>
      <c r="D194" s="44" t="str">
        <f t="shared" si="21"/>
        <v/>
      </c>
      <c r="E194" s="44" t="str">
        <f t="shared" si="22"/>
        <v/>
      </c>
      <c r="F194" s="44" t="str">
        <f t="shared" si="23"/>
        <v/>
      </c>
      <c r="G194" s="44" t="str">
        <f t="shared" si="24"/>
        <v/>
      </c>
      <c r="H194" s="24" t="str">
        <f t="shared" si="25"/>
        <v/>
      </c>
      <c r="I194" s="24" t="str">
        <f t="shared" si="28"/>
        <v/>
      </c>
      <c r="J194" s="24" t="e">
        <f t="shared" si="29"/>
        <v>#VALUE!</v>
      </c>
    </row>
    <row r="195" spans="1:10">
      <c r="A195" s="23" t="str">
        <f t="shared" si="26"/>
        <v/>
      </c>
      <c r="B195" s="24" t="str">
        <f t="shared" si="30"/>
        <v/>
      </c>
      <c r="C195" s="44" t="str">
        <f t="shared" si="27"/>
        <v/>
      </c>
      <c r="D195" s="44" t="str">
        <f t="shared" si="21"/>
        <v/>
      </c>
      <c r="E195" s="44" t="str">
        <f t="shared" si="22"/>
        <v/>
      </c>
      <c r="F195" s="44" t="str">
        <f t="shared" si="23"/>
        <v/>
      </c>
      <c r="G195" s="44" t="str">
        <f t="shared" si="24"/>
        <v/>
      </c>
      <c r="H195" s="24" t="str">
        <f t="shared" si="25"/>
        <v/>
      </c>
      <c r="I195" s="24" t="str">
        <f t="shared" si="28"/>
        <v/>
      </c>
      <c r="J195" s="24" t="e">
        <f t="shared" si="29"/>
        <v>#VALUE!</v>
      </c>
    </row>
    <row r="196" spans="1:10">
      <c r="A196" s="23" t="str">
        <f t="shared" si="26"/>
        <v/>
      </c>
      <c r="B196" s="24" t="str">
        <f t="shared" si="30"/>
        <v/>
      </c>
      <c r="C196" s="44" t="str">
        <f t="shared" si="27"/>
        <v/>
      </c>
      <c r="D196" s="44" t="str">
        <f t="shared" si="21"/>
        <v/>
      </c>
      <c r="E196" s="44" t="str">
        <f t="shared" si="22"/>
        <v/>
      </c>
      <c r="F196" s="44" t="str">
        <f t="shared" si="23"/>
        <v/>
      </c>
      <c r="G196" s="44" t="str">
        <f t="shared" si="24"/>
        <v/>
      </c>
      <c r="H196" s="24" t="str">
        <f t="shared" si="25"/>
        <v/>
      </c>
      <c r="I196" s="24" t="str">
        <f t="shared" si="28"/>
        <v/>
      </c>
      <c r="J196" s="24" t="e">
        <f t="shared" si="29"/>
        <v>#VALUE!</v>
      </c>
    </row>
    <row r="197" spans="1:10">
      <c r="A197" s="23" t="str">
        <f t="shared" si="26"/>
        <v/>
      </c>
      <c r="B197" s="24" t="str">
        <f t="shared" si="30"/>
        <v/>
      </c>
      <c r="C197" s="44" t="str">
        <f t="shared" si="27"/>
        <v/>
      </c>
      <c r="D197" s="44" t="str">
        <f t="shared" si="21"/>
        <v/>
      </c>
      <c r="E197" s="44" t="str">
        <f t="shared" si="22"/>
        <v/>
      </c>
      <c r="F197" s="44" t="str">
        <f t="shared" si="23"/>
        <v/>
      </c>
      <c r="G197" s="44" t="str">
        <f t="shared" si="24"/>
        <v/>
      </c>
      <c r="H197" s="24" t="str">
        <f t="shared" si="25"/>
        <v/>
      </c>
      <c r="I197" s="24" t="str">
        <f t="shared" si="28"/>
        <v/>
      </c>
      <c r="J197" s="24" t="e">
        <f t="shared" si="29"/>
        <v>#VALUE!</v>
      </c>
    </row>
    <row r="198" spans="1:10">
      <c r="A198" s="23" t="str">
        <f t="shared" si="26"/>
        <v/>
      </c>
      <c r="B198" s="24" t="str">
        <f t="shared" si="30"/>
        <v/>
      </c>
      <c r="C198" s="44" t="str">
        <f t="shared" si="27"/>
        <v/>
      </c>
      <c r="D198" s="44" t="str">
        <f t="shared" si="21"/>
        <v/>
      </c>
      <c r="E198" s="44" t="str">
        <f t="shared" si="22"/>
        <v/>
      </c>
      <c r="F198" s="44" t="str">
        <f t="shared" si="23"/>
        <v/>
      </c>
      <c r="G198" s="44" t="str">
        <f t="shared" si="24"/>
        <v/>
      </c>
      <c r="H198" s="24" t="str">
        <f t="shared" si="25"/>
        <v/>
      </c>
      <c r="I198" s="24" t="str">
        <f t="shared" si="28"/>
        <v/>
      </c>
      <c r="J198" s="24" t="e">
        <f t="shared" si="29"/>
        <v>#VALUE!</v>
      </c>
    </row>
    <row r="199" spans="1:10">
      <c r="A199" s="23" t="str">
        <f t="shared" si="26"/>
        <v/>
      </c>
      <c r="B199" s="24" t="str">
        <f t="shared" si="30"/>
        <v/>
      </c>
      <c r="C199" s="44" t="str">
        <f t="shared" si="27"/>
        <v/>
      </c>
      <c r="D199" s="44" t="str">
        <f t="shared" si="21"/>
        <v/>
      </c>
      <c r="E199" s="44" t="str">
        <f t="shared" si="22"/>
        <v/>
      </c>
      <c r="F199" s="44" t="str">
        <f t="shared" si="23"/>
        <v/>
      </c>
      <c r="G199" s="44" t="str">
        <f t="shared" si="24"/>
        <v/>
      </c>
      <c r="H199" s="24" t="str">
        <f t="shared" si="25"/>
        <v/>
      </c>
      <c r="I199" s="24" t="str">
        <f t="shared" si="28"/>
        <v/>
      </c>
      <c r="J199" s="24" t="e">
        <f t="shared" si="29"/>
        <v>#VALUE!</v>
      </c>
    </row>
    <row r="200" spans="1:10">
      <c r="A200" s="23" t="str">
        <f t="shared" si="26"/>
        <v/>
      </c>
      <c r="B200" s="24" t="str">
        <f t="shared" si="30"/>
        <v/>
      </c>
      <c r="C200" s="44" t="str">
        <f t="shared" si="27"/>
        <v/>
      </c>
      <c r="D200" s="44" t="str">
        <f t="shared" si="21"/>
        <v/>
      </c>
      <c r="E200" s="44" t="str">
        <f t="shared" si="22"/>
        <v/>
      </c>
      <c r="F200" s="44" t="str">
        <f t="shared" si="23"/>
        <v/>
      </c>
      <c r="G200" s="44" t="str">
        <f t="shared" si="24"/>
        <v/>
      </c>
      <c r="H200" s="24" t="str">
        <f t="shared" si="25"/>
        <v/>
      </c>
      <c r="I200" s="24" t="str">
        <f t="shared" si="28"/>
        <v/>
      </c>
      <c r="J200" s="24" t="e">
        <f t="shared" si="29"/>
        <v>#VALUE!</v>
      </c>
    </row>
    <row r="201" spans="1:10">
      <c r="A201" s="23" t="str">
        <f t="shared" si="26"/>
        <v/>
      </c>
      <c r="B201" s="24" t="str">
        <f t="shared" si="30"/>
        <v/>
      </c>
      <c r="C201" s="44" t="str">
        <f t="shared" si="27"/>
        <v/>
      </c>
      <c r="D201" s="44" t="str">
        <f t="shared" si="21"/>
        <v/>
      </c>
      <c r="E201" s="44" t="str">
        <f t="shared" si="22"/>
        <v/>
      </c>
      <c r="F201" s="44" t="str">
        <f t="shared" si="23"/>
        <v/>
      </c>
      <c r="G201" s="44" t="str">
        <f t="shared" si="24"/>
        <v/>
      </c>
      <c r="H201" s="24" t="str">
        <f t="shared" si="25"/>
        <v/>
      </c>
      <c r="I201" s="24" t="str">
        <f t="shared" si="28"/>
        <v/>
      </c>
      <c r="J201" s="24" t="e">
        <f t="shared" si="29"/>
        <v>#VALUE!</v>
      </c>
    </row>
    <row r="202" spans="1:10">
      <c r="A202" s="23" t="str">
        <f t="shared" si="26"/>
        <v/>
      </c>
      <c r="B202" s="24" t="str">
        <f t="shared" si="30"/>
        <v/>
      </c>
      <c r="C202" s="44" t="str">
        <f t="shared" si="27"/>
        <v/>
      </c>
      <c r="D202" s="44" t="str">
        <f t="shared" si="21"/>
        <v/>
      </c>
      <c r="E202" s="44" t="str">
        <f t="shared" si="22"/>
        <v/>
      </c>
      <c r="F202" s="44" t="str">
        <f t="shared" si="23"/>
        <v/>
      </c>
      <c r="G202" s="44" t="str">
        <f t="shared" si="24"/>
        <v/>
      </c>
      <c r="H202" s="24" t="str">
        <f t="shared" si="25"/>
        <v/>
      </c>
      <c r="I202" s="24" t="str">
        <f t="shared" si="28"/>
        <v/>
      </c>
      <c r="J202" s="24" t="e">
        <f t="shared" si="29"/>
        <v>#VALUE!</v>
      </c>
    </row>
    <row r="203" spans="1:10">
      <c r="A203" s="23" t="str">
        <f t="shared" si="26"/>
        <v/>
      </c>
      <c r="B203" s="24" t="str">
        <f t="shared" si="30"/>
        <v/>
      </c>
      <c r="C203" s="44" t="str">
        <f t="shared" si="27"/>
        <v/>
      </c>
      <c r="D203" s="44" t="str">
        <f t="shared" si="21"/>
        <v/>
      </c>
      <c r="E203" s="44" t="str">
        <f t="shared" si="22"/>
        <v/>
      </c>
      <c r="F203" s="44" t="str">
        <f t="shared" si="23"/>
        <v/>
      </c>
      <c r="G203" s="44" t="str">
        <f t="shared" si="24"/>
        <v/>
      </c>
      <c r="H203" s="24" t="str">
        <f t="shared" si="25"/>
        <v/>
      </c>
      <c r="I203" s="24" t="str">
        <f t="shared" si="28"/>
        <v/>
      </c>
      <c r="J203" s="24" t="e">
        <f t="shared" si="29"/>
        <v>#VALUE!</v>
      </c>
    </row>
    <row r="204" spans="1:10">
      <c r="A204" s="23" t="str">
        <f t="shared" si="26"/>
        <v/>
      </c>
      <c r="B204" s="24" t="str">
        <f t="shared" si="30"/>
        <v/>
      </c>
      <c r="C204" s="44" t="str">
        <f t="shared" si="27"/>
        <v/>
      </c>
      <c r="D204" s="44" t="str">
        <f t="shared" ref="D204:D267" si="31">IF(A204&lt;=tc,$H$4*A204,IF(A204&lt;=2*tc,Qmax-$H$4*(A204-tc),""))</f>
        <v/>
      </c>
      <c r="E204" s="44" t="str">
        <f t="shared" ref="E204:E267" si="32">IF(A204&lt;=tc_1,$H$5*A204,IF(A204&lt;=tc,Q_max_i,IF(A204&lt;=tc_1+tc,Q_max_i-$H$5*(A204-(tc)),"")))</f>
        <v/>
      </c>
      <c r="F204" s="44" t="str">
        <f t="shared" ref="F204:F267" si="33">IF(A204="","",IF(ISERROR(D204/(Area*10^2)),"",D204/(Area*10^2)))</f>
        <v/>
      </c>
      <c r="G204" s="44" t="str">
        <f t="shared" ref="G204:G267" si="34">IF(A204="","",IF(ISERROR(E204/(Ad_i*10^2)),"",E204/(Ad_i*10^2)))</f>
        <v/>
      </c>
      <c r="H204" s="24" t="str">
        <f t="shared" ref="H204:H267" si="35">IF(G204="","",IF(ISERROR(G204*alot_i/100),"",G204*alot_i/100))</f>
        <v/>
      </c>
      <c r="I204" s="24" t="str">
        <f t="shared" si="28"/>
        <v/>
      </c>
      <c r="J204" s="24" t="e">
        <f t="shared" si="29"/>
        <v>#VALUE!</v>
      </c>
    </row>
    <row r="205" spans="1:10">
      <c r="A205" s="23" t="str">
        <f t="shared" ref="A205:A268" si="36">IF(ISERROR(IF(A204+Passo&lt;=tc+tc,A204+Passo,"")),"",IF(A204+Passo&lt;=tc+tc,A204+Passo,""))</f>
        <v/>
      </c>
      <c r="B205" s="24" t="str">
        <f t="shared" si="30"/>
        <v/>
      </c>
      <c r="C205" s="44" t="str">
        <f t="shared" ref="C205:C268" si="37">IF(ISERROR(IF(A205="","",C204+AVERAGE(B204:B205)*Passo*60/1000)),C204,IF(A205="","",C204+AVERAGE(B204:B205)*Passo*60/1000))</f>
        <v/>
      </c>
      <c r="D205" s="44" t="str">
        <f t="shared" si="31"/>
        <v/>
      </c>
      <c r="E205" s="44" t="str">
        <f t="shared" si="32"/>
        <v/>
      </c>
      <c r="F205" s="44" t="str">
        <f t="shared" si="33"/>
        <v/>
      </c>
      <c r="G205" s="44" t="str">
        <f t="shared" si="34"/>
        <v/>
      </c>
      <c r="H205" s="24" t="str">
        <f t="shared" si="35"/>
        <v/>
      </c>
      <c r="I205" s="24" t="str">
        <f t="shared" ref="I205:I268" si="38">IF(A205="","",IF(ISERROR(E205-H205),0,E205-H205))</f>
        <v/>
      </c>
      <c r="J205" s="24" t="e">
        <f t="shared" ref="J205:J268" si="39">I205+B205</f>
        <v>#VALUE!</v>
      </c>
    </row>
    <row r="206" spans="1:10">
      <c r="A206" s="23" t="str">
        <f t="shared" si="36"/>
        <v/>
      </c>
      <c r="B206" s="24" t="str">
        <f t="shared" ref="B206:B269" si="40">IF(ISERROR(IF(A206&lt;=tc_lot_i,declividade_afluente*A206,IF(A206&lt;=tc,Qmax_lot_i,IF(A206&lt;=tc+tc_lot_i,Qmax_lot_i-declividade_afluente*(A206-tc),"")))),"",IF(A206&lt;=tc_lot_i,declividade_afluente*A206,IF(A206&lt;=tc,Qmax_lot_i,IF(A206&lt;=tc+tc_lot_i,Qmax_lot_i-declividade_afluente*(A206-tc),""))))</f>
        <v/>
      </c>
      <c r="C206" s="44" t="str">
        <f t="shared" si="37"/>
        <v/>
      </c>
      <c r="D206" s="44" t="str">
        <f t="shared" si="31"/>
        <v/>
      </c>
      <c r="E206" s="44" t="str">
        <f t="shared" si="32"/>
        <v/>
      </c>
      <c r="F206" s="44" t="str">
        <f t="shared" si="33"/>
        <v/>
      </c>
      <c r="G206" s="44" t="str">
        <f t="shared" si="34"/>
        <v/>
      </c>
      <c r="H206" s="24" t="str">
        <f t="shared" si="35"/>
        <v/>
      </c>
      <c r="I206" s="24" t="str">
        <f t="shared" si="38"/>
        <v/>
      </c>
      <c r="J206" s="24" t="e">
        <f t="shared" si="39"/>
        <v>#VALUE!</v>
      </c>
    </row>
    <row r="207" spans="1:10">
      <c r="A207" s="23" t="str">
        <f t="shared" si="36"/>
        <v/>
      </c>
      <c r="B207" s="24" t="str">
        <f t="shared" si="40"/>
        <v/>
      </c>
      <c r="C207" s="44" t="str">
        <f t="shared" si="37"/>
        <v/>
      </c>
      <c r="D207" s="44" t="str">
        <f t="shared" si="31"/>
        <v/>
      </c>
      <c r="E207" s="44" t="str">
        <f t="shared" si="32"/>
        <v/>
      </c>
      <c r="F207" s="44" t="str">
        <f t="shared" si="33"/>
        <v/>
      </c>
      <c r="G207" s="44" t="str">
        <f t="shared" si="34"/>
        <v/>
      </c>
      <c r="H207" s="24" t="str">
        <f t="shared" si="35"/>
        <v/>
      </c>
      <c r="I207" s="24" t="str">
        <f t="shared" si="38"/>
        <v/>
      </c>
      <c r="J207" s="24" t="e">
        <f t="shared" si="39"/>
        <v>#VALUE!</v>
      </c>
    </row>
    <row r="208" spans="1:10">
      <c r="A208" s="23" t="str">
        <f t="shared" si="36"/>
        <v/>
      </c>
      <c r="B208" s="24" t="str">
        <f t="shared" si="40"/>
        <v/>
      </c>
      <c r="C208" s="44" t="str">
        <f t="shared" si="37"/>
        <v/>
      </c>
      <c r="D208" s="44" t="str">
        <f t="shared" si="31"/>
        <v/>
      </c>
      <c r="E208" s="44" t="str">
        <f t="shared" si="32"/>
        <v/>
      </c>
      <c r="F208" s="44" t="str">
        <f t="shared" si="33"/>
        <v/>
      </c>
      <c r="G208" s="44" t="str">
        <f t="shared" si="34"/>
        <v/>
      </c>
      <c r="H208" s="24" t="str">
        <f t="shared" si="35"/>
        <v/>
      </c>
      <c r="I208" s="24" t="str">
        <f t="shared" si="38"/>
        <v/>
      </c>
      <c r="J208" s="24" t="e">
        <f t="shared" si="39"/>
        <v>#VALUE!</v>
      </c>
    </row>
    <row r="209" spans="1:10">
      <c r="A209" s="23" t="str">
        <f t="shared" si="36"/>
        <v/>
      </c>
      <c r="B209" s="24" t="str">
        <f t="shared" si="40"/>
        <v/>
      </c>
      <c r="C209" s="44" t="str">
        <f t="shared" si="37"/>
        <v/>
      </c>
      <c r="D209" s="44" t="str">
        <f t="shared" si="31"/>
        <v/>
      </c>
      <c r="E209" s="44" t="str">
        <f t="shared" si="32"/>
        <v/>
      </c>
      <c r="F209" s="44" t="str">
        <f t="shared" si="33"/>
        <v/>
      </c>
      <c r="G209" s="44" t="str">
        <f t="shared" si="34"/>
        <v/>
      </c>
      <c r="H209" s="24" t="str">
        <f t="shared" si="35"/>
        <v/>
      </c>
      <c r="I209" s="24" t="str">
        <f t="shared" si="38"/>
        <v/>
      </c>
      <c r="J209" s="24" t="e">
        <f t="shared" si="39"/>
        <v>#VALUE!</v>
      </c>
    </row>
    <row r="210" spans="1:10">
      <c r="A210" s="23" t="str">
        <f t="shared" si="36"/>
        <v/>
      </c>
      <c r="B210" s="24" t="str">
        <f t="shared" si="40"/>
        <v/>
      </c>
      <c r="C210" s="44" t="str">
        <f t="shared" si="37"/>
        <v/>
      </c>
      <c r="D210" s="44" t="str">
        <f t="shared" si="31"/>
        <v/>
      </c>
      <c r="E210" s="44" t="str">
        <f t="shared" si="32"/>
        <v/>
      </c>
      <c r="F210" s="44" t="str">
        <f t="shared" si="33"/>
        <v/>
      </c>
      <c r="G210" s="44" t="str">
        <f t="shared" si="34"/>
        <v/>
      </c>
      <c r="H210" s="24" t="str">
        <f t="shared" si="35"/>
        <v/>
      </c>
      <c r="I210" s="24" t="str">
        <f t="shared" si="38"/>
        <v/>
      </c>
      <c r="J210" s="24" t="e">
        <f t="shared" si="39"/>
        <v>#VALUE!</v>
      </c>
    </row>
    <row r="211" spans="1:10">
      <c r="A211" s="23" t="str">
        <f t="shared" si="36"/>
        <v/>
      </c>
      <c r="B211" s="24" t="str">
        <f t="shared" si="40"/>
        <v/>
      </c>
      <c r="C211" s="44" t="str">
        <f t="shared" si="37"/>
        <v/>
      </c>
      <c r="D211" s="44" t="str">
        <f t="shared" si="31"/>
        <v/>
      </c>
      <c r="E211" s="44" t="str">
        <f t="shared" si="32"/>
        <v/>
      </c>
      <c r="F211" s="44" t="str">
        <f t="shared" si="33"/>
        <v/>
      </c>
      <c r="G211" s="44" t="str">
        <f t="shared" si="34"/>
        <v/>
      </c>
      <c r="H211" s="24" t="str">
        <f t="shared" si="35"/>
        <v/>
      </c>
      <c r="I211" s="24" t="str">
        <f t="shared" si="38"/>
        <v/>
      </c>
      <c r="J211" s="24" t="e">
        <f t="shared" si="39"/>
        <v>#VALUE!</v>
      </c>
    </row>
    <row r="212" spans="1:10">
      <c r="A212" s="23" t="str">
        <f t="shared" si="36"/>
        <v/>
      </c>
      <c r="B212" s="24" t="str">
        <f t="shared" si="40"/>
        <v/>
      </c>
      <c r="C212" s="44" t="str">
        <f t="shared" si="37"/>
        <v/>
      </c>
      <c r="D212" s="44" t="str">
        <f t="shared" si="31"/>
        <v/>
      </c>
      <c r="E212" s="44" t="str">
        <f t="shared" si="32"/>
        <v/>
      </c>
      <c r="F212" s="44" t="str">
        <f t="shared" si="33"/>
        <v/>
      </c>
      <c r="G212" s="44" t="str">
        <f t="shared" si="34"/>
        <v/>
      </c>
      <c r="H212" s="24" t="str">
        <f t="shared" si="35"/>
        <v/>
      </c>
      <c r="I212" s="24" t="str">
        <f t="shared" si="38"/>
        <v/>
      </c>
      <c r="J212" s="24" t="e">
        <f t="shared" si="39"/>
        <v>#VALUE!</v>
      </c>
    </row>
    <row r="213" spans="1:10">
      <c r="A213" s="23" t="str">
        <f t="shared" si="36"/>
        <v/>
      </c>
      <c r="B213" s="24" t="str">
        <f t="shared" si="40"/>
        <v/>
      </c>
      <c r="C213" s="44" t="str">
        <f t="shared" si="37"/>
        <v/>
      </c>
      <c r="D213" s="44" t="str">
        <f t="shared" si="31"/>
        <v/>
      </c>
      <c r="E213" s="44" t="str">
        <f t="shared" si="32"/>
        <v/>
      </c>
      <c r="F213" s="44" t="str">
        <f t="shared" si="33"/>
        <v/>
      </c>
      <c r="G213" s="44" t="str">
        <f t="shared" si="34"/>
        <v/>
      </c>
      <c r="H213" s="24" t="str">
        <f t="shared" si="35"/>
        <v/>
      </c>
      <c r="I213" s="24" t="str">
        <f t="shared" si="38"/>
        <v/>
      </c>
      <c r="J213" s="24" t="e">
        <f t="shared" si="39"/>
        <v>#VALUE!</v>
      </c>
    </row>
    <row r="214" spans="1:10">
      <c r="A214" s="23" t="str">
        <f t="shared" si="36"/>
        <v/>
      </c>
      <c r="B214" s="24" t="str">
        <f t="shared" si="40"/>
        <v/>
      </c>
      <c r="C214" s="44" t="str">
        <f t="shared" si="37"/>
        <v/>
      </c>
      <c r="D214" s="44" t="str">
        <f t="shared" si="31"/>
        <v/>
      </c>
      <c r="E214" s="44" t="str">
        <f t="shared" si="32"/>
        <v/>
      </c>
      <c r="F214" s="44" t="str">
        <f t="shared" si="33"/>
        <v/>
      </c>
      <c r="G214" s="44" t="str">
        <f t="shared" si="34"/>
        <v/>
      </c>
      <c r="H214" s="24" t="str">
        <f t="shared" si="35"/>
        <v/>
      </c>
      <c r="I214" s="24" t="str">
        <f t="shared" si="38"/>
        <v/>
      </c>
      <c r="J214" s="24" t="e">
        <f t="shared" si="39"/>
        <v>#VALUE!</v>
      </c>
    </row>
    <row r="215" spans="1:10">
      <c r="A215" s="23" t="str">
        <f t="shared" si="36"/>
        <v/>
      </c>
      <c r="B215" s="24" t="str">
        <f t="shared" si="40"/>
        <v/>
      </c>
      <c r="C215" s="44" t="str">
        <f t="shared" si="37"/>
        <v/>
      </c>
      <c r="D215" s="44" t="str">
        <f t="shared" si="31"/>
        <v/>
      </c>
      <c r="E215" s="44" t="str">
        <f t="shared" si="32"/>
        <v/>
      </c>
      <c r="F215" s="44" t="str">
        <f t="shared" si="33"/>
        <v/>
      </c>
      <c r="G215" s="44" t="str">
        <f t="shared" si="34"/>
        <v/>
      </c>
      <c r="H215" s="24" t="str">
        <f t="shared" si="35"/>
        <v/>
      </c>
      <c r="I215" s="24" t="str">
        <f t="shared" si="38"/>
        <v/>
      </c>
      <c r="J215" s="24" t="e">
        <f t="shared" si="39"/>
        <v>#VALUE!</v>
      </c>
    </row>
    <row r="216" spans="1:10">
      <c r="A216" s="23" t="str">
        <f t="shared" si="36"/>
        <v/>
      </c>
      <c r="B216" s="24" t="str">
        <f t="shared" si="40"/>
        <v/>
      </c>
      <c r="C216" s="44" t="str">
        <f t="shared" si="37"/>
        <v/>
      </c>
      <c r="D216" s="44" t="str">
        <f t="shared" si="31"/>
        <v/>
      </c>
      <c r="E216" s="44" t="str">
        <f t="shared" si="32"/>
        <v/>
      </c>
      <c r="F216" s="44" t="str">
        <f t="shared" si="33"/>
        <v/>
      </c>
      <c r="G216" s="44" t="str">
        <f t="shared" si="34"/>
        <v/>
      </c>
      <c r="H216" s="24" t="str">
        <f t="shared" si="35"/>
        <v/>
      </c>
      <c r="I216" s="24" t="str">
        <f t="shared" si="38"/>
        <v/>
      </c>
      <c r="J216" s="24" t="e">
        <f t="shared" si="39"/>
        <v>#VALUE!</v>
      </c>
    </row>
    <row r="217" spans="1:10">
      <c r="A217" s="23" t="str">
        <f t="shared" si="36"/>
        <v/>
      </c>
      <c r="B217" s="24" t="str">
        <f t="shared" si="40"/>
        <v/>
      </c>
      <c r="C217" s="44" t="str">
        <f t="shared" si="37"/>
        <v/>
      </c>
      <c r="D217" s="44" t="str">
        <f t="shared" si="31"/>
        <v/>
      </c>
      <c r="E217" s="44" t="str">
        <f t="shared" si="32"/>
        <v/>
      </c>
      <c r="F217" s="44" t="str">
        <f t="shared" si="33"/>
        <v/>
      </c>
      <c r="G217" s="44" t="str">
        <f t="shared" si="34"/>
        <v/>
      </c>
      <c r="H217" s="24" t="str">
        <f t="shared" si="35"/>
        <v/>
      </c>
      <c r="I217" s="24" t="str">
        <f t="shared" si="38"/>
        <v/>
      </c>
      <c r="J217" s="24" t="e">
        <f t="shared" si="39"/>
        <v>#VALUE!</v>
      </c>
    </row>
    <row r="218" spans="1:10">
      <c r="A218" s="23" t="str">
        <f t="shared" si="36"/>
        <v/>
      </c>
      <c r="B218" s="24" t="str">
        <f t="shared" si="40"/>
        <v/>
      </c>
      <c r="C218" s="44" t="str">
        <f t="shared" si="37"/>
        <v/>
      </c>
      <c r="D218" s="44" t="str">
        <f t="shared" si="31"/>
        <v/>
      </c>
      <c r="E218" s="44" t="str">
        <f t="shared" si="32"/>
        <v/>
      </c>
      <c r="F218" s="44" t="str">
        <f t="shared" si="33"/>
        <v/>
      </c>
      <c r="G218" s="44" t="str">
        <f t="shared" si="34"/>
        <v/>
      </c>
      <c r="H218" s="24" t="str">
        <f t="shared" si="35"/>
        <v/>
      </c>
      <c r="I218" s="24" t="str">
        <f t="shared" si="38"/>
        <v/>
      </c>
      <c r="J218" s="24" t="e">
        <f t="shared" si="39"/>
        <v>#VALUE!</v>
      </c>
    </row>
    <row r="219" spans="1:10">
      <c r="A219" s="23" t="str">
        <f t="shared" si="36"/>
        <v/>
      </c>
      <c r="B219" s="24" t="str">
        <f t="shared" si="40"/>
        <v/>
      </c>
      <c r="C219" s="44" t="str">
        <f t="shared" si="37"/>
        <v/>
      </c>
      <c r="D219" s="44" t="str">
        <f t="shared" si="31"/>
        <v/>
      </c>
      <c r="E219" s="44" t="str">
        <f t="shared" si="32"/>
        <v/>
      </c>
      <c r="F219" s="44" t="str">
        <f t="shared" si="33"/>
        <v/>
      </c>
      <c r="G219" s="44" t="str">
        <f t="shared" si="34"/>
        <v/>
      </c>
      <c r="H219" s="24" t="str">
        <f t="shared" si="35"/>
        <v/>
      </c>
      <c r="I219" s="24" t="str">
        <f t="shared" si="38"/>
        <v/>
      </c>
      <c r="J219" s="24" t="e">
        <f t="shared" si="39"/>
        <v>#VALUE!</v>
      </c>
    </row>
    <row r="220" spans="1:10">
      <c r="A220" s="23" t="str">
        <f t="shared" si="36"/>
        <v/>
      </c>
      <c r="B220" s="24" t="str">
        <f t="shared" si="40"/>
        <v/>
      </c>
      <c r="C220" s="44" t="str">
        <f t="shared" si="37"/>
        <v/>
      </c>
      <c r="D220" s="44" t="str">
        <f t="shared" si="31"/>
        <v/>
      </c>
      <c r="E220" s="44" t="str">
        <f t="shared" si="32"/>
        <v/>
      </c>
      <c r="F220" s="44" t="str">
        <f t="shared" si="33"/>
        <v/>
      </c>
      <c r="G220" s="44" t="str">
        <f t="shared" si="34"/>
        <v/>
      </c>
      <c r="H220" s="24" t="str">
        <f t="shared" si="35"/>
        <v/>
      </c>
      <c r="I220" s="24" t="str">
        <f t="shared" si="38"/>
        <v/>
      </c>
      <c r="J220" s="24" t="e">
        <f t="shared" si="39"/>
        <v>#VALUE!</v>
      </c>
    </row>
    <row r="221" spans="1:10">
      <c r="A221" s="23" t="str">
        <f t="shared" si="36"/>
        <v/>
      </c>
      <c r="B221" s="24" t="str">
        <f t="shared" si="40"/>
        <v/>
      </c>
      <c r="C221" s="44" t="str">
        <f t="shared" si="37"/>
        <v/>
      </c>
      <c r="D221" s="44" t="str">
        <f t="shared" si="31"/>
        <v/>
      </c>
      <c r="E221" s="44" t="str">
        <f t="shared" si="32"/>
        <v/>
      </c>
      <c r="F221" s="44" t="str">
        <f t="shared" si="33"/>
        <v/>
      </c>
      <c r="G221" s="44" t="str">
        <f t="shared" si="34"/>
        <v/>
      </c>
      <c r="H221" s="24" t="str">
        <f t="shared" si="35"/>
        <v/>
      </c>
      <c r="I221" s="24" t="str">
        <f t="shared" si="38"/>
        <v/>
      </c>
      <c r="J221" s="24" t="e">
        <f t="shared" si="39"/>
        <v>#VALUE!</v>
      </c>
    </row>
    <row r="222" spans="1:10">
      <c r="A222" s="23" t="str">
        <f t="shared" si="36"/>
        <v/>
      </c>
      <c r="B222" s="24" t="str">
        <f t="shared" si="40"/>
        <v/>
      </c>
      <c r="C222" s="44" t="str">
        <f t="shared" si="37"/>
        <v/>
      </c>
      <c r="D222" s="44" t="str">
        <f t="shared" si="31"/>
        <v/>
      </c>
      <c r="E222" s="44" t="str">
        <f t="shared" si="32"/>
        <v/>
      </c>
      <c r="F222" s="44" t="str">
        <f t="shared" si="33"/>
        <v/>
      </c>
      <c r="G222" s="44" t="str">
        <f t="shared" si="34"/>
        <v/>
      </c>
      <c r="H222" s="24" t="str">
        <f t="shared" si="35"/>
        <v/>
      </c>
      <c r="I222" s="24" t="str">
        <f t="shared" si="38"/>
        <v/>
      </c>
      <c r="J222" s="24" t="e">
        <f t="shared" si="39"/>
        <v>#VALUE!</v>
      </c>
    </row>
    <row r="223" spans="1:10">
      <c r="A223" s="23" t="str">
        <f t="shared" si="36"/>
        <v/>
      </c>
      <c r="B223" s="24" t="str">
        <f t="shared" si="40"/>
        <v/>
      </c>
      <c r="C223" s="44" t="str">
        <f t="shared" si="37"/>
        <v/>
      </c>
      <c r="D223" s="44" t="str">
        <f t="shared" si="31"/>
        <v/>
      </c>
      <c r="E223" s="44" t="str">
        <f t="shared" si="32"/>
        <v/>
      </c>
      <c r="F223" s="44" t="str">
        <f t="shared" si="33"/>
        <v/>
      </c>
      <c r="G223" s="44" t="str">
        <f t="shared" si="34"/>
        <v/>
      </c>
      <c r="H223" s="24" t="str">
        <f t="shared" si="35"/>
        <v/>
      </c>
      <c r="I223" s="24" t="str">
        <f t="shared" si="38"/>
        <v/>
      </c>
      <c r="J223" s="24" t="e">
        <f t="shared" si="39"/>
        <v>#VALUE!</v>
      </c>
    </row>
    <row r="224" spans="1:10">
      <c r="A224" s="23" t="str">
        <f t="shared" si="36"/>
        <v/>
      </c>
      <c r="B224" s="24" t="str">
        <f t="shared" si="40"/>
        <v/>
      </c>
      <c r="C224" s="44" t="str">
        <f t="shared" si="37"/>
        <v/>
      </c>
      <c r="D224" s="44" t="str">
        <f t="shared" si="31"/>
        <v/>
      </c>
      <c r="E224" s="44" t="str">
        <f t="shared" si="32"/>
        <v/>
      </c>
      <c r="F224" s="44" t="str">
        <f t="shared" si="33"/>
        <v/>
      </c>
      <c r="G224" s="44" t="str">
        <f t="shared" si="34"/>
        <v/>
      </c>
      <c r="H224" s="24" t="str">
        <f t="shared" si="35"/>
        <v/>
      </c>
      <c r="I224" s="24" t="str">
        <f t="shared" si="38"/>
        <v/>
      </c>
      <c r="J224" s="24" t="e">
        <f t="shared" si="39"/>
        <v>#VALUE!</v>
      </c>
    </row>
    <row r="225" spans="1:10">
      <c r="A225" s="23" t="str">
        <f t="shared" si="36"/>
        <v/>
      </c>
      <c r="B225" s="24" t="str">
        <f t="shared" si="40"/>
        <v/>
      </c>
      <c r="C225" s="44" t="str">
        <f t="shared" si="37"/>
        <v/>
      </c>
      <c r="D225" s="44" t="str">
        <f t="shared" si="31"/>
        <v/>
      </c>
      <c r="E225" s="44" t="str">
        <f t="shared" si="32"/>
        <v/>
      </c>
      <c r="F225" s="44" t="str">
        <f t="shared" si="33"/>
        <v/>
      </c>
      <c r="G225" s="44" t="str">
        <f t="shared" si="34"/>
        <v/>
      </c>
      <c r="H225" s="24" t="str">
        <f t="shared" si="35"/>
        <v/>
      </c>
      <c r="I225" s="24" t="str">
        <f t="shared" si="38"/>
        <v/>
      </c>
      <c r="J225" s="24" t="e">
        <f t="shared" si="39"/>
        <v>#VALUE!</v>
      </c>
    </row>
    <row r="226" spans="1:10">
      <c r="A226" s="23" t="str">
        <f t="shared" si="36"/>
        <v/>
      </c>
      <c r="B226" s="24" t="str">
        <f t="shared" si="40"/>
        <v/>
      </c>
      <c r="C226" s="44" t="str">
        <f t="shared" si="37"/>
        <v/>
      </c>
      <c r="D226" s="44" t="str">
        <f t="shared" si="31"/>
        <v/>
      </c>
      <c r="E226" s="44" t="str">
        <f t="shared" si="32"/>
        <v/>
      </c>
      <c r="F226" s="44" t="str">
        <f t="shared" si="33"/>
        <v/>
      </c>
      <c r="G226" s="44" t="str">
        <f t="shared" si="34"/>
        <v/>
      </c>
      <c r="H226" s="24" t="str">
        <f t="shared" si="35"/>
        <v/>
      </c>
      <c r="I226" s="24" t="str">
        <f t="shared" si="38"/>
        <v/>
      </c>
      <c r="J226" s="24" t="e">
        <f t="shared" si="39"/>
        <v>#VALUE!</v>
      </c>
    </row>
    <row r="227" spans="1:10">
      <c r="A227" s="23" t="str">
        <f t="shared" si="36"/>
        <v/>
      </c>
      <c r="B227" s="24" t="str">
        <f t="shared" si="40"/>
        <v/>
      </c>
      <c r="C227" s="44" t="str">
        <f t="shared" si="37"/>
        <v/>
      </c>
      <c r="D227" s="44" t="str">
        <f t="shared" si="31"/>
        <v/>
      </c>
      <c r="E227" s="44" t="str">
        <f t="shared" si="32"/>
        <v/>
      </c>
      <c r="F227" s="44" t="str">
        <f t="shared" si="33"/>
        <v/>
      </c>
      <c r="G227" s="44" t="str">
        <f t="shared" si="34"/>
        <v/>
      </c>
      <c r="H227" s="24" t="str">
        <f t="shared" si="35"/>
        <v/>
      </c>
      <c r="I227" s="24" t="str">
        <f t="shared" si="38"/>
        <v/>
      </c>
      <c r="J227" s="24" t="e">
        <f t="shared" si="39"/>
        <v>#VALUE!</v>
      </c>
    </row>
    <row r="228" spans="1:10">
      <c r="A228" s="23" t="str">
        <f t="shared" si="36"/>
        <v/>
      </c>
      <c r="B228" s="24" t="str">
        <f t="shared" si="40"/>
        <v/>
      </c>
      <c r="C228" s="44" t="str">
        <f t="shared" si="37"/>
        <v/>
      </c>
      <c r="D228" s="44" t="str">
        <f t="shared" si="31"/>
        <v/>
      </c>
      <c r="E228" s="44" t="str">
        <f t="shared" si="32"/>
        <v/>
      </c>
      <c r="F228" s="44" t="str">
        <f t="shared" si="33"/>
        <v/>
      </c>
      <c r="G228" s="44" t="str">
        <f t="shared" si="34"/>
        <v/>
      </c>
      <c r="H228" s="24" t="str">
        <f t="shared" si="35"/>
        <v/>
      </c>
      <c r="I228" s="24" t="str">
        <f t="shared" si="38"/>
        <v/>
      </c>
      <c r="J228" s="24" t="e">
        <f t="shared" si="39"/>
        <v>#VALUE!</v>
      </c>
    </row>
    <row r="229" spans="1:10">
      <c r="A229" s="23" t="str">
        <f t="shared" si="36"/>
        <v/>
      </c>
      <c r="B229" s="24" t="str">
        <f t="shared" si="40"/>
        <v/>
      </c>
      <c r="C229" s="44" t="str">
        <f t="shared" si="37"/>
        <v/>
      </c>
      <c r="D229" s="44" t="str">
        <f t="shared" si="31"/>
        <v/>
      </c>
      <c r="E229" s="44" t="str">
        <f t="shared" si="32"/>
        <v/>
      </c>
      <c r="F229" s="44" t="str">
        <f t="shared" si="33"/>
        <v/>
      </c>
      <c r="G229" s="44" t="str">
        <f t="shared" si="34"/>
        <v/>
      </c>
      <c r="H229" s="24" t="str">
        <f t="shared" si="35"/>
        <v/>
      </c>
      <c r="I229" s="24" t="str">
        <f t="shared" si="38"/>
        <v/>
      </c>
      <c r="J229" s="24" t="e">
        <f t="shared" si="39"/>
        <v>#VALUE!</v>
      </c>
    </row>
    <row r="230" spans="1:10">
      <c r="A230" s="23" t="str">
        <f t="shared" si="36"/>
        <v/>
      </c>
      <c r="B230" s="24" t="str">
        <f t="shared" si="40"/>
        <v/>
      </c>
      <c r="C230" s="44" t="str">
        <f t="shared" si="37"/>
        <v/>
      </c>
      <c r="D230" s="44" t="str">
        <f t="shared" si="31"/>
        <v/>
      </c>
      <c r="E230" s="44" t="str">
        <f t="shared" si="32"/>
        <v/>
      </c>
      <c r="F230" s="44" t="str">
        <f t="shared" si="33"/>
        <v/>
      </c>
      <c r="G230" s="44" t="str">
        <f t="shared" si="34"/>
        <v/>
      </c>
      <c r="H230" s="24" t="str">
        <f t="shared" si="35"/>
        <v/>
      </c>
      <c r="I230" s="24" t="str">
        <f t="shared" si="38"/>
        <v/>
      </c>
      <c r="J230" s="24" t="e">
        <f t="shared" si="39"/>
        <v>#VALUE!</v>
      </c>
    </row>
    <row r="231" spans="1:10">
      <c r="A231" s="23" t="str">
        <f t="shared" si="36"/>
        <v/>
      </c>
      <c r="B231" s="24" t="str">
        <f t="shared" si="40"/>
        <v/>
      </c>
      <c r="C231" s="44" t="str">
        <f t="shared" si="37"/>
        <v/>
      </c>
      <c r="D231" s="44" t="str">
        <f t="shared" si="31"/>
        <v/>
      </c>
      <c r="E231" s="44" t="str">
        <f t="shared" si="32"/>
        <v/>
      </c>
      <c r="F231" s="44" t="str">
        <f t="shared" si="33"/>
        <v/>
      </c>
      <c r="G231" s="44" t="str">
        <f t="shared" si="34"/>
        <v/>
      </c>
      <c r="H231" s="24" t="str">
        <f t="shared" si="35"/>
        <v/>
      </c>
      <c r="I231" s="24" t="str">
        <f t="shared" si="38"/>
        <v/>
      </c>
      <c r="J231" s="24" t="e">
        <f t="shared" si="39"/>
        <v>#VALUE!</v>
      </c>
    </row>
    <row r="232" spans="1:10">
      <c r="A232" s="23" t="str">
        <f t="shared" si="36"/>
        <v/>
      </c>
      <c r="B232" s="24" t="str">
        <f t="shared" si="40"/>
        <v/>
      </c>
      <c r="C232" s="44" t="str">
        <f t="shared" si="37"/>
        <v/>
      </c>
      <c r="D232" s="44" t="str">
        <f t="shared" si="31"/>
        <v/>
      </c>
      <c r="E232" s="44" t="str">
        <f t="shared" si="32"/>
        <v/>
      </c>
      <c r="F232" s="44" t="str">
        <f t="shared" si="33"/>
        <v/>
      </c>
      <c r="G232" s="44" t="str">
        <f t="shared" si="34"/>
        <v/>
      </c>
      <c r="H232" s="24" t="str">
        <f t="shared" si="35"/>
        <v/>
      </c>
      <c r="I232" s="24" t="str">
        <f t="shared" si="38"/>
        <v/>
      </c>
      <c r="J232" s="24" t="e">
        <f t="shared" si="39"/>
        <v>#VALUE!</v>
      </c>
    </row>
    <row r="233" spans="1:10">
      <c r="A233" s="23" t="str">
        <f t="shared" si="36"/>
        <v/>
      </c>
      <c r="B233" s="24" t="str">
        <f t="shared" si="40"/>
        <v/>
      </c>
      <c r="C233" s="44" t="str">
        <f t="shared" si="37"/>
        <v/>
      </c>
      <c r="D233" s="44" t="str">
        <f t="shared" si="31"/>
        <v/>
      </c>
      <c r="E233" s="44" t="str">
        <f t="shared" si="32"/>
        <v/>
      </c>
      <c r="F233" s="44" t="str">
        <f t="shared" si="33"/>
        <v/>
      </c>
      <c r="G233" s="44" t="str">
        <f t="shared" si="34"/>
        <v/>
      </c>
      <c r="H233" s="24" t="str">
        <f t="shared" si="35"/>
        <v/>
      </c>
      <c r="I233" s="24" t="str">
        <f t="shared" si="38"/>
        <v/>
      </c>
      <c r="J233" s="24" t="e">
        <f t="shared" si="39"/>
        <v>#VALUE!</v>
      </c>
    </row>
    <row r="234" spans="1:10">
      <c r="A234" s="23" t="str">
        <f t="shared" si="36"/>
        <v/>
      </c>
      <c r="B234" s="24" t="str">
        <f t="shared" si="40"/>
        <v/>
      </c>
      <c r="C234" s="44" t="str">
        <f t="shared" si="37"/>
        <v/>
      </c>
      <c r="D234" s="44" t="str">
        <f t="shared" si="31"/>
        <v/>
      </c>
      <c r="E234" s="44" t="str">
        <f t="shared" si="32"/>
        <v/>
      </c>
      <c r="F234" s="44" t="str">
        <f t="shared" si="33"/>
        <v/>
      </c>
      <c r="G234" s="44" t="str">
        <f t="shared" si="34"/>
        <v/>
      </c>
      <c r="H234" s="24" t="str">
        <f t="shared" si="35"/>
        <v/>
      </c>
      <c r="I234" s="24" t="str">
        <f t="shared" si="38"/>
        <v/>
      </c>
      <c r="J234" s="24" t="e">
        <f t="shared" si="39"/>
        <v>#VALUE!</v>
      </c>
    </row>
    <row r="235" spans="1:10">
      <c r="A235" s="23" t="str">
        <f t="shared" si="36"/>
        <v/>
      </c>
      <c r="B235" s="24" t="str">
        <f t="shared" si="40"/>
        <v/>
      </c>
      <c r="C235" s="44" t="str">
        <f t="shared" si="37"/>
        <v/>
      </c>
      <c r="D235" s="44" t="str">
        <f t="shared" si="31"/>
        <v/>
      </c>
      <c r="E235" s="44" t="str">
        <f t="shared" si="32"/>
        <v/>
      </c>
      <c r="F235" s="44" t="str">
        <f t="shared" si="33"/>
        <v/>
      </c>
      <c r="G235" s="44" t="str">
        <f t="shared" si="34"/>
        <v/>
      </c>
      <c r="H235" s="24" t="str">
        <f t="shared" si="35"/>
        <v/>
      </c>
      <c r="I235" s="24" t="str">
        <f t="shared" si="38"/>
        <v/>
      </c>
      <c r="J235" s="24" t="e">
        <f t="shared" si="39"/>
        <v>#VALUE!</v>
      </c>
    </row>
    <row r="236" spans="1:10">
      <c r="A236" s="23" t="str">
        <f t="shared" si="36"/>
        <v/>
      </c>
      <c r="B236" s="24" t="str">
        <f t="shared" si="40"/>
        <v/>
      </c>
      <c r="C236" s="44" t="str">
        <f t="shared" si="37"/>
        <v/>
      </c>
      <c r="D236" s="44" t="str">
        <f t="shared" si="31"/>
        <v/>
      </c>
      <c r="E236" s="44" t="str">
        <f t="shared" si="32"/>
        <v/>
      </c>
      <c r="F236" s="44" t="str">
        <f t="shared" si="33"/>
        <v/>
      </c>
      <c r="G236" s="44" t="str">
        <f t="shared" si="34"/>
        <v/>
      </c>
      <c r="H236" s="24" t="str">
        <f t="shared" si="35"/>
        <v/>
      </c>
      <c r="I236" s="24" t="str">
        <f t="shared" si="38"/>
        <v/>
      </c>
      <c r="J236" s="24" t="e">
        <f t="shared" si="39"/>
        <v>#VALUE!</v>
      </c>
    </row>
    <row r="237" spans="1:10">
      <c r="A237" s="23" t="str">
        <f t="shared" si="36"/>
        <v/>
      </c>
      <c r="B237" s="24" t="str">
        <f t="shared" si="40"/>
        <v/>
      </c>
      <c r="C237" s="44" t="str">
        <f t="shared" si="37"/>
        <v/>
      </c>
      <c r="D237" s="44" t="str">
        <f t="shared" si="31"/>
        <v/>
      </c>
      <c r="E237" s="44" t="str">
        <f t="shared" si="32"/>
        <v/>
      </c>
      <c r="F237" s="44" t="str">
        <f t="shared" si="33"/>
        <v/>
      </c>
      <c r="G237" s="44" t="str">
        <f t="shared" si="34"/>
        <v/>
      </c>
      <c r="H237" s="24" t="str">
        <f t="shared" si="35"/>
        <v/>
      </c>
      <c r="I237" s="24" t="str">
        <f t="shared" si="38"/>
        <v/>
      </c>
      <c r="J237" s="24" t="e">
        <f t="shared" si="39"/>
        <v>#VALUE!</v>
      </c>
    </row>
    <row r="238" spans="1:10">
      <c r="A238" s="23" t="str">
        <f t="shared" si="36"/>
        <v/>
      </c>
      <c r="B238" s="24" t="str">
        <f t="shared" si="40"/>
        <v/>
      </c>
      <c r="C238" s="44" t="str">
        <f t="shared" si="37"/>
        <v/>
      </c>
      <c r="D238" s="44" t="str">
        <f t="shared" si="31"/>
        <v/>
      </c>
      <c r="E238" s="44" t="str">
        <f t="shared" si="32"/>
        <v/>
      </c>
      <c r="F238" s="44" t="str">
        <f t="shared" si="33"/>
        <v/>
      </c>
      <c r="G238" s="44" t="str">
        <f t="shared" si="34"/>
        <v/>
      </c>
      <c r="H238" s="24" t="str">
        <f t="shared" si="35"/>
        <v/>
      </c>
      <c r="I238" s="24" t="str">
        <f t="shared" si="38"/>
        <v/>
      </c>
      <c r="J238" s="24" t="e">
        <f t="shared" si="39"/>
        <v>#VALUE!</v>
      </c>
    </row>
    <row r="239" spans="1:10">
      <c r="A239" s="23" t="str">
        <f t="shared" si="36"/>
        <v/>
      </c>
      <c r="B239" s="24" t="str">
        <f t="shared" si="40"/>
        <v/>
      </c>
      <c r="C239" s="44" t="str">
        <f t="shared" si="37"/>
        <v/>
      </c>
      <c r="D239" s="44" t="str">
        <f t="shared" si="31"/>
        <v/>
      </c>
      <c r="E239" s="44" t="str">
        <f t="shared" si="32"/>
        <v/>
      </c>
      <c r="F239" s="44" t="str">
        <f t="shared" si="33"/>
        <v/>
      </c>
      <c r="G239" s="44" t="str">
        <f t="shared" si="34"/>
        <v/>
      </c>
      <c r="H239" s="24" t="str">
        <f t="shared" si="35"/>
        <v/>
      </c>
      <c r="I239" s="24" t="str">
        <f t="shared" si="38"/>
        <v/>
      </c>
      <c r="J239" s="24" t="e">
        <f t="shared" si="39"/>
        <v>#VALUE!</v>
      </c>
    </row>
    <row r="240" spans="1:10">
      <c r="A240" s="23" t="str">
        <f t="shared" si="36"/>
        <v/>
      </c>
      <c r="B240" s="24" t="str">
        <f t="shared" si="40"/>
        <v/>
      </c>
      <c r="C240" s="44" t="str">
        <f t="shared" si="37"/>
        <v/>
      </c>
      <c r="D240" s="44" t="str">
        <f t="shared" si="31"/>
        <v/>
      </c>
      <c r="E240" s="44" t="str">
        <f t="shared" si="32"/>
        <v/>
      </c>
      <c r="F240" s="44" t="str">
        <f t="shared" si="33"/>
        <v/>
      </c>
      <c r="G240" s="44" t="str">
        <f t="shared" si="34"/>
        <v/>
      </c>
      <c r="H240" s="24" t="str">
        <f t="shared" si="35"/>
        <v/>
      </c>
      <c r="I240" s="24" t="str">
        <f t="shared" si="38"/>
        <v/>
      </c>
      <c r="J240" s="24" t="e">
        <f t="shared" si="39"/>
        <v>#VALUE!</v>
      </c>
    </row>
    <row r="241" spans="1:10">
      <c r="A241" s="23" t="str">
        <f t="shared" si="36"/>
        <v/>
      </c>
      <c r="B241" s="24" t="str">
        <f t="shared" si="40"/>
        <v/>
      </c>
      <c r="C241" s="44" t="str">
        <f t="shared" si="37"/>
        <v/>
      </c>
      <c r="D241" s="44" t="str">
        <f t="shared" si="31"/>
        <v/>
      </c>
      <c r="E241" s="44" t="str">
        <f t="shared" si="32"/>
        <v/>
      </c>
      <c r="F241" s="44" t="str">
        <f t="shared" si="33"/>
        <v/>
      </c>
      <c r="G241" s="44" t="str">
        <f t="shared" si="34"/>
        <v/>
      </c>
      <c r="H241" s="24" t="str">
        <f t="shared" si="35"/>
        <v/>
      </c>
      <c r="I241" s="24" t="str">
        <f t="shared" si="38"/>
        <v/>
      </c>
      <c r="J241" s="24" t="e">
        <f t="shared" si="39"/>
        <v>#VALUE!</v>
      </c>
    </row>
    <row r="242" spans="1:10">
      <c r="A242" s="23" t="str">
        <f t="shared" si="36"/>
        <v/>
      </c>
      <c r="B242" s="24" t="str">
        <f t="shared" si="40"/>
        <v/>
      </c>
      <c r="C242" s="44" t="str">
        <f t="shared" si="37"/>
        <v/>
      </c>
      <c r="D242" s="44" t="str">
        <f t="shared" si="31"/>
        <v/>
      </c>
      <c r="E242" s="44" t="str">
        <f t="shared" si="32"/>
        <v/>
      </c>
      <c r="F242" s="44" t="str">
        <f t="shared" si="33"/>
        <v/>
      </c>
      <c r="G242" s="44" t="str">
        <f t="shared" si="34"/>
        <v/>
      </c>
      <c r="H242" s="24" t="str">
        <f t="shared" si="35"/>
        <v/>
      </c>
      <c r="I242" s="24" t="str">
        <f t="shared" si="38"/>
        <v/>
      </c>
      <c r="J242" s="24" t="e">
        <f t="shared" si="39"/>
        <v>#VALUE!</v>
      </c>
    </row>
    <row r="243" spans="1:10">
      <c r="A243" s="23" t="str">
        <f t="shared" si="36"/>
        <v/>
      </c>
      <c r="B243" s="24" t="str">
        <f t="shared" si="40"/>
        <v/>
      </c>
      <c r="C243" s="44" t="str">
        <f t="shared" si="37"/>
        <v/>
      </c>
      <c r="D243" s="44" t="str">
        <f t="shared" si="31"/>
        <v/>
      </c>
      <c r="E243" s="44" t="str">
        <f t="shared" si="32"/>
        <v/>
      </c>
      <c r="F243" s="44" t="str">
        <f t="shared" si="33"/>
        <v/>
      </c>
      <c r="G243" s="44" t="str">
        <f t="shared" si="34"/>
        <v/>
      </c>
      <c r="H243" s="24" t="str">
        <f t="shared" si="35"/>
        <v/>
      </c>
      <c r="I243" s="24" t="str">
        <f t="shared" si="38"/>
        <v/>
      </c>
      <c r="J243" s="24" t="e">
        <f t="shared" si="39"/>
        <v>#VALUE!</v>
      </c>
    </row>
    <row r="244" spans="1:10">
      <c r="A244" s="23" t="str">
        <f t="shared" si="36"/>
        <v/>
      </c>
      <c r="B244" s="24" t="str">
        <f t="shared" si="40"/>
        <v/>
      </c>
      <c r="C244" s="44" t="str">
        <f t="shared" si="37"/>
        <v/>
      </c>
      <c r="D244" s="44" t="str">
        <f t="shared" si="31"/>
        <v/>
      </c>
      <c r="E244" s="44" t="str">
        <f t="shared" si="32"/>
        <v/>
      </c>
      <c r="F244" s="44" t="str">
        <f t="shared" si="33"/>
        <v/>
      </c>
      <c r="G244" s="44" t="str">
        <f t="shared" si="34"/>
        <v/>
      </c>
      <c r="H244" s="24" t="str">
        <f t="shared" si="35"/>
        <v/>
      </c>
      <c r="I244" s="24" t="str">
        <f t="shared" si="38"/>
        <v/>
      </c>
      <c r="J244" s="24" t="e">
        <f t="shared" si="39"/>
        <v>#VALUE!</v>
      </c>
    </row>
    <row r="245" spans="1:10">
      <c r="A245" s="23" t="str">
        <f t="shared" si="36"/>
        <v/>
      </c>
      <c r="B245" s="24" t="str">
        <f t="shared" si="40"/>
        <v/>
      </c>
      <c r="C245" s="44" t="str">
        <f t="shared" si="37"/>
        <v/>
      </c>
      <c r="D245" s="44" t="str">
        <f t="shared" si="31"/>
        <v/>
      </c>
      <c r="E245" s="44" t="str">
        <f t="shared" si="32"/>
        <v/>
      </c>
      <c r="F245" s="44" t="str">
        <f t="shared" si="33"/>
        <v/>
      </c>
      <c r="G245" s="44" t="str">
        <f t="shared" si="34"/>
        <v/>
      </c>
      <c r="H245" s="24" t="str">
        <f t="shared" si="35"/>
        <v/>
      </c>
      <c r="I245" s="24" t="str">
        <f t="shared" si="38"/>
        <v/>
      </c>
      <c r="J245" s="24" t="e">
        <f t="shared" si="39"/>
        <v>#VALUE!</v>
      </c>
    </row>
    <row r="246" spans="1:10">
      <c r="A246" s="23" t="str">
        <f t="shared" si="36"/>
        <v/>
      </c>
      <c r="B246" s="24" t="str">
        <f t="shared" si="40"/>
        <v/>
      </c>
      <c r="C246" s="44" t="str">
        <f t="shared" si="37"/>
        <v/>
      </c>
      <c r="D246" s="44" t="str">
        <f t="shared" si="31"/>
        <v/>
      </c>
      <c r="E246" s="44" t="str">
        <f t="shared" si="32"/>
        <v/>
      </c>
      <c r="F246" s="44" t="str">
        <f t="shared" si="33"/>
        <v/>
      </c>
      <c r="G246" s="44" t="str">
        <f t="shared" si="34"/>
        <v/>
      </c>
      <c r="H246" s="24" t="str">
        <f t="shared" si="35"/>
        <v/>
      </c>
      <c r="I246" s="24" t="str">
        <f t="shared" si="38"/>
        <v/>
      </c>
      <c r="J246" s="24" t="e">
        <f t="shared" si="39"/>
        <v>#VALUE!</v>
      </c>
    </row>
    <row r="247" spans="1:10">
      <c r="A247" s="23" t="str">
        <f t="shared" si="36"/>
        <v/>
      </c>
      <c r="B247" s="24" t="str">
        <f t="shared" si="40"/>
        <v/>
      </c>
      <c r="C247" s="44" t="str">
        <f t="shared" si="37"/>
        <v/>
      </c>
      <c r="D247" s="44" t="str">
        <f t="shared" si="31"/>
        <v/>
      </c>
      <c r="E247" s="44" t="str">
        <f t="shared" si="32"/>
        <v/>
      </c>
      <c r="F247" s="44" t="str">
        <f t="shared" si="33"/>
        <v/>
      </c>
      <c r="G247" s="44" t="str">
        <f t="shared" si="34"/>
        <v/>
      </c>
      <c r="H247" s="24" t="str">
        <f t="shared" si="35"/>
        <v/>
      </c>
      <c r="I247" s="24" t="str">
        <f t="shared" si="38"/>
        <v/>
      </c>
      <c r="J247" s="24" t="e">
        <f t="shared" si="39"/>
        <v>#VALUE!</v>
      </c>
    </row>
    <row r="248" spans="1:10">
      <c r="A248" s="23" t="str">
        <f t="shared" si="36"/>
        <v/>
      </c>
      <c r="B248" s="24" t="str">
        <f t="shared" si="40"/>
        <v/>
      </c>
      <c r="C248" s="44" t="str">
        <f t="shared" si="37"/>
        <v/>
      </c>
      <c r="D248" s="44" t="str">
        <f t="shared" si="31"/>
        <v/>
      </c>
      <c r="E248" s="44" t="str">
        <f t="shared" si="32"/>
        <v/>
      </c>
      <c r="F248" s="44" t="str">
        <f t="shared" si="33"/>
        <v/>
      </c>
      <c r="G248" s="44" t="str">
        <f t="shared" si="34"/>
        <v/>
      </c>
      <c r="H248" s="24" t="str">
        <f t="shared" si="35"/>
        <v/>
      </c>
      <c r="I248" s="24" t="str">
        <f t="shared" si="38"/>
        <v/>
      </c>
      <c r="J248" s="24" t="e">
        <f t="shared" si="39"/>
        <v>#VALUE!</v>
      </c>
    </row>
    <row r="249" spans="1:10">
      <c r="A249" s="23" t="str">
        <f t="shared" si="36"/>
        <v/>
      </c>
      <c r="B249" s="24" t="str">
        <f t="shared" si="40"/>
        <v/>
      </c>
      <c r="C249" s="44" t="str">
        <f t="shared" si="37"/>
        <v/>
      </c>
      <c r="D249" s="44" t="str">
        <f t="shared" si="31"/>
        <v/>
      </c>
      <c r="E249" s="44" t="str">
        <f t="shared" si="32"/>
        <v/>
      </c>
      <c r="F249" s="44" t="str">
        <f t="shared" si="33"/>
        <v/>
      </c>
      <c r="G249" s="44" t="str">
        <f t="shared" si="34"/>
        <v/>
      </c>
      <c r="H249" s="24" t="str">
        <f t="shared" si="35"/>
        <v/>
      </c>
      <c r="I249" s="24" t="str">
        <f t="shared" si="38"/>
        <v/>
      </c>
      <c r="J249" s="24" t="e">
        <f t="shared" si="39"/>
        <v>#VALUE!</v>
      </c>
    </row>
    <row r="250" spans="1:10">
      <c r="A250" s="23" t="str">
        <f t="shared" si="36"/>
        <v/>
      </c>
      <c r="B250" s="24" t="str">
        <f t="shared" si="40"/>
        <v/>
      </c>
      <c r="C250" s="44" t="str">
        <f t="shared" si="37"/>
        <v/>
      </c>
      <c r="D250" s="44" t="str">
        <f t="shared" si="31"/>
        <v/>
      </c>
      <c r="E250" s="44" t="str">
        <f t="shared" si="32"/>
        <v/>
      </c>
      <c r="F250" s="44" t="str">
        <f t="shared" si="33"/>
        <v/>
      </c>
      <c r="G250" s="44" t="str">
        <f t="shared" si="34"/>
        <v/>
      </c>
      <c r="H250" s="24" t="str">
        <f t="shared" si="35"/>
        <v/>
      </c>
      <c r="I250" s="24" t="str">
        <f t="shared" si="38"/>
        <v/>
      </c>
      <c r="J250" s="24" t="e">
        <f t="shared" si="39"/>
        <v>#VALUE!</v>
      </c>
    </row>
    <row r="251" spans="1:10">
      <c r="A251" s="23" t="str">
        <f t="shared" si="36"/>
        <v/>
      </c>
      <c r="B251" s="24" t="str">
        <f t="shared" si="40"/>
        <v/>
      </c>
      <c r="C251" s="44" t="str">
        <f t="shared" si="37"/>
        <v/>
      </c>
      <c r="D251" s="44" t="str">
        <f t="shared" si="31"/>
        <v/>
      </c>
      <c r="E251" s="44" t="str">
        <f t="shared" si="32"/>
        <v/>
      </c>
      <c r="F251" s="44" t="str">
        <f t="shared" si="33"/>
        <v/>
      </c>
      <c r="G251" s="44" t="str">
        <f t="shared" si="34"/>
        <v/>
      </c>
      <c r="H251" s="24" t="str">
        <f t="shared" si="35"/>
        <v/>
      </c>
      <c r="I251" s="24" t="str">
        <f t="shared" si="38"/>
        <v/>
      </c>
      <c r="J251" s="24" t="e">
        <f t="shared" si="39"/>
        <v>#VALUE!</v>
      </c>
    </row>
    <row r="252" spans="1:10">
      <c r="A252" s="23" t="str">
        <f t="shared" si="36"/>
        <v/>
      </c>
      <c r="B252" s="24" t="str">
        <f t="shared" si="40"/>
        <v/>
      </c>
      <c r="C252" s="44" t="str">
        <f t="shared" si="37"/>
        <v/>
      </c>
      <c r="D252" s="44" t="str">
        <f t="shared" si="31"/>
        <v/>
      </c>
      <c r="E252" s="44" t="str">
        <f t="shared" si="32"/>
        <v/>
      </c>
      <c r="F252" s="44" t="str">
        <f t="shared" si="33"/>
        <v/>
      </c>
      <c r="G252" s="44" t="str">
        <f t="shared" si="34"/>
        <v/>
      </c>
      <c r="H252" s="24" t="str">
        <f t="shared" si="35"/>
        <v/>
      </c>
      <c r="I252" s="24" t="str">
        <f t="shared" si="38"/>
        <v/>
      </c>
      <c r="J252" s="24" t="e">
        <f t="shared" si="39"/>
        <v>#VALUE!</v>
      </c>
    </row>
    <row r="253" spans="1:10">
      <c r="A253" s="23" t="str">
        <f t="shared" si="36"/>
        <v/>
      </c>
      <c r="B253" s="24" t="str">
        <f t="shared" si="40"/>
        <v/>
      </c>
      <c r="C253" s="44" t="str">
        <f t="shared" si="37"/>
        <v/>
      </c>
      <c r="D253" s="44" t="str">
        <f t="shared" si="31"/>
        <v/>
      </c>
      <c r="E253" s="44" t="str">
        <f t="shared" si="32"/>
        <v/>
      </c>
      <c r="F253" s="44" t="str">
        <f t="shared" si="33"/>
        <v/>
      </c>
      <c r="G253" s="44" t="str">
        <f t="shared" si="34"/>
        <v/>
      </c>
      <c r="H253" s="24" t="str">
        <f t="shared" si="35"/>
        <v/>
      </c>
      <c r="I253" s="24" t="str">
        <f t="shared" si="38"/>
        <v/>
      </c>
      <c r="J253" s="24" t="e">
        <f t="shared" si="39"/>
        <v>#VALUE!</v>
      </c>
    </row>
    <row r="254" spans="1:10">
      <c r="A254" s="23" t="str">
        <f t="shared" si="36"/>
        <v/>
      </c>
      <c r="B254" s="24" t="str">
        <f t="shared" si="40"/>
        <v/>
      </c>
      <c r="C254" s="44" t="str">
        <f t="shared" si="37"/>
        <v/>
      </c>
      <c r="D254" s="44" t="str">
        <f t="shared" si="31"/>
        <v/>
      </c>
      <c r="E254" s="44" t="str">
        <f t="shared" si="32"/>
        <v/>
      </c>
      <c r="F254" s="44" t="str">
        <f t="shared" si="33"/>
        <v/>
      </c>
      <c r="G254" s="44" t="str">
        <f t="shared" si="34"/>
        <v/>
      </c>
      <c r="H254" s="24" t="str">
        <f t="shared" si="35"/>
        <v/>
      </c>
      <c r="I254" s="24" t="str">
        <f t="shared" si="38"/>
        <v/>
      </c>
      <c r="J254" s="24" t="e">
        <f t="shared" si="39"/>
        <v>#VALUE!</v>
      </c>
    </row>
    <row r="255" spans="1:10">
      <c r="A255" s="23" t="str">
        <f t="shared" si="36"/>
        <v/>
      </c>
      <c r="B255" s="24" t="str">
        <f t="shared" si="40"/>
        <v/>
      </c>
      <c r="C255" s="44" t="str">
        <f t="shared" si="37"/>
        <v/>
      </c>
      <c r="D255" s="44" t="str">
        <f t="shared" si="31"/>
        <v/>
      </c>
      <c r="E255" s="44" t="str">
        <f t="shared" si="32"/>
        <v/>
      </c>
      <c r="F255" s="44" t="str">
        <f t="shared" si="33"/>
        <v/>
      </c>
      <c r="G255" s="44" t="str">
        <f t="shared" si="34"/>
        <v/>
      </c>
      <c r="H255" s="24" t="str">
        <f t="shared" si="35"/>
        <v/>
      </c>
      <c r="I255" s="24" t="str">
        <f t="shared" si="38"/>
        <v/>
      </c>
      <c r="J255" s="24" t="e">
        <f t="shared" si="39"/>
        <v>#VALUE!</v>
      </c>
    </row>
    <row r="256" spans="1:10">
      <c r="A256" s="23" t="str">
        <f t="shared" si="36"/>
        <v/>
      </c>
      <c r="B256" s="24" t="str">
        <f t="shared" si="40"/>
        <v/>
      </c>
      <c r="C256" s="44" t="str">
        <f t="shared" si="37"/>
        <v/>
      </c>
      <c r="D256" s="44" t="str">
        <f t="shared" si="31"/>
        <v/>
      </c>
      <c r="E256" s="44" t="str">
        <f t="shared" si="32"/>
        <v/>
      </c>
      <c r="F256" s="44" t="str">
        <f t="shared" si="33"/>
        <v/>
      </c>
      <c r="G256" s="44" t="str">
        <f t="shared" si="34"/>
        <v/>
      </c>
      <c r="H256" s="24" t="str">
        <f t="shared" si="35"/>
        <v/>
      </c>
      <c r="I256" s="24" t="str">
        <f t="shared" si="38"/>
        <v/>
      </c>
      <c r="J256" s="24" t="e">
        <f t="shared" si="39"/>
        <v>#VALUE!</v>
      </c>
    </row>
    <row r="257" spans="1:10">
      <c r="A257" s="23" t="str">
        <f t="shared" si="36"/>
        <v/>
      </c>
      <c r="B257" s="24" t="str">
        <f t="shared" si="40"/>
        <v/>
      </c>
      <c r="C257" s="44" t="str">
        <f t="shared" si="37"/>
        <v/>
      </c>
      <c r="D257" s="44" t="str">
        <f t="shared" si="31"/>
        <v/>
      </c>
      <c r="E257" s="44" t="str">
        <f t="shared" si="32"/>
        <v/>
      </c>
      <c r="F257" s="44" t="str">
        <f t="shared" si="33"/>
        <v/>
      </c>
      <c r="G257" s="44" t="str">
        <f t="shared" si="34"/>
        <v/>
      </c>
      <c r="H257" s="24" t="str">
        <f t="shared" si="35"/>
        <v/>
      </c>
      <c r="I257" s="24" t="str">
        <f t="shared" si="38"/>
        <v/>
      </c>
      <c r="J257" s="24" t="e">
        <f t="shared" si="39"/>
        <v>#VALUE!</v>
      </c>
    </row>
    <row r="258" spans="1:10">
      <c r="A258" s="23" t="str">
        <f t="shared" si="36"/>
        <v/>
      </c>
      <c r="B258" s="24" t="str">
        <f t="shared" si="40"/>
        <v/>
      </c>
      <c r="C258" s="44" t="str">
        <f t="shared" si="37"/>
        <v/>
      </c>
      <c r="D258" s="44" t="str">
        <f t="shared" si="31"/>
        <v/>
      </c>
      <c r="E258" s="44" t="str">
        <f t="shared" si="32"/>
        <v/>
      </c>
      <c r="F258" s="44" t="str">
        <f t="shared" si="33"/>
        <v/>
      </c>
      <c r="G258" s="44" t="str">
        <f t="shared" si="34"/>
        <v/>
      </c>
      <c r="H258" s="24" t="str">
        <f t="shared" si="35"/>
        <v/>
      </c>
      <c r="I258" s="24" t="str">
        <f t="shared" si="38"/>
        <v/>
      </c>
      <c r="J258" s="24" t="e">
        <f t="shared" si="39"/>
        <v>#VALUE!</v>
      </c>
    </row>
    <row r="259" spans="1:10">
      <c r="A259" s="23" t="str">
        <f t="shared" si="36"/>
        <v/>
      </c>
      <c r="B259" s="24" t="str">
        <f t="shared" si="40"/>
        <v/>
      </c>
      <c r="C259" s="44" t="str">
        <f t="shared" si="37"/>
        <v/>
      </c>
      <c r="D259" s="44" t="str">
        <f t="shared" si="31"/>
        <v/>
      </c>
      <c r="E259" s="44" t="str">
        <f t="shared" si="32"/>
        <v/>
      </c>
      <c r="F259" s="44" t="str">
        <f t="shared" si="33"/>
        <v/>
      </c>
      <c r="G259" s="44" t="str">
        <f t="shared" si="34"/>
        <v/>
      </c>
      <c r="H259" s="24" t="str">
        <f t="shared" si="35"/>
        <v/>
      </c>
      <c r="I259" s="24" t="str">
        <f t="shared" si="38"/>
        <v/>
      </c>
      <c r="J259" s="24" t="e">
        <f t="shared" si="39"/>
        <v>#VALUE!</v>
      </c>
    </row>
    <row r="260" spans="1:10">
      <c r="A260" s="23" t="str">
        <f t="shared" si="36"/>
        <v/>
      </c>
      <c r="B260" s="24" t="str">
        <f t="shared" si="40"/>
        <v/>
      </c>
      <c r="C260" s="44" t="str">
        <f t="shared" si="37"/>
        <v/>
      </c>
      <c r="D260" s="44" t="str">
        <f t="shared" si="31"/>
        <v/>
      </c>
      <c r="E260" s="44" t="str">
        <f t="shared" si="32"/>
        <v/>
      </c>
      <c r="F260" s="44" t="str">
        <f t="shared" si="33"/>
        <v/>
      </c>
      <c r="G260" s="44" t="str">
        <f t="shared" si="34"/>
        <v/>
      </c>
      <c r="H260" s="24" t="str">
        <f t="shared" si="35"/>
        <v/>
      </c>
      <c r="I260" s="24" t="str">
        <f t="shared" si="38"/>
        <v/>
      </c>
      <c r="J260" s="24" t="e">
        <f t="shared" si="39"/>
        <v>#VALUE!</v>
      </c>
    </row>
    <row r="261" spans="1:10">
      <c r="A261" s="23" t="str">
        <f t="shared" si="36"/>
        <v/>
      </c>
      <c r="B261" s="24" t="str">
        <f t="shared" si="40"/>
        <v/>
      </c>
      <c r="C261" s="44" t="str">
        <f t="shared" si="37"/>
        <v/>
      </c>
      <c r="D261" s="44" t="str">
        <f t="shared" si="31"/>
        <v/>
      </c>
      <c r="E261" s="44" t="str">
        <f t="shared" si="32"/>
        <v/>
      </c>
      <c r="F261" s="44" t="str">
        <f t="shared" si="33"/>
        <v/>
      </c>
      <c r="G261" s="44" t="str">
        <f t="shared" si="34"/>
        <v/>
      </c>
      <c r="H261" s="24" t="str">
        <f t="shared" si="35"/>
        <v/>
      </c>
      <c r="I261" s="24" t="str">
        <f t="shared" si="38"/>
        <v/>
      </c>
      <c r="J261" s="24" t="e">
        <f t="shared" si="39"/>
        <v>#VALUE!</v>
      </c>
    </row>
    <row r="262" spans="1:10">
      <c r="A262" s="23" t="str">
        <f t="shared" si="36"/>
        <v/>
      </c>
      <c r="B262" s="24" t="str">
        <f t="shared" si="40"/>
        <v/>
      </c>
      <c r="C262" s="44" t="str">
        <f t="shared" si="37"/>
        <v/>
      </c>
      <c r="D262" s="44" t="str">
        <f t="shared" si="31"/>
        <v/>
      </c>
      <c r="E262" s="44" t="str">
        <f t="shared" si="32"/>
        <v/>
      </c>
      <c r="F262" s="44" t="str">
        <f t="shared" si="33"/>
        <v/>
      </c>
      <c r="G262" s="44" t="str">
        <f t="shared" si="34"/>
        <v/>
      </c>
      <c r="H262" s="24" t="str">
        <f t="shared" si="35"/>
        <v/>
      </c>
      <c r="I262" s="24" t="str">
        <f t="shared" si="38"/>
        <v/>
      </c>
      <c r="J262" s="24" t="e">
        <f t="shared" si="39"/>
        <v>#VALUE!</v>
      </c>
    </row>
    <row r="263" spans="1:10">
      <c r="A263" s="23" t="str">
        <f t="shared" si="36"/>
        <v/>
      </c>
      <c r="B263" s="24" t="str">
        <f t="shared" si="40"/>
        <v/>
      </c>
      <c r="C263" s="44" t="str">
        <f t="shared" si="37"/>
        <v/>
      </c>
      <c r="D263" s="44" t="str">
        <f t="shared" si="31"/>
        <v/>
      </c>
      <c r="E263" s="44" t="str">
        <f t="shared" si="32"/>
        <v/>
      </c>
      <c r="F263" s="44" t="str">
        <f t="shared" si="33"/>
        <v/>
      </c>
      <c r="G263" s="44" t="str">
        <f t="shared" si="34"/>
        <v/>
      </c>
      <c r="H263" s="24" t="str">
        <f t="shared" si="35"/>
        <v/>
      </c>
      <c r="I263" s="24" t="str">
        <f t="shared" si="38"/>
        <v/>
      </c>
      <c r="J263" s="24" t="e">
        <f t="shared" si="39"/>
        <v>#VALUE!</v>
      </c>
    </row>
    <row r="264" spans="1:10">
      <c r="A264" s="23" t="str">
        <f t="shared" si="36"/>
        <v/>
      </c>
      <c r="B264" s="24" t="str">
        <f t="shared" si="40"/>
        <v/>
      </c>
      <c r="C264" s="44" t="str">
        <f t="shared" si="37"/>
        <v/>
      </c>
      <c r="D264" s="44" t="str">
        <f t="shared" si="31"/>
        <v/>
      </c>
      <c r="E264" s="44" t="str">
        <f t="shared" si="32"/>
        <v/>
      </c>
      <c r="F264" s="44" t="str">
        <f t="shared" si="33"/>
        <v/>
      </c>
      <c r="G264" s="44" t="str">
        <f t="shared" si="34"/>
        <v/>
      </c>
      <c r="H264" s="24" t="str">
        <f t="shared" si="35"/>
        <v/>
      </c>
      <c r="I264" s="24" t="str">
        <f t="shared" si="38"/>
        <v/>
      </c>
      <c r="J264" s="24" t="e">
        <f t="shared" si="39"/>
        <v>#VALUE!</v>
      </c>
    </row>
    <row r="265" spans="1:10">
      <c r="A265" s="23" t="str">
        <f t="shared" si="36"/>
        <v/>
      </c>
      <c r="B265" s="24" t="str">
        <f t="shared" si="40"/>
        <v/>
      </c>
      <c r="C265" s="44" t="str">
        <f t="shared" si="37"/>
        <v/>
      </c>
      <c r="D265" s="44" t="str">
        <f t="shared" si="31"/>
        <v/>
      </c>
      <c r="E265" s="44" t="str">
        <f t="shared" si="32"/>
        <v/>
      </c>
      <c r="F265" s="44" t="str">
        <f t="shared" si="33"/>
        <v/>
      </c>
      <c r="G265" s="44" t="str">
        <f t="shared" si="34"/>
        <v/>
      </c>
      <c r="H265" s="24" t="str">
        <f t="shared" si="35"/>
        <v/>
      </c>
      <c r="I265" s="24" t="str">
        <f t="shared" si="38"/>
        <v/>
      </c>
      <c r="J265" s="24" t="e">
        <f t="shared" si="39"/>
        <v>#VALUE!</v>
      </c>
    </row>
    <row r="266" spans="1:10">
      <c r="A266" s="23" t="str">
        <f t="shared" si="36"/>
        <v/>
      </c>
      <c r="B266" s="24" t="str">
        <f t="shared" si="40"/>
        <v/>
      </c>
      <c r="C266" s="44" t="str">
        <f t="shared" si="37"/>
        <v/>
      </c>
      <c r="D266" s="44" t="str">
        <f t="shared" si="31"/>
        <v/>
      </c>
      <c r="E266" s="44" t="str">
        <f t="shared" si="32"/>
        <v/>
      </c>
      <c r="F266" s="44" t="str">
        <f t="shared" si="33"/>
        <v/>
      </c>
      <c r="G266" s="44" t="str">
        <f t="shared" si="34"/>
        <v/>
      </c>
      <c r="H266" s="24" t="str">
        <f t="shared" si="35"/>
        <v/>
      </c>
      <c r="I266" s="24" t="str">
        <f t="shared" si="38"/>
        <v/>
      </c>
      <c r="J266" s="24" t="e">
        <f t="shared" si="39"/>
        <v>#VALUE!</v>
      </c>
    </row>
    <row r="267" spans="1:10">
      <c r="A267" s="23" t="str">
        <f t="shared" si="36"/>
        <v/>
      </c>
      <c r="B267" s="24" t="str">
        <f t="shared" si="40"/>
        <v/>
      </c>
      <c r="C267" s="44" t="str">
        <f t="shared" si="37"/>
        <v/>
      </c>
      <c r="D267" s="44" t="str">
        <f t="shared" si="31"/>
        <v/>
      </c>
      <c r="E267" s="44" t="str">
        <f t="shared" si="32"/>
        <v/>
      </c>
      <c r="F267" s="44" t="str">
        <f t="shared" si="33"/>
        <v/>
      </c>
      <c r="G267" s="44" t="str">
        <f t="shared" si="34"/>
        <v/>
      </c>
      <c r="H267" s="24" t="str">
        <f t="shared" si="35"/>
        <v/>
      </c>
      <c r="I267" s="24" t="str">
        <f t="shared" si="38"/>
        <v/>
      </c>
      <c r="J267" s="24" t="e">
        <f t="shared" si="39"/>
        <v>#VALUE!</v>
      </c>
    </row>
    <row r="268" spans="1:10">
      <c r="A268" s="23" t="str">
        <f t="shared" si="36"/>
        <v/>
      </c>
      <c r="B268" s="24" t="str">
        <f t="shared" si="40"/>
        <v/>
      </c>
      <c r="C268" s="44" t="str">
        <f t="shared" si="37"/>
        <v/>
      </c>
      <c r="D268" s="44" t="str">
        <f t="shared" ref="D268:D331" si="41">IF(A268&lt;=tc,$H$4*A268,IF(A268&lt;=2*tc,Qmax-$H$4*(A268-tc),""))</f>
        <v/>
      </c>
      <c r="E268" s="44" t="str">
        <f t="shared" ref="E268:E331" si="42">IF(A268&lt;=tc_1,$H$5*A268,IF(A268&lt;=tc,Q_max_i,IF(A268&lt;=tc_1+tc,Q_max_i-$H$5*(A268-(tc)),"")))</f>
        <v/>
      </c>
      <c r="F268" s="44" t="str">
        <f t="shared" ref="F268:F331" si="43">IF(A268="","",IF(ISERROR(D268/(Area*10^2)),"",D268/(Area*10^2)))</f>
        <v/>
      </c>
      <c r="G268" s="44" t="str">
        <f t="shared" ref="G268:G331" si="44">IF(A268="","",IF(ISERROR(E268/(Ad_i*10^2)),"",E268/(Ad_i*10^2)))</f>
        <v/>
      </c>
      <c r="H268" s="24" t="str">
        <f t="shared" ref="H268:H331" si="45">IF(G268="","",IF(ISERROR(G268*alot_i/100),"",G268*alot_i/100))</f>
        <v/>
      </c>
      <c r="I268" s="24" t="str">
        <f t="shared" si="38"/>
        <v/>
      </c>
      <c r="J268" s="24" t="e">
        <f t="shared" si="39"/>
        <v>#VALUE!</v>
      </c>
    </row>
    <row r="269" spans="1:10">
      <c r="A269" s="23" t="str">
        <f t="shared" ref="A269:A332" si="46">IF(ISERROR(IF(A268+Passo&lt;=tc+tc,A268+Passo,"")),"",IF(A268+Passo&lt;=tc+tc,A268+Passo,""))</f>
        <v/>
      </c>
      <c r="B269" s="24" t="str">
        <f t="shared" si="40"/>
        <v/>
      </c>
      <c r="C269" s="44" t="str">
        <f t="shared" ref="C269:C332" si="47">IF(ISERROR(IF(A269="","",C268+AVERAGE(B268:B269)*Passo*60/1000)),C268,IF(A269="","",C268+AVERAGE(B268:B269)*Passo*60/1000))</f>
        <v/>
      </c>
      <c r="D269" s="44" t="str">
        <f t="shared" si="41"/>
        <v/>
      </c>
      <c r="E269" s="44" t="str">
        <f t="shared" si="42"/>
        <v/>
      </c>
      <c r="F269" s="44" t="str">
        <f t="shared" si="43"/>
        <v/>
      </c>
      <c r="G269" s="44" t="str">
        <f t="shared" si="44"/>
        <v/>
      </c>
      <c r="H269" s="24" t="str">
        <f t="shared" si="45"/>
        <v/>
      </c>
      <c r="I269" s="24" t="str">
        <f t="shared" ref="I269:I332" si="48">IF(A269="","",IF(ISERROR(E269-H269),0,E269-H269))</f>
        <v/>
      </c>
      <c r="J269" s="24" t="e">
        <f t="shared" ref="J269:J332" si="49">I269+B269</f>
        <v>#VALUE!</v>
      </c>
    </row>
    <row r="270" spans="1:10">
      <c r="A270" s="23" t="str">
        <f t="shared" si="46"/>
        <v/>
      </c>
      <c r="B270" s="24" t="str">
        <f t="shared" ref="B270:B333" si="50">IF(ISERROR(IF(A270&lt;=tc_lot_i,declividade_afluente*A270,IF(A270&lt;=tc,Qmax_lot_i,IF(A270&lt;=tc+tc_lot_i,Qmax_lot_i-declividade_afluente*(A270-tc),"")))),"",IF(A270&lt;=tc_lot_i,declividade_afluente*A270,IF(A270&lt;=tc,Qmax_lot_i,IF(A270&lt;=tc+tc_lot_i,Qmax_lot_i-declividade_afluente*(A270-tc),""))))</f>
        <v/>
      </c>
      <c r="C270" s="44" t="str">
        <f t="shared" si="47"/>
        <v/>
      </c>
      <c r="D270" s="44" t="str">
        <f t="shared" si="41"/>
        <v/>
      </c>
      <c r="E270" s="44" t="str">
        <f t="shared" si="42"/>
        <v/>
      </c>
      <c r="F270" s="44" t="str">
        <f t="shared" si="43"/>
        <v/>
      </c>
      <c r="G270" s="44" t="str">
        <f t="shared" si="44"/>
        <v/>
      </c>
      <c r="H270" s="24" t="str">
        <f t="shared" si="45"/>
        <v/>
      </c>
      <c r="I270" s="24" t="str">
        <f t="shared" si="48"/>
        <v/>
      </c>
      <c r="J270" s="24" t="e">
        <f t="shared" si="49"/>
        <v>#VALUE!</v>
      </c>
    </row>
    <row r="271" spans="1:10">
      <c r="A271" s="23" t="str">
        <f t="shared" si="46"/>
        <v/>
      </c>
      <c r="B271" s="24" t="str">
        <f t="shared" si="50"/>
        <v/>
      </c>
      <c r="C271" s="44" t="str">
        <f t="shared" si="47"/>
        <v/>
      </c>
      <c r="D271" s="44" t="str">
        <f t="shared" si="41"/>
        <v/>
      </c>
      <c r="E271" s="44" t="str">
        <f t="shared" si="42"/>
        <v/>
      </c>
      <c r="F271" s="44" t="str">
        <f t="shared" si="43"/>
        <v/>
      </c>
      <c r="G271" s="44" t="str">
        <f t="shared" si="44"/>
        <v/>
      </c>
      <c r="H271" s="24" t="str">
        <f t="shared" si="45"/>
        <v/>
      </c>
      <c r="I271" s="24" t="str">
        <f t="shared" si="48"/>
        <v/>
      </c>
      <c r="J271" s="24" t="e">
        <f t="shared" si="49"/>
        <v>#VALUE!</v>
      </c>
    </row>
    <row r="272" spans="1:10">
      <c r="A272" s="23" t="str">
        <f t="shared" si="46"/>
        <v/>
      </c>
      <c r="B272" s="24" t="str">
        <f t="shared" si="50"/>
        <v/>
      </c>
      <c r="C272" s="44" t="str">
        <f t="shared" si="47"/>
        <v/>
      </c>
      <c r="D272" s="44" t="str">
        <f t="shared" si="41"/>
        <v/>
      </c>
      <c r="E272" s="44" t="str">
        <f t="shared" si="42"/>
        <v/>
      </c>
      <c r="F272" s="44" t="str">
        <f t="shared" si="43"/>
        <v/>
      </c>
      <c r="G272" s="44" t="str">
        <f t="shared" si="44"/>
        <v/>
      </c>
      <c r="H272" s="24" t="str">
        <f t="shared" si="45"/>
        <v/>
      </c>
      <c r="I272" s="24" t="str">
        <f t="shared" si="48"/>
        <v/>
      </c>
      <c r="J272" s="24" t="e">
        <f t="shared" si="49"/>
        <v>#VALUE!</v>
      </c>
    </row>
    <row r="273" spans="1:10">
      <c r="A273" s="23" t="str">
        <f t="shared" si="46"/>
        <v/>
      </c>
      <c r="B273" s="24" t="str">
        <f t="shared" si="50"/>
        <v/>
      </c>
      <c r="C273" s="44" t="str">
        <f t="shared" si="47"/>
        <v/>
      </c>
      <c r="D273" s="44" t="str">
        <f t="shared" si="41"/>
        <v/>
      </c>
      <c r="E273" s="44" t="str">
        <f t="shared" si="42"/>
        <v/>
      </c>
      <c r="F273" s="44" t="str">
        <f t="shared" si="43"/>
        <v/>
      </c>
      <c r="G273" s="44" t="str">
        <f t="shared" si="44"/>
        <v/>
      </c>
      <c r="H273" s="24" t="str">
        <f t="shared" si="45"/>
        <v/>
      </c>
      <c r="I273" s="24" t="str">
        <f t="shared" si="48"/>
        <v/>
      </c>
      <c r="J273" s="24" t="e">
        <f t="shared" si="49"/>
        <v>#VALUE!</v>
      </c>
    </row>
    <row r="274" spans="1:10">
      <c r="A274" s="23" t="str">
        <f t="shared" si="46"/>
        <v/>
      </c>
      <c r="B274" s="24" t="str">
        <f t="shared" si="50"/>
        <v/>
      </c>
      <c r="C274" s="44" t="str">
        <f t="shared" si="47"/>
        <v/>
      </c>
      <c r="D274" s="44" t="str">
        <f t="shared" si="41"/>
        <v/>
      </c>
      <c r="E274" s="44" t="str">
        <f t="shared" si="42"/>
        <v/>
      </c>
      <c r="F274" s="44" t="str">
        <f t="shared" si="43"/>
        <v/>
      </c>
      <c r="G274" s="44" t="str">
        <f t="shared" si="44"/>
        <v/>
      </c>
      <c r="H274" s="24" t="str">
        <f t="shared" si="45"/>
        <v/>
      </c>
      <c r="I274" s="24" t="str">
        <f t="shared" si="48"/>
        <v/>
      </c>
      <c r="J274" s="24" t="e">
        <f t="shared" si="49"/>
        <v>#VALUE!</v>
      </c>
    </row>
    <row r="275" spans="1:10">
      <c r="A275" s="23" t="str">
        <f t="shared" si="46"/>
        <v/>
      </c>
      <c r="B275" s="24" t="str">
        <f t="shared" si="50"/>
        <v/>
      </c>
      <c r="C275" s="44" t="str">
        <f t="shared" si="47"/>
        <v/>
      </c>
      <c r="D275" s="44" t="str">
        <f t="shared" si="41"/>
        <v/>
      </c>
      <c r="E275" s="44" t="str">
        <f t="shared" si="42"/>
        <v/>
      </c>
      <c r="F275" s="44" t="str">
        <f t="shared" si="43"/>
        <v/>
      </c>
      <c r="G275" s="44" t="str">
        <f t="shared" si="44"/>
        <v/>
      </c>
      <c r="H275" s="24" t="str">
        <f t="shared" si="45"/>
        <v/>
      </c>
      <c r="I275" s="24" t="str">
        <f t="shared" si="48"/>
        <v/>
      </c>
      <c r="J275" s="24" t="e">
        <f t="shared" si="49"/>
        <v>#VALUE!</v>
      </c>
    </row>
    <row r="276" spans="1:10">
      <c r="A276" s="23" t="str">
        <f t="shared" si="46"/>
        <v/>
      </c>
      <c r="B276" s="24" t="str">
        <f t="shared" si="50"/>
        <v/>
      </c>
      <c r="C276" s="44" t="str">
        <f t="shared" si="47"/>
        <v/>
      </c>
      <c r="D276" s="44" t="str">
        <f t="shared" si="41"/>
        <v/>
      </c>
      <c r="E276" s="44" t="str">
        <f t="shared" si="42"/>
        <v/>
      </c>
      <c r="F276" s="44" t="str">
        <f t="shared" si="43"/>
        <v/>
      </c>
      <c r="G276" s="44" t="str">
        <f t="shared" si="44"/>
        <v/>
      </c>
      <c r="H276" s="24" t="str">
        <f t="shared" si="45"/>
        <v/>
      </c>
      <c r="I276" s="24" t="str">
        <f t="shared" si="48"/>
        <v/>
      </c>
      <c r="J276" s="24" t="e">
        <f t="shared" si="49"/>
        <v>#VALUE!</v>
      </c>
    </row>
    <row r="277" spans="1:10">
      <c r="A277" s="23" t="str">
        <f t="shared" si="46"/>
        <v/>
      </c>
      <c r="B277" s="24" t="str">
        <f t="shared" si="50"/>
        <v/>
      </c>
      <c r="C277" s="44" t="str">
        <f t="shared" si="47"/>
        <v/>
      </c>
      <c r="D277" s="44" t="str">
        <f t="shared" si="41"/>
        <v/>
      </c>
      <c r="E277" s="44" t="str">
        <f t="shared" si="42"/>
        <v/>
      </c>
      <c r="F277" s="44" t="str">
        <f t="shared" si="43"/>
        <v/>
      </c>
      <c r="G277" s="44" t="str">
        <f t="shared" si="44"/>
        <v/>
      </c>
      <c r="H277" s="24" t="str">
        <f t="shared" si="45"/>
        <v/>
      </c>
      <c r="I277" s="24" t="str">
        <f t="shared" si="48"/>
        <v/>
      </c>
      <c r="J277" s="24" t="e">
        <f t="shared" si="49"/>
        <v>#VALUE!</v>
      </c>
    </row>
    <row r="278" spans="1:10">
      <c r="A278" s="23" t="str">
        <f t="shared" si="46"/>
        <v/>
      </c>
      <c r="B278" s="24" t="str">
        <f t="shared" si="50"/>
        <v/>
      </c>
      <c r="C278" s="44" t="str">
        <f t="shared" si="47"/>
        <v/>
      </c>
      <c r="D278" s="44" t="str">
        <f t="shared" si="41"/>
        <v/>
      </c>
      <c r="E278" s="44" t="str">
        <f t="shared" si="42"/>
        <v/>
      </c>
      <c r="F278" s="44" t="str">
        <f t="shared" si="43"/>
        <v/>
      </c>
      <c r="G278" s="44" t="str">
        <f t="shared" si="44"/>
        <v/>
      </c>
      <c r="H278" s="24" t="str">
        <f t="shared" si="45"/>
        <v/>
      </c>
      <c r="I278" s="24" t="str">
        <f t="shared" si="48"/>
        <v/>
      </c>
      <c r="J278" s="24" t="e">
        <f t="shared" si="49"/>
        <v>#VALUE!</v>
      </c>
    </row>
    <row r="279" spans="1:10">
      <c r="A279" s="23" t="str">
        <f t="shared" si="46"/>
        <v/>
      </c>
      <c r="B279" s="24" t="str">
        <f t="shared" si="50"/>
        <v/>
      </c>
      <c r="C279" s="44" t="str">
        <f t="shared" si="47"/>
        <v/>
      </c>
      <c r="D279" s="44" t="str">
        <f t="shared" si="41"/>
        <v/>
      </c>
      <c r="E279" s="44" t="str">
        <f t="shared" si="42"/>
        <v/>
      </c>
      <c r="F279" s="44" t="str">
        <f t="shared" si="43"/>
        <v/>
      </c>
      <c r="G279" s="44" t="str">
        <f t="shared" si="44"/>
        <v/>
      </c>
      <c r="H279" s="24" t="str">
        <f t="shared" si="45"/>
        <v/>
      </c>
      <c r="I279" s="24" t="str">
        <f t="shared" si="48"/>
        <v/>
      </c>
      <c r="J279" s="24" t="e">
        <f t="shared" si="49"/>
        <v>#VALUE!</v>
      </c>
    </row>
    <row r="280" spans="1:10">
      <c r="A280" s="23" t="str">
        <f t="shared" si="46"/>
        <v/>
      </c>
      <c r="B280" s="24" t="str">
        <f t="shared" si="50"/>
        <v/>
      </c>
      <c r="C280" s="44" t="str">
        <f t="shared" si="47"/>
        <v/>
      </c>
      <c r="D280" s="44" t="str">
        <f t="shared" si="41"/>
        <v/>
      </c>
      <c r="E280" s="44" t="str">
        <f t="shared" si="42"/>
        <v/>
      </c>
      <c r="F280" s="44" t="str">
        <f t="shared" si="43"/>
        <v/>
      </c>
      <c r="G280" s="44" t="str">
        <f t="shared" si="44"/>
        <v/>
      </c>
      <c r="H280" s="24" t="str">
        <f t="shared" si="45"/>
        <v/>
      </c>
      <c r="I280" s="24" t="str">
        <f t="shared" si="48"/>
        <v/>
      </c>
      <c r="J280" s="24" t="e">
        <f t="shared" si="49"/>
        <v>#VALUE!</v>
      </c>
    </row>
    <row r="281" spans="1:10">
      <c r="A281" s="23" t="str">
        <f t="shared" si="46"/>
        <v/>
      </c>
      <c r="B281" s="24" t="str">
        <f t="shared" si="50"/>
        <v/>
      </c>
      <c r="C281" s="44" t="str">
        <f t="shared" si="47"/>
        <v/>
      </c>
      <c r="D281" s="44" t="str">
        <f t="shared" si="41"/>
        <v/>
      </c>
      <c r="E281" s="44" t="str">
        <f t="shared" si="42"/>
        <v/>
      </c>
      <c r="F281" s="44" t="str">
        <f t="shared" si="43"/>
        <v/>
      </c>
      <c r="G281" s="44" t="str">
        <f t="shared" si="44"/>
        <v/>
      </c>
      <c r="H281" s="24" t="str">
        <f t="shared" si="45"/>
        <v/>
      </c>
      <c r="I281" s="24" t="str">
        <f t="shared" si="48"/>
        <v/>
      </c>
      <c r="J281" s="24" t="e">
        <f t="shared" si="49"/>
        <v>#VALUE!</v>
      </c>
    </row>
    <row r="282" spans="1:10">
      <c r="A282" s="23" t="str">
        <f t="shared" si="46"/>
        <v/>
      </c>
      <c r="B282" s="24" t="str">
        <f t="shared" si="50"/>
        <v/>
      </c>
      <c r="C282" s="44" t="str">
        <f t="shared" si="47"/>
        <v/>
      </c>
      <c r="D282" s="44" t="str">
        <f t="shared" si="41"/>
        <v/>
      </c>
      <c r="E282" s="44" t="str">
        <f t="shared" si="42"/>
        <v/>
      </c>
      <c r="F282" s="44" t="str">
        <f t="shared" si="43"/>
        <v/>
      </c>
      <c r="G282" s="44" t="str">
        <f t="shared" si="44"/>
        <v/>
      </c>
      <c r="H282" s="24" t="str">
        <f t="shared" si="45"/>
        <v/>
      </c>
      <c r="I282" s="24" t="str">
        <f t="shared" si="48"/>
        <v/>
      </c>
      <c r="J282" s="24" t="e">
        <f t="shared" si="49"/>
        <v>#VALUE!</v>
      </c>
    </row>
    <row r="283" spans="1:10">
      <c r="A283" s="23" t="str">
        <f t="shared" si="46"/>
        <v/>
      </c>
      <c r="B283" s="24" t="str">
        <f t="shared" si="50"/>
        <v/>
      </c>
      <c r="C283" s="44" t="str">
        <f t="shared" si="47"/>
        <v/>
      </c>
      <c r="D283" s="44" t="str">
        <f t="shared" si="41"/>
        <v/>
      </c>
      <c r="E283" s="44" t="str">
        <f t="shared" si="42"/>
        <v/>
      </c>
      <c r="F283" s="44" t="str">
        <f t="shared" si="43"/>
        <v/>
      </c>
      <c r="G283" s="44" t="str">
        <f t="shared" si="44"/>
        <v/>
      </c>
      <c r="H283" s="24" t="str">
        <f t="shared" si="45"/>
        <v/>
      </c>
      <c r="I283" s="24" t="str">
        <f t="shared" si="48"/>
        <v/>
      </c>
      <c r="J283" s="24" t="e">
        <f t="shared" si="49"/>
        <v>#VALUE!</v>
      </c>
    </row>
    <row r="284" spans="1:10">
      <c r="A284" s="23" t="str">
        <f t="shared" si="46"/>
        <v/>
      </c>
      <c r="B284" s="24" t="str">
        <f t="shared" si="50"/>
        <v/>
      </c>
      <c r="C284" s="44" t="str">
        <f t="shared" si="47"/>
        <v/>
      </c>
      <c r="D284" s="44" t="str">
        <f t="shared" si="41"/>
        <v/>
      </c>
      <c r="E284" s="44" t="str">
        <f t="shared" si="42"/>
        <v/>
      </c>
      <c r="F284" s="44" t="str">
        <f t="shared" si="43"/>
        <v/>
      </c>
      <c r="G284" s="44" t="str">
        <f t="shared" si="44"/>
        <v/>
      </c>
      <c r="H284" s="24" t="str">
        <f t="shared" si="45"/>
        <v/>
      </c>
      <c r="I284" s="24" t="str">
        <f t="shared" si="48"/>
        <v/>
      </c>
      <c r="J284" s="24" t="e">
        <f t="shared" si="49"/>
        <v>#VALUE!</v>
      </c>
    </row>
    <row r="285" spans="1:10">
      <c r="A285" s="23" t="str">
        <f t="shared" si="46"/>
        <v/>
      </c>
      <c r="B285" s="24" t="str">
        <f t="shared" si="50"/>
        <v/>
      </c>
      <c r="C285" s="44" t="str">
        <f t="shared" si="47"/>
        <v/>
      </c>
      <c r="D285" s="44" t="str">
        <f t="shared" si="41"/>
        <v/>
      </c>
      <c r="E285" s="44" t="str">
        <f t="shared" si="42"/>
        <v/>
      </c>
      <c r="F285" s="44" t="str">
        <f t="shared" si="43"/>
        <v/>
      </c>
      <c r="G285" s="44" t="str">
        <f t="shared" si="44"/>
        <v/>
      </c>
      <c r="H285" s="24" t="str">
        <f t="shared" si="45"/>
        <v/>
      </c>
      <c r="I285" s="24" t="str">
        <f t="shared" si="48"/>
        <v/>
      </c>
      <c r="J285" s="24" t="e">
        <f t="shared" si="49"/>
        <v>#VALUE!</v>
      </c>
    </row>
    <row r="286" spans="1:10">
      <c r="A286" s="23" t="str">
        <f t="shared" si="46"/>
        <v/>
      </c>
      <c r="B286" s="24" t="str">
        <f t="shared" si="50"/>
        <v/>
      </c>
      <c r="C286" s="44" t="str">
        <f t="shared" si="47"/>
        <v/>
      </c>
      <c r="D286" s="44" t="str">
        <f t="shared" si="41"/>
        <v/>
      </c>
      <c r="E286" s="44" t="str">
        <f t="shared" si="42"/>
        <v/>
      </c>
      <c r="F286" s="44" t="str">
        <f t="shared" si="43"/>
        <v/>
      </c>
      <c r="G286" s="44" t="str">
        <f t="shared" si="44"/>
        <v/>
      </c>
      <c r="H286" s="24" t="str">
        <f t="shared" si="45"/>
        <v/>
      </c>
      <c r="I286" s="24" t="str">
        <f t="shared" si="48"/>
        <v/>
      </c>
      <c r="J286" s="24" t="e">
        <f t="shared" si="49"/>
        <v>#VALUE!</v>
      </c>
    </row>
    <row r="287" spans="1:10">
      <c r="A287" s="23" t="str">
        <f t="shared" si="46"/>
        <v/>
      </c>
      <c r="B287" s="24" t="str">
        <f t="shared" si="50"/>
        <v/>
      </c>
      <c r="C287" s="44" t="str">
        <f t="shared" si="47"/>
        <v/>
      </c>
      <c r="D287" s="44" t="str">
        <f t="shared" si="41"/>
        <v/>
      </c>
      <c r="E287" s="44" t="str">
        <f t="shared" si="42"/>
        <v/>
      </c>
      <c r="F287" s="44" t="str">
        <f t="shared" si="43"/>
        <v/>
      </c>
      <c r="G287" s="44" t="str">
        <f t="shared" si="44"/>
        <v/>
      </c>
      <c r="H287" s="24" t="str">
        <f t="shared" si="45"/>
        <v/>
      </c>
      <c r="I287" s="24" t="str">
        <f t="shared" si="48"/>
        <v/>
      </c>
      <c r="J287" s="24" t="e">
        <f t="shared" si="49"/>
        <v>#VALUE!</v>
      </c>
    </row>
    <row r="288" spans="1:10">
      <c r="A288" s="23" t="str">
        <f t="shared" si="46"/>
        <v/>
      </c>
      <c r="B288" s="24" t="str">
        <f t="shared" si="50"/>
        <v/>
      </c>
      <c r="C288" s="44" t="str">
        <f t="shared" si="47"/>
        <v/>
      </c>
      <c r="D288" s="44" t="str">
        <f t="shared" si="41"/>
        <v/>
      </c>
      <c r="E288" s="44" t="str">
        <f t="shared" si="42"/>
        <v/>
      </c>
      <c r="F288" s="44" t="str">
        <f t="shared" si="43"/>
        <v/>
      </c>
      <c r="G288" s="44" t="str">
        <f t="shared" si="44"/>
        <v/>
      </c>
      <c r="H288" s="24" t="str">
        <f t="shared" si="45"/>
        <v/>
      </c>
      <c r="I288" s="24" t="str">
        <f t="shared" si="48"/>
        <v/>
      </c>
      <c r="J288" s="24" t="e">
        <f t="shared" si="49"/>
        <v>#VALUE!</v>
      </c>
    </row>
    <row r="289" spans="1:10">
      <c r="A289" s="23" t="str">
        <f t="shared" si="46"/>
        <v/>
      </c>
      <c r="B289" s="24" t="str">
        <f t="shared" si="50"/>
        <v/>
      </c>
      <c r="C289" s="44" t="str">
        <f t="shared" si="47"/>
        <v/>
      </c>
      <c r="D289" s="44" t="str">
        <f t="shared" si="41"/>
        <v/>
      </c>
      <c r="E289" s="44" t="str">
        <f t="shared" si="42"/>
        <v/>
      </c>
      <c r="F289" s="44" t="str">
        <f t="shared" si="43"/>
        <v/>
      </c>
      <c r="G289" s="44" t="str">
        <f t="shared" si="44"/>
        <v/>
      </c>
      <c r="H289" s="24" t="str">
        <f t="shared" si="45"/>
        <v/>
      </c>
      <c r="I289" s="24" t="str">
        <f t="shared" si="48"/>
        <v/>
      </c>
      <c r="J289" s="24" t="e">
        <f t="shared" si="49"/>
        <v>#VALUE!</v>
      </c>
    </row>
    <row r="290" spans="1:10">
      <c r="A290" s="23" t="str">
        <f t="shared" si="46"/>
        <v/>
      </c>
      <c r="B290" s="24" t="str">
        <f t="shared" si="50"/>
        <v/>
      </c>
      <c r="C290" s="44" t="str">
        <f t="shared" si="47"/>
        <v/>
      </c>
      <c r="D290" s="44" t="str">
        <f t="shared" si="41"/>
        <v/>
      </c>
      <c r="E290" s="44" t="str">
        <f t="shared" si="42"/>
        <v/>
      </c>
      <c r="F290" s="44" t="str">
        <f t="shared" si="43"/>
        <v/>
      </c>
      <c r="G290" s="44" t="str">
        <f t="shared" si="44"/>
        <v/>
      </c>
      <c r="H290" s="24" t="str">
        <f t="shared" si="45"/>
        <v/>
      </c>
      <c r="I290" s="24" t="str">
        <f t="shared" si="48"/>
        <v/>
      </c>
      <c r="J290" s="24" t="e">
        <f t="shared" si="49"/>
        <v>#VALUE!</v>
      </c>
    </row>
    <row r="291" spans="1:10">
      <c r="A291" s="23" t="str">
        <f t="shared" si="46"/>
        <v/>
      </c>
      <c r="B291" s="24" t="str">
        <f t="shared" si="50"/>
        <v/>
      </c>
      <c r="C291" s="44" t="str">
        <f t="shared" si="47"/>
        <v/>
      </c>
      <c r="D291" s="44" t="str">
        <f t="shared" si="41"/>
        <v/>
      </c>
      <c r="E291" s="44" t="str">
        <f t="shared" si="42"/>
        <v/>
      </c>
      <c r="F291" s="44" t="str">
        <f t="shared" si="43"/>
        <v/>
      </c>
      <c r="G291" s="44" t="str">
        <f t="shared" si="44"/>
        <v/>
      </c>
      <c r="H291" s="24" t="str">
        <f t="shared" si="45"/>
        <v/>
      </c>
      <c r="I291" s="24" t="str">
        <f t="shared" si="48"/>
        <v/>
      </c>
      <c r="J291" s="24" t="e">
        <f t="shared" si="49"/>
        <v>#VALUE!</v>
      </c>
    </row>
    <row r="292" spans="1:10">
      <c r="A292" s="23" t="str">
        <f t="shared" si="46"/>
        <v/>
      </c>
      <c r="B292" s="24" t="str">
        <f t="shared" si="50"/>
        <v/>
      </c>
      <c r="C292" s="44" t="str">
        <f t="shared" si="47"/>
        <v/>
      </c>
      <c r="D292" s="44" t="str">
        <f t="shared" si="41"/>
        <v/>
      </c>
      <c r="E292" s="44" t="str">
        <f t="shared" si="42"/>
        <v/>
      </c>
      <c r="F292" s="44" t="str">
        <f t="shared" si="43"/>
        <v/>
      </c>
      <c r="G292" s="44" t="str">
        <f t="shared" si="44"/>
        <v/>
      </c>
      <c r="H292" s="24" t="str">
        <f t="shared" si="45"/>
        <v/>
      </c>
      <c r="I292" s="24" t="str">
        <f t="shared" si="48"/>
        <v/>
      </c>
      <c r="J292" s="24" t="e">
        <f t="shared" si="49"/>
        <v>#VALUE!</v>
      </c>
    </row>
    <row r="293" spans="1:10">
      <c r="A293" s="23" t="str">
        <f t="shared" si="46"/>
        <v/>
      </c>
      <c r="B293" s="24" t="str">
        <f t="shared" si="50"/>
        <v/>
      </c>
      <c r="C293" s="44" t="str">
        <f t="shared" si="47"/>
        <v/>
      </c>
      <c r="D293" s="44" t="str">
        <f t="shared" si="41"/>
        <v/>
      </c>
      <c r="E293" s="44" t="str">
        <f t="shared" si="42"/>
        <v/>
      </c>
      <c r="F293" s="44" t="str">
        <f t="shared" si="43"/>
        <v/>
      </c>
      <c r="G293" s="44" t="str">
        <f t="shared" si="44"/>
        <v/>
      </c>
      <c r="H293" s="24" t="str">
        <f t="shared" si="45"/>
        <v/>
      </c>
      <c r="I293" s="24" t="str">
        <f t="shared" si="48"/>
        <v/>
      </c>
      <c r="J293" s="24" t="e">
        <f t="shared" si="49"/>
        <v>#VALUE!</v>
      </c>
    </row>
    <row r="294" spans="1:10">
      <c r="A294" s="23" t="str">
        <f t="shared" si="46"/>
        <v/>
      </c>
      <c r="B294" s="24" t="str">
        <f t="shared" si="50"/>
        <v/>
      </c>
      <c r="C294" s="44" t="str">
        <f t="shared" si="47"/>
        <v/>
      </c>
      <c r="D294" s="44" t="str">
        <f t="shared" si="41"/>
        <v/>
      </c>
      <c r="E294" s="44" t="str">
        <f t="shared" si="42"/>
        <v/>
      </c>
      <c r="F294" s="44" t="str">
        <f t="shared" si="43"/>
        <v/>
      </c>
      <c r="G294" s="44" t="str">
        <f t="shared" si="44"/>
        <v/>
      </c>
      <c r="H294" s="24" t="str">
        <f t="shared" si="45"/>
        <v/>
      </c>
      <c r="I294" s="24" t="str">
        <f t="shared" si="48"/>
        <v/>
      </c>
      <c r="J294" s="24" t="e">
        <f t="shared" si="49"/>
        <v>#VALUE!</v>
      </c>
    </row>
    <row r="295" spans="1:10">
      <c r="A295" s="23" t="str">
        <f t="shared" si="46"/>
        <v/>
      </c>
      <c r="B295" s="24" t="str">
        <f t="shared" si="50"/>
        <v/>
      </c>
      <c r="C295" s="44" t="str">
        <f t="shared" si="47"/>
        <v/>
      </c>
      <c r="D295" s="44" t="str">
        <f t="shared" si="41"/>
        <v/>
      </c>
      <c r="E295" s="44" t="str">
        <f t="shared" si="42"/>
        <v/>
      </c>
      <c r="F295" s="44" t="str">
        <f t="shared" si="43"/>
        <v/>
      </c>
      <c r="G295" s="44" t="str">
        <f t="shared" si="44"/>
        <v/>
      </c>
      <c r="H295" s="24" t="str">
        <f t="shared" si="45"/>
        <v/>
      </c>
      <c r="I295" s="24" t="str">
        <f t="shared" si="48"/>
        <v/>
      </c>
      <c r="J295" s="24" t="e">
        <f t="shared" si="49"/>
        <v>#VALUE!</v>
      </c>
    </row>
    <row r="296" spans="1:10">
      <c r="A296" s="23" t="str">
        <f t="shared" si="46"/>
        <v/>
      </c>
      <c r="B296" s="24" t="str">
        <f t="shared" si="50"/>
        <v/>
      </c>
      <c r="C296" s="44" t="str">
        <f t="shared" si="47"/>
        <v/>
      </c>
      <c r="D296" s="44" t="str">
        <f t="shared" si="41"/>
        <v/>
      </c>
      <c r="E296" s="44" t="str">
        <f t="shared" si="42"/>
        <v/>
      </c>
      <c r="F296" s="44" t="str">
        <f t="shared" si="43"/>
        <v/>
      </c>
      <c r="G296" s="44" t="str">
        <f t="shared" si="44"/>
        <v/>
      </c>
      <c r="H296" s="24" t="str">
        <f t="shared" si="45"/>
        <v/>
      </c>
      <c r="I296" s="24" t="str">
        <f t="shared" si="48"/>
        <v/>
      </c>
      <c r="J296" s="24" t="e">
        <f t="shared" si="49"/>
        <v>#VALUE!</v>
      </c>
    </row>
    <row r="297" spans="1:10">
      <c r="A297" s="23" t="str">
        <f t="shared" si="46"/>
        <v/>
      </c>
      <c r="B297" s="24" t="str">
        <f t="shared" si="50"/>
        <v/>
      </c>
      <c r="C297" s="44" t="str">
        <f t="shared" si="47"/>
        <v/>
      </c>
      <c r="D297" s="44" t="str">
        <f t="shared" si="41"/>
        <v/>
      </c>
      <c r="E297" s="44" t="str">
        <f t="shared" si="42"/>
        <v/>
      </c>
      <c r="F297" s="44" t="str">
        <f t="shared" si="43"/>
        <v/>
      </c>
      <c r="G297" s="44" t="str">
        <f t="shared" si="44"/>
        <v/>
      </c>
      <c r="H297" s="24" t="str">
        <f t="shared" si="45"/>
        <v/>
      </c>
      <c r="I297" s="24" t="str">
        <f t="shared" si="48"/>
        <v/>
      </c>
      <c r="J297" s="24" t="e">
        <f t="shared" si="49"/>
        <v>#VALUE!</v>
      </c>
    </row>
    <row r="298" spans="1:10">
      <c r="A298" s="23" t="str">
        <f t="shared" si="46"/>
        <v/>
      </c>
      <c r="B298" s="24" t="str">
        <f t="shared" si="50"/>
        <v/>
      </c>
      <c r="C298" s="44" t="str">
        <f t="shared" si="47"/>
        <v/>
      </c>
      <c r="D298" s="44" t="str">
        <f t="shared" si="41"/>
        <v/>
      </c>
      <c r="E298" s="44" t="str">
        <f t="shared" si="42"/>
        <v/>
      </c>
      <c r="F298" s="44" t="str">
        <f t="shared" si="43"/>
        <v/>
      </c>
      <c r="G298" s="44" t="str">
        <f t="shared" si="44"/>
        <v/>
      </c>
      <c r="H298" s="24" t="str">
        <f t="shared" si="45"/>
        <v/>
      </c>
      <c r="I298" s="24" t="str">
        <f t="shared" si="48"/>
        <v/>
      </c>
      <c r="J298" s="24" t="e">
        <f t="shared" si="49"/>
        <v>#VALUE!</v>
      </c>
    </row>
    <row r="299" spans="1:10">
      <c r="A299" s="23" t="str">
        <f t="shared" si="46"/>
        <v/>
      </c>
      <c r="B299" s="24" t="str">
        <f t="shared" si="50"/>
        <v/>
      </c>
      <c r="C299" s="44" t="str">
        <f t="shared" si="47"/>
        <v/>
      </c>
      <c r="D299" s="44" t="str">
        <f t="shared" si="41"/>
        <v/>
      </c>
      <c r="E299" s="44" t="str">
        <f t="shared" si="42"/>
        <v/>
      </c>
      <c r="F299" s="44" t="str">
        <f t="shared" si="43"/>
        <v/>
      </c>
      <c r="G299" s="44" t="str">
        <f t="shared" si="44"/>
        <v/>
      </c>
      <c r="H299" s="24" t="str">
        <f t="shared" si="45"/>
        <v/>
      </c>
      <c r="I299" s="24" t="str">
        <f t="shared" si="48"/>
        <v/>
      </c>
      <c r="J299" s="24" t="e">
        <f t="shared" si="49"/>
        <v>#VALUE!</v>
      </c>
    </row>
    <row r="300" spans="1:10">
      <c r="A300" s="23" t="str">
        <f t="shared" si="46"/>
        <v/>
      </c>
      <c r="B300" s="24" t="str">
        <f t="shared" si="50"/>
        <v/>
      </c>
      <c r="C300" s="44" t="str">
        <f t="shared" si="47"/>
        <v/>
      </c>
      <c r="D300" s="44" t="str">
        <f t="shared" si="41"/>
        <v/>
      </c>
      <c r="E300" s="44" t="str">
        <f t="shared" si="42"/>
        <v/>
      </c>
      <c r="F300" s="44" t="str">
        <f t="shared" si="43"/>
        <v/>
      </c>
      <c r="G300" s="44" t="str">
        <f t="shared" si="44"/>
        <v/>
      </c>
      <c r="H300" s="24" t="str">
        <f t="shared" si="45"/>
        <v/>
      </c>
      <c r="I300" s="24" t="str">
        <f t="shared" si="48"/>
        <v/>
      </c>
      <c r="J300" s="24" t="e">
        <f t="shared" si="49"/>
        <v>#VALUE!</v>
      </c>
    </row>
    <row r="301" spans="1:10">
      <c r="A301" s="23" t="str">
        <f t="shared" si="46"/>
        <v/>
      </c>
      <c r="B301" s="24" t="str">
        <f t="shared" si="50"/>
        <v/>
      </c>
      <c r="C301" s="44" t="str">
        <f t="shared" si="47"/>
        <v/>
      </c>
      <c r="D301" s="44" t="str">
        <f t="shared" si="41"/>
        <v/>
      </c>
      <c r="E301" s="44" t="str">
        <f t="shared" si="42"/>
        <v/>
      </c>
      <c r="F301" s="44" t="str">
        <f t="shared" si="43"/>
        <v/>
      </c>
      <c r="G301" s="44" t="str">
        <f t="shared" si="44"/>
        <v/>
      </c>
      <c r="H301" s="24" t="str">
        <f t="shared" si="45"/>
        <v/>
      </c>
      <c r="I301" s="24" t="str">
        <f t="shared" si="48"/>
        <v/>
      </c>
      <c r="J301" s="24" t="e">
        <f t="shared" si="49"/>
        <v>#VALUE!</v>
      </c>
    </row>
    <row r="302" spans="1:10">
      <c r="A302" s="23" t="str">
        <f t="shared" si="46"/>
        <v/>
      </c>
      <c r="B302" s="24" t="str">
        <f t="shared" si="50"/>
        <v/>
      </c>
      <c r="C302" s="44" t="str">
        <f t="shared" si="47"/>
        <v/>
      </c>
      <c r="D302" s="44" t="str">
        <f t="shared" si="41"/>
        <v/>
      </c>
      <c r="E302" s="44" t="str">
        <f t="shared" si="42"/>
        <v/>
      </c>
      <c r="F302" s="44" t="str">
        <f t="shared" si="43"/>
        <v/>
      </c>
      <c r="G302" s="44" t="str">
        <f t="shared" si="44"/>
        <v/>
      </c>
      <c r="H302" s="24" t="str">
        <f t="shared" si="45"/>
        <v/>
      </c>
      <c r="I302" s="24" t="str">
        <f t="shared" si="48"/>
        <v/>
      </c>
      <c r="J302" s="24" t="e">
        <f t="shared" si="49"/>
        <v>#VALUE!</v>
      </c>
    </row>
    <row r="303" spans="1:10">
      <c r="A303" s="23" t="str">
        <f t="shared" si="46"/>
        <v/>
      </c>
      <c r="B303" s="24" t="str">
        <f t="shared" si="50"/>
        <v/>
      </c>
      <c r="C303" s="44" t="str">
        <f t="shared" si="47"/>
        <v/>
      </c>
      <c r="D303" s="44" t="str">
        <f t="shared" si="41"/>
        <v/>
      </c>
      <c r="E303" s="44" t="str">
        <f t="shared" si="42"/>
        <v/>
      </c>
      <c r="F303" s="44" t="str">
        <f t="shared" si="43"/>
        <v/>
      </c>
      <c r="G303" s="44" t="str">
        <f t="shared" si="44"/>
        <v/>
      </c>
      <c r="H303" s="24" t="str">
        <f t="shared" si="45"/>
        <v/>
      </c>
      <c r="I303" s="24" t="str">
        <f t="shared" si="48"/>
        <v/>
      </c>
      <c r="J303" s="24" t="e">
        <f t="shared" si="49"/>
        <v>#VALUE!</v>
      </c>
    </row>
    <row r="304" spans="1:10">
      <c r="A304" s="23" t="str">
        <f t="shared" si="46"/>
        <v/>
      </c>
      <c r="B304" s="24" t="str">
        <f t="shared" si="50"/>
        <v/>
      </c>
      <c r="C304" s="44" t="str">
        <f t="shared" si="47"/>
        <v/>
      </c>
      <c r="D304" s="44" t="str">
        <f t="shared" si="41"/>
        <v/>
      </c>
      <c r="E304" s="44" t="str">
        <f t="shared" si="42"/>
        <v/>
      </c>
      <c r="F304" s="44" t="str">
        <f t="shared" si="43"/>
        <v/>
      </c>
      <c r="G304" s="44" t="str">
        <f t="shared" si="44"/>
        <v/>
      </c>
      <c r="H304" s="24" t="str">
        <f t="shared" si="45"/>
        <v/>
      </c>
      <c r="I304" s="24" t="str">
        <f t="shared" si="48"/>
        <v/>
      </c>
      <c r="J304" s="24" t="e">
        <f t="shared" si="49"/>
        <v>#VALUE!</v>
      </c>
    </row>
    <row r="305" spans="1:10">
      <c r="A305" s="23" t="str">
        <f t="shared" si="46"/>
        <v/>
      </c>
      <c r="B305" s="24" t="str">
        <f t="shared" si="50"/>
        <v/>
      </c>
      <c r="C305" s="44" t="str">
        <f t="shared" si="47"/>
        <v/>
      </c>
      <c r="D305" s="44" t="str">
        <f t="shared" si="41"/>
        <v/>
      </c>
      <c r="E305" s="44" t="str">
        <f t="shared" si="42"/>
        <v/>
      </c>
      <c r="F305" s="44" t="str">
        <f t="shared" si="43"/>
        <v/>
      </c>
      <c r="G305" s="44" t="str">
        <f t="shared" si="44"/>
        <v/>
      </c>
      <c r="H305" s="24" t="str">
        <f t="shared" si="45"/>
        <v/>
      </c>
      <c r="I305" s="24" t="str">
        <f t="shared" si="48"/>
        <v/>
      </c>
      <c r="J305" s="24" t="e">
        <f t="shared" si="49"/>
        <v>#VALUE!</v>
      </c>
    </row>
    <row r="306" spans="1:10">
      <c r="A306" s="23" t="str">
        <f t="shared" si="46"/>
        <v/>
      </c>
      <c r="B306" s="24" t="str">
        <f t="shared" si="50"/>
        <v/>
      </c>
      <c r="C306" s="44" t="str">
        <f t="shared" si="47"/>
        <v/>
      </c>
      <c r="D306" s="44" t="str">
        <f t="shared" si="41"/>
        <v/>
      </c>
      <c r="E306" s="44" t="str">
        <f t="shared" si="42"/>
        <v/>
      </c>
      <c r="F306" s="44" t="str">
        <f t="shared" si="43"/>
        <v/>
      </c>
      <c r="G306" s="44" t="str">
        <f t="shared" si="44"/>
        <v/>
      </c>
      <c r="H306" s="24" t="str">
        <f t="shared" si="45"/>
        <v/>
      </c>
      <c r="I306" s="24" t="str">
        <f t="shared" si="48"/>
        <v/>
      </c>
      <c r="J306" s="24" t="e">
        <f t="shared" si="49"/>
        <v>#VALUE!</v>
      </c>
    </row>
    <row r="307" spans="1:10">
      <c r="A307" s="23" t="str">
        <f t="shared" si="46"/>
        <v/>
      </c>
      <c r="B307" s="24" t="str">
        <f t="shared" si="50"/>
        <v/>
      </c>
      <c r="C307" s="44" t="str">
        <f t="shared" si="47"/>
        <v/>
      </c>
      <c r="D307" s="44" t="str">
        <f t="shared" si="41"/>
        <v/>
      </c>
      <c r="E307" s="44" t="str">
        <f t="shared" si="42"/>
        <v/>
      </c>
      <c r="F307" s="44" t="str">
        <f t="shared" si="43"/>
        <v/>
      </c>
      <c r="G307" s="44" t="str">
        <f t="shared" si="44"/>
        <v/>
      </c>
      <c r="H307" s="24" t="str">
        <f t="shared" si="45"/>
        <v/>
      </c>
      <c r="I307" s="24" t="str">
        <f t="shared" si="48"/>
        <v/>
      </c>
      <c r="J307" s="24" t="e">
        <f t="shared" si="49"/>
        <v>#VALUE!</v>
      </c>
    </row>
    <row r="308" spans="1:10">
      <c r="A308" s="23" t="str">
        <f t="shared" si="46"/>
        <v/>
      </c>
      <c r="B308" s="24" t="str">
        <f t="shared" si="50"/>
        <v/>
      </c>
      <c r="C308" s="44" t="str">
        <f t="shared" si="47"/>
        <v/>
      </c>
      <c r="D308" s="44" t="str">
        <f t="shared" si="41"/>
        <v/>
      </c>
      <c r="E308" s="44" t="str">
        <f t="shared" si="42"/>
        <v/>
      </c>
      <c r="F308" s="44" t="str">
        <f t="shared" si="43"/>
        <v/>
      </c>
      <c r="G308" s="44" t="str">
        <f t="shared" si="44"/>
        <v/>
      </c>
      <c r="H308" s="24" t="str">
        <f t="shared" si="45"/>
        <v/>
      </c>
      <c r="I308" s="24" t="str">
        <f t="shared" si="48"/>
        <v/>
      </c>
      <c r="J308" s="24" t="e">
        <f t="shared" si="49"/>
        <v>#VALUE!</v>
      </c>
    </row>
    <row r="309" spans="1:10">
      <c r="A309" s="23" t="str">
        <f t="shared" si="46"/>
        <v/>
      </c>
      <c r="B309" s="24" t="str">
        <f t="shared" si="50"/>
        <v/>
      </c>
      <c r="C309" s="44" t="str">
        <f t="shared" si="47"/>
        <v/>
      </c>
      <c r="D309" s="44" t="str">
        <f t="shared" si="41"/>
        <v/>
      </c>
      <c r="E309" s="44" t="str">
        <f t="shared" si="42"/>
        <v/>
      </c>
      <c r="F309" s="44" t="str">
        <f t="shared" si="43"/>
        <v/>
      </c>
      <c r="G309" s="44" t="str">
        <f t="shared" si="44"/>
        <v/>
      </c>
      <c r="H309" s="24" t="str">
        <f t="shared" si="45"/>
        <v/>
      </c>
      <c r="I309" s="24" t="str">
        <f t="shared" si="48"/>
        <v/>
      </c>
      <c r="J309" s="24" t="e">
        <f t="shared" si="49"/>
        <v>#VALUE!</v>
      </c>
    </row>
    <row r="310" spans="1:10">
      <c r="A310" s="23" t="str">
        <f t="shared" si="46"/>
        <v/>
      </c>
      <c r="B310" s="24" t="str">
        <f t="shared" si="50"/>
        <v/>
      </c>
      <c r="C310" s="44" t="str">
        <f t="shared" si="47"/>
        <v/>
      </c>
      <c r="D310" s="44" t="str">
        <f t="shared" si="41"/>
        <v/>
      </c>
      <c r="E310" s="44" t="str">
        <f t="shared" si="42"/>
        <v/>
      </c>
      <c r="F310" s="44" t="str">
        <f t="shared" si="43"/>
        <v/>
      </c>
      <c r="G310" s="44" t="str">
        <f t="shared" si="44"/>
        <v/>
      </c>
      <c r="H310" s="24" t="str">
        <f t="shared" si="45"/>
        <v/>
      </c>
      <c r="I310" s="24" t="str">
        <f t="shared" si="48"/>
        <v/>
      </c>
      <c r="J310" s="24" t="e">
        <f t="shared" si="49"/>
        <v>#VALUE!</v>
      </c>
    </row>
    <row r="311" spans="1:10">
      <c r="A311" s="23" t="str">
        <f t="shared" si="46"/>
        <v/>
      </c>
      <c r="B311" s="24" t="str">
        <f t="shared" si="50"/>
        <v/>
      </c>
      <c r="C311" s="44" t="str">
        <f t="shared" si="47"/>
        <v/>
      </c>
      <c r="D311" s="44" t="str">
        <f t="shared" si="41"/>
        <v/>
      </c>
      <c r="E311" s="44" t="str">
        <f t="shared" si="42"/>
        <v/>
      </c>
      <c r="F311" s="44" t="str">
        <f t="shared" si="43"/>
        <v/>
      </c>
      <c r="G311" s="44" t="str">
        <f t="shared" si="44"/>
        <v/>
      </c>
      <c r="H311" s="24" t="str">
        <f t="shared" si="45"/>
        <v/>
      </c>
      <c r="I311" s="24" t="str">
        <f t="shared" si="48"/>
        <v/>
      </c>
      <c r="J311" s="24" t="e">
        <f t="shared" si="49"/>
        <v>#VALUE!</v>
      </c>
    </row>
    <row r="312" spans="1:10">
      <c r="A312" s="23" t="str">
        <f t="shared" si="46"/>
        <v/>
      </c>
      <c r="B312" s="24" t="str">
        <f t="shared" si="50"/>
        <v/>
      </c>
      <c r="C312" s="44" t="str">
        <f t="shared" si="47"/>
        <v/>
      </c>
      <c r="D312" s="44" t="str">
        <f t="shared" si="41"/>
        <v/>
      </c>
      <c r="E312" s="44" t="str">
        <f t="shared" si="42"/>
        <v/>
      </c>
      <c r="F312" s="44" t="str">
        <f t="shared" si="43"/>
        <v/>
      </c>
      <c r="G312" s="44" t="str">
        <f t="shared" si="44"/>
        <v/>
      </c>
      <c r="H312" s="24" t="str">
        <f t="shared" si="45"/>
        <v/>
      </c>
      <c r="I312" s="24" t="str">
        <f t="shared" si="48"/>
        <v/>
      </c>
      <c r="J312" s="24" t="e">
        <f t="shared" si="49"/>
        <v>#VALUE!</v>
      </c>
    </row>
    <row r="313" spans="1:10">
      <c r="A313" s="23" t="str">
        <f t="shared" si="46"/>
        <v/>
      </c>
      <c r="B313" s="24" t="str">
        <f t="shared" si="50"/>
        <v/>
      </c>
      <c r="C313" s="44" t="str">
        <f t="shared" si="47"/>
        <v/>
      </c>
      <c r="D313" s="44" t="str">
        <f t="shared" si="41"/>
        <v/>
      </c>
      <c r="E313" s="44" t="str">
        <f t="shared" si="42"/>
        <v/>
      </c>
      <c r="F313" s="44" t="str">
        <f t="shared" si="43"/>
        <v/>
      </c>
      <c r="G313" s="44" t="str">
        <f t="shared" si="44"/>
        <v/>
      </c>
      <c r="H313" s="24" t="str">
        <f t="shared" si="45"/>
        <v/>
      </c>
      <c r="I313" s="24" t="str">
        <f t="shared" si="48"/>
        <v/>
      </c>
      <c r="J313" s="24" t="e">
        <f t="shared" si="49"/>
        <v>#VALUE!</v>
      </c>
    </row>
    <row r="314" spans="1:10">
      <c r="A314" s="23" t="str">
        <f t="shared" si="46"/>
        <v/>
      </c>
      <c r="B314" s="24" t="str">
        <f t="shared" si="50"/>
        <v/>
      </c>
      <c r="C314" s="44" t="str">
        <f t="shared" si="47"/>
        <v/>
      </c>
      <c r="D314" s="44" t="str">
        <f t="shared" si="41"/>
        <v/>
      </c>
      <c r="E314" s="44" t="str">
        <f t="shared" si="42"/>
        <v/>
      </c>
      <c r="F314" s="44" t="str">
        <f t="shared" si="43"/>
        <v/>
      </c>
      <c r="G314" s="44" t="str">
        <f t="shared" si="44"/>
        <v/>
      </c>
      <c r="H314" s="24" t="str">
        <f t="shared" si="45"/>
        <v/>
      </c>
      <c r="I314" s="24" t="str">
        <f t="shared" si="48"/>
        <v/>
      </c>
      <c r="J314" s="24" t="e">
        <f t="shared" si="49"/>
        <v>#VALUE!</v>
      </c>
    </row>
    <row r="315" spans="1:10">
      <c r="A315" s="23" t="str">
        <f t="shared" si="46"/>
        <v/>
      </c>
      <c r="B315" s="24" t="str">
        <f t="shared" si="50"/>
        <v/>
      </c>
      <c r="C315" s="44" t="str">
        <f t="shared" si="47"/>
        <v/>
      </c>
      <c r="D315" s="44" t="str">
        <f t="shared" si="41"/>
        <v/>
      </c>
      <c r="E315" s="44" t="str">
        <f t="shared" si="42"/>
        <v/>
      </c>
      <c r="F315" s="44" t="str">
        <f t="shared" si="43"/>
        <v/>
      </c>
      <c r="G315" s="44" t="str">
        <f t="shared" si="44"/>
        <v/>
      </c>
      <c r="H315" s="24" t="str">
        <f t="shared" si="45"/>
        <v/>
      </c>
      <c r="I315" s="24" t="str">
        <f t="shared" si="48"/>
        <v/>
      </c>
      <c r="J315" s="24" t="e">
        <f t="shared" si="49"/>
        <v>#VALUE!</v>
      </c>
    </row>
    <row r="316" spans="1:10">
      <c r="A316" s="23" t="str">
        <f t="shared" si="46"/>
        <v/>
      </c>
      <c r="B316" s="24" t="str">
        <f t="shared" si="50"/>
        <v/>
      </c>
      <c r="C316" s="44" t="str">
        <f t="shared" si="47"/>
        <v/>
      </c>
      <c r="D316" s="44" t="str">
        <f t="shared" si="41"/>
        <v/>
      </c>
      <c r="E316" s="44" t="str">
        <f t="shared" si="42"/>
        <v/>
      </c>
      <c r="F316" s="44" t="str">
        <f t="shared" si="43"/>
        <v/>
      </c>
      <c r="G316" s="44" t="str">
        <f t="shared" si="44"/>
        <v/>
      </c>
      <c r="H316" s="24" t="str">
        <f t="shared" si="45"/>
        <v/>
      </c>
      <c r="I316" s="24" t="str">
        <f t="shared" si="48"/>
        <v/>
      </c>
      <c r="J316" s="24" t="e">
        <f t="shared" si="49"/>
        <v>#VALUE!</v>
      </c>
    </row>
    <row r="317" spans="1:10">
      <c r="A317" s="23" t="str">
        <f t="shared" si="46"/>
        <v/>
      </c>
      <c r="B317" s="24" t="str">
        <f t="shared" si="50"/>
        <v/>
      </c>
      <c r="C317" s="44" t="str">
        <f t="shared" si="47"/>
        <v/>
      </c>
      <c r="D317" s="44" t="str">
        <f t="shared" si="41"/>
        <v/>
      </c>
      <c r="E317" s="44" t="str">
        <f t="shared" si="42"/>
        <v/>
      </c>
      <c r="F317" s="44" t="str">
        <f t="shared" si="43"/>
        <v/>
      </c>
      <c r="G317" s="44" t="str">
        <f t="shared" si="44"/>
        <v/>
      </c>
      <c r="H317" s="24" t="str">
        <f t="shared" si="45"/>
        <v/>
      </c>
      <c r="I317" s="24" t="str">
        <f t="shared" si="48"/>
        <v/>
      </c>
      <c r="J317" s="24" t="e">
        <f t="shared" si="49"/>
        <v>#VALUE!</v>
      </c>
    </row>
    <row r="318" spans="1:10">
      <c r="A318" s="23" t="str">
        <f t="shared" si="46"/>
        <v/>
      </c>
      <c r="B318" s="24" t="str">
        <f t="shared" si="50"/>
        <v/>
      </c>
      <c r="C318" s="44" t="str">
        <f t="shared" si="47"/>
        <v/>
      </c>
      <c r="D318" s="44" t="str">
        <f t="shared" si="41"/>
        <v/>
      </c>
      <c r="E318" s="44" t="str">
        <f t="shared" si="42"/>
        <v/>
      </c>
      <c r="F318" s="44" t="str">
        <f t="shared" si="43"/>
        <v/>
      </c>
      <c r="G318" s="44" t="str">
        <f t="shared" si="44"/>
        <v/>
      </c>
      <c r="H318" s="24" t="str">
        <f t="shared" si="45"/>
        <v/>
      </c>
      <c r="I318" s="24" t="str">
        <f t="shared" si="48"/>
        <v/>
      </c>
      <c r="J318" s="24" t="e">
        <f t="shared" si="49"/>
        <v>#VALUE!</v>
      </c>
    </row>
    <row r="319" spans="1:10">
      <c r="A319" s="23" t="str">
        <f t="shared" si="46"/>
        <v/>
      </c>
      <c r="B319" s="24" t="str">
        <f t="shared" si="50"/>
        <v/>
      </c>
      <c r="C319" s="44" t="str">
        <f t="shared" si="47"/>
        <v/>
      </c>
      <c r="D319" s="44" t="str">
        <f t="shared" si="41"/>
        <v/>
      </c>
      <c r="E319" s="44" t="str">
        <f t="shared" si="42"/>
        <v/>
      </c>
      <c r="F319" s="44" t="str">
        <f t="shared" si="43"/>
        <v/>
      </c>
      <c r="G319" s="44" t="str">
        <f t="shared" si="44"/>
        <v/>
      </c>
      <c r="H319" s="24" t="str">
        <f t="shared" si="45"/>
        <v/>
      </c>
      <c r="I319" s="24" t="str">
        <f t="shared" si="48"/>
        <v/>
      </c>
      <c r="J319" s="24" t="e">
        <f t="shared" si="49"/>
        <v>#VALUE!</v>
      </c>
    </row>
    <row r="320" spans="1:10">
      <c r="A320" s="23" t="str">
        <f t="shared" si="46"/>
        <v/>
      </c>
      <c r="B320" s="24" t="str">
        <f t="shared" si="50"/>
        <v/>
      </c>
      <c r="C320" s="44" t="str">
        <f t="shared" si="47"/>
        <v/>
      </c>
      <c r="D320" s="44" t="str">
        <f t="shared" si="41"/>
        <v/>
      </c>
      <c r="E320" s="44" t="str">
        <f t="shared" si="42"/>
        <v/>
      </c>
      <c r="F320" s="44" t="str">
        <f t="shared" si="43"/>
        <v/>
      </c>
      <c r="G320" s="44" t="str">
        <f t="shared" si="44"/>
        <v/>
      </c>
      <c r="H320" s="24" t="str">
        <f t="shared" si="45"/>
        <v/>
      </c>
      <c r="I320" s="24" t="str">
        <f t="shared" si="48"/>
        <v/>
      </c>
      <c r="J320" s="24" t="e">
        <f t="shared" si="49"/>
        <v>#VALUE!</v>
      </c>
    </row>
    <row r="321" spans="1:10">
      <c r="A321" s="23" t="str">
        <f t="shared" si="46"/>
        <v/>
      </c>
      <c r="B321" s="24" t="str">
        <f t="shared" si="50"/>
        <v/>
      </c>
      <c r="C321" s="44" t="str">
        <f t="shared" si="47"/>
        <v/>
      </c>
      <c r="D321" s="44" t="str">
        <f t="shared" si="41"/>
        <v/>
      </c>
      <c r="E321" s="44" t="str">
        <f t="shared" si="42"/>
        <v/>
      </c>
      <c r="F321" s="44" t="str">
        <f t="shared" si="43"/>
        <v/>
      </c>
      <c r="G321" s="44" t="str">
        <f t="shared" si="44"/>
        <v/>
      </c>
      <c r="H321" s="24" t="str">
        <f t="shared" si="45"/>
        <v/>
      </c>
      <c r="I321" s="24" t="str">
        <f t="shared" si="48"/>
        <v/>
      </c>
      <c r="J321" s="24" t="e">
        <f t="shared" si="49"/>
        <v>#VALUE!</v>
      </c>
    </row>
    <row r="322" spans="1:10">
      <c r="A322" s="23" t="str">
        <f t="shared" si="46"/>
        <v/>
      </c>
      <c r="B322" s="24" t="str">
        <f t="shared" si="50"/>
        <v/>
      </c>
      <c r="C322" s="44" t="str">
        <f t="shared" si="47"/>
        <v/>
      </c>
      <c r="D322" s="44" t="str">
        <f t="shared" si="41"/>
        <v/>
      </c>
      <c r="E322" s="44" t="str">
        <f t="shared" si="42"/>
        <v/>
      </c>
      <c r="F322" s="44" t="str">
        <f t="shared" si="43"/>
        <v/>
      </c>
      <c r="G322" s="44" t="str">
        <f t="shared" si="44"/>
        <v/>
      </c>
      <c r="H322" s="24" t="str">
        <f t="shared" si="45"/>
        <v/>
      </c>
      <c r="I322" s="24" t="str">
        <f t="shared" si="48"/>
        <v/>
      </c>
      <c r="J322" s="24" t="e">
        <f t="shared" si="49"/>
        <v>#VALUE!</v>
      </c>
    </row>
    <row r="323" spans="1:10">
      <c r="A323" s="23" t="str">
        <f t="shared" si="46"/>
        <v/>
      </c>
      <c r="B323" s="24" t="str">
        <f t="shared" si="50"/>
        <v/>
      </c>
      <c r="C323" s="44" t="str">
        <f t="shared" si="47"/>
        <v/>
      </c>
      <c r="D323" s="44" t="str">
        <f t="shared" si="41"/>
        <v/>
      </c>
      <c r="E323" s="44" t="str">
        <f t="shared" si="42"/>
        <v/>
      </c>
      <c r="F323" s="44" t="str">
        <f t="shared" si="43"/>
        <v/>
      </c>
      <c r="G323" s="44" t="str">
        <f t="shared" si="44"/>
        <v/>
      </c>
      <c r="H323" s="24" t="str">
        <f t="shared" si="45"/>
        <v/>
      </c>
      <c r="I323" s="24" t="str">
        <f t="shared" si="48"/>
        <v/>
      </c>
      <c r="J323" s="24" t="e">
        <f t="shared" si="49"/>
        <v>#VALUE!</v>
      </c>
    </row>
    <row r="324" spans="1:10">
      <c r="A324" s="23" t="str">
        <f t="shared" si="46"/>
        <v/>
      </c>
      <c r="B324" s="24" t="str">
        <f t="shared" si="50"/>
        <v/>
      </c>
      <c r="C324" s="44" t="str">
        <f t="shared" si="47"/>
        <v/>
      </c>
      <c r="D324" s="44" t="str">
        <f t="shared" si="41"/>
        <v/>
      </c>
      <c r="E324" s="44" t="str">
        <f t="shared" si="42"/>
        <v/>
      </c>
      <c r="F324" s="44" t="str">
        <f t="shared" si="43"/>
        <v/>
      </c>
      <c r="G324" s="44" t="str">
        <f t="shared" si="44"/>
        <v/>
      </c>
      <c r="H324" s="24" t="str">
        <f t="shared" si="45"/>
        <v/>
      </c>
      <c r="I324" s="24" t="str">
        <f t="shared" si="48"/>
        <v/>
      </c>
      <c r="J324" s="24" t="e">
        <f t="shared" si="49"/>
        <v>#VALUE!</v>
      </c>
    </row>
    <row r="325" spans="1:10">
      <c r="A325" s="23" t="str">
        <f t="shared" si="46"/>
        <v/>
      </c>
      <c r="B325" s="24" t="str">
        <f t="shared" si="50"/>
        <v/>
      </c>
      <c r="C325" s="44" t="str">
        <f t="shared" si="47"/>
        <v/>
      </c>
      <c r="D325" s="44" t="str">
        <f t="shared" si="41"/>
        <v/>
      </c>
      <c r="E325" s="44" t="str">
        <f t="shared" si="42"/>
        <v/>
      </c>
      <c r="F325" s="44" t="str">
        <f t="shared" si="43"/>
        <v/>
      </c>
      <c r="G325" s="44" t="str">
        <f t="shared" si="44"/>
        <v/>
      </c>
      <c r="H325" s="24" t="str">
        <f t="shared" si="45"/>
        <v/>
      </c>
      <c r="I325" s="24" t="str">
        <f t="shared" si="48"/>
        <v/>
      </c>
      <c r="J325" s="24" t="e">
        <f t="shared" si="49"/>
        <v>#VALUE!</v>
      </c>
    </row>
    <row r="326" spans="1:10">
      <c r="A326" s="23" t="str">
        <f t="shared" si="46"/>
        <v/>
      </c>
      <c r="B326" s="24" t="str">
        <f t="shared" si="50"/>
        <v/>
      </c>
      <c r="C326" s="44" t="str">
        <f t="shared" si="47"/>
        <v/>
      </c>
      <c r="D326" s="44" t="str">
        <f t="shared" si="41"/>
        <v/>
      </c>
      <c r="E326" s="44" t="str">
        <f t="shared" si="42"/>
        <v/>
      </c>
      <c r="F326" s="44" t="str">
        <f t="shared" si="43"/>
        <v/>
      </c>
      <c r="G326" s="44" t="str">
        <f t="shared" si="44"/>
        <v/>
      </c>
      <c r="H326" s="24" t="str">
        <f t="shared" si="45"/>
        <v/>
      </c>
      <c r="I326" s="24" t="str">
        <f t="shared" si="48"/>
        <v/>
      </c>
      <c r="J326" s="24" t="e">
        <f t="shared" si="49"/>
        <v>#VALUE!</v>
      </c>
    </row>
    <row r="327" spans="1:10">
      <c r="A327" s="23" t="str">
        <f t="shared" si="46"/>
        <v/>
      </c>
      <c r="B327" s="24" t="str">
        <f t="shared" si="50"/>
        <v/>
      </c>
      <c r="C327" s="44" t="str">
        <f t="shared" si="47"/>
        <v/>
      </c>
      <c r="D327" s="44" t="str">
        <f t="shared" si="41"/>
        <v/>
      </c>
      <c r="E327" s="44" t="str">
        <f t="shared" si="42"/>
        <v/>
      </c>
      <c r="F327" s="44" t="str">
        <f t="shared" si="43"/>
        <v/>
      </c>
      <c r="G327" s="44" t="str">
        <f t="shared" si="44"/>
        <v/>
      </c>
      <c r="H327" s="24" t="str">
        <f t="shared" si="45"/>
        <v/>
      </c>
      <c r="I327" s="24" t="str">
        <f t="shared" si="48"/>
        <v/>
      </c>
      <c r="J327" s="24" t="e">
        <f t="shared" si="49"/>
        <v>#VALUE!</v>
      </c>
    </row>
    <row r="328" spans="1:10">
      <c r="A328" s="23" t="str">
        <f t="shared" si="46"/>
        <v/>
      </c>
      <c r="B328" s="24" t="str">
        <f t="shared" si="50"/>
        <v/>
      </c>
      <c r="C328" s="44" t="str">
        <f t="shared" si="47"/>
        <v/>
      </c>
      <c r="D328" s="44" t="str">
        <f t="shared" si="41"/>
        <v/>
      </c>
      <c r="E328" s="44" t="str">
        <f t="shared" si="42"/>
        <v/>
      </c>
      <c r="F328" s="44" t="str">
        <f t="shared" si="43"/>
        <v/>
      </c>
      <c r="G328" s="44" t="str">
        <f t="shared" si="44"/>
        <v/>
      </c>
      <c r="H328" s="24" t="str">
        <f t="shared" si="45"/>
        <v/>
      </c>
      <c r="I328" s="24" t="str">
        <f t="shared" si="48"/>
        <v/>
      </c>
      <c r="J328" s="24" t="e">
        <f t="shared" si="49"/>
        <v>#VALUE!</v>
      </c>
    </row>
    <row r="329" spans="1:10">
      <c r="A329" s="23" t="str">
        <f t="shared" si="46"/>
        <v/>
      </c>
      <c r="B329" s="24" t="str">
        <f t="shared" si="50"/>
        <v/>
      </c>
      <c r="C329" s="44" t="str">
        <f t="shared" si="47"/>
        <v/>
      </c>
      <c r="D329" s="44" t="str">
        <f t="shared" si="41"/>
        <v/>
      </c>
      <c r="E329" s="44" t="str">
        <f t="shared" si="42"/>
        <v/>
      </c>
      <c r="F329" s="44" t="str">
        <f t="shared" si="43"/>
        <v/>
      </c>
      <c r="G329" s="44" t="str">
        <f t="shared" si="44"/>
        <v/>
      </c>
      <c r="H329" s="24" t="str">
        <f t="shared" si="45"/>
        <v/>
      </c>
      <c r="I329" s="24" t="str">
        <f t="shared" si="48"/>
        <v/>
      </c>
      <c r="J329" s="24" t="e">
        <f t="shared" si="49"/>
        <v>#VALUE!</v>
      </c>
    </row>
    <row r="330" spans="1:10">
      <c r="A330" s="23" t="str">
        <f t="shared" si="46"/>
        <v/>
      </c>
      <c r="B330" s="24" t="str">
        <f t="shared" si="50"/>
        <v/>
      </c>
      <c r="C330" s="44" t="str">
        <f t="shared" si="47"/>
        <v/>
      </c>
      <c r="D330" s="44" t="str">
        <f t="shared" si="41"/>
        <v/>
      </c>
      <c r="E330" s="44" t="str">
        <f t="shared" si="42"/>
        <v/>
      </c>
      <c r="F330" s="44" t="str">
        <f t="shared" si="43"/>
        <v/>
      </c>
      <c r="G330" s="44" t="str">
        <f t="shared" si="44"/>
        <v/>
      </c>
      <c r="H330" s="24" t="str">
        <f t="shared" si="45"/>
        <v/>
      </c>
      <c r="I330" s="24" t="str">
        <f t="shared" si="48"/>
        <v/>
      </c>
      <c r="J330" s="24" t="e">
        <f t="shared" si="49"/>
        <v>#VALUE!</v>
      </c>
    </row>
    <row r="331" spans="1:10">
      <c r="A331" s="23" t="str">
        <f t="shared" si="46"/>
        <v/>
      </c>
      <c r="B331" s="24" t="str">
        <f t="shared" si="50"/>
        <v/>
      </c>
      <c r="C331" s="44" t="str">
        <f t="shared" si="47"/>
        <v/>
      </c>
      <c r="D331" s="44" t="str">
        <f t="shared" si="41"/>
        <v/>
      </c>
      <c r="E331" s="44" t="str">
        <f t="shared" si="42"/>
        <v/>
      </c>
      <c r="F331" s="44" t="str">
        <f t="shared" si="43"/>
        <v/>
      </c>
      <c r="G331" s="44" t="str">
        <f t="shared" si="44"/>
        <v/>
      </c>
      <c r="H331" s="24" t="str">
        <f t="shared" si="45"/>
        <v/>
      </c>
      <c r="I331" s="24" t="str">
        <f t="shared" si="48"/>
        <v/>
      </c>
      <c r="J331" s="24" t="e">
        <f t="shared" si="49"/>
        <v>#VALUE!</v>
      </c>
    </row>
    <row r="332" spans="1:10">
      <c r="A332" s="23" t="str">
        <f t="shared" si="46"/>
        <v/>
      </c>
      <c r="B332" s="24" t="str">
        <f t="shared" si="50"/>
        <v/>
      </c>
      <c r="C332" s="44" t="str">
        <f t="shared" si="47"/>
        <v/>
      </c>
      <c r="D332" s="44" t="str">
        <f t="shared" ref="D332:D375" si="51">IF(A332&lt;=tc,$H$4*A332,IF(A332&lt;=2*tc,Qmax-$H$4*(A332-tc),""))</f>
        <v/>
      </c>
      <c r="E332" s="44" t="str">
        <f t="shared" ref="E332:E375" si="52">IF(A332&lt;=tc_1,$H$5*A332,IF(A332&lt;=tc,Q_max_i,IF(A332&lt;=tc_1+tc,Q_max_i-$H$5*(A332-(tc)),"")))</f>
        <v/>
      </c>
      <c r="F332" s="44" t="str">
        <f t="shared" ref="F332:F375" si="53">IF(A332="","",IF(ISERROR(D332/(Area*10^2)),"",D332/(Area*10^2)))</f>
        <v/>
      </c>
      <c r="G332" s="44" t="str">
        <f t="shared" ref="G332:G375" si="54">IF(A332="","",IF(ISERROR(E332/(Ad_i*10^2)),"",E332/(Ad_i*10^2)))</f>
        <v/>
      </c>
      <c r="H332" s="24" t="str">
        <f t="shared" ref="H332:H375" si="55">IF(G332="","",IF(ISERROR(G332*alot_i/100),"",G332*alot_i/100))</f>
        <v/>
      </c>
      <c r="I332" s="24" t="str">
        <f t="shared" si="48"/>
        <v/>
      </c>
      <c r="J332" s="24" t="e">
        <f t="shared" si="49"/>
        <v>#VALUE!</v>
      </c>
    </row>
    <row r="333" spans="1:10">
      <c r="A333" s="23" t="str">
        <f t="shared" ref="A333:A375" si="56">IF(ISERROR(IF(A332+Passo&lt;=tc+tc,A332+Passo,"")),"",IF(A332+Passo&lt;=tc+tc,A332+Passo,""))</f>
        <v/>
      </c>
      <c r="B333" s="24" t="str">
        <f t="shared" si="50"/>
        <v/>
      </c>
      <c r="C333" s="44" t="str">
        <f t="shared" ref="C333:C375" si="57">IF(ISERROR(IF(A333="","",C332+AVERAGE(B332:B333)*Passo*60/1000)),C332,IF(A333="","",C332+AVERAGE(B332:B333)*Passo*60/1000))</f>
        <v/>
      </c>
      <c r="D333" s="44" t="str">
        <f t="shared" si="51"/>
        <v/>
      </c>
      <c r="E333" s="44" t="str">
        <f t="shared" si="52"/>
        <v/>
      </c>
      <c r="F333" s="44" t="str">
        <f t="shared" si="53"/>
        <v/>
      </c>
      <c r="G333" s="44" t="str">
        <f t="shared" si="54"/>
        <v/>
      </c>
      <c r="H333" s="24" t="str">
        <f t="shared" si="55"/>
        <v/>
      </c>
      <c r="I333" s="24" t="str">
        <f t="shared" ref="I333:I375" si="58">IF(A333="","",IF(ISERROR(E333-H333),0,E333-H333))</f>
        <v/>
      </c>
      <c r="J333" s="24" t="e">
        <f t="shared" ref="J333:J396" si="59">I333+B333</f>
        <v>#VALUE!</v>
      </c>
    </row>
    <row r="334" spans="1:10">
      <c r="A334" s="23" t="str">
        <f t="shared" si="56"/>
        <v/>
      </c>
      <c r="B334" s="24" t="str">
        <f t="shared" ref="B334:B375" si="60">IF(ISERROR(IF(A334&lt;=tc_lot_i,declividade_afluente*A334,IF(A334&lt;=tc,Qmax_lot_i,IF(A334&lt;=tc+tc_lot_i,Qmax_lot_i-declividade_afluente*(A334-tc),"")))),"",IF(A334&lt;=tc_lot_i,declividade_afluente*A334,IF(A334&lt;=tc,Qmax_lot_i,IF(A334&lt;=tc+tc_lot_i,Qmax_lot_i-declividade_afluente*(A334-tc),""))))</f>
        <v/>
      </c>
      <c r="C334" s="44" t="str">
        <f t="shared" si="57"/>
        <v/>
      </c>
      <c r="D334" s="44" t="str">
        <f t="shared" si="51"/>
        <v/>
      </c>
      <c r="E334" s="44" t="str">
        <f t="shared" si="52"/>
        <v/>
      </c>
      <c r="F334" s="44" t="str">
        <f t="shared" si="53"/>
        <v/>
      </c>
      <c r="G334" s="44" t="str">
        <f t="shared" si="54"/>
        <v/>
      </c>
      <c r="H334" s="24" t="str">
        <f t="shared" si="55"/>
        <v/>
      </c>
      <c r="I334" s="24" t="str">
        <f t="shared" si="58"/>
        <v/>
      </c>
      <c r="J334" s="24" t="e">
        <f t="shared" si="59"/>
        <v>#VALUE!</v>
      </c>
    </row>
    <row r="335" spans="1:10">
      <c r="A335" s="23" t="str">
        <f t="shared" si="56"/>
        <v/>
      </c>
      <c r="B335" s="24" t="str">
        <f t="shared" si="60"/>
        <v/>
      </c>
      <c r="C335" s="44" t="str">
        <f t="shared" si="57"/>
        <v/>
      </c>
      <c r="D335" s="44" t="str">
        <f t="shared" si="51"/>
        <v/>
      </c>
      <c r="E335" s="44" t="str">
        <f t="shared" si="52"/>
        <v/>
      </c>
      <c r="F335" s="44" t="str">
        <f t="shared" si="53"/>
        <v/>
      </c>
      <c r="G335" s="44" t="str">
        <f t="shared" si="54"/>
        <v/>
      </c>
      <c r="H335" s="24" t="str">
        <f t="shared" si="55"/>
        <v/>
      </c>
      <c r="I335" s="24" t="str">
        <f t="shared" si="58"/>
        <v/>
      </c>
      <c r="J335" s="24" t="e">
        <f t="shared" si="59"/>
        <v>#VALUE!</v>
      </c>
    </row>
    <row r="336" spans="1:10">
      <c r="A336" s="23" t="str">
        <f t="shared" si="56"/>
        <v/>
      </c>
      <c r="B336" s="24" t="str">
        <f t="shared" si="60"/>
        <v/>
      </c>
      <c r="C336" s="44" t="str">
        <f t="shared" si="57"/>
        <v/>
      </c>
      <c r="D336" s="44" t="str">
        <f t="shared" si="51"/>
        <v/>
      </c>
      <c r="E336" s="44" t="str">
        <f t="shared" si="52"/>
        <v/>
      </c>
      <c r="F336" s="44" t="str">
        <f t="shared" si="53"/>
        <v/>
      </c>
      <c r="G336" s="44" t="str">
        <f t="shared" si="54"/>
        <v/>
      </c>
      <c r="H336" s="24" t="str">
        <f t="shared" si="55"/>
        <v/>
      </c>
      <c r="I336" s="24" t="str">
        <f t="shared" si="58"/>
        <v/>
      </c>
      <c r="J336" s="24" t="e">
        <f t="shared" si="59"/>
        <v>#VALUE!</v>
      </c>
    </row>
    <row r="337" spans="1:10">
      <c r="A337" s="23" t="str">
        <f t="shared" si="56"/>
        <v/>
      </c>
      <c r="B337" s="24" t="str">
        <f t="shared" si="60"/>
        <v/>
      </c>
      <c r="C337" s="44" t="str">
        <f t="shared" si="57"/>
        <v/>
      </c>
      <c r="D337" s="44" t="str">
        <f t="shared" si="51"/>
        <v/>
      </c>
      <c r="E337" s="44" t="str">
        <f t="shared" si="52"/>
        <v/>
      </c>
      <c r="F337" s="44" t="str">
        <f t="shared" si="53"/>
        <v/>
      </c>
      <c r="G337" s="44" t="str">
        <f t="shared" si="54"/>
        <v/>
      </c>
      <c r="H337" s="24" t="str">
        <f t="shared" si="55"/>
        <v/>
      </c>
      <c r="I337" s="24" t="str">
        <f t="shared" si="58"/>
        <v/>
      </c>
      <c r="J337" s="24" t="e">
        <f t="shared" si="59"/>
        <v>#VALUE!</v>
      </c>
    </row>
    <row r="338" spans="1:10">
      <c r="A338" s="23" t="str">
        <f t="shared" si="56"/>
        <v/>
      </c>
      <c r="B338" s="24" t="str">
        <f t="shared" si="60"/>
        <v/>
      </c>
      <c r="C338" s="44" t="str">
        <f t="shared" si="57"/>
        <v/>
      </c>
      <c r="D338" s="44" t="str">
        <f t="shared" si="51"/>
        <v/>
      </c>
      <c r="E338" s="44" t="str">
        <f t="shared" si="52"/>
        <v/>
      </c>
      <c r="F338" s="44" t="str">
        <f t="shared" si="53"/>
        <v/>
      </c>
      <c r="G338" s="44" t="str">
        <f t="shared" si="54"/>
        <v/>
      </c>
      <c r="H338" s="24" t="str">
        <f t="shared" si="55"/>
        <v/>
      </c>
      <c r="I338" s="24" t="str">
        <f t="shared" si="58"/>
        <v/>
      </c>
      <c r="J338" s="24" t="e">
        <f t="shared" si="59"/>
        <v>#VALUE!</v>
      </c>
    </row>
    <row r="339" spans="1:10">
      <c r="A339" s="23" t="str">
        <f t="shared" si="56"/>
        <v/>
      </c>
      <c r="B339" s="24" t="str">
        <f t="shared" si="60"/>
        <v/>
      </c>
      <c r="C339" s="44" t="str">
        <f t="shared" si="57"/>
        <v/>
      </c>
      <c r="D339" s="44" t="str">
        <f t="shared" si="51"/>
        <v/>
      </c>
      <c r="E339" s="44" t="str">
        <f t="shared" si="52"/>
        <v/>
      </c>
      <c r="F339" s="44" t="str">
        <f t="shared" si="53"/>
        <v/>
      </c>
      <c r="G339" s="44" t="str">
        <f t="shared" si="54"/>
        <v/>
      </c>
      <c r="H339" s="24" t="str">
        <f t="shared" si="55"/>
        <v/>
      </c>
      <c r="I339" s="24" t="str">
        <f t="shared" si="58"/>
        <v/>
      </c>
      <c r="J339" s="24" t="e">
        <f t="shared" si="59"/>
        <v>#VALUE!</v>
      </c>
    </row>
    <row r="340" spans="1:10">
      <c r="A340" s="23" t="str">
        <f t="shared" si="56"/>
        <v/>
      </c>
      <c r="B340" s="24" t="str">
        <f t="shared" si="60"/>
        <v/>
      </c>
      <c r="C340" s="44" t="str">
        <f t="shared" si="57"/>
        <v/>
      </c>
      <c r="D340" s="44" t="str">
        <f t="shared" si="51"/>
        <v/>
      </c>
      <c r="E340" s="44" t="str">
        <f t="shared" si="52"/>
        <v/>
      </c>
      <c r="F340" s="44" t="str">
        <f t="shared" si="53"/>
        <v/>
      </c>
      <c r="G340" s="44" t="str">
        <f t="shared" si="54"/>
        <v/>
      </c>
      <c r="H340" s="24" t="str">
        <f t="shared" si="55"/>
        <v/>
      </c>
      <c r="I340" s="24" t="str">
        <f t="shared" si="58"/>
        <v/>
      </c>
      <c r="J340" s="24" t="e">
        <f t="shared" si="59"/>
        <v>#VALUE!</v>
      </c>
    </row>
    <row r="341" spans="1:10">
      <c r="A341" s="23" t="str">
        <f t="shared" si="56"/>
        <v/>
      </c>
      <c r="B341" s="24" t="str">
        <f t="shared" si="60"/>
        <v/>
      </c>
      <c r="C341" s="44" t="str">
        <f t="shared" si="57"/>
        <v/>
      </c>
      <c r="D341" s="44" t="str">
        <f t="shared" si="51"/>
        <v/>
      </c>
      <c r="E341" s="44" t="str">
        <f t="shared" si="52"/>
        <v/>
      </c>
      <c r="F341" s="44" t="str">
        <f t="shared" si="53"/>
        <v/>
      </c>
      <c r="G341" s="44" t="str">
        <f t="shared" si="54"/>
        <v/>
      </c>
      <c r="H341" s="24" t="str">
        <f t="shared" si="55"/>
        <v/>
      </c>
      <c r="I341" s="24" t="str">
        <f t="shared" si="58"/>
        <v/>
      </c>
      <c r="J341" s="24" t="e">
        <f t="shared" si="59"/>
        <v>#VALUE!</v>
      </c>
    </row>
    <row r="342" spans="1:10">
      <c r="A342" s="23" t="str">
        <f t="shared" si="56"/>
        <v/>
      </c>
      <c r="B342" s="24" t="str">
        <f t="shared" si="60"/>
        <v/>
      </c>
      <c r="C342" s="44" t="str">
        <f t="shared" si="57"/>
        <v/>
      </c>
      <c r="D342" s="44" t="str">
        <f t="shared" si="51"/>
        <v/>
      </c>
      <c r="E342" s="44" t="str">
        <f t="shared" si="52"/>
        <v/>
      </c>
      <c r="F342" s="44" t="str">
        <f t="shared" si="53"/>
        <v/>
      </c>
      <c r="G342" s="44" t="str">
        <f t="shared" si="54"/>
        <v/>
      </c>
      <c r="H342" s="24" t="str">
        <f t="shared" si="55"/>
        <v/>
      </c>
      <c r="I342" s="24" t="str">
        <f t="shared" si="58"/>
        <v/>
      </c>
      <c r="J342" s="24" t="e">
        <f t="shared" si="59"/>
        <v>#VALUE!</v>
      </c>
    </row>
    <row r="343" spans="1:10">
      <c r="A343" s="23" t="str">
        <f t="shared" si="56"/>
        <v/>
      </c>
      <c r="B343" s="24" t="str">
        <f t="shared" si="60"/>
        <v/>
      </c>
      <c r="C343" s="44" t="str">
        <f t="shared" si="57"/>
        <v/>
      </c>
      <c r="D343" s="44" t="str">
        <f t="shared" si="51"/>
        <v/>
      </c>
      <c r="E343" s="44" t="str">
        <f t="shared" si="52"/>
        <v/>
      </c>
      <c r="F343" s="44" t="str">
        <f t="shared" si="53"/>
        <v/>
      </c>
      <c r="G343" s="44" t="str">
        <f t="shared" si="54"/>
        <v/>
      </c>
      <c r="H343" s="24" t="str">
        <f t="shared" si="55"/>
        <v/>
      </c>
      <c r="I343" s="24" t="str">
        <f t="shared" si="58"/>
        <v/>
      </c>
      <c r="J343" s="24" t="e">
        <f t="shared" si="59"/>
        <v>#VALUE!</v>
      </c>
    </row>
    <row r="344" spans="1:10">
      <c r="A344" s="23" t="str">
        <f t="shared" si="56"/>
        <v/>
      </c>
      <c r="B344" s="24" t="str">
        <f t="shared" si="60"/>
        <v/>
      </c>
      <c r="C344" s="44" t="str">
        <f t="shared" si="57"/>
        <v/>
      </c>
      <c r="D344" s="44" t="str">
        <f t="shared" si="51"/>
        <v/>
      </c>
      <c r="E344" s="44" t="str">
        <f t="shared" si="52"/>
        <v/>
      </c>
      <c r="F344" s="44" t="str">
        <f t="shared" si="53"/>
        <v/>
      </c>
      <c r="G344" s="44" t="str">
        <f t="shared" si="54"/>
        <v/>
      </c>
      <c r="H344" s="24" t="str">
        <f t="shared" si="55"/>
        <v/>
      </c>
      <c r="I344" s="24" t="str">
        <f t="shared" si="58"/>
        <v/>
      </c>
      <c r="J344" s="24" t="e">
        <f t="shared" si="59"/>
        <v>#VALUE!</v>
      </c>
    </row>
    <row r="345" spans="1:10">
      <c r="A345" s="23" t="str">
        <f t="shared" si="56"/>
        <v/>
      </c>
      <c r="B345" s="24" t="str">
        <f t="shared" si="60"/>
        <v/>
      </c>
      <c r="C345" s="44" t="str">
        <f t="shared" si="57"/>
        <v/>
      </c>
      <c r="D345" s="44" t="str">
        <f t="shared" si="51"/>
        <v/>
      </c>
      <c r="E345" s="44" t="str">
        <f t="shared" si="52"/>
        <v/>
      </c>
      <c r="F345" s="44" t="str">
        <f t="shared" si="53"/>
        <v/>
      </c>
      <c r="G345" s="44" t="str">
        <f t="shared" si="54"/>
        <v/>
      </c>
      <c r="H345" s="24" t="str">
        <f t="shared" si="55"/>
        <v/>
      </c>
      <c r="I345" s="24" t="str">
        <f t="shared" si="58"/>
        <v/>
      </c>
      <c r="J345" s="24" t="e">
        <f t="shared" si="59"/>
        <v>#VALUE!</v>
      </c>
    </row>
    <row r="346" spans="1:10">
      <c r="A346" s="23" t="str">
        <f t="shared" si="56"/>
        <v/>
      </c>
      <c r="B346" s="24" t="str">
        <f t="shared" si="60"/>
        <v/>
      </c>
      <c r="C346" s="44" t="str">
        <f t="shared" si="57"/>
        <v/>
      </c>
      <c r="D346" s="44" t="str">
        <f t="shared" si="51"/>
        <v/>
      </c>
      <c r="E346" s="44" t="str">
        <f t="shared" si="52"/>
        <v/>
      </c>
      <c r="F346" s="44" t="str">
        <f t="shared" si="53"/>
        <v/>
      </c>
      <c r="G346" s="44" t="str">
        <f t="shared" si="54"/>
        <v/>
      </c>
      <c r="H346" s="24" t="str">
        <f t="shared" si="55"/>
        <v/>
      </c>
      <c r="I346" s="24" t="str">
        <f t="shared" si="58"/>
        <v/>
      </c>
      <c r="J346" s="24" t="e">
        <f t="shared" si="59"/>
        <v>#VALUE!</v>
      </c>
    </row>
    <row r="347" spans="1:10">
      <c r="A347" s="23" t="str">
        <f t="shared" si="56"/>
        <v/>
      </c>
      <c r="B347" s="24" t="str">
        <f t="shared" si="60"/>
        <v/>
      </c>
      <c r="C347" s="44" t="str">
        <f t="shared" si="57"/>
        <v/>
      </c>
      <c r="D347" s="44" t="str">
        <f t="shared" si="51"/>
        <v/>
      </c>
      <c r="E347" s="44" t="str">
        <f t="shared" si="52"/>
        <v/>
      </c>
      <c r="F347" s="44" t="str">
        <f t="shared" si="53"/>
        <v/>
      </c>
      <c r="G347" s="44" t="str">
        <f t="shared" si="54"/>
        <v/>
      </c>
      <c r="H347" s="24" t="str">
        <f t="shared" si="55"/>
        <v/>
      </c>
      <c r="I347" s="24" t="str">
        <f t="shared" si="58"/>
        <v/>
      </c>
      <c r="J347" s="24" t="e">
        <f t="shared" si="59"/>
        <v>#VALUE!</v>
      </c>
    </row>
    <row r="348" spans="1:10">
      <c r="A348" s="23" t="str">
        <f t="shared" si="56"/>
        <v/>
      </c>
      <c r="B348" s="24" t="str">
        <f t="shared" si="60"/>
        <v/>
      </c>
      <c r="C348" s="44" t="str">
        <f t="shared" si="57"/>
        <v/>
      </c>
      <c r="D348" s="44" t="str">
        <f t="shared" si="51"/>
        <v/>
      </c>
      <c r="E348" s="44" t="str">
        <f t="shared" si="52"/>
        <v/>
      </c>
      <c r="F348" s="44" t="str">
        <f t="shared" si="53"/>
        <v/>
      </c>
      <c r="G348" s="44" t="str">
        <f t="shared" si="54"/>
        <v/>
      </c>
      <c r="H348" s="24" t="str">
        <f t="shared" si="55"/>
        <v/>
      </c>
      <c r="I348" s="24" t="str">
        <f t="shared" si="58"/>
        <v/>
      </c>
      <c r="J348" s="24" t="e">
        <f t="shared" si="59"/>
        <v>#VALUE!</v>
      </c>
    </row>
    <row r="349" spans="1:10">
      <c r="A349" s="23" t="str">
        <f t="shared" si="56"/>
        <v/>
      </c>
      <c r="B349" s="24" t="str">
        <f t="shared" si="60"/>
        <v/>
      </c>
      <c r="C349" s="44" t="str">
        <f t="shared" si="57"/>
        <v/>
      </c>
      <c r="D349" s="44" t="str">
        <f t="shared" si="51"/>
        <v/>
      </c>
      <c r="E349" s="44" t="str">
        <f t="shared" si="52"/>
        <v/>
      </c>
      <c r="F349" s="44" t="str">
        <f t="shared" si="53"/>
        <v/>
      </c>
      <c r="G349" s="44" t="str">
        <f t="shared" si="54"/>
        <v/>
      </c>
      <c r="H349" s="24" t="str">
        <f t="shared" si="55"/>
        <v/>
      </c>
      <c r="I349" s="24" t="str">
        <f t="shared" si="58"/>
        <v/>
      </c>
      <c r="J349" s="24" t="e">
        <f t="shared" si="59"/>
        <v>#VALUE!</v>
      </c>
    </row>
    <row r="350" spans="1:10">
      <c r="A350" s="23" t="str">
        <f t="shared" si="56"/>
        <v/>
      </c>
      <c r="B350" s="24" t="str">
        <f t="shared" si="60"/>
        <v/>
      </c>
      <c r="C350" s="44" t="str">
        <f t="shared" si="57"/>
        <v/>
      </c>
      <c r="D350" s="44" t="str">
        <f t="shared" si="51"/>
        <v/>
      </c>
      <c r="E350" s="44" t="str">
        <f t="shared" si="52"/>
        <v/>
      </c>
      <c r="F350" s="44" t="str">
        <f t="shared" si="53"/>
        <v/>
      </c>
      <c r="G350" s="44" t="str">
        <f t="shared" si="54"/>
        <v/>
      </c>
      <c r="H350" s="24" t="str">
        <f t="shared" si="55"/>
        <v/>
      </c>
      <c r="I350" s="24" t="str">
        <f t="shared" si="58"/>
        <v/>
      </c>
      <c r="J350" s="24" t="e">
        <f t="shared" si="59"/>
        <v>#VALUE!</v>
      </c>
    </row>
    <row r="351" spans="1:10">
      <c r="A351" s="23" t="str">
        <f t="shared" si="56"/>
        <v/>
      </c>
      <c r="B351" s="24" t="str">
        <f t="shared" si="60"/>
        <v/>
      </c>
      <c r="C351" s="44" t="str">
        <f t="shared" si="57"/>
        <v/>
      </c>
      <c r="D351" s="44" t="str">
        <f t="shared" si="51"/>
        <v/>
      </c>
      <c r="E351" s="44" t="str">
        <f t="shared" si="52"/>
        <v/>
      </c>
      <c r="F351" s="44" t="str">
        <f t="shared" si="53"/>
        <v/>
      </c>
      <c r="G351" s="44" t="str">
        <f t="shared" si="54"/>
        <v/>
      </c>
      <c r="H351" s="24" t="str">
        <f t="shared" si="55"/>
        <v/>
      </c>
      <c r="I351" s="24" t="str">
        <f t="shared" si="58"/>
        <v/>
      </c>
      <c r="J351" s="24" t="e">
        <f t="shared" si="59"/>
        <v>#VALUE!</v>
      </c>
    </row>
    <row r="352" spans="1:10">
      <c r="A352" s="23" t="str">
        <f t="shared" si="56"/>
        <v/>
      </c>
      <c r="B352" s="24" t="str">
        <f t="shared" si="60"/>
        <v/>
      </c>
      <c r="C352" s="44" t="str">
        <f t="shared" si="57"/>
        <v/>
      </c>
      <c r="D352" s="44" t="str">
        <f t="shared" si="51"/>
        <v/>
      </c>
      <c r="E352" s="44" t="str">
        <f t="shared" si="52"/>
        <v/>
      </c>
      <c r="F352" s="44" t="str">
        <f t="shared" si="53"/>
        <v/>
      </c>
      <c r="G352" s="44" t="str">
        <f t="shared" si="54"/>
        <v/>
      </c>
      <c r="H352" s="24" t="str">
        <f t="shared" si="55"/>
        <v/>
      </c>
      <c r="I352" s="24" t="str">
        <f t="shared" si="58"/>
        <v/>
      </c>
      <c r="J352" s="24" t="e">
        <f t="shared" si="59"/>
        <v>#VALUE!</v>
      </c>
    </row>
    <row r="353" spans="1:10">
      <c r="A353" s="23" t="str">
        <f t="shared" si="56"/>
        <v/>
      </c>
      <c r="B353" s="24" t="str">
        <f t="shared" si="60"/>
        <v/>
      </c>
      <c r="C353" s="44" t="str">
        <f t="shared" si="57"/>
        <v/>
      </c>
      <c r="D353" s="44" t="str">
        <f t="shared" si="51"/>
        <v/>
      </c>
      <c r="E353" s="44" t="str">
        <f t="shared" si="52"/>
        <v/>
      </c>
      <c r="F353" s="44" t="str">
        <f t="shared" si="53"/>
        <v/>
      </c>
      <c r="G353" s="44" t="str">
        <f t="shared" si="54"/>
        <v/>
      </c>
      <c r="H353" s="24" t="str">
        <f t="shared" si="55"/>
        <v/>
      </c>
      <c r="I353" s="24" t="str">
        <f t="shared" si="58"/>
        <v/>
      </c>
      <c r="J353" s="24" t="e">
        <f t="shared" si="59"/>
        <v>#VALUE!</v>
      </c>
    </row>
    <row r="354" spans="1:10">
      <c r="A354" s="23" t="str">
        <f t="shared" si="56"/>
        <v/>
      </c>
      <c r="B354" s="24" t="str">
        <f t="shared" si="60"/>
        <v/>
      </c>
      <c r="C354" s="44" t="str">
        <f t="shared" si="57"/>
        <v/>
      </c>
      <c r="D354" s="44" t="str">
        <f t="shared" si="51"/>
        <v/>
      </c>
      <c r="E354" s="44" t="str">
        <f t="shared" si="52"/>
        <v/>
      </c>
      <c r="F354" s="44" t="str">
        <f t="shared" si="53"/>
        <v/>
      </c>
      <c r="G354" s="44" t="str">
        <f t="shared" si="54"/>
        <v/>
      </c>
      <c r="H354" s="24" t="str">
        <f t="shared" si="55"/>
        <v/>
      </c>
      <c r="I354" s="24" t="str">
        <f t="shared" si="58"/>
        <v/>
      </c>
      <c r="J354" s="24" t="e">
        <f t="shared" si="59"/>
        <v>#VALUE!</v>
      </c>
    </row>
    <row r="355" spans="1:10">
      <c r="A355" s="23" t="str">
        <f t="shared" si="56"/>
        <v/>
      </c>
      <c r="B355" s="24" t="str">
        <f t="shared" si="60"/>
        <v/>
      </c>
      <c r="C355" s="44" t="str">
        <f t="shared" si="57"/>
        <v/>
      </c>
      <c r="D355" s="44" t="str">
        <f t="shared" si="51"/>
        <v/>
      </c>
      <c r="E355" s="44" t="str">
        <f t="shared" si="52"/>
        <v/>
      </c>
      <c r="F355" s="44" t="str">
        <f t="shared" si="53"/>
        <v/>
      </c>
      <c r="G355" s="44" t="str">
        <f t="shared" si="54"/>
        <v/>
      </c>
      <c r="H355" s="24" t="str">
        <f t="shared" si="55"/>
        <v/>
      </c>
      <c r="I355" s="24" t="str">
        <f t="shared" si="58"/>
        <v/>
      </c>
      <c r="J355" s="24" t="e">
        <f t="shared" si="59"/>
        <v>#VALUE!</v>
      </c>
    </row>
    <row r="356" spans="1:10">
      <c r="A356" s="23" t="str">
        <f t="shared" si="56"/>
        <v/>
      </c>
      <c r="B356" s="24" t="str">
        <f t="shared" si="60"/>
        <v/>
      </c>
      <c r="C356" s="44" t="str">
        <f t="shared" si="57"/>
        <v/>
      </c>
      <c r="D356" s="44" t="str">
        <f t="shared" si="51"/>
        <v/>
      </c>
      <c r="E356" s="44" t="str">
        <f t="shared" si="52"/>
        <v/>
      </c>
      <c r="F356" s="44" t="str">
        <f t="shared" si="53"/>
        <v/>
      </c>
      <c r="G356" s="44" t="str">
        <f t="shared" si="54"/>
        <v/>
      </c>
      <c r="H356" s="24" t="str">
        <f t="shared" si="55"/>
        <v/>
      </c>
      <c r="I356" s="24" t="str">
        <f t="shared" si="58"/>
        <v/>
      </c>
      <c r="J356" s="24" t="e">
        <f t="shared" si="59"/>
        <v>#VALUE!</v>
      </c>
    </row>
    <row r="357" spans="1:10">
      <c r="A357" s="23" t="str">
        <f t="shared" si="56"/>
        <v/>
      </c>
      <c r="B357" s="24" t="str">
        <f t="shared" si="60"/>
        <v/>
      </c>
      <c r="C357" s="44" t="str">
        <f t="shared" si="57"/>
        <v/>
      </c>
      <c r="D357" s="44" t="str">
        <f t="shared" si="51"/>
        <v/>
      </c>
      <c r="E357" s="44" t="str">
        <f t="shared" si="52"/>
        <v/>
      </c>
      <c r="F357" s="44" t="str">
        <f t="shared" si="53"/>
        <v/>
      </c>
      <c r="G357" s="44" t="str">
        <f t="shared" si="54"/>
        <v/>
      </c>
      <c r="H357" s="24" t="str">
        <f t="shared" si="55"/>
        <v/>
      </c>
      <c r="I357" s="24" t="str">
        <f t="shared" si="58"/>
        <v/>
      </c>
      <c r="J357" s="24" t="e">
        <f t="shared" si="59"/>
        <v>#VALUE!</v>
      </c>
    </row>
    <row r="358" spans="1:10">
      <c r="A358" s="23" t="str">
        <f t="shared" si="56"/>
        <v/>
      </c>
      <c r="B358" s="24" t="str">
        <f t="shared" si="60"/>
        <v/>
      </c>
      <c r="C358" s="44" t="str">
        <f t="shared" si="57"/>
        <v/>
      </c>
      <c r="D358" s="44" t="str">
        <f t="shared" si="51"/>
        <v/>
      </c>
      <c r="E358" s="44" t="str">
        <f t="shared" si="52"/>
        <v/>
      </c>
      <c r="F358" s="44" t="str">
        <f t="shared" si="53"/>
        <v/>
      </c>
      <c r="G358" s="44" t="str">
        <f t="shared" si="54"/>
        <v/>
      </c>
      <c r="H358" s="24" t="str">
        <f t="shared" si="55"/>
        <v/>
      </c>
      <c r="I358" s="24" t="str">
        <f t="shared" si="58"/>
        <v/>
      </c>
      <c r="J358" s="24" t="e">
        <f t="shared" si="59"/>
        <v>#VALUE!</v>
      </c>
    </row>
    <row r="359" spans="1:10">
      <c r="A359" s="23" t="str">
        <f t="shared" si="56"/>
        <v/>
      </c>
      <c r="B359" s="24" t="str">
        <f t="shared" si="60"/>
        <v/>
      </c>
      <c r="C359" s="44" t="str">
        <f t="shared" si="57"/>
        <v/>
      </c>
      <c r="D359" s="44" t="str">
        <f t="shared" si="51"/>
        <v/>
      </c>
      <c r="E359" s="44" t="str">
        <f t="shared" si="52"/>
        <v/>
      </c>
      <c r="F359" s="44" t="str">
        <f t="shared" si="53"/>
        <v/>
      </c>
      <c r="G359" s="44" t="str">
        <f t="shared" si="54"/>
        <v/>
      </c>
      <c r="H359" s="24" t="str">
        <f t="shared" si="55"/>
        <v/>
      </c>
      <c r="I359" s="24" t="str">
        <f t="shared" si="58"/>
        <v/>
      </c>
      <c r="J359" s="24" t="e">
        <f t="shared" si="59"/>
        <v>#VALUE!</v>
      </c>
    </row>
    <row r="360" spans="1:10">
      <c r="A360" s="23" t="str">
        <f t="shared" si="56"/>
        <v/>
      </c>
      <c r="B360" s="24" t="str">
        <f t="shared" si="60"/>
        <v/>
      </c>
      <c r="C360" s="44" t="str">
        <f t="shared" si="57"/>
        <v/>
      </c>
      <c r="D360" s="44" t="str">
        <f t="shared" si="51"/>
        <v/>
      </c>
      <c r="E360" s="44" t="str">
        <f t="shared" si="52"/>
        <v/>
      </c>
      <c r="F360" s="44" t="str">
        <f t="shared" si="53"/>
        <v/>
      </c>
      <c r="G360" s="44" t="str">
        <f t="shared" si="54"/>
        <v/>
      </c>
      <c r="H360" s="24" t="str">
        <f t="shared" si="55"/>
        <v/>
      </c>
      <c r="I360" s="24" t="str">
        <f t="shared" si="58"/>
        <v/>
      </c>
      <c r="J360" s="24" t="e">
        <f t="shared" si="59"/>
        <v>#VALUE!</v>
      </c>
    </row>
    <row r="361" spans="1:10">
      <c r="A361" s="23" t="str">
        <f t="shared" si="56"/>
        <v/>
      </c>
      <c r="B361" s="24" t="str">
        <f t="shared" si="60"/>
        <v/>
      </c>
      <c r="C361" s="44" t="str">
        <f t="shared" si="57"/>
        <v/>
      </c>
      <c r="D361" s="44" t="str">
        <f t="shared" si="51"/>
        <v/>
      </c>
      <c r="E361" s="44" t="str">
        <f t="shared" si="52"/>
        <v/>
      </c>
      <c r="F361" s="44" t="str">
        <f t="shared" si="53"/>
        <v/>
      </c>
      <c r="G361" s="44" t="str">
        <f t="shared" si="54"/>
        <v/>
      </c>
      <c r="H361" s="24" t="str">
        <f t="shared" si="55"/>
        <v/>
      </c>
      <c r="I361" s="24" t="str">
        <f t="shared" si="58"/>
        <v/>
      </c>
      <c r="J361" s="24" t="e">
        <f t="shared" si="59"/>
        <v>#VALUE!</v>
      </c>
    </row>
    <row r="362" spans="1:10">
      <c r="A362" s="23" t="str">
        <f t="shared" si="56"/>
        <v/>
      </c>
      <c r="B362" s="24" t="str">
        <f t="shared" si="60"/>
        <v/>
      </c>
      <c r="C362" s="44" t="str">
        <f t="shared" si="57"/>
        <v/>
      </c>
      <c r="D362" s="44" t="str">
        <f t="shared" si="51"/>
        <v/>
      </c>
      <c r="E362" s="44" t="str">
        <f t="shared" si="52"/>
        <v/>
      </c>
      <c r="F362" s="44" t="str">
        <f t="shared" si="53"/>
        <v/>
      </c>
      <c r="G362" s="44" t="str">
        <f t="shared" si="54"/>
        <v/>
      </c>
      <c r="H362" s="24" t="str">
        <f t="shared" si="55"/>
        <v/>
      </c>
      <c r="I362" s="24" t="str">
        <f t="shared" si="58"/>
        <v/>
      </c>
      <c r="J362" s="24" t="e">
        <f t="shared" si="59"/>
        <v>#VALUE!</v>
      </c>
    </row>
    <row r="363" spans="1:10">
      <c r="A363" s="23" t="str">
        <f t="shared" si="56"/>
        <v/>
      </c>
      <c r="B363" s="24" t="str">
        <f t="shared" si="60"/>
        <v/>
      </c>
      <c r="C363" s="44" t="str">
        <f t="shared" si="57"/>
        <v/>
      </c>
      <c r="D363" s="44" t="str">
        <f t="shared" si="51"/>
        <v/>
      </c>
      <c r="E363" s="44" t="str">
        <f t="shared" si="52"/>
        <v/>
      </c>
      <c r="F363" s="44" t="str">
        <f t="shared" si="53"/>
        <v/>
      </c>
      <c r="G363" s="44" t="str">
        <f t="shared" si="54"/>
        <v/>
      </c>
      <c r="H363" s="24" t="str">
        <f t="shared" si="55"/>
        <v/>
      </c>
      <c r="I363" s="24" t="str">
        <f t="shared" si="58"/>
        <v/>
      </c>
      <c r="J363" s="24" t="e">
        <f t="shared" si="59"/>
        <v>#VALUE!</v>
      </c>
    </row>
    <row r="364" spans="1:10">
      <c r="A364" s="23" t="str">
        <f t="shared" si="56"/>
        <v/>
      </c>
      <c r="B364" s="24" t="str">
        <f t="shared" si="60"/>
        <v/>
      </c>
      <c r="C364" s="44" t="str">
        <f t="shared" si="57"/>
        <v/>
      </c>
      <c r="D364" s="44" t="str">
        <f t="shared" si="51"/>
        <v/>
      </c>
      <c r="E364" s="44" t="str">
        <f t="shared" si="52"/>
        <v/>
      </c>
      <c r="F364" s="44" t="str">
        <f t="shared" si="53"/>
        <v/>
      </c>
      <c r="G364" s="44" t="str">
        <f t="shared" si="54"/>
        <v/>
      </c>
      <c r="H364" s="24" t="str">
        <f t="shared" si="55"/>
        <v/>
      </c>
      <c r="I364" s="24" t="str">
        <f t="shared" si="58"/>
        <v/>
      </c>
      <c r="J364" s="24" t="e">
        <f t="shared" si="59"/>
        <v>#VALUE!</v>
      </c>
    </row>
    <row r="365" spans="1:10">
      <c r="A365" s="23" t="str">
        <f t="shared" si="56"/>
        <v/>
      </c>
      <c r="B365" s="24" t="str">
        <f t="shared" si="60"/>
        <v/>
      </c>
      <c r="C365" s="44" t="str">
        <f t="shared" si="57"/>
        <v/>
      </c>
      <c r="D365" s="44" t="str">
        <f t="shared" si="51"/>
        <v/>
      </c>
      <c r="E365" s="44" t="str">
        <f t="shared" si="52"/>
        <v/>
      </c>
      <c r="F365" s="44" t="str">
        <f t="shared" si="53"/>
        <v/>
      </c>
      <c r="G365" s="44" t="str">
        <f t="shared" si="54"/>
        <v/>
      </c>
      <c r="H365" s="24" t="str">
        <f t="shared" si="55"/>
        <v/>
      </c>
      <c r="I365" s="24" t="str">
        <f t="shared" si="58"/>
        <v/>
      </c>
      <c r="J365" s="24" t="e">
        <f t="shared" si="59"/>
        <v>#VALUE!</v>
      </c>
    </row>
    <row r="366" spans="1:10">
      <c r="A366" s="23" t="str">
        <f t="shared" si="56"/>
        <v/>
      </c>
      <c r="B366" s="24" t="str">
        <f t="shared" si="60"/>
        <v/>
      </c>
      <c r="C366" s="44" t="str">
        <f t="shared" si="57"/>
        <v/>
      </c>
      <c r="D366" s="44" t="str">
        <f t="shared" si="51"/>
        <v/>
      </c>
      <c r="E366" s="44" t="str">
        <f t="shared" si="52"/>
        <v/>
      </c>
      <c r="F366" s="44" t="str">
        <f t="shared" si="53"/>
        <v/>
      </c>
      <c r="G366" s="44" t="str">
        <f t="shared" si="54"/>
        <v/>
      </c>
      <c r="H366" s="24" t="str">
        <f t="shared" si="55"/>
        <v/>
      </c>
      <c r="I366" s="24" t="str">
        <f t="shared" si="58"/>
        <v/>
      </c>
      <c r="J366" s="24" t="e">
        <f t="shared" si="59"/>
        <v>#VALUE!</v>
      </c>
    </row>
    <row r="367" spans="1:10">
      <c r="A367" s="23" t="str">
        <f t="shared" si="56"/>
        <v/>
      </c>
      <c r="B367" s="24" t="str">
        <f t="shared" si="60"/>
        <v/>
      </c>
      <c r="C367" s="44" t="str">
        <f t="shared" si="57"/>
        <v/>
      </c>
      <c r="D367" s="44" t="str">
        <f t="shared" si="51"/>
        <v/>
      </c>
      <c r="E367" s="44" t="str">
        <f t="shared" si="52"/>
        <v/>
      </c>
      <c r="F367" s="44" t="str">
        <f t="shared" si="53"/>
        <v/>
      </c>
      <c r="G367" s="44" t="str">
        <f t="shared" si="54"/>
        <v/>
      </c>
      <c r="H367" s="24" t="str">
        <f t="shared" si="55"/>
        <v/>
      </c>
      <c r="I367" s="24" t="str">
        <f t="shared" si="58"/>
        <v/>
      </c>
      <c r="J367" s="24" t="e">
        <f t="shared" si="59"/>
        <v>#VALUE!</v>
      </c>
    </row>
    <row r="368" spans="1:10">
      <c r="A368" s="23" t="str">
        <f t="shared" si="56"/>
        <v/>
      </c>
      <c r="B368" s="24" t="str">
        <f t="shared" si="60"/>
        <v/>
      </c>
      <c r="C368" s="44" t="str">
        <f t="shared" si="57"/>
        <v/>
      </c>
      <c r="D368" s="44" t="str">
        <f t="shared" si="51"/>
        <v/>
      </c>
      <c r="E368" s="44" t="str">
        <f t="shared" si="52"/>
        <v/>
      </c>
      <c r="F368" s="44" t="str">
        <f t="shared" si="53"/>
        <v/>
      </c>
      <c r="G368" s="44" t="str">
        <f t="shared" si="54"/>
        <v/>
      </c>
      <c r="H368" s="24" t="str">
        <f t="shared" si="55"/>
        <v/>
      </c>
      <c r="I368" s="24" t="str">
        <f t="shared" si="58"/>
        <v/>
      </c>
      <c r="J368" s="24" t="e">
        <f t="shared" si="59"/>
        <v>#VALUE!</v>
      </c>
    </row>
    <row r="369" spans="1:12">
      <c r="A369" s="23" t="str">
        <f t="shared" si="56"/>
        <v/>
      </c>
      <c r="B369" s="24" t="str">
        <f t="shared" si="60"/>
        <v/>
      </c>
      <c r="C369" s="44" t="str">
        <f t="shared" si="57"/>
        <v/>
      </c>
      <c r="D369" s="44" t="str">
        <f t="shared" si="51"/>
        <v/>
      </c>
      <c r="E369" s="44" t="str">
        <f t="shared" si="52"/>
        <v/>
      </c>
      <c r="F369" s="44" t="str">
        <f t="shared" si="53"/>
        <v/>
      </c>
      <c r="G369" s="44" t="str">
        <f t="shared" si="54"/>
        <v/>
      </c>
      <c r="H369" s="24" t="str">
        <f t="shared" si="55"/>
        <v/>
      </c>
      <c r="I369" s="24" t="str">
        <f t="shared" si="58"/>
        <v/>
      </c>
      <c r="J369" s="24" t="e">
        <f t="shared" si="59"/>
        <v>#VALUE!</v>
      </c>
    </row>
    <row r="370" spans="1:12">
      <c r="A370" s="23" t="str">
        <f t="shared" si="56"/>
        <v/>
      </c>
      <c r="B370" s="24" t="str">
        <f t="shared" si="60"/>
        <v/>
      </c>
      <c r="C370" s="44" t="str">
        <f t="shared" si="57"/>
        <v/>
      </c>
      <c r="D370" s="44" t="str">
        <f t="shared" si="51"/>
        <v/>
      </c>
      <c r="E370" s="44" t="str">
        <f t="shared" si="52"/>
        <v/>
      </c>
      <c r="F370" s="44" t="str">
        <f t="shared" si="53"/>
        <v/>
      </c>
      <c r="G370" s="44" t="str">
        <f t="shared" si="54"/>
        <v/>
      </c>
      <c r="H370" s="24" t="str">
        <f t="shared" si="55"/>
        <v/>
      </c>
      <c r="I370" s="24" t="str">
        <f t="shared" si="58"/>
        <v/>
      </c>
      <c r="J370" s="24" t="e">
        <f t="shared" si="59"/>
        <v>#VALUE!</v>
      </c>
    </row>
    <row r="371" spans="1:12">
      <c r="A371" s="23" t="str">
        <f t="shared" si="56"/>
        <v/>
      </c>
      <c r="B371" s="24" t="str">
        <f t="shared" si="60"/>
        <v/>
      </c>
      <c r="C371" s="44" t="str">
        <f t="shared" si="57"/>
        <v/>
      </c>
      <c r="D371" s="44" t="str">
        <f t="shared" si="51"/>
        <v/>
      </c>
      <c r="E371" s="44" t="str">
        <f t="shared" si="52"/>
        <v/>
      </c>
      <c r="F371" s="44" t="str">
        <f t="shared" si="53"/>
        <v/>
      </c>
      <c r="G371" s="44" t="str">
        <f t="shared" si="54"/>
        <v/>
      </c>
      <c r="H371" s="24" t="str">
        <f t="shared" si="55"/>
        <v/>
      </c>
      <c r="I371" s="24" t="str">
        <f t="shared" si="58"/>
        <v/>
      </c>
      <c r="J371" s="24" t="e">
        <f t="shared" si="59"/>
        <v>#VALUE!</v>
      </c>
    </row>
    <row r="372" spans="1:12">
      <c r="A372" s="23" t="str">
        <f t="shared" si="56"/>
        <v/>
      </c>
      <c r="B372" s="24" t="str">
        <f t="shared" si="60"/>
        <v/>
      </c>
      <c r="C372" s="44" t="str">
        <f t="shared" si="57"/>
        <v/>
      </c>
      <c r="D372" s="44" t="str">
        <f t="shared" si="51"/>
        <v/>
      </c>
      <c r="E372" s="44" t="str">
        <f t="shared" si="52"/>
        <v/>
      </c>
      <c r="F372" s="44" t="str">
        <f t="shared" si="53"/>
        <v/>
      </c>
      <c r="G372" s="44" t="str">
        <f t="shared" si="54"/>
        <v/>
      </c>
      <c r="H372" s="24" t="str">
        <f t="shared" si="55"/>
        <v/>
      </c>
      <c r="I372" s="24" t="str">
        <f t="shared" si="58"/>
        <v/>
      </c>
      <c r="J372" s="24" t="e">
        <f t="shared" si="59"/>
        <v>#VALUE!</v>
      </c>
    </row>
    <row r="373" spans="1:12">
      <c r="A373" s="23" t="str">
        <f t="shared" si="56"/>
        <v/>
      </c>
      <c r="B373" s="24" t="str">
        <f t="shared" si="60"/>
        <v/>
      </c>
      <c r="C373" s="44" t="str">
        <f t="shared" si="57"/>
        <v/>
      </c>
      <c r="D373" s="44" t="str">
        <f t="shared" si="51"/>
        <v/>
      </c>
      <c r="E373" s="44" t="str">
        <f t="shared" si="52"/>
        <v/>
      </c>
      <c r="F373" s="44" t="str">
        <f t="shared" si="53"/>
        <v/>
      </c>
      <c r="G373" s="44" t="str">
        <f t="shared" si="54"/>
        <v/>
      </c>
      <c r="H373" s="24" t="str">
        <f t="shared" si="55"/>
        <v/>
      </c>
      <c r="I373" s="24" t="str">
        <f t="shared" si="58"/>
        <v/>
      </c>
      <c r="J373" s="24" t="e">
        <f t="shared" si="59"/>
        <v>#VALUE!</v>
      </c>
    </row>
    <row r="374" spans="1:12">
      <c r="A374" s="23" t="str">
        <f t="shared" si="56"/>
        <v/>
      </c>
      <c r="B374" s="24" t="str">
        <f t="shared" si="60"/>
        <v/>
      </c>
      <c r="C374" s="44" t="str">
        <f t="shared" si="57"/>
        <v/>
      </c>
      <c r="D374" s="44" t="str">
        <f t="shared" si="51"/>
        <v/>
      </c>
      <c r="E374" s="44" t="str">
        <f t="shared" si="52"/>
        <v/>
      </c>
      <c r="F374" s="44" t="str">
        <f t="shared" si="53"/>
        <v/>
      </c>
      <c r="G374" s="44" t="str">
        <f t="shared" si="54"/>
        <v/>
      </c>
      <c r="H374" s="24" t="str">
        <f t="shared" si="55"/>
        <v/>
      </c>
      <c r="I374" s="24" t="str">
        <f t="shared" si="58"/>
        <v/>
      </c>
      <c r="J374" s="24" t="e">
        <f t="shared" si="59"/>
        <v>#VALUE!</v>
      </c>
    </row>
    <row r="375" spans="1:12">
      <c r="A375" s="23" t="str">
        <f t="shared" si="56"/>
        <v/>
      </c>
      <c r="B375" s="24" t="str">
        <f t="shared" si="60"/>
        <v/>
      </c>
      <c r="C375" s="44" t="str">
        <f t="shared" si="57"/>
        <v/>
      </c>
      <c r="D375" s="44" t="str">
        <f t="shared" si="51"/>
        <v/>
      </c>
      <c r="E375" s="44" t="str">
        <f t="shared" si="52"/>
        <v/>
      </c>
      <c r="F375" s="44" t="str">
        <f t="shared" si="53"/>
        <v/>
      </c>
      <c r="G375" s="44" t="str">
        <f t="shared" si="54"/>
        <v/>
      </c>
      <c r="H375" s="24" t="str">
        <f t="shared" si="55"/>
        <v/>
      </c>
      <c r="I375" s="24" t="str">
        <f t="shared" si="58"/>
        <v/>
      </c>
      <c r="J375" s="24" t="e">
        <f t="shared" si="59"/>
        <v>#VALUE!</v>
      </c>
    </row>
    <row r="376" spans="1:12">
      <c r="J376" s="24">
        <f t="shared" si="59"/>
        <v>0</v>
      </c>
      <c r="K376" s="23" t="s">
        <v>182</v>
      </c>
      <c r="L376" s="23" t="e">
        <f t="shared" ref="L376:L396" si="61">J376+K376</f>
        <v>#VALUE!</v>
      </c>
    </row>
    <row r="377" spans="1:12">
      <c r="J377" s="24">
        <f t="shared" si="59"/>
        <v>0</v>
      </c>
      <c r="K377" s="23" t="s">
        <v>182</v>
      </c>
      <c r="L377" s="23" t="e">
        <f t="shared" si="61"/>
        <v>#VALUE!</v>
      </c>
    </row>
    <row r="378" spans="1:12">
      <c r="J378" s="24">
        <f t="shared" si="59"/>
        <v>0</v>
      </c>
      <c r="K378" s="23" t="s">
        <v>182</v>
      </c>
      <c r="L378" s="23" t="e">
        <f t="shared" si="61"/>
        <v>#VALUE!</v>
      </c>
    </row>
    <row r="379" spans="1:12">
      <c r="J379" s="24">
        <f t="shared" si="59"/>
        <v>0</v>
      </c>
      <c r="K379" s="23" t="s">
        <v>182</v>
      </c>
      <c r="L379" s="23" t="e">
        <f t="shared" si="61"/>
        <v>#VALUE!</v>
      </c>
    </row>
    <row r="380" spans="1:12">
      <c r="J380" s="24">
        <f t="shared" si="59"/>
        <v>0</v>
      </c>
      <c r="K380" s="23" t="s">
        <v>182</v>
      </c>
      <c r="L380" s="23" t="e">
        <f t="shared" si="61"/>
        <v>#VALUE!</v>
      </c>
    </row>
    <row r="381" spans="1:12">
      <c r="J381" s="24">
        <f t="shared" si="59"/>
        <v>0</v>
      </c>
      <c r="K381" s="23" t="s">
        <v>182</v>
      </c>
      <c r="L381" s="23" t="e">
        <f t="shared" si="61"/>
        <v>#VALUE!</v>
      </c>
    </row>
    <row r="382" spans="1:12">
      <c r="J382" s="24">
        <f t="shared" si="59"/>
        <v>0</v>
      </c>
      <c r="K382" s="23" t="s">
        <v>182</v>
      </c>
      <c r="L382" s="23" t="e">
        <f t="shared" si="61"/>
        <v>#VALUE!</v>
      </c>
    </row>
    <row r="383" spans="1:12">
      <c r="J383" s="24">
        <f t="shared" si="59"/>
        <v>0</v>
      </c>
      <c r="K383" s="23" t="s">
        <v>182</v>
      </c>
      <c r="L383" s="23" t="e">
        <f t="shared" si="61"/>
        <v>#VALUE!</v>
      </c>
    </row>
    <row r="384" spans="1:12">
      <c r="J384" s="24">
        <f t="shared" si="59"/>
        <v>0</v>
      </c>
      <c r="K384" s="23" t="s">
        <v>182</v>
      </c>
      <c r="L384" s="23" t="e">
        <f t="shared" si="61"/>
        <v>#VALUE!</v>
      </c>
    </row>
    <row r="385" spans="10:12">
      <c r="J385" s="24">
        <f t="shared" si="59"/>
        <v>0</v>
      </c>
      <c r="K385" s="23" t="s">
        <v>182</v>
      </c>
      <c r="L385" s="23" t="e">
        <f t="shared" si="61"/>
        <v>#VALUE!</v>
      </c>
    </row>
    <row r="386" spans="10:12">
      <c r="J386" s="24">
        <f t="shared" si="59"/>
        <v>0</v>
      </c>
      <c r="K386" s="23" t="s">
        <v>182</v>
      </c>
      <c r="L386" s="23" t="e">
        <f t="shared" si="61"/>
        <v>#VALUE!</v>
      </c>
    </row>
    <row r="387" spans="10:12">
      <c r="J387" s="24">
        <f t="shared" si="59"/>
        <v>0</v>
      </c>
      <c r="K387" s="23" t="s">
        <v>182</v>
      </c>
      <c r="L387" s="23" t="e">
        <f t="shared" si="61"/>
        <v>#VALUE!</v>
      </c>
    </row>
    <row r="388" spans="10:12">
      <c r="J388" s="24">
        <f t="shared" si="59"/>
        <v>0</v>
      </c>
      <c r="K388" s="23" t="s">
        <v>182</v>
      </c>
      <c r="L388" s="23" t="e">
        <f t="shared" si="61"/>
        <v>#VALUE!</v>
      </c>
    </row>
    <row r="389" spans="10:12">
      <c r="J389" s="24">
        <f t="shared" si="59"/>
        <v>0</v>
      </c>
      <c r="K389" s="23" t="s">
        <v>182</v>
      </c>
      <c r="L389" s="23" t="e">
        <f t="shared" si="61"/>
        <v>#VALUE!</v>
      </c>
    </row>
    <row r="390" spans="10:12">
      <c r="J390" s="24">
        <f t="shared" si="59"/>
        <v>0</v>
      </c>
      <c r="K390" s="23" t="s">
        <v>182</v>
      </c>
      <c r="L390" s="23" t="e">
        <f t="shared" si="61"/>
        <v>#VALUE!</v>
      </c>
    </row>
    <row r="391" spans="10:12">
      <c r="J391" s="24">
        <f t="shared" si="59"/>
        <v>0</v>
      </c>
      <c r="K391" s="23" t="s">
        <v>182</v>
      </c>
      <c r="L391" s="23" t="e">
        <f t="shared" si="61"/>
        <v>#VALUE!</v>
      </c>
    </row>
    <row r="392" spans="10:12">
      <c r="J392" s="24">
        <f t="shared" si="59"/>
        <v>0</v>
      </c>
      <c r="K392" s="23" t="s">
        <v>182</v>
      </c>
      <c r="L392" s="23" t="e">
        <f t="shared" si="61"/>
        <v>#VALUE!</v>
      </c>
    </row>
    <row r="393" spans="10:12">
      <c r="J393" s="24">
        <f t="shared" si="59"/>
        <v>0</v>
      </c>
      <c r="K393" s="23" t="s">
        <v>182</v>
      </c>
      <c r="L393" s="23" t="e">
        <f t="shared" si="61"/>
        <v>#VALUE!</v>
      </c>
    </row>
    <row r="394" spans="10:12">
      <c r="J394" s="24">
        <f t="shared" si="59"/>
        <v>0</v>
      </c>
      <c r="K394" s="23" t="s">
        <v>182</v>
      </c>
      <c r="L394" s="23" t="e">
        <f t="shared" si="61"/>
        <v>#VALUE!</v>
      </c>
    </row>
    <row r="395" spans="10:12">
      <c r="J395" s="24">
        <f t="shared" si="59"/>
        <v>0</v>
      </c>
      <c r="K395" s="23" t="s">
        <v>182</v>
      </c>
      <c r="L395" s="23" t="e">
        <f t="shared" si="61"/>
        <v>#VALUE!</v>
      </c>
    </row>
    <row r="396" spans="10:12">
      <c r="J396" s="24">
        <f t="shared" si="59"/>
        <v>0</v>
      </c>
      <c r="K396" s="23" t="s">
        <v>182</v>
      </c>
      <c r="L396" s="23" t="e">
        <f t="shared" si="61"/>
        <v>#VALUE!</v>
      </c>
    </row>
    <row r="397" spans="10:12">
      <c r="J397" s="24">
        <f t="shared" ref="J397:J460" si="62">I397+B397</f>
        <v>0</v>
      </c>
      <c r="K397" s="23" t="s">
        <v>182</v>
      </c>
      <c r="L397" s="23" t="e">
        <f t="shared" ref="L397:L460" si="63">J397+K397</f>
        <v>#VALUE!</v>
      </c>
    </row>
    <row r="398" spans="10:12">
      <c r="J398" s="24">
        <f t="shared" si="62"/>
        <v>0</v>
      </c>
      <c r="K398" s="23" t="s">
        <v>182</v>
      </c>
      <c r="L398" s="23" t="e">
        <f t="shared" si="63"/>
        <v>#VALUE!</v>
      </c>
    </row>
    <row r="399" spans="10:12">
      <c r="J399" s="24">
        <f t="shared" si="62"/>
        <v>0</v>
      </c>
      <c r="K399" s="23" t="s">
        <v>182</v>
      </c>
      <c r="L399" s="23" t="e">
        <f t="shared" si="63"/>
        <v>#VALUE!</v>
      </c>
    </row>
    <row r="400" spans="10:12">
      <c r="J400" s="24">
        <f t="shared" si="62"/>
        <v>0</v>
      </c>
      <c r="K400" s="23" t="s">
        <v>182</v>
      </c>
      <c r="L400" s="23" t="e">
        <f t="shared" si="63"/>
        <v>#VALUE!</v>
      </c>
    </row>
    <row r="401" spans="10:12">
      <c r="J401" s="24">
        <f t="shared" si="62"/>
        <v>0</v>
      </c>
      <c r="K401" s="23" t="s">
        <v>182</v>
      </c>
      <c r="L401" s="23" t="e">
        <f t="shared" si="63"/>
        <v>#VALUE!</v>
      </c>
    </row>
    <row r="402" spans="10:12">
      <c r="J402" s="24">
        <f t="shared" si="62"/>
        <v>0</v>
      </c>
      <c r="K402" s="23" t="s">
        <v>182</v>
      </c>
      <c r="L402" s="23" t="e">
        <f t="shared" si="63"/>
        <v>#VALUE!</v>
      </c>
    </row>
    <row r="403" spans="10:12">
      <c r="J403" s="24">
        <f t="shared" si="62"/>
        <v>0</v>
      </c>
      <c r="K403" s="23" t="s">
        <v>182</v>
      </c>
      <c r="L403" s="23" t="e">
        <f t="shared" si="63"/>
        <v>#VALUE!</v>
      </c>
    </row>
    <row r="404" spans="10:12">
      <c r="J404" s="24">
        <f t="shared" si="62"/>
        <v>0</v>
      </c>
      <c r="K404" s="23" t="s">
        <v>182</v>
      </c>
      <c r="L404" s="23" t="e">
        <f t="shared" si="63"/>
        <v>#VALUE!</v>
      </c>
    </row>
    <row r="405" spans="10:12">
      <c r="J405" s="24">
        <f t="shared" si="62"/>
        <v>0</v>
      </c>
      <c r="K405" s="23" t="s">
        <v>182</v>
      </c>
      <c r="L405" s="23" t="e">
        <f t="shared" si="63"/>
        <v>#VALUE!</v>
      </c>
    </row>
    <row r="406" spans="10:12">
      <c r="J406" s="24">
        <f t="shared" si="62"/>
        <v>0</v>
      </c>
      <c r="K406" s="23" t="s">
        <v>182</v>
      </c>
      <c r="L406" s="23" t="e">
        <f t="shared" si="63"/>
        <v>#VALUE!</v>
      </c>
    </row>
    <row r="407" spans="10:12">
      <c r="J407" s="24">
        <f t="shared" si="62"/>
        <v>0</v>
      </c>
      <c r="K407" s="23" t="s">
        <v>182</v>
      </c>
      <c r="L407" s="23" t="e">
        <f t="shared" si="63"/>
        <v>#VALUE!</v>
      </c>
    </row>
    <row r="408" spans="10:12">
      <c r="J408" s="24">
        <f t="shared" si="62"/>
        <v>0</v>
      </c>
      <c r="K408" s="23" t="s">
        <v>182</v>
      </c>
      <c r="L408" s="23" t="e">
        <f t="shared" si="63"/>
        <v>#VALUE!</v>
      </c>
    </row>
    <row r="409" spans="10:12">
      <c r="J409" s="24">
        <f t="shared" si="62"/>
        <v>0</v>
      </c>
      <c r="K409" s="23" t="s">
        <v>182</v>
      </c>
      <c r="L409" s="23" t="e">
        <f t="shared" si="63"/>
        <v>#VALUE!</v>
      </c>
    </row>
    <row r="410" spans="10:12">
      <c r="J410" s="24">
        <f t="shared" si="62"/>
        <v>0</v>
      </c>
      <c r="K410" s="23" t="s">
        <v>182</v>
      </c>
      <c r="L410" s="23" t="e">
        <f t="shared" si="63"/>
        <v>#VALUE!</v>
      </c>
    </row>
    <row r="411" spans="10:12">
      <c r="J411" s="24">
        <f t="shared" si="62"/>
        <v>0</v>
      </c>
      <c r="K411" s="23" t="s">
        <v>182</v>
      </c>
      <c r="L411" s="23" t="e">
        <f t="shared" si="63"/>
        <v>#VALUE!</v>
      </c>
    </row>
    <row r="412" spans="10:12">
      <c r="J412" s="24">
        <f t="shared" si="62"/>
        <v>0</v>
      </c>
      <c r="K412" s="23" t="s">
        <v>182</v>
      </c>
      <c r="L412" s="23" t="e">
        <f t="shared" si="63"/>
        <v>#VALUE!</v>
      </c>
    </row>
    <row r="413" spans="10:12">
      <c r="J413" s="24">
        <f t="shared" si="62"/>
        <v>0</v>
      </c>
      <c r="K413" s="23" t="s">
        <v>182</v>
      </c>
      <c r="L413" s="23" t="e">
        <f t="shared" si="63"/>
        <v>#VALUE!</v>
      </c>
    </row>
    <row r="414" spans="10:12">
      <c r="J414" s="24">
        <f t="shared" si="62"/>
        <v>0</v>
      </c>
      <c r="K414" s="23" t="s">
        <v>182</v>
      </c>
      <c r="L414" s="23" t="e">
        <f t="shared" si="63"/>
        <v>#VALUE!</v>
      </c>
    </row>
    <row r="415" spans="10:12">
      <c r="J415" s="24">
        <f t="shared" si="62"/>
        <v>0</v>
      </c>
      <c r="K415" s="23" t="s">
        <v>182</v>
      </c>
      <c r="L415" s="23" t="e">
        <f t="shared" si="63"/>
        <v>#VALUE!</v>
      </c>
    </row>
    <row r="416" spans="10:12">
      <c r="J416" s="24">
        <f t="shared" si="62"/>
        <v>0</v>
      </c>
      <c r="K416" s="23" t="s">
        <v>182</v>
      </c>
      <c r="L416" s="23" t="e">
        <f t="shared" si="63"/>
        <v>#VALUE!</v>
      </c>
    </row>
    <row r="417" spans="10:12">
      <c r="J417" s="24">
        <f t="shared" si="62"/>
        <v>0</v>
      </c>
      <c r="K417" s="23" t="s">
        <v>182</v>
      </c>
      <c r="L417" s="23" t="e">
        <f t="shared" si="63"/>
        <v>#VALUE!</v>
      </c>
    </row>
    <row r="418" spans="10:12">
      <c r="J418" s="24">
        <f t="shared" si="62"/>
        <v>0</v>
      </c>
      <c r="K418" s="23" t="s">
        <v>182</v>
      </c>
      <c r="L418" s="23" t="e">
        <f t="shared" si="63"/>
        <v>#VALUE!</v>
      </c>
    </row>
    <row r="419" spans="10:12">
      <c r="J419" s="24">
        <f t="shared" si="62"/>
        <v>0</v>
      </c>
      <c r="K419" s="23" t="s">
        <v>182</v>
      </c>
      <c r="L419" s="23" t="e">
        <f t="shared" si="63"/>
        <v>#VALUE!</v>
      </c>
    </row>
    <row r="420" spans="10:12">
      <c r="J420" s="24">
        <f t="shared" si="62"/>
        <v>0</v>
      </c>
      <c r="K420" s="23" t="s">
        <v>182</v>
      </c>
      <c r="L420" s="23" t="e">
        <f t="shared" si="63"/>
        <v>#VALUE!</v>
      </c>
    </row>
    <row r="421" spans="10:12">
      <c r="J421" s="24">
        <f t="shared" si="62"/>
        <v>0</v>
      </c>
      <c r="K421" s="23" t="s">
        <v>182</v>
      </c>
      <c r="L421" s="23" t="e">
        <f t="shared" si="63"/>
        <v>#VALUE!</v>
      </c>
    </row>
    <row r="422" spans="10:12">
      <c r="J422" s="24">
        <f t="shared" si="62"/>
        <v>0</v>
      </c>
      <c r="K422" s="23" t="s">
        <v>182</v>
      </c>
      <c r="L422" s="23" t="e">
        <f t="shared" si="63"/>
        <v>#VALUE!</v>
      </c>
    </row>
    <row r="423" spans="10:12">
      <c r="J423" s="24">
        <f t="shared" si="62"/>
        <v>0</v>
      </c>
      <c r="K423" s="23" t="s">
        <v>182</v>
      </c>
      <c r="L423" s="23" t="e">
        <f t="shared" si="63"/>
        <v>#VALUE!</v>
      </c>
    </row>
    <row r="424" spans="10:12">
      <c r="J424" s="24">
        <f t="shared" si="62"/>
        <v>0</v>
      </c>
      <c r="K424" s="23" t="s">
        <v>182</v>
      </c>
      <c r="L424" s="23" t="e">
        <f t="shared" si="63"/>
        <v>#VALUE!</v>
      </c>
    </row>
    <row r="425" spans="10:12">
      <c r="J425" s="24">
        <f t="shared" si="62"/>
        <v>0</v>
      </c>
      <c r="K425" s="23" t="s">
        <v>182</v>
      </c>
      <c r="L425" s="23" t="e">
        <f t="shared" si="63"/>
        <v>#VALUE!</v>
      </c>
    </row>
    <row r="426" spans="10:12">
      <c r="J426" s="24">
        <f t="shared" si="62"/>
        <v>0</v>
      </c>
      <c r="K426" s="23" t="s">
        <v>182</v>
      </c>
      <c r="L426" s="23" t="e">
        <f t="shared" si="63"/>
        <v>#VALUE!</v>
      </c>
    </row>
    <row r="427" spans="10:12">
      <c r="J427" s="24">
        <f t="shared" si="62"/>
        <v>0</v>
      </c>
      <c r="K427" s="23" t="s">
        <v>182</v>
      </c>
      <c r="L427" s="23" t="e">
        <f t="shared" si="63"/>
        <v>#VALUE!</v>
      </c>
    </row>
    <row r="428" spans="10:12">
      <c r="J428" s="24">
        <f t="shared" si="62"/>
        <v>0</v>
      </c>
      <c r="K428" s="23" t="s">
        <v>182</v>
      </c>
      <c r="L428" s="23" t="e">
        <f t="shared" si="63"/>
        <v>#VALUE!</v>
      </c>
    </row>
    <row r="429" spans="10:12">
      <c r="J429" s="24">
        <f t="shared" si="62"/>
        <v>0</v>
      </c>
      <c r="K429" s="23" t="s">
        <v>182</v>
      </c>
      <c r="L429" s="23" t="e">
        <f t="shared" si="63"/>
        <v>#VALUE!</v>
      </c>
    </row>
    <row r="430" spans="10:12">
      <c r="J430" s="24">
        <f t="shared" si="62"/>
        <v>0</v>
      </c>
      <c r="K430" s="23" t="s">
        <v>182</v>
      </c>
      <c r="L430" s="23" t="e">
        <f t="shared" si="63"/>
        <v>#VALUE!</v>
      </c>
    </row>
    <row r="431" spans="10:12">
      <c r="J431" s="24">
        <f t="shared" si="62"/>
        <v>0</v>
      </c>
      <c r="K431" s="23" t="s">
        <v>182</v>
      </c>
      <c r="L431" s="23" t="e">
        <f t="shared" si="63"/>
        <v>#VALUE!</v>
      </c>
    </row>
    <row r="432" spans="10:12">
      <c r="J432" s="24">
        <f t="shared" si="62"/>
        <v>0</v>
      </c>
      <c r="K432" s="23" t="s">
        <v>182</v>
      </c>
      <c r="L432" s="23" t="e">
        <f t="shared" si="63"/>
        <v>#VALUE!</v>
      </c>
    </row>
    <row r="433" spans="10:12">
      <c r="J433" s="24">
        <f t="shared" si="62"/>
        <v>0</v>
      </c>
      <c r="K433" s="23" t="s">
        <v>182</v>
      </c>
      <c r="L433" s="23" t="e">
        <f t="shared" si="63"/>
        <v>#VALUE!</v>
      </c>
    </row>
    <row r="434" spans="10:12">
      <c r="J434" s="24">
        <f t="shared" si="62"/>
        <v>0</v>
      </c>
      <c r="K434" s="23" t="s">
        <v>182</v>
      </c>
      <c r="L434" s="23" t="e">
        <f t="shared" si="63"/>
        <v>#VALUE!</v>
      </c>
    </row>
    <row r="435" spans="10:12">
      <c r="J435" s="24">
        <f t="shared" si="62"/>
        <v>0</v>
      </c>
      <c r="K435" s="23" t="s">
        <v>182</v>
      </c>
      <c r="L435" s="23" t="e">
        <f t="shared" si="63"/>
        <v>#VALUE!</v>
      </c>
    </row>
    <row r="436" spans="10:12">
      <c r="J436" s="24">
        <f t="shared" si="62"/>
        <v>0</v>
      </c>
      <c r="K436" s="23" t="s">
        <v>182</v>
      </c>
      <c r="L436" s="23" t="e">
        <f t="shared" si="63"/>
        <v>#VALUE!</v>
      </c>
    </row>
    <row r="437" spans="10:12">
      <c r="J437" s="24">
        <f t="shared" si="62"/>
        <v>0</v>
      </c>
      <c r="K437" s="23" t="s">
        <v>182</v>
      </c>
      <c r="L437" s="23" t="e">
        <f t="shared" si="63"/>
        <v>#VALUE!</v>
      </c>
    </row>
    <row r="438" spans="10:12">
      <c r="J438" s="24">
        <f t="shared" si="62"/>
        <v>0</v>
      </c>
      <c r="K438" s="23" t="s">
        <v>182</v>
      </c>
      <c r="L438" s="23" t="e">
        <f t="shared" si="63"/>
        <v>#VALUE!</v>
      </c>
    </row>
    <row r="439" spans="10:12">
      <c r="J439" s="24">
        <f t="shared" si="62"/>
        <v>0</v>
      </c>
      <c r="K439" s="23" t="s">
        <v>182</v>
      </c>
      <c r="L439" s="23" t="e">
        <f t="shared" si="63"/>
        <v>#VALUE!</v>
      </c>
    </row>
    <row r="440" spans="10:12">
      <c r="J440" s="24">
        <f t="shared" si="62"/>
        <v>0</v>
      </c>
      <c r="K440" s="23" t="s">
        <v>182</v>
      </c>
      <c r="L440" s="23" t="e">
        <f t="shared" si="63"/>
        <v>#VALUE!</v>
      </c>
    </row>
    <row r="441" spans="10:12">
      <c r="J441" s="24">
        <f t="shared" si="62"/>
        <v>0</v>
      </c>
      <c r="K441" s="23" t="s">
        <v>182</v>
      </c>
      <c r="L441" s="23" t="e">
        <f t="shared" si="63"/>
        <v>#VALUE!</v>
      </c>
    </row>
    <row r="442" spans="10:12">
      <c r="J442" s="24">
        <f t="shared" si="62"/>
        <v>0</v>
      </c>
      <c r="K442" s="23" t="s">
        <v>182</v>
      </c>
      <c r="L442" s="23" t="e">
        <f t="shared" si="63"/>
        <v>#VALUE!</v>
      </c>
    </row>
    <row r="443" spans="10:12">
      <c r="J443" s="24">
        <f t="shared" si="62"/>
        <v>0</v>
      </c>
      <c r="K443" s="23" t="s">
        <v>182</v>
      </c>
      <c r="L443" s="23" t="e">
        <f t="shared" si="63"/>
        <v>#VALUE!</v>
      </c>
    </row>
    <row r="444" spans="10:12">
      <c r="J444" s="24">
        <f t="shared" si="62"/>
        <v>0</v>
      </c>
      <c r="K444" s="23" t="s">
        <v>182</v>
      </c>
      <c r="L444" s="23" t="e">
        <f t="shared" si="63"/>
        <v>#VALUE!</v>
      </c>
    </row>
    <row r="445" spans="10:12">
      <c r="J445" s="24">
        <f t="shared" si="62"/>
        <v>0</v>
      </c>
      <c r="K445" s="23" t="s">
        <v>182</v>
      </c>
      <c r="L445" s="23" t="e">
        <f t="shared" si="63"/>
        <v>#VALUE!</v>
      </c>
    </row>
    <row r="446" spans="10:12">
      <c r="J446" s="24">
        <f t="shared" si="62"/>
        <v>0</v>
      </c>
      <c r="K446" s="23" t="s">
        <v>182</v>
      </c>
      <c r="L446" s="23" t="e">
        <f t="shared" si="63"/>
        <v>#VALUE!</v>
      </c>
    </row>
    <row r="447" spans="10:12">
      <c r="J447" s="24">
        <f t="shared" si="62"/>
        <v>0</v>
      </c>
      <c r="K447" s="23" t="s">
        <v>182</v>
      </c>
      <c r="L447" s="23" t="e">
        <f t="shared" si="63"/>
        <v>#VALUE!</v>
      </c>
    </row>
    <row r="448" spans="10:12">
      <c r="J448" s="24">
        <f t="shared" si="62"/>
        <v>0</v>
      </c>
      <c r="K448" s="23" t="s">
        <v>182</v>
      </c>
      <c r="L448" s="23" t="e">
        <f t="shared" si="63"/>
        <v>#VALUE!</v>
      </c>
    </row>
    <row r="449" spans="10:12">
      <c r="J449" s="24">
        <f t="shared" si="62"/>
        <v>0</v>
      </c>
      <c r="K449" s="23" t="s">
        <v>182</v>
      </c>
      <c r="L449" s="23" t="e">
        <f t="shared" si="63"/>
        <v>#VALUE!</v>
      </c>
    </row>
    <row r="450" spans="10:12">
      <c r="J450" s="24">
        <f t="shared" si="62"/>
        <v>0</v>
      </c>
      <c r="K450" s="23" t="s">
        <v>182</v>
      </c>
      <c r="L450" s="23" t="e">
        <f t="shared" si="63"/>
        <v>#VALUE!</v>
      </c>
    </row>
    <row r="451" spans="10:12">
      <c r="J451" s="24">
        <f t="shared" si="62"/>
        <v>0</v>
      </c>
      <c r="K451" s="23" t="s">
        <v>182</v>
      </c>
      <c r="L451" s="23" t="e">
        <f t="shared" si="63"/>
        <v>#VALUE!</v>
      </c>
    </row>
    <row r="452" spans="10:12">
      <c r="J452" s="24">
        <f t="shared" si="62"/>
        <v>0</v>
      </c>
      <c r="K452" s="23" t="s">
        <v>182</v>
      </c>
      <c r="L452" s="23" t="e">
        <f t="shared" si="63"/>
        <v>#VALUE!</v>
      </c>
    </row>
    <row r="453" spans="10:12">
      <c r="J453" s="24">
        <f t="shared" si="62"/>
        <v>0</v>
      </c>
      <c r="K453" s="23" t="s">
        <v>182</v>
      </c>
      <c r="L453" s="23" t="e">
        <f t="shared" si="63"/>
        <v>#VALUE!</v>
      </c>
    </row>
    <row r="454" spans="10:12">
      <c r="J454" s="24">
        <f t="shared" si="62"/>
        <v>0</v>
      </c>
      <c r="K454" s="23" t="s">
        <v>182</v>
      </c>
      <c r="L454" s="23" t="e">
        <f t="shared" si="63"/>
        <v>#VALUE!</v>
      </c>
    </row>
    <row r="455" spans="10:12">
      <c r="J455" s="24">
        <f t="shared" si="62"/>
        <v>0</v>
      </c>
      <c r="K455" s="23" t="s">
        <v>182</v>
      </c>
      <c r="L455" s="23" t="e">
        <f t="shared" si="63"/>
        <v>#VALUE!</v>
      </c>
    </row>
    <row r="456" spans="10:12">
      <c r="J456" s="24">
        <f t="shared" si="62"/>
        <v>0</v>
      </c>
      <c r="K456" s="23" t="s">
        <v>182</v>
      </c>
      <c r="L456" s="23" t="e">
        <f t="shared" si="63"/>
        <v>#VALUE!</v>
      </c>
    </row>
    <row r="457" spans="10:12">
      <c r="J457" s="24">
        <f t="shared" si="62"/>
        <v>0</v>
      </c>
      <c r="K457" s="23" t="s">
        <v>182</v>
      </c>
      <c r="L457" s="23" t="e">
        <f t="shared" si="63"/>
        <v>#VALUE!</v>
      </c>
    </row>
    <row r="458" spans="10:12">
      <c r="J458" s="24">
        <f t="shared" si="62"/>
        <v>0</v>
      </c>
      <c r="K458" s="23" t="s">
        <v>182</v>
      </c>
      <c r="L458" s="23" t="e">
        <f t="shared" si="63"/>
        <v>#VALUE!</v>
      </c>
    </row>
    <row r="459" spans="10:12">
      <c r="J459" s="24">
        <f t="shared" si="62"/>
        <v>0</v>
      </c>
      <c r="K459" s="23" t="s">
        <v>182</v>
      </c>
      <c r="L459" s="23" t="e">
        <f t="shared" si="63"/>
        <v>#VALUE!</v>
      </c>
    </row>
    <row r="460" spans="10:12">
      <c r="J460" s="24">
        <f t="shared" si="62"/>
        <v>0</v>
      </c>
      <c r="K460" s="23" t="s">
        <v>182</v>
      </c>
      <c r="L460" s="23" t="e">
        <f t="shared" si="63"/>
        <v>#VALUE!</v>
      </c>
    </row>
    <row r="461" spans="10:12">
      <c r="J461" s="24">
        <f t="shared" ref="J461:J492" si="64">I461+B461</f>
        <v>0</v>
      </c>
      <c r="K461" s="23" t="s">
        <v>182</v>
      </c>
      <c r="L461" s="23" t="e">
        <f t="shared" ref="L461:L492" si="65">J461+K461</f>
        <v>#VALUE!</v>
      </c>
    </row>
    <row r="462" spans="10:12">
      <c r="J462" s="24">
        <f t="shared" si="64"/>
        <v>0</v>
      </c>
      <c r="K462" s="23" t="s">
        <v>182</v>
      </c>
      <c r="L462" s="23" t="e">
        <f t="shared" si="65"/>
        <v>#VALUE!</v>
      </c>
    </row>
    <row r="463" spans="10:12">
      <c r="J463" s="24">
        <f t="shared" si="64"/>
        <v>0</v>
      </c>
      <c r="K463" s="23" t="s">
        <v>182</v>
      </c>
      <c r="L463" s="23" t="e">
        <f t="shared" si="65"/>
        <v>#VALUE!</v>
      </c>
    </row>
    <row r="464" spans="10:12">
      <c r="J464" s="24">
        <f t="shared" si="64"/>
        <v>0</v>
      </c>
      <c r="K464" s="23" t="s">
        <v>182</v>
      </c>
      <c r="L464" s="23" t="e">
        <f t="shared" si="65"/>
        <v>#VALUE!</v>
      </c>
    </row>
    <row r="465" spans="10:12">
      <c r="J465" s="24">
        <f t="shared" si="64"/>
        <v>0</v>
      </c>
      <c r="K465" s="23" t="s">
        <v>182</v>
      </c>
      <c r="L465" s="23" t="e">
        <f t="shared" si="65"/>
        <v>#VALUE!</v>
      </c>
    </row>
    <row r="466" spans="10:12">
      <c r="J466" s="24">
        <f t="shared" si="64"/>
        <v>0</v>
      </c>
      <c r="K466" s="23" t="s">
        <v>182</v>
      </c>
      <c r="L466" s="23" t="e">
        <f t="shared" si="65"/>
        <v>#VALUE!</v>
      </c>
    </row>
    <row r="467" spans="10:12">
      <c r="J467" s="24">
        <f t="shared" si="64"/>
        <v>0</v>
      </c>
      <c r="K467" s="23" t="s">
        <v>182</v>
      </c>
      <c r="L467" s="23" t="e">
        <f t="shared" si="65"/>
        <v>#VALUE!</v>
      </c>
    </row>
    <row r="468" spans="10:12">
      <c r="J468" s="24">
        <f t="shared" si="64"/>
        <v>0</v>
      </c>
      <c r="K468" s="23" t="s">
        <v>182</v>
      </c>
      <c r="L468" s="23" t="e">
        <f t="shared" si="65"/>
        <v>#VALUE!</v>
      </c>
    </row>
    <row r="469" spans="10:12">
      <c r="J469" s="24">
        <f t="shared" si="64"/>
        <v>0</v>
      </c>
      <c r="K469" s="23" t="s">
        <v>182</v>
      </c>
      <c r="L469" s="23" t="e">
        <f t="shared" si="65"/>
        <v>#VALUE!</v>
      </c>
    </row>
    <row r="470" spans="10:12">
      <c r="J470" s="24">
        <f t="shared" si="64"/>
        <v>0</v>
      </c>
      <c r="K470" s="23" t="s">
        <v>182</v>
      </c>
      <c r="L470" s="23" t="e">
        <f t="shared" si="65"/>
        <v>#VALUE!</v>
      </c>
    </row>
    <row r="471" spans="10:12">
      <c r="J471" s="24">
        <f t="shared" si="64"/>
        <v>0</v>
      </c>
      <c r="K471" s="23" t="s">
        <v>182</v>
      </c>
      <c r="L471" s="23" t="e">
        <f t="shared" si="65"/>
        <v>#VALUE!</v>
      </c>
    </row>
    <row r="472" spans="10:12">
      <c r="J472" s="24">
        <f t="shared" si="64"/>
        <v>0</v>
      </c>
      <c r="K472" s="23" t="s">
        <v>182</v>
      </c>
      <c r="L472" s="23" t="e">
        <f t="shared" si="65"/>
        <v>#VALUE!</v>
      </c>
    </row>
    <row r="473" spans="10:12">
      <c r="J473" s="24">
        <f t="shared" si="64"/>
        <v>0</v>
      </c>
      <c r="K473" s="23" t="s">
        <v>182</v>
      </c>
      <c r="L473" s="23" t="e">
        <f t="shared" si="65"/>
        <v>#VALUE!</v>
      </c>
    </row>
    <row r="474" spans="10:12">
      <c r="J474" s="24">
        <f t="shared" si="64"/>
        <v>0</v>
      </c>
      <c r="K474" s="23" t="s">
        <v>182</v>
      </c>
      <c r="L474" s="23" t="e">
        <f t="shared" si="65"/>
        <v>#VALUE!</v>
      </c>
    </row>
    <row r="475" spans="10:12">
      <c r="J475" s="24">
        <f t="shared" si="64"/>
        <v>0</v>
      </c>
      <c r="K475" s="23" t="s">
        <v>182</v>
      </c>
      <c r="L475" s="23" t="e">
        <f t="shared" si="65"/>
        <v>#VALUE!</v>
      </c>
    </row>
    <row r="476" spans="10:12">
      <c r="J476" s="24">
        <f t="shared" si="64"/>
        <v>0</v>
      </c>
      <c r="K476" s="23" t="s">
        <v>182</v>
      </c>
      <c r="L476" s="23" t="e">
        <f t="shared" si="65"/>
        <v>#VALUE!</v>
      </c>
    </row>
    <row r="477" spans="10:12">
      <c r="J477" s="24">
        <f t="shared" si="64"/>
        <v>0</v>
      </c>
      <c r="K477" s="23" t="s">
        <v>182</v>
      </c>
      <c r="L477" s="23" t="e">
        <f t="shared" si="65"/>
        <v>#VALUE!</v>
      </c>
    </row>
    <row r="478" spans="10:12">
      <c r="J478" s="24">
        <f t="shared" si="64"/>
        <v>0</v>
      </c>
      <c r="K478" s="23" t="s">
        <v>182</v>
      </c>
      <c r="L478" s="23" t="e">
        <f t="shared" si="65"/>
        <v>#VALUE!</v>
      </c>
    </row>
    <row r="479" spans="10:12">
      <c r="J479" s="24">
        <f t="shared" si="64"/>
        <v>0</v>
      </c>
      <c r="K479" s="23" t="s">
        <v>182</v>
      </c>
      <c r="L479" s="23" t="e">
        <f t="shared" si="65"/>
        <v>#VALUE!</v>
      </c>
    </row>
    <row r="480" spans="10:12">
      <c r="J480" s="24">
        <f t="shared" si="64"/>
        <v>0</v>
      </c>
      <c r="K480" s="23" t="s">
        <v>182</v>
      </c>
      <c r="L480" s="23" t="e">
        <f t="shared" si="65"/>
        <v>#VALUE!</v>
      </c>
    </row>
    <row r="481" spans="10:12">
      <c r="J481" s="24">
        <f t="shared" si="64"/>
        <v>0</v>
      </c>
      <c r="K481" s="23" t="s">
        <v>182</v>
      </c>
      <c r="L481" s="23" t="e">
        <f t="shared" si="65"/>
        <v>#VALUE!</v>
      </c>
    </row>
    <row r="482" spans="10:12">
      <c r="J482" s="24">
        <f t="shared" si="64"/>
        <v>0</v>
      </c>
      <c r="K482" s="23" t="s">
        <v>182</v>
      </c>
      <c r="L482" s="23" t="e">
        <f t="shared" si="65"/>
        <v>#VALUE!</v>
      </c>
    </row>
    <row r="483" spans="10:12">
      <c r="J483" s="24">
        <f t="shared" si="64"/>
        <v>0</v>
      </c>
      <c r="K483" s="23" t="s">
        <v>182</v>
      </c>
      <c r="L483" s="23" t="e">
        <f t="shared" si="65"/>
        <v>#VALUE!</v>
      </c>
    </row>
    <row r="484" spans="10:12">
      <c r="J484" s="24">
        <f t="shared" si="64"/>
        <v>0</v>
      </c>
      <c r="K484" s="23" t="s">
        <v>182</v>
      </c>
      <c r="L484" s="23" t="e">
        <f t="shared" si="65"/>
        <v>#VALUE!</v>
      </c>
    </row>
    <row r="485" spans="10:12">
      <c r="J485" s="24">
        <f t="shared" si="64"/>
        <v>0</v>
      </c>
      <c r="K485" s="23" t="s">
        <v>182</v>
      </c>
      <c r="L485" s="23" t="e">
        <f t="shared" si="65"/>
        <v>#VALUE!</v>
      </c>
    </row>
    <row r="486" spans="10:12">
      <c r="J486" s="24">
        <f t="shared" si="64"/>
        <v>0</v>
      </c>
      <c r="K486" s="23" t="s">
        <v>182</v>
      </c>
      <c r="L486" s="23" t="e">
        <f t="shared" si="65"/>
        <v>#VALUE!</v>
      </c>
    </row>
    <row r="487" spans="10:12">
      <c r="J487" s="24">
        <f t="shared" si="64"/>
        <v>0</v>
      </c>
      <c r="K487" s="23" t="s">
        <v>182</v>
      </c>
      <c r="L487" s="23" t="e">
        <f t="shared" si="65"/>
        <v>#VALUE!</v>
      </c>
    </row>
    <row r="488" spans="10:12">
      <c r="J488" s="24">
        <f t="shared" si="64"/>
        <v>0</v>
      </c>
      <c r="K488" s="23" t="s">
        <v>182</v>
      </c>
      <c r="L488" s="23" t="e">
        <f t="shared" si="65"/>
        <v>#VALUE!</v>
      </c>
    </row>
    <row r="489" spans="10:12">
      <c r="J489" s="24">
        <f t="shared" si="64"/>
        <v>0</v>
      </c>
      <c r="K489" s="23" t="s">
        <v>182</v>
      </c>
      <c r="L489" s="23" t="e">
        <f t="shared" si="65"/>
        <v>#VALUE!</v>
      </c>
    </row>
    <row r="490" spans="10:12">
      <c r="J490" s="24">
        <f t="shared" si="64"/>
        <v>0</v>
      </c>
      <c r="K490" s="23" t="s">
        <v>182</v>
      </c>
      <c r="L490" s="23" t="e">
        <f t="shared" si="65"/>
        <v>#VALUE!</v>
      </c>
    </row>
    <row r="491" spans="10:12">
      <c r="J491" s="24">
        <f t="shared" si="64"/>
        <v>0</v>
      </c>
      <c r="K491" s="23" t="s">
        <v>182</v>
      </c>
      <c r="L491" s="23" t="e">
        <f t="shared" si="65"/>
        <v>#VALUE!</v>
      </c>
    </row>
    <row r="492" spans="10:12">
      <c r="J492" s="24">
        <f t="shared" si="64"/>
        <v>0</v>
      </c>
      <c r="K492" s="23" t="s">
        <v>182</v>
      </c>
      <c r="L492" s="23" t="e">
        <f t="shared" si="65"/>
        <v>#VALUE!</v>
      </c>
    </row>
  </sheetData>
  <mergeCells count="2">
    <mergeCell ref="E3:F3"/>
    <mergeCell ref="A1:I1"/>
  </mergeCells>
  <conditionalFormatting sqref="A10:B375">
    <cfRule type="notContainsBlanks" dxfId="55" priority="16">
      <formula>LEN(TRIM(A10))&gt;0</formula>
    </cfRule>
  </conditionalFormatting>
  <conditionalFormatting sqref="C10:C1048576">
    <cfRule type="notContainsBlanks" dxfId="54" priority="15">
      <formula>LEN(TRIM(C10))&gt;0</formula>
    </cfRule>
  </conditionalFormatting>
  <conditionalFormatting sqref="D10:D375">
    <cfRule type="notContainsBlanks" dxfId="53" priority="14">
      <formula>LEN(TRIM(D10))&gt;0</formula>
    </cfRule>
  </conditionalFormatting>
  <conditionalFormatting sqref="E10">
    <cfRule type="notContainsBlanks" dxfId="52" priority="13">
      <formula>LEN(TRIM(E10))&gt;0</formula>
    </cfRule>
  </conditionalFormatting>
  <conditionalFormatting sqref="E11">
    <cfRule type="notContainsBlanks" dxfId="51" priority="12">
      <formula>LEN(TRIM(E11))&gt;0</formula>
    </cfRule>
  </conditionalFormatting>
  <conditionalFormatting sqref="E12:E1048576">
    <cfRule type="notContainsBlanks" dxfId="50" priority="11">
      <formula>LEN(TRIM(E12))&gt;0</formula>
    </cfRule>
  </conditionalFormatting>
  <conditionalFormatting sqref="F10">
    <cfRule type="notContainsBlanks" dxfId="49" priority="10">
      <formula>LEN(TRIM(F10))&gt;0</formula>
    </cfRule>
  </conditionalFormatting>
  <conditionalFormatting sqref="G10">
    <cfRule type="notContainsBlanks" dxfId="48" priority="9">
      <formula>LEN(TRIM(G10))&gt;0</formula>
    </cfRule>
  </conditionalFormatting>
  <conditionalFormatting sqref="F11">
    <cfRule type="notContainsBlanks" dxfId="47" priority="8">
      <formula>LEN(TRIM(F11))&gt;0</formula>
    </cfRule>
  </conditionalFormatting>
  <conditionalFormatting sqref="F12:G1048576">
    <cfRule type="notContainsBlanks" dxfId="46" priority="5">
      <formula>LEN(TRIM(F12))&gt;0</formula>
    </cfRule>
  </conditionalFormatting>
  <conditionalFormatting sqref="G11">
    <cfRule type="notContainsBlanks" dxfId="45" priority="6">
      <formula>LEN(TRIM(G11))&gt;0</formula>
    </cfRule>
  </conditionalFormatting>
  <conditionalFormatting sqref="H12:H375">
    <cfRule type="notContainsBlanks" dxfId="44" priority="2">
      <formula>LEN(TRIM(H12))&gt;0</formula>
    </cfRule>
  </conditionalFormatting>
  <conditionalFormatting sqref="H11">
    <cfRule type="notContainsBlanks" dxfId="43" priority="4">
      <formula>LEN(TRIM(H11))&gt;0</formula>
    </cfRule>
  </conditionalFormatting>
  <conditionalFormatting sqref="H10">
    <cfRule type="notContainsBlanks" dxfId="42" priority="3">
      <formula>LEN(TRIM(H10))&gt;0</formula>
    </cfRule>
  </conditionalFormatting>
  <conditionalFormatting sqref="I10:I375">
    <cfRule type="notContainsBlanks" dxfId="41" priority="1">
      <formula>LEN(TRIM(I10))&gt;0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AS3477"/>
  <sheetViews>
    <sheetView zoomScale="85" zoomScaleNormal="85" zoomScalePageLayoutView="85" workbookViewId="0">
      <selection activeCell="G5" sqref="G5:G125"/>
    </sheetView>
  </sheetViews>
  <sheetFormatPr defaultColWidth="9.109375" defaultRowHeight="15.6"/>
  <cols>
    <col min="1" max="1" width="6.88671875" style="18" customWidth="1"/>
    <col min="2" max="2" width="9.109375" style="41"/>
    <col min="3" max="4" width="10.88671875" style="41" bestFit="1" customWidth="1"/>
    <col min="5" max="7" width="9.109375" style="41"/>
    <col min="8" max="8" width="11.33203125" style="41" customWidth="1"/>
    <col min="9" max="9" width="9.109375" style="42"/>
    <col min="10" max="10" width="4" style="18" customWidth="1"/>
    <col min="11" max="11" width="2.88671875" style="76" customWidth="1"/>
    <col min="12" max="12" width="5.6640625" style="18" customWidth="1"/>
    <col min="13" max="14" width="9.109375" style="18"/>
    <col min="15" max="15" width="9.88671875" style="18" bestFit="1" customWidth="1"/>
    <col min="16" max="16" width="9.109375" style="18"/>
    <col min="17" max="17" width="9.109375" style="18" customWidth="1"/>
    <col min="18" max="18" width="9.109375" style="18"/>
    <col min="19" max="19" width="9.5546875" style="18" bestFit="1" customWidth="1"/>
    <col min="20" max="29" width="9.109375" style="18"/>
    <col min="30" max="30" width="9.88671875" style="47" customWidth="1"/>
    <col min="31" max="31" width="10" style="47" customWidth="1"/>
    <col min="32" max="32" width="17.6640625" style="18" customWidth="1"/>
    <col min="33" max="34" width="9.109375" style="18"/>
    <col min="35" max="35" width="5.88671875" style="72" customWidth="1"/>
    <col min="36" max="36" width="19.109375" style="18" customWidth="1"/>
    <col min="37" max="37" width="12" style="18" customWidth="1"/>
    <col min="38" max="43" width="9.109375" style="18"/>
    <col min="44" max="44" width="18.109375" style="18" customWidth="1"/>
    <col min="45" max="45" width="10.33203125" style="18" bestFit="1" customWidth="1"/>
    <col min="46" max="16384" width="9.109375" style="18"/>
  </cols>
  <sheetData>
    <row r="1" spans="1:45">
      <c r="A1" s="213" t="s">
        <v>63</v>
      </c>
      <c r="B1" s="213"/>
      <c r="C1" s="213"/>
      <c r="D1" s="213"/>
      <c r="E1" s="213"/>
      <c r="F1" s="213"/>
      <c r="G1" s="213"/>
      <c r="H1" s="213"/>
      <c r="I1" s="213"/>
      <c r="J1" s="214"/>
      <c r="L1" s="78"/>
      <c r="M1" s="216" t="s">
        <v>70</v>
      </c>
      <c r="N1" s="216"/>
      <c r="O1" s="216"/>
      <c r="P1" s="216"/>
      <c r="Q1" s="216"/>
      <c r="R1" s="216"/>
      <c r="S1" s="216"/>
      <c r="AD1" s="18"/>
      <c r="AE1" s="18"/>
    </row>
    <row r="2" spans="1:45">
      <c r="A2" s="215" t="s">
        <v>79</v>
      </c>
      <c r="B2" s="215"/>
      <c r="C2" s="215"/>
      <c r="D2" s="215"/>
      <c r="E2" s="215"/>
      <c r="F2" s="215"/>
      <c r="G2" s="215"/>
      <c r="H2" s="215"/>
      <c r="I2" s="215"/>
      <c r="T2" s="39"/>
      <c r="AD2" s="18"/>
      <c r="AE2" s="18"/>
    </row>
    <row r="3" spans="1:45" s="36" customFormat="1" ht="30" customHeight="1">
      <c r="A3" s="51" t="s">
        <v>28</v>
      </c>
      <c r="B3" s="52" t="s">
        <v>66</v>
      </c>
      <c r="C3" s="52" t="s">
        <v>67</v>
      </c>
      <c r="D3" s="52" t="s">
        <v>69</v>
      </c>
      <c r="E3" s="52" t="s">
        <v>106</v>
      </c>
      <c r="F3" s="52" t="s">
        <v>107</v>
      </c>
      <c r="G3" s="52" t="s">
        <v>108</v>
      </c>
      <c r="H3" s="54" t="s">
        <v>110</v>
      </c>
      <c r="I3" s="53" t="s">
        <v>112</v>
      </c>
      <c r="K3" s="77"/>
      <c r="M3" s="50" t="s">
        <v>109</v>
      </c>
      <c r="N3" s="37" t="s">
        <v>23</v>
      </c>
      <c r="O3" s="37" t="s">
        <v>71</v>
      </c>
      <c r="P3" s="37" t="s">
        <v>76</v>
      </c>
      <c r="Q3" s="37" t="s">
        <v>77</v>
      </c>
      <c r="R3" s="37" t="s">
        <v>78</v>
      </c>
      <c r="S3" s="50" t="s">
        <v>111</v>
      </c>
      <c r="AD3" s="211" t="s">
        <v>84</v>
      </c>
      <c r="AE3" s="212"/>
      <c r="AF3" s="56"/>
      <c r="AO3" s="211" t="s">
        <v>141</v>
      </c>
      <c r="AP3" s="212"/>
      <c r="AQ3" s="48"/>
      <c r="AR3" s="211" t="s">
        <v>140</v>
      </c>
      <c r="AS3" s="212"/>
    </row>
    <row r="4" spans="1:45" s="36" customFormat="1" ht="18">
      <c r="A4" s="33" t="s">
        <v>11</v>
      </c>
      <c r="B4" s="33" t="s">
        <v>34</v>
      </c>
      <c r="C4" s="33" t="s">
        <v>34</v>
      </c>
      <c r="D4" s="33" t="s">
        <v>34</v>
      </c>
      <c r="E4" s="33" t="s">
        <v>34</v>
      </c>
      <c r="F4" s="33" t="s">
        <v>34</v>
      </c>
      <c r="G4" s="33" t="s">
        <v>34</v>
      </c>
      <c r="H4" s="33" t="s">
        <v>34</v>
      </c>
      <c r="I4" s="40" t="s">
        <v>74</v>
      </c>
      <c r="K4" s="77"/>
      <c r="M4" s="37" t="s">
        <v>34</v>
      </c>
      <c r="N4" s="37" t="s">
        <v>75</v>
      </c>
      <c r="O4" s="37" t="s">
        <v>74</v>
      </c>
      <c r="P4" s="37" t="s">
        <v>34</v>
      </c>
      <c r="Q4" s="37" t="s">
        <v>34</v>
      </c>
      <c r="R4" s="37" t="s">
        <v>34</v>
      </c>
      <c r="S4" s="37" t="s">
        <v>34</v>
      </c>
      <c r="AD4" s="36" t="s">
        <v>142</v>
      </c>
      <c r="AE4" s="36" t="s">
        <v>143</v>
      </c>
      <c r="AF4" s="36" t="s">
        <v>146</v>
      </c>
      <c r="AG4" s="36" t="s">
        <v>181</v>
      </c>
      <c r="AH4" s="36" t="s">
        <v>183</v>
      </c>
      <c r="AI4" s="36" t="s">
        <v>184</v>
      </c>
      <c r="AJ4" s="36" t="s">
        <v>185</v>
      </c>
      <c r="AK4" s="36" t="s">
        <v>194</v>
      </c>
      <c r="AO4" s="18" t="s">
        <v>96</v>
      </c>
      <c r="AP4" s="47">
        <f ca="1">MAX(G5:G423)</f>
        <v>2.7043379408169734</v>
      </c>
      <c r="AQ4" s="72" t="s">
        <v>42</v>
      </c>
      <c r="AR4" s="86" t="s">
        <v>152</v>
      </c>
      <c r="AS4" s="75">
        <f ca="1">AP7/(tc+tc_lot_i)</f>
        <v>0.88372093023255816</v>
      </c>
    </row>
    <row r="5" spans="1:45" s="36" customFormat="1" ht="18">
      <c r="A5" s="23">
        <v>0</v>
      </c>
      <c r="B5" s="24">
        <f>IF('Hidrograma afluente'!B12="","",'Hidrograma afluente'!B12)</f>
        <v>0</v>
      </c>
      <c r="C5" s="41">
        <f>IF(B6=0,0,IF(B6="","",B6))</f>
        <v>0.50921264606914685</v>
      </c>
      <c r="D5" s="41">
        <f>2*(b_0*h_0^c_0)*1000/(Passo*60)</f>
        <v>0</v>
      </c>
      <c r="E5" s="41">
        <f ca="1">IF(h_0&lt;fi_h/2/1000,0,((OFFSET('Base de dados'!$A$4,IF(h_0*100&lt;20,1,IF(h_0*100&gt;1000,10,MATCH(h_0*100,Cargas,1))),Coluna_fih,1,1)))*(PI()*(fi_h/1000)^2/4)*SQRT(2*9.81*(h_0-fi_h/2/1000)*1000))</f>
        <v>0</v>
      </c>
      <c r="F5" s="41">
        <f ca="1">IF(Tipo_Vertedor="Retangular",IF(h_0&lt;=cota_s,0,Cd_sr*Lef_sr*((h_0-cota_s)^(3/2))*1000),IF(h_0&lt;fi_s/2000+cota_s,0,((OFFSET('Base de dados'!$A$4,IF(h_0&lt;20,1,IF(h_0&gt;1000,10,MATCH(h_0,Cargas,1))),Coluna_fis,1,1)))*(PI()*(fi_s/1000)^2/4)*SQRT(2*9.81*(h_0-fi_s/2/1000-cota_s)*1000)))</f>
        <v>0</v>
      </c>
      <c r="G5" s="41">
        <f ca="1">F5+E5</f>
        <v>0</v>
      </c>
      <c r="H5" s="41">
        <f ca="1">B5+C5+D5-G5</f>
        <v>0.50921264606914685</v>
      </c>
      <c r="I5" s="42">
        <f>h_0*100</f>
        <v>0</v>
      </c>
      <c r="K5" s="77"/>
      <c r="M5" s="132">
        <f t="shared" ref="M5:M68" ca="1" si="0">IF(O5="","",2*N5*1000/(Passo*60)+R5)</f>
        <v>1.25</v>
      </c>
      <c r="N5" s="38">
        <f>b_0*(O5/100)^c_0</f>
        <v>3.7499999999999999E-2</v>
      </c>
      <c r="O5" s="36">
        <v>1</v>
      </c>
      <c r="P5" s="38">
        <f ca="1">IF(ISERROR(IF(O5&lt;fi_h/20,0,(OFFSET('Base de dados'!$A$5,IF(O5&lt;20,1,IF(O5&gt;1000,10,MATCH(O5,Cargas,1))),Coluna_fih,1,1))*(1+0.13*0.25)*(PI()*(fi_h/1000)^2/4)*SQRT(2*9.81*(O5/100-fi_h/2/1000))*1000)),"",IF(O5&lt;fi_h/20,0,(OFFSET('Base de dados'!$A$5,IF(O5&lt;20,1,IF(O5&gt;1000,10,MATCH(O5,Cargas,1))),Coluna_fih,1,1))*(PI()*(fi_h/1000)^2/4)*SQRT(2*9.81*(O5/100-fi_h/2/1000))*1000))</f>
        <v>0</v>
      </c>
      <c r="Q5" s="38">
        <f ca="1">IF(O5="","",IF(Tipo_Vertedor="Retangular",IF(O5&lt;=cota_s*100,0,IF(Tipo_Vertedor="Retangular",Cd_sr*Lef_sr*((O5/100-cota_s)^(3/2))*1000)),IF(O5&lt;=cota_s*100+fi_s/20,0,(OFFSET('Base de dados'!$A$4,IF(O5&lt;20,1,IF(O5&gt;1000,10,MATCH(O5,Cargas,1))),Coluna_fis,1,1))*(PI()*(fi_s/1000)^2/4)*(2*9.81*(O5/100-cota_s-fi_s/2/1000))^0.5*1000)))</f>
        <v>0</v>
      </c>
      <c r="R5" s="38">
        <f t="shared" ref="R5:R68" ca="1" si="1">IF(O5="","",Q5+P5)</f>
        <v>0</v>
      </c>
      <c r="S5" s="38">
        <f t="shared" ref="S5:S68" ca="1" si="2">IF(M5="","",2*N5*1000/(Passo*60))</f>
        <v>1.25</v>
      </c>
      <c r="AD5" s="38">
        <v>0</v>
      </c>
      <c r="AE5" s="38">
        <v>0</v>
      </c>
      <c r="AF5" s="38">
        <f ca="1">IF(ISERROR(IF('Hidrograma afluente'!I12="",0,'Hidrograma afluente'!I12)+Simulação!G5),"",IF('Hidrograma afluente'!I12="",0,'Hidrograma afluente'!I12)+Simulação!G5)</f>
        <v>0</v>
      </c>
      <c r="AG5" s="36">
        <v>0</v>
      </c>
      <c r="AH5" s="36">
        <v>0</v>
      </c>
      <c r="AI5" s="36">
        <v>0</v>
      </c>
      <c r="AJ5" s="36">
        <v>0</v>
      </c>
      <c r="AK5" s="38">
        <f>IF(A5="","",IF('Hidrograma afluente'!I12="",0,'Hidrograma afluente'!I12)+Simulação!B5)</f>
        <v>0</v>
      </c>
      <c r="AO5" s="18" t="s">
        <v>97</v>
      </c>
      <c r="AP5" s="47">
        <f>Qmax_lot_i</f>
        <v>4.0737011685531748</v>
      </c>
      <c r="AQ5" s="48" t="s">
        <v>42</v>
      </c>
      <c r="AR5" s="86" t="s">
        <v>153</v>
      </c>
      <c r="AS5" s="75">
        <f ca="1">AP4/Qref_i</f>
        <v>0.87848124212714018</v>
      </c>
    </row>
    <row r="6" spans="1:45" s="36" customFormat="1" ht="18">
      <c r="A6" s="23">
        <f t="shared" ref="A6:A69" si="3">IF(ISERROR(IF(A5+Passo&lt;=tempo_simul,A5+Passo,"")),"",IF(A5+Passo&lt;=tempo_simul,A5+Passo,""))</f>
        <v>1</v>
      </c>
      <c r="B6" s="24">
        <f>IF(A6="","",IF(A6&gt;tc_lot_i+tc,0,IF('Hidrograma afluente'!B13="","",'Hidrograma afluente'!B13)))</f>
        <v>0.50921264606914685</v>
      </c>
      <c r="C6" s="41">
        <f t="shared" ref="C6:C69" si="4">IF(B7=0,0,IF(B7="","",B7))</f>
        <v>1.0184252921382937</v>
      </c>
      <c r="D6" s="41">
        <f t="shared" ref="D6:D69" ca="1" si="5">IF(A6="","",IF(ISERROR(VLOOKUP(H5,tabela_auxiliar,7,1)),0,VLOOKUP(H5,tabela_auxiliar,7,1)))</f>
        <v>0</v>
      </c>
      <c r="E6" s="41">
        <f t="shared" ref="E6:E69" ca="1" si="6">IF(A6="","",IF(ISERROR(VLOOKUP(H5,tabela_auxiliar,4,TRUE)),0,VLOOKUP(H5,tabela_auxiliar,4,TRUE)))</f>
        <v>0</v>
      </c>
      <c r="F6" s="41">
        <f t="shared" ref="F6:F69" ca="1" si="7">IF(A6="","",IF(ISERROR(VLOOKUP(H5,tabela_auxiliar,5,TRUE)),0,VLOOKUP(H5,tabela_auxiliar,5,TRUE)))</f>
        <v>0</v>
      </c>
      <c r="G6" s="41">
        <f t="shared" ref="G6:G69" ca="1" si="8">IF(A6="","",IF(ISERROR(VLOOKUP(H5,tabela_auxiliar,6,TRUE)),0,VLOOKUP(H5,tabela_auxiliar,6,TRUE)))</f>
        <v>0</v>
      </c>
      <c r="H6" s="41">
        <f ca="1">IF(A6="","",IF(ISERROR(B6+C6+D6-G6),0,B6+C6+D6-G6))</f>
        <v>1.5276379382074405</v>
      </c>
      <c r="I6" s="42">
        <f t="shared" ref="I6:I69" ca="1" si="9">IF(A6="","",IF(ISERROR(VLOOKUP(H5,tabela_auxiliar,3,TRUE)),0,VLOOKUP(H5,tabela_auxiliar,3,TRUE)))</f>
        <v>0</v>
      </c>
      <c r="K6" s="77"/>
      <c r="M6" s="132">
        <f t="shared" ca="1" si="0"/>
        <v>1.5625</v>
      </c>
      <c r="N6" s="38">
        <f t="shared" ref="N6:N69" si="10">IF(O6="","",b_0*(O6/100)^c_0)</f>
        <v>4.6875E-2</v>
      </c>
      <c r="O6" s="36">
        <f t="shared" ref="O6:O69" si="11">IF(ISERROR(IF(O5+passo_altura&gt;h_max_puls*100,"",O5+passo_altura)),"",IF(O5+passo_altura&gt;h_max_puls*100,"",O5+passo_altura))</f>
        <v>1.25</v>
      </c>
      <c r="P6" s="38">
        <f ca="1">IF(ISERROR(IF(O6&lt;fi_h/20,0,(OFFSET('Base de dados'!$A$5,IF(O6&lt;20,1,IF(O6&gt;1000,10,MATCH(O6,Cargas,1))),Coluna_fih,1,1))*(1+0.13*0.25)*(PI()*(fi_h/1000)^2/4)*SQRT(2*9.81*(O6/100-fi_h/2/1000))*1000)),"",IF(O6&lt;fi_h/20,0,(OFFSET('Base de dados'!$A$5,IF(O6&lt;20,1,IF(O6&gt;1000,10,MATCH(O6,Cargas,1))),Coluna_fih,1,1))*(PI()*(fi_h/1000)^2/4)*SQRT(2*9.81*(O6/100-fi_h/2/1000))*1000))</f>
        <v>0</v>
      </c>
      <c r="Q6" s="38">
        <f ca="1">IF(O6="","",IF(Tipo_Vertedor="Retangular",IF(O6&lt;=cota_s*100,0,IF(Tipo_Vertedor="Retangular",Cd_sr*Lef_sr*((O6/100-cota_s)^(3/2))*1000)),IF(O6&lt;=cota_s*100+fi_s/20,0,(OFFSET('Base de dados'!$A$4,IF(O6&lt;20,1,IF(O6&gt;1000,10,MATCH(O6,Cargas,1))),Coluna_fis,1,1))*(PI()*(fi_s/1000)^2/4)*(2*9.81*(O6/100-cota_s-fi_s/2/1000))^0.5*1000)))</f>
        <v>0</v>
      </c>
      <c r="R6" s="38">
        <f t="shared" ca="1" si="1"/>
        <v>0</v>
      </c>
      <c r="S6" s="38">
        <f t="shared" ca="1" si="2"/>
        <v>1.5625</v>
      </c>
      <c r="AD6" s="38">
        <f t="shared" ref="AD6:AD69" si="12">IF(A6="","",AVERAGE(B6+B5)*Passo*60/1000+AD5)</f>
        <v>3.0552758764148813E-2</v>
      </c>
      <c r="AE6" s="38">
        <f t="shared" ref="AE6:AE69" ca="1" si="13">IF(A6="","",AE5+AVERAGE(G6+G5)*Passo*60/1000)</f>
        <v>0</v>
      </c>
      <c r="AF6" s="38">
        <f ca="1">IF(ISERROR(IF('Hidrograma afluente'!I13="",0,'Hidrograma afluente'!I13)+Simulação!G6),"",IF('Hidrograma afluente'!I13="",0,'Hidrograma afluente'!I13)+Simulação!G6)</f>
        <v>20.242971447718361</v>
      </c>
      <c r="AG6" s="36">
        <v>0</v>
      </c>
      <c r="AH6" s="36">
        <v>0</v>
      </c>
      <c r="AI6" s="36">
        <v>0</v>
      </c>
      <c r="AJ6" s="36">
        <v>0</v>
      </c>
      <c r="AK6" s="38">
        <f>IF(A6="","",IF('Hidrograma afluente'!I13="",0,'Hidrograma afluente'!I13)+Simulação!B6)</f>
        <v>20.752184093787509</v>
      </c>
      <c r="AO6" s="18" t="s">
        <v>95</v>
      </c>
      <c r="AP6" s="46">
        <f ca="1">MAX(I5:I1048576)</f>
        <v>103.5</v>
      </c>
      <c r="AQ6" s="48" t="s">
        <v>73</v>
      </c>
      <c r="AR6" s="86" t="s">
        <v>154</v>
      </c>
      <c r="AS6" s="75">
        <f ca="1">hmax/100/Dados_de_entrada!B32</f>
        <v>0.69</v>
      </c>
    </row>
    <row r="7" spans="1:45" s="36" customFormat="1" ht="18">
      <c r="A7" s="23">
        <f t="shared" si="3"/>
        <v>2</v>
      </c>
      <c r="B7" s="24">
        <f>IF(A7="","",IF(A7&gt;tc_lot_i+tc,0,IF('Hidrograma afluente'!B14="","",'Hidrograma afluente'!B14)))</f>
        <v>1.0184252921382937</v>
      </c>
      <c r="C7" s="41">
        <f t="shared" si="4"/>
        <v>1.5276379382074405</v>
      </c>
      <c r="D7" s="41">
        <f t="shared" ca="1" si="5"/>
        <v>1.25</v>
      </c>
      <c r="E7" s="41">
        <f t="shared" ca="1" si="6"/>
        <v>0</v>
      </c>
      <c r="F7" s="41">
        <f t="shared" ca="1" si="7"/>
        <v>0</v>
      </c>
      <c r="G7" s="41">
        <f t="shared" ca="1" si="8"/>
        <v>0</v>
      </c>
      <c r="H7" s="41">
        <f t="shared" ref="H7:H64" ca="1" si="14">IF(A7="","",IF(ISERROR(B7+C7+D7-G7),0,B7+C7+D7-G7))</f>
        <v>3.7960632303457342</v>
      </c>
      <c r="I7" s="42">
        <f t="shared" ca="1" si="9"/>
        <v>1</v>
      </c>
      <c r="K7" s="77"/>
      <c r="M7" s="132">
        <f t="shared" ca="1" si="0"/>
        <v>1.8749999999999998</v>
      </c>
      <c r="N7" s="38">
        <f t="shared" si="10"/>
        <v>5.6249999999999994E-2</v>
      </c>
      <c r="O7" s="36">
        <f t="shared" si="11"/>
        <v>1.5</v>
      </c>
      <c r="P7" s="38">
        <f ca="1">IF(ISERROR(IF(O7&lt;fi_h/20,0,(OFFSET('Base de dados'!$A$5,IF(O7&lt;20,1,IF(O7&gt;1000,10,MATCH(O7,Cargas,1))),Coluna_fih,1,1))*(1+0.13*0.25)*(PI()*(fi_h/1000)^2/4)*SQRT(2*9.81*(O7/100-fi_h/2/1000))*1000)),"",IF(O7&lt;fi_h/20,0,(OFFSET('Base de dados'!$A$5,IF(O7&lt;20,1,IF(O7&gt;1000,10,MATCH(O7,Cargas,1))),Coluna_fih,1,1))*(PI()*(fi_h/1000)^2/4)*SQRT(2*9.81*(O7/100-fi_h/2/1000))*1000))</f>
        <v>0</v>
      </c>
      <c r="Q7" s="38">
        <f ca="1">IF(O7="","",IF(Tipo_Vertedor="Retangular",IF(O7&lt;=cota_s*100,0,IF(Tipo_Vertedor="Retangular",Cd_sr*Lef_sr*((O7/100-cota_s)^(3/2))*1000)),IF(O7&lt;=cota_s*100+fi_s/20,0,(OFFSET('Base de dados'!$A$4,IF(O7&lt;20,1,IF(O7&gt;1000,10,MATCH(O7,Cargas,1))),Coluna_fis,1,1))*(PI()*(fi_s/1000)^2/4)*(2*9.81*(O7/100-cota_s-fi_s/2/1000))^0.5*1000)))</f>
        <v>0</v>
      </c>
      <c r="R7" s="38">
        <f t="shared" ca="1" si="1"/>
        <v>0</v>
      </c>
      <c r="S7" s="38">
        <f t="shared" ca="1" si="2"/>
        <v>1.8749999999999998</v>
      </c>
      <c r="AD7" s="38">
        <f t="shared" si="12"/>
        <v>0.12221103505659524</v>
      </c>
      <c r="AE7" s="38">
        <f t="shared" ca="1" si="13"/>
        <v>0</v>
      </c>
      <c r="AF7" s="38">
        <f ca="1">IF(ISERROR(IF('Hidrograma afluente'!I14="",0,'Hidrograma afluente'!I14)+Simulação!G7),"",IF('Hidrograma afluente'!I14="",0,'Hidrograma afluente'!I14)+Simulação!G7)</f>
        <v>40.485942895436722</v>
      </c>
      <c r="AG7" s="36">
        <v>0</v>
      </c>
      <c r="AH7" s="36">
        <v>0</v>
      </c>
      <c r="AI7" s="36">
        <v>1</v>
      </c>
      <c r="AJ7" s="36">
        <v>1</v>
      </c>
      <c r="AK7" s="38">
        <f>IF(A7="","",IF('Hidrograma afluente'!I14="",0,'Hidrograma afluente'!I14)+Simulação!B7)</f>
        <v>41.504368187575018</v>
      </c>
      <c r="AO7" s="18" t="s">
        <v>98</v>
      </c>
      <c r="AP7" s="18">
        <f ca="1">MATCH(AP4,G5:G423,0)*Passo</f>
        <v>38</v>
      </c>
      <c r="AQ7" s="48" t="s">
        <v>0</v>
      </c>
      <c r="AR7" s="86" t="s">
        <v>155</v>
      </c>
      <c r="AS7" s="75">
        <f ca="1">(1-AP9/AP10)</f>
        <v>5.5692714423551171E-2</v>
      </c>
    </row>
    <row r="8" spans="1:45" s="36" customFormat="1" ht="18">
      <c r="A8" s="23">
        <f t="shared" si="3"/>
        <v>3</v>
      </c>
      <c r="B8" s="24">
        <f>IF(A8="","",IF(A8&gt;tc_lot_i+tc,0,IF('Hidrograma afluente'!B15="","",'Hidrograma afluente'!B15)))</f>
        <v>1.5276379382074405</v>
      </c>
      <c r="C8" s="41">
        <f t="shared" si="4"/>
        <v>2.0368505842765874</v>
      </c>
      <c r="D8" s="41">
        <f t="shared" ca="1" si="5"/>
        <v>3.4375</v>
      </c>
      <c r="E8" s="41">
        <f t="shared" ca="1" si="6"/>
        <v>0.26805401985969635</v>
      </c>
      <c r="F8" s="41">
        <f t="shared" ca="1" si="7"/>
        <v>0</v>
      </c>
      <c r="G8" s="41">
        <f t="shared" ca="1" si="8"/>
        <v>0.26805401985969635</v>
      </c>
      <c r="H8" s="41">
        <f t="shared" ca="1" si="14"/>
        <v>6.733934502624332</v>
      </c>
      <c r="I8" s="42">
        <f t="shared" ca="1" si="9"/>
        <v>2.75</v>
      </c>
      <c r="K8" s="77"/>
      <c r="M8" s="132">
        <f t="shared" ca="1" si="0"/>
        <v>2.1875</v>
      </c>
      <c r="N8" s="38">
        <f t="shared" si="10"/>
        <v>6.5625000000000003E-2</v>
      </c>
      <c r="O8" s="36">
        <f t="shared" si="11"/>
        <v>1.75</v>
      </c>
      <c r="P8" s="38">
        <f ca="1">IF(ISERROR(IF(O8&lt;fi_h/20,0,(OFFSET('Base de dados'!$A$5,IF(O8&lt;20,1,IF(O8&gt;1000,10,MATCH(O8,Cargas,1))),Coluna_fih,1,1))*(1+0.13*0.25)*(PI()*(fi_h/1000)^2/4)*SQRT(2*9.81*(O8/100-fi_h/2/1000))*1000)),"",IF(O8&lt;fi_h/20,0,(OFFSET('Base de dados'!$A$5,IF(O8&lt;20,1,IF(O8&gt;1000,10,MATCH(O8,Cargas,1))),Coluna_fih,1,1))*(PI()*(fi_h/1000)^2/4)*SQRT(2*9.81*(O8/100-fi_h/2/1000))*1000))</f>
        <v>0</v>
      </c>
      <c r="Q8" s="38">
        <f ca="1">IF(O8="","",IF(Tipo_Vertedor="Retangular",IF(O8&lt;=cota_s*100,0,IF(Tipo_Vertedor="Retangular",Cd_sr*Lef_sr*((O8/100-cota_s)^(3/2))*1000)),IF(O8&lt;=cota_s*100+fi_s/20,0,(OFFSET('Base de dados'!$A$4,IF(O8&lt;20,1,IF(O8&gt;1000,10,MATCH(O8,Cargas,1))),Coluna_fis,1,1))*(PI()*(fi_s/1000)^2/4)*(2*9.81*(O8/100-cota_s-fi_s/2/1000))^0.5*1000)))</f>
        <v>0</v>
      </c>
      <c r="R8" s="38">
        <f t="shared" ca="1" si="1"/>
        <v>0</v>
      </c>
      <c r="S8" s="38">
        <f t="shared" ca="1" si="2"/>
        <v>2.1875</v>
      </c>
      <c r="AD8" s="38">
        <f t="shared" si="12"/>
        <v>0.27497482887733926</v>
      </c>
      <c r="AE8" s="38">
        <f t="shared" ca="1" si="13"/>
        <v>1.608324119158178E-2</v>
      </c>
      <c r="AF8" s="38">
        <f ca="1">IF(ISERROR(IF('Hidrograma afluente'!I15="",0,'Hidrograma afluente'!I15)+Simulação!G8),"",IF('Hidrograma afluente'!I15="",0,'Hidrograma afluente'!I15)+Simulação!G8)</f>
        <v>60.996968363014773</v>
      </c>
      <c r="AG8" s="36">
        <v>0.20411711317205333</v>
      </c>
      <c r="AH8" s="36">
        <v>0.20411711317205333</v>
      </c>
      <c r="AI8" s="36">
        <v>2.75</v>
      </c>
      <c r="AJ8" s="36">
        <v>2.75</v>
      </c>
      <c r="AK8" s="38">
        <f>IF(A8="","",IF('Hidrograma afluente'!I15="",0,'Hidrograma afluente'!I15)+Simulação!B8)</f>
        <v>62.256552281362517</v>
      </c>
      <c r="AO8" s="18" t="s">
        <v>99</v>
      </c>
      <c r="AP8" s="18">
        <f>tc</f>
        <v>35</v>
      </c>
      <c r="AQ8" s="48" t="s">
        <v>0</v>
      </c>
      <c r="AR8" s="86" t="s">
        <v>156</v>
      </c>
      <c r="AS8" s="75">
        <f>Dados_de_entrada!D16</f>
        <v>0.85714285714285721</v>
      </c>
    </row>
    <row r="9" spans="1:45" s="36" customFormat="1">
      <c r="A9" s="23">
        <f t="shared" si="3"/>
        <v>4</v>
      </c>
      <c r="B9" s="24">
        <f>IF(A9="","",IF(A9&gt;tc_lot_i+tc,0,IF('Hidrograma afluente'!B16="","",'Hidrograma afluente'!B16)))</f>
        <v>2.0368505842765874</v>
      </c>
      <c r="C9" s="41">
        <f t="shared" si="4"/>
        <v>2.5460632303457342</v>
      </c>
      <c r="D9" s="41">
        <f t="shared" ca="1" si="5"/>
        <v>5.9375</v>
      </c>
      <c r="E9" s="41">
        <f t="shared" ca="1" si="6"/>
        <v>0.46584380170727718</v>
      </c>
      <c r="F9" s="41">
        <f t="shared" ca="1" si="7"/>
        <v>0</v>
      </c>
      <c r="G9" s="41">
        <f t="shared" ca="1" si="8"/>
        <v>0.46584380170727718</v>
      </c>
      <c r="H9" s="41">
        <f t="shared" ca="1" si="14"/>
        <v>10.054570012915043</v>
      </c>
      <c r="I9" s="42">
        <f t="shared" ca="1" si="9"/>
        <v>4.75</v>
      </c>
      <c r="K9" s="77"/>
      <c r="M9" s="132">
        <f t="shared" ca="1" si="0"/>
        <v>2.631980675870135</v>
      </c>
      <c r="N9" s="38">
        <f t="shared" si="10"/>
        <v>7.4999999999999997E-2</v>
      </c>
      <c r="O9" s="36">
        <f t="shared" si="11"/>
        <v>2</v>
      </c>
      <c r="P9" s="38">
        <f ca="1">IF(ISERROR(IF(O9&lt;fi_h/20,0,(OFFSET('Base de dados'!$A$5,IF(O9&lt;20,1,IF(O9&gt;1000,10,MATCH(O9,Cargas,1))),Coluna_fih,1,1))*(1+0.13*0.25)*(PI()*(fi_h/1000)^2/4)*SQRT(2*9.81*(O9/100-fi_h/2/1000))*1000)),"",IF(O9&lt;fi_h/20,0,(OFFSET('Base de dados'!$A$5,IF(O9&lt;20,1,IF(O9&gt;1000,10,MATCH(O9,Cargas,1))),Coluna_fih,1,1))*(PI()*(fi_h/1000)^2/4)*SQRT(2*9.81*(O9/100-fi_h/2/1000))*1000))</f>
        <v>0.13198067587013479</v>
      </c>
      <c r="Q9" s="38">
        <f ca="1">IF(O9="","",IF(Tipo_Vertedor="Retangular",IF(O9&lt;=cota_s*100,0,IF(Tipo_Vertedor="Retangular",Cd_sr*Lef_sr*((O9/100-cota_s)^(3/2))*1000)),IF(O9&lt;=cota_s*100+fi_s/20,0,(OFFSET('Base de dados'!$A$4,IF(O9&lt;20,1,IF(O9&gt;1000,10,MATCH(O9,Cargas,1))),Coluna_fis,1,1))*(PI()*(fi_s/1000)^2/4)*(2*9.81*(O9/100-cota_s-fi_s/2/1000))^0.5*1000)))</f>
        <v>0</v>
      </c>
      <c r="R9" s="38">
        <f t="shared" ca="1" si="1"/>
        <v>0.13198067587013479</v>
      </c>
      <c r="S9" s="38">
        <f t="shared" ca="1" si="2"/>
        <v>2.5</v>
      </c>
      <c r="AD9" s="38">
        <f t="shared" si="12"/>
        <v>0.48884414022638095</v>
      </c>
      <c r="AE9" s="38">
        <f t="shared" ca="1" si="13"/>
        <v>6.01171104856002E-2</v>
      </c>
      <c r="AF9" s="38">
        <f ca="1">IF(ISERROR(IF('Hidrograma afluente'!I16="",0,'Hidrograma afluente'!I16)+Simulação!G9),"",IF('Hidrograma afluente'!I16="",0,'Hidrograma afluente'!I16)+Simulação!G9)</f>
        <v>81.437729592580723</v>
      </c>
      <c r="AG9" s="36">
        <v>0.33255506306761479</v>
      </c>
      <c r="AH9" s="36">
        <v>0.33255506306761479</v>
      </c>
      <c r="AI9" s="36">
        <v>5</v>
      </c>
      <c r="AJ9" s="36">
        <v>5</v>
      </c>
      <c r="AK9" s="38">
        <f>IF(A9="","",IF('Hidrograma afluente'!I16="",0,'Hidrograma afluente'!I16)+Simulação!B9)</f>
        <v>83.008736375150036</v>
      </c>
      <c r="AO9" s="18" t="s">
        <v>105</v>
      </c>
      <c r="AP9" s="47">
        <f ca="1">MAX(AE5:AE1048576)</f>
        <v>16.156667909449425</v>
      </c>
      <c r="AQ9" s="48" t="s">
        <v>82</v>
      </c>
    </row>
    <row r="10" spans="1:45" s="36" customFormat="1">
      <c r="A10" s="23">
        <f t="shared" si="3"/>
        <v>5</v>
      </c>
      <c r="B10" s="24">
        <f>IF(A10="","",IF(A10&gt;tc_lot_i+tc,0,IF('Hidrograma afluente'!B17="","",'Hidrograma afluente'!B17)))</f>
        <v>2.5460632303457342</v>
      </c>
      <c r="C10" s="41">
        <f t="shared" si="4"/>
        <v>3.0552758764148811</v>
      </c>
      <c r="D10" s="41">
        <f t="shared" ca="1" si="5"/>
        <v>9.375</v>
      </c>
      <c r="E10" s="41">
        <f t="shared" ca="1" si="6"/>
        <v>0.64544712903152668</v>
      </c>
      <c r="F10" s="41">
        <f t="shared" ca="1" si="7"/>
        <v>0</v>
      </c>
      <c r="G10" s="41">
        <f t="shared" ca="1" si="8"/>
        <v>0.64544712903152668</v>
      </c>
      <c r="H10" s="41">
        <f t="shared" ca="1" si="14"/>
        <v>14.330891977729088</v>
      </c>
      <c r="I10" s="42">
        <f t="shared" ca="1" si="9"/>
        <v>7.5</v>
      </c>
      <c r="J10" s="18"/>
      <c r="K10" s="76"/>
      <c r="M10" s="132">
        <f t="shared" ca="1" si="0"/>
        <v>3.0010830985438668</v>
      </c>
      <c r="N10" s="38">
        <f t="shared" si="10"/>
        <v>8.4374999999999992E-2</v>
      </c>
      <c r="O10" s="36">
        <f t="shared" si="11"/>
        <v>2.25</v>
      </c>
      <c r="P10" s="38">
        <f ca="1">IF(ISERROR(IF(O10&lt;fi_h/20,0,(OFFSET('Base de dados'!$A$5,IF(O10&lt;20,1,IF(O10&gt;1000,10,MATCH(O10,Cargas,1))),Coluna_fih,1,1))*(1+0.13*0.25)*(PI()*(fi_h/1000)^2/4)*SQRT(2*9.81*(O10/100-fi_h/2/1000))*1000)),"",IF(O10&lt;fi_h/20,0,(OFFSET('Base de dados'!$A$5,IF(O10&lt;20,1,IF(O10&gt;1000,10,MATCH(O10,Cargas,1))),Coluna_fih,1,1))*(PI()*(fi_h/1000)^2/4)*SQRT(2*9.81*(O10/100-fi_h/2/1000))*1000))</f>
        <v>0.18858309854386707</v>
      </c>
      <c r="Q10" s="38">
        <f ca="1">IF(O10="","",IF(Tipo_Vertedor="Retangular",IF(O10&lt;=cota_s*100,0,IF(Tipo_Vertedor="Retangular",Cd_sr*Lef_sr*((O10/100-cota_s)^(3/2))*1000)),IF(O10&lt;=cota_s*100+fi_s/20,0,(OFFSET('Base de dados'!$A$4,IF(O10&lt;20,1,IF(O10&gt;1000,10,MATCH(O10,Cargas,1))),Coluna_fis,1,1))*(PI()*(fi_s/1000)^2/4)*(2*9.81*(O10/100-cota_s-fi_s/2/1000))^0.5*1000)))</f>
        <v>0</v>
      </c>
      <c r="R10" s="38">
        <f t="shared" ca="1" si="1"/>
        <v>0.18858309854386707</v>
      </c>
      <c r="S10" s="38">
        <f t="shared" ca="1" si="2"/>
        <v>2.8124999999999996</v>
      </c>
      <c r="AD10" s="38">
        <f t="shared" si="12"/>
        <v>0.76381896910372027</v>
      </c>
      <c r="AE10" s="38">
        <f t="shared" ca="1" si="13"/>
        <v>0.12679456632992844</v>
      </c>
      <c r="AF10" s="38">
        <f ca="1">IF(ISERROR(IF('Hidrograma afluente'!I17="",0,'Hidrograma afluente'!I17)+Simulação!G10),"",IF('Hidrograma afluente'!I17="",0,'Hidrograma afluente'!I17)+Simulação!G10)</f>
        <v>101.86030436762333</v>
      </c>
      <c r="AG10" s="36">
        <v>0.44999811341995838</v>
      </c>
      <c r="AH10" s="36">
        <v>0.44999811341995838</v>
      </c>
      <c r="AI10" s="36">
        <v>8</v>
      </c>
      <c r="AJ10" s="36">
        <v>8</v>
      </c>
      <c r="AK10" s="38">
        <f>IF(A10="","",IF('Hidrograma afluente'!I17="",0,'Hidrograma afluente'!I17)+Simulação!B10)</f>
        <v>103.76092046893754</v>
      </c>
      <c r="AO10" s="18" t="s">
        <v>114</v>
      </c>
      <c r="AP10" s="47">
        <f>MAX(AD5:AD1048576)</f>
        <v>17.109544907923322</v>
      </c>
      <c r="AQ10" s="48" t="s">
        <v>82</v>
      </c>
    </row>
    <row r="11" spans="1:45" s="36" customFormat="1">
      <c r="A11" s="23">
        <f t="shared" si="3"/>
        <v>6</v>
      </c>
      <c r="B11" s="24">
        <f>IF(A11="","",IF(A11&gt;tc_lot_i+tc,0,IF('Hidrograma afluente'!B18="","",'Hidrograma afluente'!B18)))</f>
        <v>3.0552758764148811</v>
      </c>
      <c r="C11" s="41">
        <f t="shared" si="4"/>
        <v>3.5644885224840279</v>
      </c>
      <c r="D11" s="41">
        <f t="shared" ca="1" si="5"/>
        <v>13.4375</v>
      </c>
      <c r="E11" s="41">
        <f t="shared" ca="1" si="6"/>
        <v>0.80776414730261969</v>
      </c>
      <c r="F11" s="41">
        <f t="shared" ca="1" si="7"/>
        <v>0</v>
      </c>
      <c r="G11" s="41">
        <f t="shared" ca="1" si="8"/>
        <v>0.80776414730261969</v>
      </c>
      <c r="H11" s="41">
        <f t="shared" ca="1" si="14"/>
        <v>19.249500251596288</v>
      </c>
      <c r="I11" s="42">
        <f t="shared" ca="1" si="9"/>
        <v>10.75</v>
      </c>
      <c r="J11" s="18"/>
      <c r="K11" s="76"/>
      <c r="M11" s="132">
        <f t="shared" ca="1" si="0"/>
        <v>3.3567504505058712</v>
      </c>
      <c r="N11" s="38">
        <f t="shared" si="10"/>
        <v>9.375E-2</v>
      </c>
      <c r="O11" s="36">
        <f t="shared" si="11"/>
        <v>2.5</v>
      </c>
      <c r="P11" s="38">
        <f ca="1">IF(ISERROR(IF(O11&lt;fi_h/20,0,(OFFSET('Base de dados'!$A$5,IF(O11&lt;20,1,IF(O11&gt;1000,10,MATCH(O11,Cargas,1))),Coluna_fih,1,1))*(1+0.13*0.25)*(PI()*(fi_h/1000)^2/4)*SQRT(2*9.81*(O11/100-fi_h/2/1000))*1000)),"",IF(O11&lt;fi_h/20,0,(OFFSET('Base de dados'!$A$5,IF(O11&lt;20,1,IF(O11&gt;1000,10,MATCH(O11,Cargas,1))),Coluna_fih,1,1))*(PI()*(fi_h/1000)^2/4)*SQRT(2*9.81*(O11/100-fi_h/2/1000))*1000))</f>
        <v>0.23175045050587106</v>
      </c>
      <c r="Q11" s="38">
        <f ca="1">IF(O11="","",IF(Tipo_Vertedor="Retangular",IF(O11&lt;=cota_s*100,0,IF(Tipo_Vertedor="Retangular",Cd_sr*Lef_sr*((O11/100-cota_s)^(3/2))*1000)),IF(O11&lt;=cota_s*100+fi_s/20,0,(OFFSET('Base de dados'!$A$4,IF(O11&lt;20,1,IF(O11&gt;1000,10,MATCH(O11,Cargas,1))),Coluna_fis,1,1))*(PI()*(fi_s/1000)^2/4)*(2*9.81*(O11/100-cota_s-fi_s/2/1000))^0.5*1000)))</f>
        <v>0</v>
      </c>
      <c r="R11" s="38">
        <f t="shared" ca="1" si="1"/>
        <v>0.23175045050587106</v>
      </c>
      <c r="S11" s="38">
        <f t="shared" ca="1" si="2"/>
        <v>3.125</v>
      </c>
      <c r="AD11" s="38">
        <f t="shared" si="12"/>
        <v>1.0998993155093573</v>
      </c>
      <c r="AE11" s="38">
        <f t="shared" ca="1" si="13"/>
        <v>0.21398724290997723</v>
      </c>
      <c r="AF11" s="38">
        <f ca="1">IF(ISERROR(IF('Hidrograma afluente'!I18="",0,'Hidrograma afluente'!I18)+Simulação!G11),"",IF('Hidrograma afluente'!I18="",0,'Hidrograma afluente'!I18)+Simulação!G11)</f>
        <v>122.26559283361277</v>
      </c>
      <c r="AG11" s="18">
        <v>0.55652610559560256</v>
      </c>
      <c r="AH11" s="57">
        <v>0.55652610559560256</v>
      </c>
      <c r="AI11" s="48">
        <v>11.5</v>
      </c>
      <c r="AJ11" s="36">
        <v>11.5</v>
      </c>
      <c r="AK11" s="38">
        <f>IF(A11="","",IF('Hidrograma afluente'!I18="",0,'Hidrograma afluente'!I18)+Simulação!B11)</f>
        <v>124.51310456272503</v>
      </c>
    </row>
    <row r="12" spans="1:45" s="36" customFormat="1">
      <c r="A12" s="23">
        <f t="shared" si="3"/>
        <v>7</v>
      </c>
      <c r="B12" s="24">
        <f>IF(A12="","",IF(A12&gt;tc_lot_i+tc,0,IF('Hidrograma afluente'!B19="","",'Hidrograma afluente'!B19)))</f>
        <v>3.5644885224840279</v>
      </c>
      <c r="C12" s="41">
        <f t="shared" si="4"/>
        <v>4.0737011685531748</v>
      </c>
      <c r="D12" s="41">
        <f t="shared" ca="1" si="5"/>
        <v>18.125</v>
      </c>
      <c r="E12" s="41">
        <f t="shared" ca="1" si="6"/>
        <v>0.96158889940896941</v>
      </c>
      <c r="F12" s="41">
        <f t="shared" ca="1" si="7"/>
        <v>0</v>
      </c>
      <c r="G12" s="41">
        <f t="shared" ca="1" si="8"/>
        <v>0.96158889940896941</v>
      </c>
      <c r="H12" s="41">
        <f t="shared" ca="1" si="14"/>
        <v>24.801600791628235</v>
      </c>
      <c r="I12" s="42">
        <f t="shared" ca="1" si="9"/>
        <v>14.5</v>
      </c>
      <c r="J12" s="18"/>
      <c r="K12" s="76"/>
      <c r="M12" s="132">
        <f t="shared" ca="1" si="0"/>
        <v>3.7055540198596963</v>
      </c>
      <c r="N12" s="38">
        <f t="shared" si="10"/>
        <v>0.10312499999999999</v>
      </c>
      <c r="O12" s="36">
        <f t="shared" si="11"/>
        <v>2.75</v>
      </c>
      <c r="P12" s="38">
        <f ca="1">IF(ISERROR(IF(O12&lt;fi_h/20,0,(OFFSET('Base de dados'!$A$5,IF(O12&lt;20,1,IF(O12&gt;1000,10,MATCH(O12,Cargas,1))),Coluna_fih,1,1))*(1+0.13*0.25)*(PI()*(fi_h/1000)^2/4)*SQRT(2*9.81*(O12/100-fi_h/2/1000))*1000)),"",IF(O12&lt;fi_h/20,0,(OFFSET('Base de dados'!$A$5,IF(O12&lt;20,1,IF(O12&gt;1000,10,MATCH(O12,Cargas,1))),Coluna_fih,1,1))*(PI()*(fi_h/1000)^2/4)*SQRT(2*9.81*(O12/100-fi_h/2/1000))*1000))</f>
        <v>0.26805401985969635</v>
      </c>
      <c r="Q12" s="38">
        <f ca="1">IF(O12="","",IF(Tipo_Vertedor="Retangular",IF(O12&lt;=cota_s*100,0,IF(Tipo_Vertedor="Retangular",Cd_sr*Lef_sr*((O12/100-cota_s)^(3/2))*1000)),IF(O12&lt;=cota_s*100+fi_s/20,0,(OFFSET('Base de dados'!$A$4,IF(O12&lt;20,1,IF(O12&gt;1000,10,MATCH(O12,Cargas,1))),Coluna_fis,1,1))*(PI()*(fi_s/1000)^2/4)*(2*9.81*(O12/100-cota_s-fi_s/2/1000))^0.5*1000)))</f>
        <v>0</v>
      </c>
      <c r="R12" s="38">
        <f t="shared" ca="1" si="1"/>
        <v>0.26805401985969635</v>
      </c>
      <c r="S12" s="38">
        <f t="shared" ca="1" si="2"/>
        <v>3.4375</v>
      </c>
      <c r="AD12" s="38">
        <f t="shared" si="12"/>
        <v>1.4970851794432918</v>
      </c>
      <c r="AE12" s="38">
        <f t="shared" ca="1" si="13"/>
        <v>0.32014842571267255</v>
      </c>
      <c r="AF12" s="38">
        <f ca="1">IF(ISERROR(IF('Hidrograma afluente'!I19="",0,'Hidrograma afluente'!I19)+Simulação!G12),"",IF('Hidrograma afluente'!I19="",0,'Hidrograma afluente'!I19)+Simulação!G12)</f>
        <v>142.66238903343751</v>
      </c>
      <c r="AG12" s="36">
        <v>0.66326515690536458</v>
      </c>
      <c r="AH12" s="36">
        <v>0.66326515690536458</v>
      </c>
      <c r="AI12" s="48">
        <v>15.75</v>
      </c>
      <c r="AJ12" s="36">
        <v>15.75</v>
      </c>
      <c r="AK12" s="38">
        <f>IF(A12="","",IF('Hidrograma afluente'!I19="",0,'Hidrograma afluente'!I19)+Simulação!B12)</f>
        <v>145.26528865651255</v>
      </c>
    </row>
    <row r="13" spans="1:45" s="36" customFormat="1">
      <c r="A13" s="23">
        <f t="shared" si="3"/>
        <v>8</v>
      </c>
      <c r="B13" s="24">
        <f>IF(A13="","",IF(A13&gt;tc_lot_i+tc,0,IF('Hidrograma afluente'!B20="","",'Hidrograma afluente'!B20)))</f>
        <v>4.0737011685531748</v>
      </c>
      <c r="C13" s="41">
        <f t="shared" si="4"/>
        <v>4.0737011685531748</v>
      </c>
      <c r="D13" s="41">
        <f t="shared" ca="1" si="5"/>
        <v>23.4375</v>
      </c>
      <c r="E13" s="41">
        <f t="shared" ca="1" si="6"/>
        <v>1.1104561575191136</v>
      </c>
      <c r="F13" s="41">
        <f t="shared" ca="1" si="7"/>
        <v>0</v>
      </c>
      <c r="G13" s="41">
        <f t="shared" ca="1" si="8"/>
        <v>1.1104561575191136</v>
      </c>
      <c r="H13" s="41">
        <f t="shared" ca="1" si="14"/>
        <v>30.474446179587236</v>
      </c>
      <c r="I13" s="42">
        <f t="shared" ca="1" si="9"/>
        <v>18.75</v>
      </c>
      <c r="J13" s="18"/>
      <c r="K13" s="76"/>
      <c r="L13" s="18"/>
      <c r="M13" s="132">
        <f t="shared" ca="1" si="0"/>
        <v>4.0499960730013154</v>
      </c>
      <c r="N13" s="38">
        <f t="shared" si="10"/>
        <v>0.11249999999999999</v>
      </c>
      <c r="O13" s="36">
        <f t="shared" si="11"/>
        <v>3</v>
      </c>
      <c r="P13" s="38">
        <f ca="1">IF(ISERROR(IF(O13&lt;fi_h/20,0,(OFFSET('Base de dados'!$A$5,IF(O13&lt;20,1,IF(O13&gt;1000,10,MATCH(O13,Cargas,1))),Coluna_fih,1,1))*(1+0.13*0.25)*(PI()*(fi_h/1000)^2/4)*SQRT(2*9.81*(O13/100-fi_h/2/1000))*1000)),"",IF(O13&lt;fi_h/20,0,(OFFSET('Base de dados'!$A$5,IF(O13&lt;20,1,IF(O13&gt;1000,10,MATCH(O13,Cargas,1))),Coluna_fih,1,1))*(PI()*(fi_h/1000)^2/4)*SQRT(2*9.81*(O13/100-fi_h/2/1000))*1000))</f>
        <v>0.29999607300131581</v>
      </c>
      <c r="Q13" s="38">
        <f ca="1">IF(O13="","",IF(Tipo_Vertedor="Retangular",IF(O13&lt;=cota_s*100,0,IF(Tipo_Vertedor="Retangular",Cd_sr*Lef_sr*((O13/100-cota_s)^(3/2))*1000)),IF(O13&lt;=cota_s*100+fi_s/20,0,(OFFSET('Base de dados'!$A$4,IF(O13&lt;20,1,IF(O13&gt;1000,10,MATCH(O13,Cargas,1))),Coluna_fis,1,1))*(PI()*(fi_s/1000)^2/4)*(2*9.81*(O13/100-cota_s-fi_s/2/1000))^0.5*1000)))</f>
        <v>0</v>
      </c>
      <c r="R13" s="38">
        <f t="shared" ca="1" si="1"/>
        <v>0.29999607300131581</v>
      </c>
      <c r="S13" s="38">
        <f t="shared" ca="1" si="2"/>
        <v>3.7499999999999996</v>
      </c>
      <c r="AD13" s="38">
        <f t="shared" si="12"/>
        <v>1.955376560905524</v>
      </c>
      <c r="AE13" s="38">
        <f t="shared" ca="1" si="13"/>
        <v>0.44447112912835751</v>
      </c>
      <c r="AF13" s="38">
        <f ca="1">IF(ISERROR(IF('Hidrograma afluente'!I20="",0,'Hidrograma afluente'!I20)+Simulação!G13),"",IF('Hidrograma afluente'!I20="",0,'Hidrograma afluente'!I20)+Simulação!G13)</f>
        <v>163.054227739266</v>
      </c>
      <c r="AG13" s="36">
        <v>0.76513894328955523</v>
      </c>
      <c r="AH13" s="36">
        <v>0.76513894328955523</v>
      </c>
      <c r="AI13" s="36">
        <v>20.5</v>
      </c>
      <c r="AJ13" s="36">
        <v>20.5</v>
      </c>
      <c r="AK13" s="38">
        <f>IF(A13="","",IF('Hidrograma afluente'!I20="",0,'Hidrograma afluente'!I20)+Simulação!B13)</f>
        <v>166.01747275030007</v>
      </c>
    </row>
    <row r="14" spans="1:45" s="36" customFormat="1">
      <c r="A14" s="23">
        <f t="shared" si="3"/>
        <v>9</v>
      </c>
      <c r="B14" s="24">
        <f>IF(A14="","",IF(A14&gt;tc_lot_i+tc,0,IF('Hidrograma afluente'!B21="","",'Hidrograma afluente'!B21)))</f>
        <v>4.0737011685531748</v>
      </c>
      <c r="C14" s="41">
        <f t="shared" si="4"/>
        <v>4.0737011685531748</v>
      </c>
      <c r="D14" s="41">
        <f t="shared" ca="1" si="5"/>
        <v>29.062500000000004</v>
      </c>
      <c r="E14" s="41">
        <f t="shared" ca="1" si="6"/>
        <v>1.2488863960869074</v>
      </c>
      <c r="F14" s="41">
        <f t="shared" ca="1" si="7"/>
        <v>0</v>
      </c>
      <c r="G14" s="41">
        <f t="shared" ca="1" si="8"/>
        <v>1.2488863960869074</v>
      </c>
      <c r="H14" s="41">
        <f t="shared" ca="1" si="14"/>
        <v>35.961015941019447</v>
      </c>
      <c r="I14" s="42">
        <f t="shared" ca="1" si="9"/>
        <v>23.25</v>
      </c>
      <c r="J14" s="18"/>
      <c r="K14" s="76"/>
      <c r="L14" s="18"/>
      <c r="M14" s="132">
        <f t="shared" ca="1" si="0"/>
        <v>4.391350011509016</v>
      </c>
      <c r="N14" s="38">
        <f t="shared" si="10"/>
        <v>0.12187500000000001</v>
      </c>
      <c r="O14" s="36">
        <f t="shared" si="11"/>
        <v>3.25</v>
      </c>
      <c r="P14" s="38">
        <f ca="1">IF(ISERROR(IF(O14&lt;fi_h/20,0,(OFFSET('Base de dados'!$A$5,IF(O14&lt;20,1,IF(O14&gt;1000,10,MATCH(O14,Cargas,1))),Coluna_fih,1,1))*(1+0.13*0.25)*(PI()*(fi_h/1000)^2/4)*SQRT(2*9.81*(O14/100-fi_h/2/1000))*1000)),"",IF(O14&lt;fi_h/20,0,(OFFSET('Base de dados'!$A$5,IF(O14&lt;20,1,IF(O14&gt;1000,10,MATCH(O14,Cargas,1))),Coluna_fih,1,1))*(PI()*(fi_h/1000)^2/4)*SQRT(2*9.81*(O14/100-fi_h/2/1000))*1000))</f>
        <v>0.32885001150901477</v>
      </c>
      <c r="Q14" s="38">
        <f ca="1">IF(O14="","",IF(Tipo_Vertedor="Retangular",IF(O14&lt;=cota_s*100,0,IF(Tipo_Vertedor="Retangular",Cd_sr*Lef_sr*((O14/100-cota_s)^(3/2))*1000)),IF(O14&lt;=cota_s*100+fi_s/20,0,(OFFSET('Base de dados'!$A$4,IF(O14&lt;20,1,IF(O14&gt;1000,10,MATCH(O14,Cargas,1))),Coluna_fis,1,1))*(PI()*(fi_s/1000)^2/4)*(2*9.81*(O14/100-cota_s-fi_s/2/1000))^0.5*1000)))</f>
        <v>0</v>
      </c>
      <c r="R14" s="38">
        <f t="shared" ca="1" si="1"/>
        <v>0.32885001150901477</v>
      </c>
      <c r="S14" s="38">
        <f t="shared" ca="1" si="2"/>
        <v>4.0625000000000009</v>
      </c>
      <c r="AD14" s="38">
        <f t="shared" si="12"/>
        <v>2.444220701131905</v>
      </c>
      <c r="AE14" s="38">
        <f t="shared" ca="1" si="13"/>
        <v>0.58603168234471881</v>
      </c>
      <c r="AF14" s="38">
        <f ca="1">IF(ISERROR(IF('Hidrograma afluente'!I21="",0,'Hidrograma afluente'!I21)+Simulação!G14),"",IF('Hidrograma afluente'!I21="",0,'Hidrograma afluente'!I21)+Simulação!G14)</f>
        <v>183.43562942555212</v>
      </c>
      <c r="AG14" s="36">
        <v>0.85942615896943209</v>
      </c>
      <c r="AH14" s="36">
        <v>0.85942615896943209</v>
      </c>
      <c r="AI14" s="36">
        <v>25.5</v>
      </c>
      <c r="AJ14" s="36">
        <v>25.5</v>
      </c>
      <c r="AK14" s="38">
        <f>IF(A14="","",IF('Hidrograma afluente'!I21="",0,'Hidrograma afluente'!I21)+Simulação!B14)</f>
        <v>186.2604441980184</v>
      </c>
    </row>
    <row r="15" spans="1:45" s="36" customFormat="1">
      <c r="A15" s="23">
        <f t="shared" si="3"/>
        <v>10</v>
      </c>
      <c r="B15" s="24">
        <f>IF(A15="","",IF(A15&gt;tc_lot_i+tc,0,IF('Hidrograma afluente'!B22="","",'Hidrograma afluente'!B22)))</f>
        <v>4.0737011685531748</v>
      </c>
      <c r="C15" s="41">
        <f t="shared" si="4"/>
        <v>4.0737011685531748</v>
      </c>
      <c r="D15" s="41">
        <f t="shared" ca="1" si="5"/>
        <v>34.375</v>
      </c>
      <c r="E15" s="41">
        <f t="shared" ca="1" si="6"/>
        <v>1.3668126779615799</v>
      </c>
      <c r="F15" s="41">
        <f t="shared" ca="1" si="7"/>
        <v>0</v>
      </c>
      <c r="G15" s="41">
        <f t="shared" ca="1" si="8"/>
        <v>1.3668126779615799</v>
      </c>
      <c r="H15" s="41">
        <f t="shared" ca="1" si="14"/>
        <v>41.155589659144766</v>
      </c>
      <c r="I15" s="42">
        <f t="shared" ca="1" si="9"/>
        <v>27.5</v>
      </c>
      <c r="J15" s="18"/>
      <c r="K15" s="76"/>
      <c r="L15" s="18"/>
      <c r="M15" s="132">
        <f t="shared" ca="1" si="0"/>
        <v>4.7303688454588375</v>
      </c>
      <c r="N15" s="38">
        <f t="shared" si="10"/>
        <v>0.13125000000000001</v>
      </c>
      <c r="O15" s="36">
        <f t="shared" si="11"/>
        <v>3.5</v>
      </c>
      <c r="P15" s="38">
        <f ca="1">IF(ISERROR(IF(O15&lt;fi_h/20,0,(OFFSET('Base de dados'!$A$5,IF(O15&lt;20,1,IF(O15&gt;1000,10,MATCH(O15,Cargas,1))),Coluna_fih,1,1))*(1+0.13*0.25)*(PI()*(fi_h/1000)^2/4)*SQRT(2*9.81*(O15/100-fi_h/2/1000))*1000)),"",IF(O15&lt;fi_h/20,0,(OFFSET('Base de dados'!$A$5,IF(O15&lt;20,1,IF(O15&gt;1000,10,MATCH(O15,Cargas,1))),Coluna_fih,1,1))*(PI()*(fi_h/1000)^2/4)*SQRT(2*9.81*(O15/100-fi_h/2/1000))*1000))</f>
        <v>0.35536884545883796</v>
      </c>
      <c r="Q15" s="38">
        <f ca="1">IF(O15="","",IF(Tipo_Vertedor="Retangular",IF(O15&lt;=cota_s*100,0,IF(Tipo_Vertedor="Retangular",Cd_sr*Lef_sr*((O15/100-cota_s)^(3/2))*1000)),IF(O15&lt;=cota_s*100+fi_s/20,0,(OFFSET('Base de dados'!$A$4,IF(O15&lt;20,1,IF(O15&gt;1000,10,MATCH(O15,Cargas,1))),Coluna_fis,1,1))*(PI()*(fi_s/1000)^2/4)*(2*9.81*(O15/100-cota_s-fi_s/2/1000))^0.5*1000)))</f>
        <v>0</v>
      </c>
      <c r="R15" s="38">
        <f t="shared" ca="1" si="1"/>
        <v>0.35536884545883796</v>
      </c>
      <c r="S15" s="38">
        <f t="shared" ca="1" si="2"/>
        <v>4.375</v>
      </c>
      <c r="AD15" s="38">
        <f t="shared" si="12"/>
        <v>2.933064841358286</v>
      </c>
      <c r="AE15" s="38">
        <f t="shared" ca="1" si="13"/>
        <v>0.74297362678762813</v>
      </c>
      <c r="AF15" s="38">
        <f ca="1">IF(ISERROR(IF('Hidrograma afluente'!I22="",0,'Hidrograma afluente'!I22)+Simulação!G15),"",IF('Hidrograma afluente'!I22="",0,'Hidrograma afluente'!I22)+Simulação!G15)</f>
        <v>203.79652715514518</v>
      </c>
      <c r="AG15" s="36">
        <v>0.94434582802257661</v>
      </c>
      <c r="AH15" s="36">
        <v>0.94434582802257661</v>
      </c>
      <c r="AI15" s="36">
        <v>30.5</v>
      </c>
      <c r="AJ15" s="36">
        <v>30.5</v>
      </c>
      <c r="AK15" s="38">
        <f>IF(A15="","",IF('Hidrograma afluente'!I22="",0,'Hidrograma afluente'!I22)+Simulação!B15)</f>
        <v>206.50341564573679</v>
      </c>
    </row>
    <row r="16" spans="1:45" s="36" customFormat="1">
      <c r="A16" s="23">
        <f t="shared" si="3"/>
        <v>11</v>
      </c>
      <c r="B16" s="24">
        <f>IF(A16="","",IF(A16&gt;tc_lot_i+tc,0,IF('Hidrograma afluente'!B23="","",'Hidrograma afluente'!B23)))</f>
        <v>4.0737011685531748</v>
      </c>
      <c r="C16" s="41">
        <f t="shared" si="4"/>
        <v>4.0737011685531748</v>
      </c>
      <c r="D16" s="41">
        <f t="shared" ca="1" si="5"/>
        <v>39.375</v>
      </c>
      <c r="E16" s="41">
        <f t="shared" ca="1" si="6"/>
        <v>1.4691806821112228</v>
      </c>
      <c r="F16" s="41">
        <f t="shared" ca="1" si="7"/>
        <v>0</v>
      </c>
      <c r="G16" s="41">
        <f t="shared" ca="1" si="8"/>
        <v>1.4691806821112228</v>
      </c>
      <c r="H16" s="41">
        <f t="shared" ca="1" si="14"/>
        <v>46.053221654995127</v>
      </c>
      <c r="I16" s="42">
        <f t="shared" ca="1" si="9"/>
        <v>31.5</v>
      </c>
      <c r="J16" s="18"/>
      <c r="K16" s="76"/>
      <c r="L16" s="18"/>
      <c r="M16" s="132">
        <f t="shared" ca="1" si="0"/>
        <v>5.0675417116265207</v>
      </c>
      <c r="N16" s="38">
        <f t="shared" si="10"/>
        <v>0.140625</v>
      </c>
      <c r="O16" s="36">
        <f t="shared" si="11"/>
        <v>3.75</v>
      </c>
      <c r="P16" s="38">
        <f ca="1">IF(ISERROR(IF(O16&lt;fi_h/20,0,(OFFSET('Base de dados'!$A$5,IF(O16&lt;20,1,IF(O16&gt;1000,10,MATCH(O16,Cargas,1))),Coluna_fih,1,1))*(1+0.13*0.25)*(PI()*(fi_h/1000)^2/4)*SQRT(2*9.81*(O16/100-fi_h/2/1000))*1000)),"",IF(O16&lt;fi_h/20,0,(OFFSET('Base de dados'!$A$5,IF(O16&lt;20,1,IF(O16&gt;1000,10,MATCH(O16,Cargas,1))),Coluna_fih,1,1))*(PI()*(fi_h/1000)^2/4)*SQRT(2*9.81*(O16/100-fi_h/2/1000))*1000))</f>
        <v>0.38004171162652095</v>
      </c>
      <c r="Q16" s="38">
        <f ca="1">IF(O16="","",IF(Tipo_Vertedor="Retangular",IF(O16&lt;=cota_s*100,0,IF(Tipo_Vertedor="Retangular",Cd_sr*Lef_sr*((O16/100-cota_s)^(3/2))*1000)),IF(O16&lt;=cota_s*100+fi_s/20,0,(OFFSET('Base de dados'!$A$4,IF(O16&lt;20,1,IF(O16&gt;1000,10,MATCH(O16,Cargas,1))),Coluna_fis,1,1))*(PI()*(fi_s/1000)^2/4)*(2*9.81*(O16/100-cota_s-fi_s/2/1000))^0.5*1000)))</f>
        <v>0</v>
      </c>
      <c r="R16" s="38">
        <f t="shared" ca="1" si="1"/>
        <v>0.38004171162652095</v>
      </c>
      <c r="S16" s="38">
        <f t="shared" ca="1" si="2"/>
        <v>4.6875</v>
      </c>
      <c r="AD16" s="38">
        <f t="shared" si="12"/>
        <v>3.4219089815846671</v>
      </c>
      <c r="AE16" s="38">
        <f t="shared" ca="1" si="13"/>
        <v>0.91313322839199629</v>
      </c>
      <c r="AF16" s="38">
        <f ca="1">IF(ISERROR(IF('Hidrograma afluente'!I23="",0,'Hidrograma afluente'!I23)+Simulação!G16),"",IF('Hidrograma afluente'!I23="",0,'Hidrograma afluente'!I23)+Simulação!G16)</f>
        <v>224.14186660701316</v>
      </c>
      <c r="AG16" s="36">
        <v>1.0184821928130139</v>
      </c>
      <c r="AH16" s="36">
        <v>1.0184821928130139</v>
      </c>
      <c r="AI16" s="36">
        <v>35.25</v>
      </c>
      <c r="AJ16" s="36">
        <v>35.25</v>
      </c>
      <c r="AK16" s="38">
        <f>IF(A16="","",IF('Hidrograma afluente'!I23="",0,'Hidrograma afluente'!I23)+Simulação!B16)</f>
        <v>226.74638709345513</v>
      </c>
    </row>
    <row r="17" spans="1:37" s="36" customFormat="1">
      <c r="A17" s="23">
        <f t="shared" si="3"/>
        <v>12</v>
      </c>
      <c r="B17" s="24">
        <f>IF(A17="","",IF(A17&gt;tc_lot_i+tc,0,IF('Hidrograma afluente'!B24="","",'Hidrograma afluente'!B24)))</f>
        <v>4.0737011685531748</v>
      </c>
      <c r="C17" s="41">
        <f t="shared" si="4"/>
        <v>4.0737011685531748</v>
      </c>
      <c r="D17" s="41">
        <f t="shared" ca="1" si="5"/>
        <v>44.374999999999993</v>
      </c>
      <c r="E17" s="41">
        <f t="shared" ca="1" si="6"/>
        <v>1.5648664022021466</v>
      </c>
      <c r="F17" s="41">
        <f t="shared" ca="1" si="7"/>
        <v>0</v>
      </c>
      <c r="G17" s="41">
        <f t="shared" ca="1" si="8"/>
        <v>1.5648664022021466</v>
      </c>
      <c r="H17" s="41">
        <f t="shared" ca="1" si="14"/>
        <v>50.957535934904193</v>
      </c>
      <c r="I17" s="42">
        <f t="shared" ca="1" si="9"/>
        <v>35.5</v>
      </c>
      <c r="J17" s="18"/>
      <c r="K17" s="76"/>
      <c r="M17" s="132">
        <f t="shared" ca="1" si="0"/>
        <v>5.4032076249642165</v>
      </c>
      <c r="N17" s="38">
        <f t="shared" si="10"/>
        <v>0.15</v>
      </c>
      <c r="O17" s="36">
        <f t="shared" si="11"/>
        <v>4</v>
      </c>
      <c r="P17" s="38">
        <f ca="1">IF(ISERROR(IF(O17&lt;fi_h/20,0,(OFFSET('Base de dados'!$A$5,IF(O17&lt;20,1,IF(O17&gt;1000,10,MATCH(O17,Cargas,1))),Coluna_fih,1,1))*(1+0.13*0.25)*(PI()*(fi_h/1000)^2/4)*SQRT(2*9.81*(O17/100-fi_h/2/1000))*1000)),"",IF(O17&lt;fi_h/20,0,(OFFSET('Base de dados'!$A$5,IF(O17&lt;20,1,IF(O17&gt;1000,10,MATCH(O17,Cargas,1))),Coluna_fih,1,1))*(PI()*(fi_h/1000)^2/4)*SQRT(2*9.81*(O17/100-fi_h/2/1000))*1000))</f>
        <v>0.40320762496421625</v>
      </c>
      <c r="Q17" s="38">
        <f ca="1">IF(O17="","",IF(Tipo_Vertedor="Retangular",IF(O17&lt;=cota_s*100,0,IF(Tipo_Vertedor="Retangular",Cd_sr*Lef_sr*((O17/100-cota_s)^(3/2))*1000)),IF(O17&lt;=cota_s*100+fi_s/20,0,(OFFSET('Base de dados'!$A$4,IF(O17&lt;20,1,IF(O17&gt;1000,10,MATCH(O17,Cargas,1))),Coluna_fis,1,1))*(PI()*(fi_s/1000)^2/4)*(2*9.81*(O17/100-cota_s-fi_s/2/1000))^0.5*1000)))</f>
        <v>0</v>
      </c>
      <c r="R17" s="38">
        <f t="shared" ca="1" si="1"/>
        <v>0.40320762496421625</v>
      </c>
      <c r="S17" s="38">
        <f t="shared" ca="1" si="2"/>
        <v>5</v>
      </c>
      <c r="AD17" s="38">
        <f t="shared" si="12"/>
        <v>3.9107531218110481</v>
      </c>
      <c r="AE17" s="38">
        <f t="shared" ca="1" si="13"/>
        <v>1.0951760534507984</v>
      </c>
      <c r="AF17" s="38">
        <f ca="1">IF(ISERROR(IF('Hidrograma afluente'!I24="",0,'Hidrograma afluente'!I24)+Simulação!G17),"",IF('Hidrograma afluente'!I24="",0,'Hidrograma afluente'!I24)+Simulação!G17)</f>
        <v>224.23755232710408</v>
      </c>
      <c r="AG17" s="36">
        <v>1.082564749323599</v>
      </c>
      <c r="AH17" s="36">
        <v>1.082564749323599</v>
      </c>
      <c r="AI17" s="36">
        <v>40</v>
      </c>
      <c r="AJ17" s="36">
        <v>40</v>
      </c>
      <c r="AK17" s="38">
        <f>IF(A17="","",IF('Hidrograma afluente'!I24="",0,'Hidrograma afluente'!I24)+Simulação!B17)</f>
        <v>226.74638709345513</v>
      </c>
    </row>
    <row r="18" spans="1:37" s="36" customFormat="1">
      <c r="A18" s="23">
        <f t="shared" si="3"/>
        <v>13</v>
      </c>
      <c r="B18" s="24">
        <f>IF(A18="","",IF(A18&gt;tc_lot_i+tc,0,IF('Hidrograma afluente'!B25="","",'Hidrograma afluente'!B25)))</f>
        <v>4.0737011685531748</v>
      </c>
      <c r="C18" s="41">
        <f t="shared" si="4"/>
        <v>4.0737011685531748</v>
      </c>
      <c r="D18" s="41">
        <f t="shared" ca="1" si="5"/>
        <v>49.0625</v>
      </c>
      <c r="E18" s="41">
        <f t="shared" ca="1" si="6"/>
        <v>1.6495384659170929</v>
      </c>
      <c r="F18" s="41">
        <f t="shared" ca="1" si="7"/>
        <v>0</v>
      </c>
      <c r="G18" s="41">
        <f t="shared" ca="1" si="8"/>
        <v>1.6495384659170929</v>
      </c>
      <c r="H18" s="41">
        <f t="shared" ca="1" si="14"/>
        <v>55.56036387118926</v>
      </c>
      <c r="I18" s="42">
        <f t="shared" ca="1" si="9"/>
        <v>39.25</v>
      </c>
      <c r="J18" s="18"/>
      <c r="K18" s="76"/>
      <c r="M18" s="132">
        <f t="shared" ca="1" si="0"/>
        <v>5.7376130144826822</v>
      </c>
      <c r="N18" s="38">
        <f t="shared" si="10"/>
        <v>0.15937500000000002</v>
      </c>
      <c r="O18" s="36">
        <f t="shared" si="11"/>
        <v>4.25</v>
      </c>
      <c r="P18" s="38">
        <f ca="1">IF(ISERROR(IF(O18&lt;fi_h/20,0,(OFFSET('Base de dados'!$A$5,IF(O18&lt;20,1,IF(O18&gt;1000,10,MATCH(O18,Cargas,1))),Coluna_fih,1,1))*(1+0.13*0.25)*(PI()*(fi_h/1000)^2/4)*SQRT(2*9.81*(O18/100-fi_h/2/1000))*1000)),"",IF(O18&lt;fi_h/20,0,(OFFSET('Base de dados'!$A$5,IF(O18&lt;20,1,IF(O18&gt;1000,10,MATCH(O18,Cargas,1))),Coluna_fih,1,1))*(PI()*(fi_h/1000)^2/4)*SQRT(2*9.81*(O18/100-fi_h/2/1000))*1000))</f>
        <v>0.42511301448268124</v>
      </c>
      <c r="Q18" s="38">
        <f ca="1">IF(O18="","",IF(Tipo_Vertedor="Retangular",IF(O18&lt;=cota_s*100,0,IF(Tipo_Vertedor="Retangular",Cd_sr*Lef_sr*((O18/100-cota_s)^(3/2))*1000)),IF(O18&lt;=cota_s*100+fi_s/20,0,(OFFSET('Base de dados'!$A$4,IF(O18&lt;20,1,IF(O18&gt;1000,10,MATCH(O18,Cargas,1))),Coluna_fis,1,1))*(PI()*(fi_s/1000)^2/4)*(2*9.81*(O18/100-cota_s-fi_s/2/1000))^0.5*1000)))</f>
        <v>0</v>
      </c>
      <c r="R18" s="38">
        <f t="shared" ca="1" si="1"/>
        <v>0.42511301448268124</v>
      </c>
      <c r="S18" s="38">
        <f t="shared" ca="1" si="2"/>
        <v>5.3125000000000009</v>
      </c>
      <c r="AD18" s="38">
        <f t="shared" si="12"/>
        <v>4.3995972620374291</v>
      </c>
      <c r="AE18" s="38">
        <f t="shared" ca="1" si="13"/>
        <v>1.2880403455379528</v>
      </c>
      <c r="AF18" s="38">
        <f ca="1">IF(ISERROR(IF('Hidrograma afluente'!I25="",0,'Hidrograma afluente'!I25)+Simulação!G18),"",IF('Hidrograma afluente'!I25="",0,'Hidrograma afluente'!I25)+Simulação!G18)</f>
        <v>224.32222439081903</v>
      </c>
      <c r="AG18" s="36">
        <v>1.1439129906772101</v>
      </c>
      <c r="AH18" s="36">
        <v>1.1439129906772101</v>
      </c>
      <c r="AI18" s="48">
        <v>44.5</v>
      </c>
      <c r="AJ18" s="36">
        <v>44.5</v>
      </c>
      <c r="AK18" s="38">
        <f>IF(A18="","",IF('Hidrograma afluente'!I25="",0,'Hidrograma afluente'!I25)+Simulação!B18)</f>
        <v>226.74638709345513</v>
      </c>
    </row>
    <row r="19" spans="1:37" s="36" customFormat="1">
      <c r="A19" s="23">
        <f t="shared" si="3"/>
        <v>14</v>
      </c>
      <c r="B19" s="24">
        <f>IF(A19="","",IF(A19&gt;tc_lot_i+tc,0,IF('Hidrograma afluente'!B26="","",'Hidrograma afluente'!B26)))</f>
        <v>4.0737011685531748</v>
      </c>
      <c r="C19" s="41">
        <f t="shared" si="4"/>
        <v>4.0737011685531748</v>
      </c>
      <c r="D19" s="41">
        <f t="shared" ca="1" si="5"/>
        <v>53.75</v>
      </c>
      <c r="E19" s="41">
        <f t="shared" ca="1" si="6"/>
        <v>1.7300715142268368</v>
      </c>
      <c r="F19" s="41">
        <f t="shared" ca="1" si="7"/>
        <v>0</v>
      </c>
      <c r="G19" s="41">
        <f t="shared" ca="1" si="8"/>
        <v>1.7300715142268368</v>
      </c>
      <c r="H19" s="41">
        <f t="shared" ca="1" si="14"/>
        <v>60.167330822879514</v>
      </c>
      <c r="I19" s="42">
        <f t="shared" ca="1" si="9"/>
        <v>43</v>
      </c>
      <c r="J19" s="18"/>
      <c r="K19" s="76"/>
      <c r="M19" s="132">
        <f t="shared" ca="1" si="0"/>
        <v>6.0709436750709891</v>
      </c>
      <c r="N19" s="38">
        <f t="shared" si="10"/>
        <v>0.16874999999999998</v>
      </c>
      <c r="O19" s="36">
        <f t="shared" si="11"/>
        <v>4.5</v>
      </c>
      <c r="P19" s="38">
        <f ca="1">IF(ISERROR(IF(O19&lt;fi_h/20,0,(OFFSET('Base de dados'!$A$5,IF(O19&lt;20,1,IF(O19&gt;1000,10,MATCH(O19,Cargas,1))),Coluna_fih,1,1))*(1+0.13*0.25)*(PI()*(fi_h/1000)^2/4)*SQRT(2*9.81*(O19/100-fi_h/2/1000))*1000)),"",IF(O19&lt;fi_h/20,0,(OFFSET('Base de dados'!$A$5,IF(O19&lt;20,1,IF(O19&gt;1000,10,MATCH(O19,Cargas,1))),Coluna_fih,1,1))*(PI()*(fi_h/1000)^2/4)*SQRT(2*9.81*(O19/100-fi_h/2/1000))*1000))</f>
        <v>0.44594367507098998</v>
      </c>
      <c r="Q19" s="38">
        <f ca="1">IF(O19="","",IF(Tipo_Vertedor="Retangular",IF(O19&lt;=cota_s*100,0,IF(Tipo_Vertedor="Retangular",Cd_sr*Lef_sr*((O19/100-cota_s)^(3/2))*1000)),IF(O19&lt;=cota_s*100+fi_s/20,0,(OFFSET('Base de dados'!$A$4,IF(O19&lt;20,1,IF(O19&gt;1000,10,MATCH(O19,Cargas,1))),Coluna_fis,1,1))*(PI()*(fi_s/1000)^2/4)*(2*9.81*(O19/100-cota_s-fi_s/2/1000))^0.5*1000)))</f>
        <v>0</v>
      </c>
      <c r="R19" s="38">
        <f t="shared" ca="1" si="1"/>
        <v>0.44594367507098998</v>
      </c>
      <c r="S19" s="38">
        <f t="shared" ca="1" si="2"/>
        <v>5.6249999999999991</v>
      </c>
      <c r="AD19" s="38">
        <f t="shared" si="12"/>
        <v>4.8884414022638101</v>
      </c>
      <c r="AE19" s="38">
        <f t="shared" ca="1" si="13"/>
        <v>1.4908169443465886</v>
      </c>
      <c r="AF19" s="38">
        <f ca="1">IF(ISERROR(IF('Hidrograma afluente'!I26="",0,'Hidrograma afluente'!I26)+Simulação!G19),"",IF('Hidrograma afluente'!I26="",0,'Hidrograma afluente'!I26)+Simulação!G19)</f>
        <v>224.40275743912878</v>
      </c>
      <c r="AG19" s="36">
        <v>1.2021345282463571</v>
      </c>
      <c r="AH19" s="36">
        <v>1.2021345282463571</v>
      </c>
      <c r="AI19" s="48">
        <v>49</v>
      </c>
      <c r="AJ19" s="36">
        <v>49</v>
      </c>
      <c r="AK19" s="38">
        <f>IF(A19="","",IF('Hidrograma afluente'!I26="",0,'Hidrograma afluente'!I26)+Simulação!B19)</f>
        <v>226.74638709345513</v>
      </c>
    </row>
    <row r="20" spans="1:37" s="36" customFormat="1">
      <c r="A20" s="23">
        <f t="shared" si="3"/>
        <v>15</v>
      </c>
      <c r="B20" s="24">
        <f>IF(A20="","",IF(A20&gt;tc_lot_i+tc,0,IF('Hidrograma afluente'!B27="","",'Hidrograma afluente'!B27)))</f>
        <v>4.0737011685531748</v>
      </c>
      <c r="C20" s="41">
        <f t="shared" si="4"/>
        <v>4.0737011685531748</v>
      </c>
      <c r="D20" s="41">
        <f t="shared" ca="1" si="5"/>
        <v>58.125000000000007</v>
      </c>
      <c r="E20" s="41">
        <f t="shared" ca="1" si="6"/>
        <v>1.8019914128221859</v>
      </c>
      <c r="F20" s="41">
        <f t="shared" ca="1" si="7"/>
        <v>0</v>
      </c>
      <c r="G20" s="41">
        <f t="shared" ca="1" si="8"/>
        <v>1.8019914128221859</v>
      </c>
      <c r="H20" s="41">
        <f t="shared" ca="1" si="14"/>
        <v>64.470410924284167</v>
      </c>
      <c r="I20" s="42">
        <f t="shared" ca="1" si="9"/>
        <v>46.5</v>
      </c>
      <c r="J20" s="18"/>
      <c r="K20" s="76"/>
      <c r="M20" s="132">
        <f t="shared" ca="1" si="0"/>
        <v>6.403343801707277</v>
      </c>
      <c r="N20" s="38">
        <f t="shared" si="10"/>
        <v>0.17812500000000001</v>
      </c>
      <c r="O20" s="36">
        <f t="shared" si="11"/>
        <v>4.75</v>
      </c>
      <c r="P20" s="38">
        <f ca="1">IF(ISERROR(IF(O20&lt;fi_h/20,0,(OFFSET('Base de dados'!$A$5,IF(O20&lt;20,1,IF(O20&gt;1000,10,MATCH(O20,Cargas,1))),Coluna_fih,1,1))*(1+0.13*0.25)*(PI()*(fi_h/1000)^2/4)*SQRT(2*9.81*(O20/100-fi_h/2/1000))*1000)),"",IF(O20&lt;fi_h/20,0,(OFFSET('Base de dados'!$A$5,IF(O20&lt;20,1,IF(O20&gt;1000,10,MATCH(O20,Cargas,1))),Coluna_fih,1,1))*(PI()*(fi_h/1000)^2/4)*SQRT(2*9.81*(O20/100-fi_h/2/1000))*1000))</f>
        <v>0.46584380170727718</v>
      </c>
      <c r="Q20" s="38">
        <f ca="1">IF(O20="","",IF(Tipo_Vertedor="Retangular",IF(O20&lt;=cota_s*100,0,IF(Tipo_Vertedor="Retangular",Cd_sr*Lef_sr*((O20/100-cota_s)^(3/2))*1000)),IF(O20&lt;=cota_s*100+fi_s/20,0,(OFFSET('Base de dados'!$A$4,IF(O20&lt;20,1,IF(O20&gt;1000,10,MATCH(O20,Cargas,1))),Coluna_fis,1,1))*(PI()*(fi_s/1000)^2/4)*(2*9.81*(O20/100-cota_s-fi_s/2/1000))^0.5*1000)))</f>
        <v>0</v>
      </c>
      <c r="R20" s="38">
        <f t="shared" ca="1" si="1"/>
        <v>0.46584380170727718</v>
      </c>
      <c r="S20" s="38">
        <f t="shared" ca="1" si="2"/>
        <v>5.9375</v>
      </c>
      <c r="AD20" s="38">
        <f t="shared" si="12"/>
        <v>5.3772855424901911</v>
      </c>
      <c r="AE20" s="38">
        <f t="shared" ca="1" si="13"/>
        <v>1.7027407199695299</v>
      </c>
      <c r="AF20" s="38">
        <f ca="1">IF(ISERROR(IF('Hidrograma afluente'!I27="",0,'Hidrograma afluente'!I27)+Simulação!G20),"",IF('Hidrograma afluente'!I27="",0,'Hidrograma afluente'!I27)+Simulação!G20)</f>
        <v>224.47467733772413</v>
      </c>
      <c r="AG20" s="36">
        <v>1.2576636743438621</v>
      </c>
      <c r="AH20" s="36">
        <v>1.2576636743438621</v>
      </c>
      <c r="AI20" s="48">
        <v>53.5</v>
      </c>
      <c r="AJ20" s="36">
        <v>53.5</v>
      </c>
      <c r="AK20" s="38">
        <f>IF(A20="","",IF('Hidrograma afluente'!I27="",0,'Hidrograma afluente'!I27)+Simulação!B20)</f>
        <v>226.74638709345513</v>
      </c>
    </row>
    <row r="21" spans="1:37" s="36" customFormat="1">
      <c r="A21" s="23">
        <f t="shared" si="3"/>
        <v>16</v>
      </c>
      <c r="B21" s="24">
        <f>IF(A21="","",IF(A21&gt;tc_lot_i+tc,0,IF('Hidrograma afluente'!B28="","",'Hidrograma afluente'!B28)))</f>
        <v>4.0737011685531748</v>
      </c>
      <c r="C21" s="41">
        <f t="shared" si="4"/>
        <v>4.0737011685531748</v>
      </c>
      <c r="D21" s="41">
        <f t="shared" ca="1" si="5"/>
        <v>62.5</v>
      </c>
      <c r="E21" s="41">
        <f t="shared" ca="1" si="6"/>
        <v>1.8711490211713906</v>
      </c>
      <c r="F21" s="41">
        <f t="shared" ca="1" si="7"/>
        <v>0</v>
      </c>
      <c r="G21" s="41">
        <f t="shared" ca="1" si="8"/>
        <v>1.8711490211713906</v>
      </c>
      <c r="H21" s="41">
        <f t="shared" ca="1" si="14"/>
        <v>68.776253315934952</v>
      </c>
      <c r="I21" s="42">
        <f t="shared" ca="1" si="9"/>
        <v>50</v>
      </c>
      <c r="J21" s="18"/>
      <c r="K21" s="76"/>
      <c r="M21" s="132">
        <f t="shared" ca="1" si="0"/>
        <v>6.7349279676842295</v>
      </c>
      <c r="N21" s="38">
        <f t="shared" si="10"/>
        <v>0.1875</v>
      </c>
      <c r="O21" s="36">
        <f t="shared" si="11"/>
        <v>5</v>
      </c>
      <c r="P21" s="38">
        <f ca="1">IF(ISERROR(IF(O21&lt;fi_h/20,0,(OFFSET('Base de dados'!$A$5,IF(O21&lt;20,1,IF(O21&gt;1000,10,MATCH(O21,Cargas,1))),Coluna_fih,1,1))*(1+0.13*0.25)*(PI()*(fi_h/1000)^2/4)*SQRT(2*9.81*(O21/100-fi_h/2/1000))*1000)),"",IF(O21&lt;fi_h/20,0,(OFFSET('Base de dados'!$A$5,IF(O21&lt;20,1,IF(O21&gt;1000,10,MATCH(O21,Cargas,1))),Coluna_fih,1,1))*(PI()*(fi_h/1000)^2/4)*SQRT(2*9.81*(O21/100-fi_h/2/1000))*1000))</f>
        <v>0.48492796768422969</v>
      </c>
      <c r="Q21" s="38">
        <f ca="1">IF(O21="","",IF(Tipo_Vertedor="Retangular",IF(O21&lt;=cota_s*100,0,IF(Tipo_Vertedor="Retangular",Cd_sr*Lef_sr*((O21/100-cota_s)^(3/2))*1000)),IF(O21&lt;=cota_s*100+fi_s/20,0,(OFFSET('Base de dados'!$A$4,IF(O21&lt;20,1,IF(O21&gt;1000,10,MATCH(O21,Cargas,1))),Coluna_fis,1,1))*(PI()*(fi_s/1000)^2/4)*(2*9.81*(O21/100-cota_s-fi_s/2/1000))^0.5*1000)))</f>
        <v>0</v>
      </c>
      <c r="R21" s="38">
        <f t="shared" ca="1" si="1"/>
        <v>0.48492796768422969</v>
      </c>
      <c r="S21" s="38">
        <f t="shared" ca="1" si="2"/>
        <v>6.25</v>
      </c>
      <c r="AD21" s="38">
        <f t="shared" si="12"/>
        <v>5.8661296827165721</v>
      </c>
      <c r="AE21" s="38">
        <f t="shared" ca="1" si="13"/>
        <v>1.9231291460091444</v>
      </c>
      <c r="AF21" s="38">
        <f ca="1">IF(ISERROR(IF('Hidrograma afluente'!I28="",0,'Hidrograma afluente'!I28)+Simulação!G21),"",IF('Hidrograma afluente'!I28="",0,'Hidrograma afluente'!I28)+Simulação!G21)</f>
        <v>224.54383494607333</v>
      </c>
      <c r="AG21" s="36">
        <v>1.3079449723751992</v>
      </c>
      <c r="AH21" s="36">
        <v>1.3079449723751992</v>
      </c>
      <c r="AI21" s="48">
        <v>57.75</v>
      </c>
      <c r="AJ21" s="36">
        <v>57.75</v>
      </c>
      <c r="AK21" s="38">
        <f>IF(A21="","",IF('Hidrograma afluente'!I28="",0,'Hidrograma afluente'!I28)+Simulação!B21)</f>
        <v>226.74638709345513</v>
      </c>
    </row>
    <row r="22" spans="1:37" s="36" customFormat="1">
      <c r="A22" s="23">
        <f t="shared" si="3"/>
        <v>17</v>
      </c>
      <c r="B22" s="24">
        <f>IF(A22="","",IF(A22&gt;tc_lot_i+tc,0,IF('Hidrograma afluente'!B29="","",'Hidrograma afluente'!B29)))</f>
        <v>4.0737011685531748</v>
      </c>
      <c r="C22" s="41">
        <f t="shared" si="4"/>
        <v>4.0737011685531748</v>
      </c>
      <c r="D22" s="41">
        <f t="shared" ca="1" si="5"/>
        <v>66.5625</v>
      </c>
      <c r="E22" s="41">
        <f t="shared" ca="1" si="6"/>
        <v>1.9331527566964648</v>
      </c>
      <c r="F22" s="41">
        <f t="shared" ca="1" si="7"/>
        <v>0</v>
      </c>
      <c r="G22" s="41">
        <f t="shared" ca="1" si="8"/>
        <v>1.9331527566964648</v>
      </c>
      <c r="H22" s="41">
        <f t="shared" ca="1" si="14"/>
        <v>72.776749580409884</v>
      </c>
      <c r="I22" s="42">
        <f t="shared" ca="1" si="9"/>
        <v>53.25</v>
      </c>
      <c r="J22" s="18"/>
      <c r="K22" s="76"/>
      <c r="M22" s="132">
        <f t="shared" ca="1" si="0"/>
        <v>7.0657890025578007</v>
      </c>
      <c r="N22" s="38">
        <f t="shared" si="10"/>
        <v>0.19687499999999999</v>
      </c>
      <c r="O22" s="36">
        <f t="shared" si="11"/>
        <v>5.25</v>
      </c>
      <c r="P22" s="38">
        <f ca="1">IF(ISERROR(IF(O22&lt;fi_h/20,0,(OFFSET('Base de dados'!$A$5,IF(O22&lt;20,1,IF(O22&gt;1000,10,MATCH(O22,Cargas,1))),Coluna_fih,1,1))*(1+0.13*0.25)*(PI()*(fi_h/1000)^2/4)*SQRT(2*9.81*(O22/100-fi_h/2/1000))*1000)),"",IF(O22&lt;fi_h/20,0,(OFFSET('Base de dados'!$A$5,IF(O22&lt;20,1,IF(O22&gt;1000,10,MATCH(O22,Cargas,1))),Coluna_fih,1,1))*(PI()*(fi_h/1000)^2/4)*SQRT(2*9.81*(O22/100-fi_h/2/1000))*1000))</f>
        <v>0.5032890025578004</v>
      </c>
      <c r="Q22" s="38">
        <f ca="1">IF(O22="","",IF(Tipo_Vertedor="Retangular",IF(O22&lt;=cota_s*100,0,IF(Tipo_Vertedor="Retangular",Cd_sr*Lef_sr*((O22/100-cota_s)^(3/2))*1000)),IF(O22&lt;=cota_s*100+fi_s/20,0,(OFFSET('Base de dados'!$A$4,IF(O22&lt;20,1,IF(O22&gt;1000,10,MATCH(O22,Cargas,1))),Coluna_fis,1,1))*(PI()*(fi_s/1000)^2/4)*(2*9.81*(O22/100-cota_s-fi_s/2/1000))^0.5*1000)))</f>
        <v>0</v>
      </c>
      <c r="R22" s="38">
        <f t="shared" ca="1" si="1"/>
        <v>0.5032890025578004</v>
      </c>
      <c r="S22" s="38">
        <f t="shared" ca="1" si="2"/>
        <v>6.5625</v>
      </c>
      <c r="AD22" s="38">
        <f t="shared" si="12"/>
        <v>6.3549738229429531</v>
      </c>
      <c r="AE22" s="38">
        <f t="shared" ca="1" si="13"/>
        <v>2.1513872526812157</v>
      </c>
      <c r="AF22" s="38">
        <f ca="1">IF(ISERROR(IF('Hidrograma afluente'!I29="",0,'Hidrograma afluente'!I29)+Simulação!G22),"",IF('Hidrograma afluente'!I29="",0,'Hidrograma afluente'!I29)+Simulação!G22)</f>
        <v>224.60583868159841</v>
      </c>
      <c r="AG22" s="36">
        <v>1.3500841272771666</v>
      </c>
      <c r="AH22" s="36">
        <v>1.3500841272771666</v>
      </c>
      <c r="AI22" s="48">
        <v>62</v>
      </c>
      <c r="AJ22" s="36">
        <v>62</v>
      </c>
      <c r="AK22" s="38">
        <f>IF(A22="","",IF('Hidrograma afluente'!I29="",0,'Hidrograma afluente'!I29)+Simulação!B22)</f>
        <v>226.74638709345513</v>
      </c>
    </row>
    <row r="23" spans="1:37" s="36" customFormat="1">
      <c r="A23" s="23">
        <f t="shared" si="3"/>
        <v>18</v>
      </c>
      <c r="B23" s="24">
        <f>IF(A23="","",IF(A23&gt;tc_lot_i+tc,0,IF('Hidrograma afluente'!B30="","",'Hidrograma afluente'!B30)))</f>
        <v>4.0737011685531748</v>
      </c>
      <c r="C23" s="41">
        <f t="shared" si="4"/>
        <v>4.0737011685531748</v>
      </c>
      <c r="D23" s="41">
        <f t="shared" ca="1" si="5"/>
        <v>70.625</v>
      </c>
      <c r="E23" s="41">
        <f t="shared" ca="1" si="6"/>
        <v>1.9932286627518752</v>
      </c>
      <c r="F23" s="41">
        <f t="shared" ca="1" si="7"/>
        <v>0</v>
      </c>
      <c r="G23" s="41">
        <f t="shared" ca="1" si="8"/>
        <v>1.9932286627518752</v>
      </c>
      <c r="H23" s="41">
        <f t="shared" ca="1" si="14"/>
        <v>76.779173674354467</v>
      </c>
      <c r="I23" s="42">
        <f t="shared" ca="1" si="9"/>
        <v>56.5</v>
      </c>
      <c r="J23" s="18"/>
      <c r="K23" s="76"/>
      <c r="M23" s="132">
        <f t="shared" ca="1" si="0"/>
        <v>7.3960033650072656</v>
      </c>
      <c r="N23" s="38">
        <f t="shared" si="10"/>
        <v>0.20624999999999999</v>
      </c>
      <c r="O23" s="36">
        <f t="shared" si="11"/>
        <v>5.5</v>
      </c>
      <c r="P23" s="38">
        <f ca="1">IF(ISERROR(IF(O23&lt;fi_h/20,0,(OFFSET('Base de dados'!$A$5,IF(O23&lt;20,1,IF(O23&gt;1000,10,MATCH(O23,Cargas,1))),Coluna_fih,1,1))*(1+0.13*0.25)*(PI()*(fi_h/1000)^2/4)*SQRT(2*9.81*(O23/100-fi_h/2/1000))*1000)),"",IF(O23&lt;fi_h/20,0,(OFFSET('Base de dados'!$A$5,IF(O23&lt;20,1,IF(O23&gt;1000,10,MATCH(O23,Cargas,1))),Coluna_fih,1,1))*(PI()*(fi_h/1000)^2/4)*SQRT(2*9.81*(O23/100-fi_h/2/1000))*1000))</f>
        <v>0.52100336500726552</v>
      </c>
      <c r="Q23" s="38">
        <f ca="1">IF(O23="","",IF(Tipo_Vertedor="Retangular",IF(O23&lt;=cota_s*100,0,IF(Tipo_Vertedor="Retangular",Cd_sr*Lef_sr*((O23/100-cota_s)^(3/2))*1000)),IF(O23&lt;=cota_s*100+fi_s/20,0,(OFFSET('Base de dados'!$A$4,IF(O23&lt;20,1,IF(O23&gt;1000,10,MATCH(O23,Cargas,1))),Coluna_fis,1,1))*(PI()*(fi_s/1000)^2/4)*(2*9.81*(O23/100-cota_s-fi_s/2/1000))^0.5*1000)))</f>
        <v>0</v>
      </c>
      <c r="R23" s="38">
        <f t="shared" ca="1" si="1"/>
        <v>0.52100336500726552</v>
      </c>
      <c r="S23" s="38">
        <f t="shared" ca="1" si="2"/>
        <v>6.875</v>
      </c>
      <c r="AD23" s="38">
        <f t="shared" si="12"/>
        <v>6.8438179631693341</v>
      </c>
      <c r="AE23" s="38">
        <f t="shared" ca="1" si="13"/>
        <v>2.3869701378481158</v>
      </c>
      <c r="AF23" s="38">
        <f ca="1">IF(ISERROR(IF('Hidrograma afluente'!I30="",0,'Hidrograma afluente'!I30)+Simulação!G23),"",IF('Hidrograma afluente'!I30="",0,'Hidrograma afluente'!I30)+Simulação!G23)</f>
        <v>224.66591458765382</v>
      </c>
      <c r="AG23" s="36">
        <v>1.3966164772378267</v>
      </c>
      <c r="AH23" s="36">
        <v>1.3966164772378267</v>
      </c>
      <c r="AI23" s="48">
        <v>66.25</v>
      </c>
      <c r="AJ23" s="36">
        <v>66.25</v>
      </c>
      <c r="AK23" s="38">
        <f>IF(A23="","",IF('Hidrograma afluente'!I30="",0,'Hidrograma afluente'!I30)+Simulação!B23)</f>
        <v>226.74638709345513</v>
      </c>
    </row>
    <row r="24" spans="1:37" s="36" customFormat="1">
      <c r="A24" s="23">
        <f t="shared" si="3"/>
        <v>19</v>
      </c>
      <c r="B24" s="24">
        <f>IF(A24="","",IF(A24&gt;tc_lot_i+tc,0,IF('Hidrograma afluente'!B31="","",'Hidrograma afluente'!B31)))</f>
        <v>4.0737011685531748</v>
      </c>
      <c r="C24" s="41">
        <f t="shared" si="4"/>
        <v>4.0737011685531748</v>
      </c>
      <c r="D24" s="41">
        <f t="shared" ca="1" si="5"/>
        <v>74.6875</v>
      </c>
      <c r="E24" s="41">
        <f t="shared" ca="1" si="6"/>
        <v>2.0515461055769912</v>
      </c>
      <c r="F24" s="41">
        <f t="shared" ca="1" si="7"/>
        <v>0</v>
      </c>
      <c r="G24" s="41">
        <f t="shared" ca="1" si="8"/>
        <v>2.0515461055769912</v>
      </c>
      <c r="H24" s="41">
        <f t="shared" ca="1" si="14"/>
        <v>80.783356231529353</v>
      </c>
      <c r="I24" s="42">
        <f t="shared" ca="1" si="9"/>
        <v>59.75</v>
      </c>
      <c r="J24" s="18"/>
      <c r="K24" s="76"/>
      <c r="M24" s="132">
        <f t="shared" ca="1" si="0"/>
        <v>7.7256349204448291</v>
      </c>
      <c r="N24" s="38">
        <f t="shared" si="10"/>
        <v>0.21562500000000001</v>
      </c>
      <c r="O24" s="36">
        <f t="shared" si="11"/>
        <v>5.75</v>
      </c>
      <c r="P24" s="38">
        <f ca="1">IF(ISERROR(IF(O24&lt;fi_h/20,0,(OFFSET('Base de dados'!$A$5,IF(O24&lt;20,1,IF(O24&gt;1000,10,MATCH(O24,Cargas,1))),Coluna_fih,1,1))*(1+0.13*0.25)*(PI()*(fi_h/1000)^2/4)*SQRT(2*9.81*(O24/100-fi_h/2/1000))*1000)),"",IF(O24&lt;fi_h/20,0,(OFFSET('Base de dados'!$A$5,IF(O24&lt;20,1,IF(O24&gt;1000,10,MATCH(O24,Cargas,1))),Coluna_fih,1,1))*(PI()*(fi_h/1000)^2/4)*SQRT(2*9.81*(O24/100-fi_h/2/1000))*1000))</f>
        <v>0.53813492044482891</v>
      </c>
      <c r="Q24" s="38">
        <f ca="1">IF(O24="","",IF(Tipo_Vertedor="Retangular",IF(O24&lt;=cota_s*100,0,IF(Tipo_Vertedor="Retangular",Cd_sr*Lef_sr*((O24/100-cota_s)^(3/2))*1000)),IF(O24&lt;=cota_s*100+fi_s/20,0,(OFFSET('Base de dados'!$A$4,IF(O24&lt;20,1,IF(O24&gt;1000,10,MATCH(O24,Cargas,1))),Coluna_fis,1,1))*(PI()*(fi_s/1000)^2/4)*(2*9.81*(O24/100-cota_s-fi_s/2/1000))^0.5*1000)))</f>
        <v>0</v>
      </c>
      <c r="R24" s="38">
        <f t="shared" ca="1" si="1"/>
        <v>0.53813492044482891</v>
      </c>
      <c r="S24" s="38">
        <f t="shared" ca="1" si="2"/>
        <v>7.1875</v>
      </c>
      <c r="AD24" s="38">
        <f t="shared" si="12"/>
        <v>7.3326621033957151</v>
      </c>
      <c r="AE24" s="38">
        <f t="shared" ca="1" si="13"/>
        <v>2.6296566239478478</v>
      </c>
      <c r="AF24" s="38">
        <f ca="1">IF(ISERROR(IF('Hidrograma afluente'!I31="",0,'Hidrograma afluente'!I31)+Simulação!G24),"",IF('Hidrograma afluente'!I31="",0,'Hidrograma afluente'!I31)+Simulação!G24)</f>
        <v>224.72423203047893</v>
      </c>
      <c r="AG24" s="36">
        <v>1.4390377887494317</v>
      </c>
      <c r="AH24" s="36">
        <v>1.4390377887494317</v>
      </c>
      <c r="AI24" s="48">
        <v>70.25</v>
      </c>
      <c r="AJ24" s="36">
        <v>70.25</v>
      </c>
      <c r="AK24" s="38">
        <f>IF(A24="","",IF('Hidrograma afluente'!I31="",0,'Hidrograma afluente'!I31)+Simulação!B24)</f>
        <v>226.74638709345513</v>
      </c>
    </row>
    <row r="25" spans="1:37" s="36" customFormat="1">
      <c r="A25" s="23">
        <f t="shared" si="3"/>
        <v>20</v>
      </c>
      <c r="B25" s="24">
        <f>IF(A25="","",IF(A25&gt;tc_lot_i+tc,0,IF('Hidrograma afluente'!B32="","",'Hidrograma afluente'!B32)))</f>
        <v>4.0737011685531748</v>
      </c>
      <c r="C25" s="41">
        <f t="shared" si="4"/>
        <v>4.0737011685531748</v>
      </c>
      <c r="D25" s="41">
        <f t="shared" ca="1" si="5"/>
        <v>78.4375</v>
      </c>
      <c r="E25" s="41">
        <f t="shared" ca="1" si="6"/>
        <v>2.0972107403618585</v>
      </c>
      <c r="F25" s="41">
        <f t="shared" ca="1" si="7"/>
        <v>0</v>
      </c>
      <c r="G25" s="41">
        <f t="shared" ca="1" si="8"/>
        <v>2.0972107403618585</v>
      </c>
      <c r="H25" s="41">
        <f t="shared" ca="1" si="14"/>
        <v>84.487691596744483</v>
      </c>
      <c r="I25" s="42">
        <f t="shared" ca="1" si="9"/>
        <v>62.75</v>
      </c>
      <c r="J25" s="18"/>
      <c r="K25" s="76"/>
      <c r="M25" s="133">
        <f t="shared" ca="1" si="0"/>
        <v>8.054737666699701</v>
      </c>
      <c r="N25" s="38">
        <f t="shared" si="10"/>
        <v>0.22499999999999998</v>
      </c>
      <c r="O25" s="36">
        <f t="shared" si="11"/>
        <v>6</v>
      </c>
      <c r="P25" s="38">
        <f ca="1">IF(ISERROR(IF(O25&lt;fi_h/20,0,(OFFSET('Base de dados'!$A$5,IF(O25&lt;20,1,IF(O25&gt;1000,10,MATCH(O25,Cargas,1))),Coluna_fih,1,1))*(1+0.13*0.25)*(PI()*(fi_h/1000)^2/4)*SQRT(2*9.81*(O25/100-fi_h/2/1000))*1000)),"",IF(O25&lt;fi_h/20,0,(OFFSET('Base de dados'!$A$5,IF(O25&lt;20,1,IF(O25&gt;1000,10,MATCH(O25,Cargas,1))),Coluna_fih,1,1))*(PI()*(fi_h/1000)^2/4)*SQRT(2*9.81*(O25/100-fi_h/2/1000))*1000))</f>
        <v>0.55473766669970281</v>
      </c>
      <c r="Q25" s="38">
        <f ca="1">IF(O25="","",IF(Tipo_Vertedor="Retangular",IF(O25&lt;=cota_s*100,0,IF(Tipo_Vertedor="Retangular",Cd_sr*Lef_sr*((O25/100-cota_s)^(3/2))*1000)),IF(O25&lt;=cota_s*100+fi_s/20,0,(OFFSET('Base de dados'!$A$4,IF(O25&lt;20,1,IF(O25&gt;1000,10,MATCH(O25,Cargas,1))),Coluna_fis,1,1))*(PI()*(fi_s/1000)^2/4)*(2*9.81*(O25/100-cota_s-fi_s/2/1000))^0.5*1000)))</f>
        <v>0</v>
      </c>
      <c r="R25" s="38">
        <f t="shared" ca="1" si="1"/>
        <v>0.55473766669970281</v>
      </c>
      <c r="S25" s="38">
        <f t="shared" ca="1" si="2"/>
        <v>7.4999999999999991</v>
      </c>
      <c r="AD25" s="38">
        <f t="shared" si="12"/>
        <v>7.8215062436220961</v>
      </c>
      <c r="AE25" s="38">
        <f t="shared" ca="1" si="13"/>
        <v>2.8785820347041788</v>
      </c>
      <c r="AF25" s="38">
        <f ca="1">IF(ISERROR(IF('Hidrograma afluente'!I32="",0,'Hidrograma afluente'!I32)+Simulação!G25),"",IF('Hidrograma afluente'!I32="",0,'Hidrograma afluente'!I32)+Simulação!G25)</f>
        <v>224.76989666526379</v>
      </c>
      <c r="AG25" s="36">
        <v>1.480243875314305</v>
      </c>
      <c r="AH25" s="36">
        <v>1.480243875314305</v>
      </c>
      <c r="AI25" s="48">
        <v>74.25</v>
      </c>
      <c r="AJ25" s="36">
        <v>74.25</v>
      </c>
      <c r="AK25" s="38">
        <f>IF(A25="","",IF('Hidrograma afluente'!I32="",0,'Hidrograma afluente'!I32)+Simulação!B25)</f>
        <v>226.74638709345513</v>
      </c>
    </row>
    <row r="26" spans="1:37" s="36" customFormat="1">
      <c r="A26" s="23">
        <f t="shared" si="3"/>
        <v>21</v>
      </c>
      <c r="B26" s="24">
        <f>IF(A26="","",IF(A26&gt;tc_lot_i+tc,0,IF('Hidrograma afluente'!B33="","",'Hidrograma afluente'!B33)))</f>
        <v>4.0737011685531748</v>
      </c>
      <c r="C26" s="41">
        <f t="shared" si="4"/>
        <v>4.0737011685531748</v>
      </c>
      <c r="D26" s="41">
        <f t="shared" ca="1" si="5"/>
        <v>82.187499999999986</v>
      </c>
      <c r="E26" s="41">
        <f t="shared" ca="1" si="6"/>
        <v>2.1481708130973085</v>
      </c>
      <c r="F26" s="41">
        <f t="shared" ca="1" si="7"/>
        <v>0</v>
      </c>
      <c r="G26" s="41">
        <f t="shared" ca="1" si="8"/>
        <v>2.1481708130973085</v>
      </c>
      <c r="H26" s="41">
        <f t="shared" ca="1" si="14"/>
        <v>88.186731524009033</v>
      </c>
      <c r="I26" s="42">
        <f t="shared" ca="1" si="9"/>
        <v>65.75</v>
      </c>
      <c r="J26" s="18"/>
      <c r="K26" s="76"/>
      <c r="M26" s="132">
        <f t="shared" ca="1" si="0"/>
        <v>8.3833577450720096</v>
      </c>
      <c r="N26" s="38">
        <f t="shared" si="10"/>
        <v>0.234375</v>
      </c>
      <c r="O26" s="36">
        <f t="shared" si="11"/>
        <v>6.25</v>
      </c>
      <c r="P26" s="38">
        <f ca="1">IF(ISERROR(IF(O26&lt;fi_h/20,0,(OFFSET('Base de dados'!$A$5,IF(O26&lt;20,1,IF(O26&gt;1000,10,MATCH(O26,Cargas,1))),Coluna_fih,1,1))*(1+0.13*0.25)*(PI()*(fi_h/1000)^2/4)*SQRT(2*9.81*(O26/100-fi_h/2/1000))*1000)),"",IF(O26&lt;fi_h/20,0,(OFFSET('Base de dados'!$A$5,IF(O26&lt;20,1,IF(O26&gt;1000,10,MATCH(O26,Cargas,1))),Coluna_fih,1,1))*(PI()*(fi_h/1000)^2/4)*SQRT(2*9.81*(O26/100-fi_h/2/1000))*1000))</f>
        <v>0.57085774507200904</v>
      </c>
      <c r="Q26" s="38">
        <f ca="1">IF(O26="","",IF(Tipo_Vertedor="Retangular",IF(O26&lt;=cota_s*100,0,IF(Tipo_Vertedor="Retangular",Cd_sr*Lef_sr*((O26/100-cota_s)^(3/2))*1000)),IF(O26&lt;=cota_s*100+fi_s/20,0,(OFFSET('Base de dados'!$A$4,IF(O26&lt;20,1,IF(O26&gt;1000,10,MATCH(O26,Cargas,1))),Coluna_fis,1,1))*(PI()*(fi_s/1000)^2/4)*(2*9.81*(O26/100-cota_s-fi_s/2/1000))^0.5*1000)))</f>
        <v>0</v>
      </c>
      <c r="R26" s="38">
        <f t="shared" ca="1" si="1"/>
        <v>0.57085774507200904</v>
      </c>
      <c r="S26" s="38">
        <f t="shared" ca="1" si="2"/>
        <v>7.8125</v>
      </c>
      <c r="AD26" s="38">
        <f t="shared" si="12"/>
        <v>8.3103503838484762</v>
      </c>
      <c r="AE26" s="38">
        <f t="shared" ca="1" si="13"/>
        <v>3.1333049279117287</v>
      </c>
      <c r="AF26" s="38">
        <f ca="1">IF(ISERROR(IF('Hidrograma afluente'!I33="",0,'Hidrograma afluente'!I33)+Simulação!G26),"",IF('Hidrograma afluente'!I33="",0,'Hidrograma afluente'!I33)+Simulação!G26)</f>
        <v>224.82085673799924</v>
      </c>
      <c r="AG26" s="36">
        <v>1.520333550035047</v>
      </c>
      <c r="AH26" s="36">
        <v>1.520333550035047</v>
      </c>
      <c r="AI26" s="48">
        <v>78.25</v>
      </c>
      <c r="AJ26" s="36">
        <v>78.25</v>
      </c>
      <c r="AK26" s="38">
        <f>IF(A26="","",IF('Hidrograma afluente'!I33="",0,'Hidrograma afluente'!I33)+Simulação!B26)</f>
        <v>226.74638709345513</v>
      </c>
    </row>
    <row r="27" spans="1:37" s="36" customFormat="1">
      <c r="A27" s="23">
        <f t="shared" si="3"/>
        <v>22</v>
      </c>
      <c r="B27" s="24">
        <f>IF(A27="","",IF(A27&gt;tc_lot_i+tc,0,IF('Hidrograma afluente'!B34="","",'Hidrograma afluente'!B34)))</f>
        <v>4.0737011685531748</v>
      </c>
      <c r="C27" s="41">
        <f t="shared" si="4"/>
        <v>4.0737011685531748</v>
      </c>
      <c r="D27" s="41">
        <f t="shared" ca="1" si="5"/>
        <v>85.9375</v>
      </c>
      <c r="E27" s="41">
        <f t="shared" ca="1" si="6"/>
        <v>2.1979496798146148</v>
      </c>
      <c r="F27" s="41">
        <f t="shared" ca="1" si="7"/>
        <v>0</v>
      </c>
      <c r="G27" s="41">
        <f t="shared" ca="1" si="8"/>
        <v>2.1979496798146148</v>
      </c>
      <c r="H27" s="41">
        <f t="shared" ca="1" si="14"/>
        <v>91.886952657291729</v>
      </c>
      <c r="I27" s="42">
        <f t="shared" ca="1" si="9"/>
        <v>68.75</v>
      </c>
      <c r="J27" s="18"/>
      <c r="K27" s="76"/>
      <c r="M27" s="132">
        <f t="shared" ca="1" si="0"/>
        <v>8.7115349532312365</v>
      </c>
      <c r="N27" s="38">
        <f t="shared" si="10"/>
        <v>0.24375000000000002</v>
      </c>
      <c r="O27" s="36">
        <f t="shared" si="11"/>
        <v>6.5</v>
      </c>
      <c r="P27" s="38">
        <f ca="1">IF(ISERROR(IF(O27&lt;fi_h/20,0,(OFFSET('Base de dados'!$A$5,IF(O27&lt;20,1,IF(O27&gt;1000,10,MATCH(O27,Cargas,1))),Coluna_fih,1,1))*(1+0.13*0.25)*(PI()*(fi_h/1000)^2/4)*SQRT(2*9.81*(O27/100-fi_h/2/1000))*1000)),"",IF(O27&lt;fi_h/20,0,(OFFSET('Base de dados'!$A$5,IF(O27&lt;20,1,IF(O27&gt;1000,10,MATCH(O27,Cargas,1))),Coluna_fih,1,1))*(PI()*(fi_h/1000)^2/4)*SQRT(2*9.81*(O27/100-fi_h/2/1000))*1000))</f>
        <v>0.58653495323123517</v>
      </c>
      <c r="Q27" s="38">
        <f ca="1">IF(O27="","",IF(Tipo_Vertedor="Retangular",IF(O27&lt;=cota_s*100,0,IF(Tipo_Vertedor="Retangular",Cd_sr*Lef_sr*((O27/100-cota_s)^(3/2))*1000)),IF(O27&lt;=cota_s*100+fi_s/20,0,(OFFSET('Base de dados'!$A$4,IF(O27&lt;20,1,IF(O27&gt;1000,10,MATCH(O27,Cargas,1))),Coluna_fis,1,1))*(PI()*(fi_s/1000)^2/4)*(2*9.81*(O27/100-cota_s-fi_s/2/1000))^0.5*1000)))</f>
        <v>0</v>
      </c>
      <c r="R27" s="38">
        <f t="shared" ca="1" si="1"/>
        <v>0.58653495323123517</v>
      </c>
      <c r="S27" s="38">
        <f t="shared" ca="1" si="2"/>
        <v>8.1250000000000018</v>
      </c>
      <c r="AD27" s="38">
        <f t="shared" si="12"/>
        <v>8.7991945240748564</v>
      </c>
      <c r="AE27" s="38">
        <f t="shared" ca="1" si="13"/>
        <v>3.3940721574864439</v>
      </c>
      <c r="AF27" s="38">
        <f ca="1">IF(ISERROR(IF('Hidrograma afluente'!I34="",0,'Hidrograma afluente'!I34)+Simulação!G27),"",IF('Hidrograma afluente'!I34="",0,'Hidrograma afluente'!I34)+Simulação!G27)</f>
        <v>224.87063560471657</v>
      </c>
      <c r="AG27" s="36">
        <v>1.5521399288359254</v>
      </c>
      <c r="AH27" s="36">
        <v>1.5521399288359254</v>
      </c>
      <c r="AI27" s="48">
        <v>82.25</v>
      </c>
      <c r="AJ27" s="36">
        <v>82.25</v>
      </c>
      <c r="AK27" s="38">
        <f>IF(A27="","",IF('Hidrograma afluente'!I34="",0,'Hidrograma afluente'!I34)+Simulação!B27)</f>
        <v>226.74638709345513</v>
      </c>
    </row>
    <row r="28" spans="1:37" s="36" customFormat="1">
      <c r="A28" s="23">
        <f t="shared" si="3"/>
        <v>23</v>
      </c>
      <c r="B28" s="24">
        <f>IF(A28="","",IF(A28&gt;tc_lot_i+tc,0,IF('Hidrograma afluente'!B35="","",'Hidrograma afluente'!B35)))</f>
        <v>4.0737011685531748</v>
      </c>
      <c r="C28" s="41">
        <f t="shared" si="4"/>
        <v>4.0737011685531748</v>
      </c>
      <c r="D28" s="41">
        <f t="shared" ca="1" si="5"/>
        <v>89.375</v>
      </c>
      <c r="E28" s="41">
        <f t="shared" ca="1" si="6"/>
        <v>2.2426098639059688</v>
      </c>
      <c r="F28" s="41">
        <f t="shared" ca="1" si="7"/>
        <v>0</v>
      </c>
      <c r="G28" s="41">
        <f t="shared" ca="1" si="8"/>
        <v>2.2426098639059688</v>
      </c>
      <c r="H28" s="41">
        <f t="shared" ca="1" si="14"/>
        <v>95.279792473200374</v>
      </c>
      <c r="I28" s="42">
        <f t="shared" ca="1" si="9"/>
        <v>71.5</v>
      </c>
      <c r="J28" s="18"/>
      <c r="K28" s="76"/>
      <c r="M28" s="132">
        <f t="shared" ca="1" si="0"/>
        <v>9.0393039029577977</v>
      </c>
      <c r="N28" s="38">
        <f t="shared" si="10"/>
        <v>0.25312500000000004</v>
      </c>
      <c r="O28" s="36">
        <f t="shared" si="11"/>
        <v>6.75</v>
      </c>
      <c r="P28" s="38">
        <f ca="1">IF(ISERROR(IF(O28&lt;fi_h/20,0,(OFFSET('Base de dados'!$A$5,IF(O28&lt;20,1,IF(O28&gt;1000,10,MATCH(O28,Cargas,1))),Coluna_fih,1,1))*(1+0.13*0.25)*(PI()*(fi_h/1000)^2/4)*SQRT(2*9.81*(O28/100-fi_h/2/1000))*1000)),"",IF(O28&lt;fi_h/20,0,(OFFSET('Base de dados'!$A$5,IF(O28&lt;20,1,IF(O28&gt;1000,10,MATCH(O28,Cargas,1))),Coluna_fih,1,1))*(PI()*(fi_h/1000)^2/4)*SQRT(2*9.81*(O28/100-fi_h/2/1000))*1000))</f>
        <v>0.60180390295779529</v>
      </c>
      <c r="Q28" s="38">
        <f ca="1">IF(O28="","",IF(Tipo_Vertedor="Retangular",IF(O28&lt;=cota_s*100,0,IF(Tipo_Vertedor="Retangular",Cd_sr*Lef_sr*((O28/100-cota_s)^(3/2))*1000)),IF(O28&lt;=cota_s*100+fi_s/20,0,(OFFSET('Base de dados'!$A$4,IF(O28&lt;20,1,IF(O28&gt;1000,10,MATCH(O28,Cargas,1))),Coluna_fis,1,1))*(PI()*(fi_s/1000)^2/4)*(2*9.81*(O28/100-cota_s-fi_s/2/1000))^0.5*1000)))</f>
        <v>0</v>
      </c>
      <c r="R28" s="38">
        <f t="shared" ca="1" si="1"/>
        <v>0.60180390295779529</v>
      </c>
      <c r="S28" s="38">
        <f t="shared" ca="1" si="2"/>
        <v>8.4375000000000018</v>
      </c>
      <c r="AD28" s="38">
        <f t="shared" si="12"/>
        <v>9.2880386643012365</v>
      </c>
      <c r="AE28" s="38">
        <f t="shared" ca="1" si="13"/>
        <v>3.6605057301096791</v>
      </c>
      <c r="AF28" s="38">
        <f ca="1">IF(ISERROR(IF('Hidrograma afluente'!I35="",0,'Hidrograma afluente'!I35)+Simulação!G28),"",IF('Hidrograma afluente'!I35="",0,'Hidrograma afluente'!I35)+Simulação!G28)</f>
        <v>224.9152957888079</v>
      </c>
      <c r="AG28" s="36">
        <v>1.5900673372546896</v>
      </c>
      <c r="AH28" s="36">
        <v>1.5900673372546896</v>
      </c>
      <c r="AI28" s="48">
        <v>86.25</v>
      </c>
      <c r="AJ28" s="36">
        <v>86.25</v>
      </c>
      <c r="AK28" s="38">
        <f>IF(A28="","",IF('Hidrograma afluente'!I35="",0,'Hidrograma afluente'!I35)+Simulação!B28)</f>
        <v>226.74638709345513</v>
      </c>
    </row>
    <row r="29" spans="1:37" s="36" customFormat="1">
      <c r="A29" s="23">
        <f t="shared" si="3"/>
        <v>24</v>
      </c>
      <c r="B29" s="24">
        <f>IF(A29="","",IF(A29&gt;tc_lot_i+tc,0,IF('Hidrograma afluente'!B36="","",'Hidrograma afluente'!B36)))</f>
        <v>4.0737011685531748</v>
      </c>
      <c r="C29" s="41">
        <f t="shared" si="4"/>
        <v>4.0737011685531748</v>
      </c>
      <c r="D29" s="41">
        <f t="shared" ca="1" si="5"/>
        <v>92.812500000000014</v>
      </c>
      <c r="E29" s="41">
        <f t="shared" ca="1" si="6"/>
        <v>2.2863978674717851</v>
      </c>
      <c r="F29" s="41">
        <f t="shared" ca="1" si="7"/>
        <v>0</v>
      </c>
      <c r="G29" s="41">
        <f t="shared" ca="1" si="8"/>
        <v>2.2863978674717851</v>
      </c>
      <c r="H29" s="41">
        <f t="shared" ca="1" si="14"/>
        <v>98.67350446963458</v>
      </c>
      <c r="I29" s="42">
        <f t="shared" ca="1" si="9"/>
        <v>74.25</v>
      </c>
      <c r="J29" s="18"/>
      <c r="K29" s="76"/>
      <c r="M29" s="132">
        <f t="shared" ca="1" si="0"/>
        <v>9.3666949196065303</v>
      </c>
      <c r="N29" s="38">
        <f t="shared" si="10"/>
        <v>0.26250000000000001</v>
      </c>
      <c r="O29" s="36">
        <f t="shared" si="11"/>
        <v>7</v>
      </c>
      <c r="P29" s="38">
        <f ca="1">IF(ISERROR(IF(O29&lt;fi_h/20,0,(OFFSET('Base de dados'!$A$5,IF(O29&lt;20,1,IF(O29&gt;1000,10,MATCH(O29,Cargas,1))),Coluna_fih,1,1))*(1+0.13*0.25)*(PI()*(fi_h/1000)^2/4)*SQRT(2*9.81*(O29/100-fi_h/2/1000))*1000)),"",IF(O29&lt;fi_h/20,0,(OFFSET('Base de dados'!$A$5,IF(O29&lt;20,1,IF(O29&gt;1000,10,MATCH(O29,Cargas,1))),Coluna_fih,1,1))*(PI()*(fi_h/1000)^2/4)*SQRT(2*9.81*(O29/100-fi_h/2/1000))*1000))</f>
        <v>0.61669491960652945</v>
      </c>
      <c r="Q29" s="38">
        <f ca="1">IF(O29="","",IF(Tipo_Vertedor="Retangular",IF(O29&lt;=cota_s*100,0,IF(Tipo_Vertedor="Retangular",Cd_sr*Lef_sr*((O29/100-cota_s)^(3/2))*1000)),IF(O29&lt;=cota_s*100+fi_s/20,0,(OFFSET('Base de dados'!$A$4,IF(O29&lt;20,1,IF(O29&gt;1000,10,MATCH(O29,Cargas,1))),Coluna_fis,1,1))*(PI()*(fi_s/1000)^2/4)*(2*9.81*(O29/100-cota_s-fi_s/2/1000))^0.5*1000)))</f>
        <v>0</v>
      </c>
      <c r="R29" s="38">
        <f t="shared" ca="1" si="1"/>
        <v>0.61669491960652945</v>
      </c>
      <c r="S29" s="38">
        <f t="shared" ca="1" si="2"/>
        <v>8.75</v>
      </c>
      <c r="AD29" s="38">
        <f t="shared" si="12"/>
        <v>9.7768828045276166</v>
      </c>
      <c r="AE29" s="38">
        <f t="shared" ca="1" si="13"/>
        <v>3.9322461939923441</v>
      </c>
      <c r="AF29" s="38">
        <f ca="1">IF(ISERROR(IF('Hidrograma afluente'!I36="",0,'Hidrograma afluente'!I36)+Simulação!G29),"",IF('Hidrograma afluente'!I36="",0,'Hidrograma afluente'!I36)+Simulação!G29)</f>
        <v>224.95908379237372</v>
      </c>
      <c r="AG29" s="36">
        <v>1.6248204298250337</v>
      </c>
      <c r="AH29" s="36">
        <v>1.6248204298250337</v>
      </c>
      <c r="AI29" s="48">
        <v>90</v>
      </c>
      <c r="AJ29" s="36">
        <v>90</v>
      </c>
      <c r="AK29" s="38">
        <f>IF(A29="","",IF('Hidrograma afluente'!I36="",0,'Hidrograma afluente'!I36)+Simulação!B29)</f>
        <v>226.74638709345513</v>
      </c>
    </row>
    <row r="30" spans="1:37" s="36" customFormat="1">
      <c r="A30" s="23">
        <f t="shared" si="3"/>
        <v>25</v>
      </c>
      <c r="B30" s="24">
        <f>IF(A30="","",IF(A30&gt;tc_lot_i+tc,0,IF('Hidrograma afluente'!B37="","",'Hidrograma afluente'!B37)))</f>
        <v>4.0737011685531748</v>
      </c>
      <c r="C30" s="41">
        <f t="shared" si="4"/>
        <v>4.0737011685531748</v>
      </c>
      <c r="D30" s="41">
        <f t="shared" ca="1" si="5"/>
        <v>96.25</v>
      </c>
      <c r="E30" s="41">
        <f t="shared" ca="1" si="6"/>
        <v>2.329362877499062</v>
      </c>
      <c r="F30" s="41">
        <f t="shared" ca="1" si="7"/>
        <v>0</v>
      </c>
      <c r="G30" s="41">
        <f t="shared" ca="1" si="8"/>
        <v>2.329362877499062</v>
      </c>
      <c r="H30" s="41">
        <f t="shared" ca="1" si="14"/>
        <v>102.06803945960728</v>
      </c>
      <c r="I30" s="42">
        <f t="shared" ca="1" si="9"/>
        <v>77</v>
      </c>
      <c r="J30" s="18"/>
      <c r="K30" s="76"/>
      <c r="M30" s="132">
        <f t="shared" ca="1" si="0"/>
        <v>9.6937347504073053</v>
      </c>
      <c r="N30" s="38">
        <f t="shared" si="10"/>
        <v>0.27187499999999998</v>
      </c>
      <c r="O30" s="36">
        <f t="shared" si="11"/>
        <v>7.25</v>
      </c>
      <c r="P30" s="38">
        <f ca="1">IF(ISERROR(IF(O30&lt;fi_h/20,0,(OFFSET('Base de dados'!$A$5,IF(O30&lt;20,1,IF(O30&gt;1000,10,MATCH(O30,Cargas,1))),Coluna_fih,1,1))*(1+0.13*0.25)*(PI()*(fi_h/1000)^2/4)*SQRT(2*9.81*(O30/100-fi_h/2/1000))*1000)),"",IF(O30&lt;fi_h/20,0,(OFFSET('Base de dados'!$A$5,IF(O30&lt;20,1,IF(O30&gt;1000,10,MATCH(O30,Cargas,1))),Coluna_fih,1,1))*(PI()*(fi_h/1000)^2/4)*SQRT(2*9.81*(O30/100-fi_h/2/1000))*1000))</f>
        <v>0.63123475040730448</v>
      </c>
      <c r="Q30" s="38">
        <f ca="1">IF(O30="","",IF(Tipo_Vertedor="Retangular",IF(O30&lt;=cota_s*100,0,IF(Tipo_Vertedor="Retangular",Cd_sr*Lef_sr*((O30/100-cota_s)^(3/2))*1000)),IF(O30&lt;=cota_s*100+fi_s/20,0,(OFFSET('Base de dados'!$A$4,IF(O30&lt;20,1,IF(O30&gt;1000,10,MATCH(O30,Cargas,1))),Coluna_fis,1,1))*(PI()*(fi_s/1000)^2/4)*(2*9.81*(O30/100-cota_s-fi_s/2/1000))^0.5*1000)))</f>
        <v>0</v>
      </c>
      <c r="R30" s="38">
        <f t="shared" ca="1" si="1"/>
        <v>0.63123475040730448</v>
      </c>
      <c r="S30" s="38">
        <f t="shared" ca="1" si="2"/>
        <v>9.0625</v>
      </c>
      <c r="AD30" s="38">
        <f t="shared" si="12"/>
        <v>10.265726944753997</v>
      </c>
      <c r="AE30" s="38">
        <f t="shared" ca="1" si="13"/>
        <v>4.2091918386905949</v>
      </c>
      <c r="AF30" s="38">
        <f ca="1">IF(ISERROR(IF('Hidrograma afluente'!I37="",0,'Hidrograma afluente'!I37)+Simulação!G30),"",IF('Hidrograma afluente'!I37="",0,'Hidrograma afluente'!I37)+Simulação!G30)</f>
        <v>225.00204880240099</v>
      </c>
      <c r="AG30" s="36">
        <v>1.6588455990083573</v>
      </c>
      <c r="AH30" s="36">
        <v>1.6588455990083573</v>
      </c>
      <c r="AI30" s="48">
        <v>93.75</v>
      </c>
      <c r="AJ30" s="36">
        <v>93.75</v>
      </c>
      <c r="AK30" s="38">
        <f>IF(A30="","",IF('Hidrograma afluente'!I37="",0,'Hidrograma afluente'!I37)+Simulação!B30)</f>
        <v>226.74638709345513</v>
      </c>
    </row>
    <row r="31" spans="1:37" s="36" customFormat="1">
      <c r="A31" s="23">
        <f t="shared" si="3"/>
        <v>26</v>
      </c>
      <c r="B31" s="24">
        <f>IF(A31="","",IF(A31&gt;tc_lot_i+tc,0,IF('Hidrograma afluente'!B38="","",'Hidrograma afluente'!B38)))</f>
        <v>4.0737011685531748</v>
      </c>
      <c r="C31" s="41">
        <f t="shared" si="4"/>
        <v>4.0737011685531748</v>
      </c>
      <c r="D31" s="41">
        <f t="shared" ca="1" si="5"/>
        <v>99.6875</v>
      </c>
      <c r="E31" s="41">
        <f t="shared" ca="1" si="6"/>
        <v>2.371549624562364</v>
      </c>
      <c r="F31" s="41">
        <f t="shared" ca="1" si="7"/>
        <v>0</v>
      </c>
      <c r="G31" s="41">
        <f t="shared" ca="1" si="8"/>
        <v>2.371549624562364</v>
      </c>
      <c r="H31" s="41">
        <f t="shared" ca="1" si="14"/>
        <v>105.46335271254398</v>
      </c>
      <c r="I31" s="42">
        <f t="shared" ca="1" si="9"/>
        <v>79.75</v>
      </c>
      <c r="J31" s="18"/>
      <c r="K31" s="76"/>
      <c r="M31" s="132">
        <f t="shared" ca="1" si="0"/>
        <v>10.020447129031528</v>
      </c>
      <c r="N31" s="38">
        <f t="shared" si="10"/>
        <v>0.28125</v>
      </c>
      <c r="O31" s="36">
        <f t="shared" si="11"/>
        <v>7.5</v>
      </c>
      <c r="P31" s="38">
        <f ca="1">IF(ISERROR(IF(O31&lt;fi_h/20,0,(OFFSET('Base de dados'!$A$5,IF(O31&lt;20,1,IF(O31&gt;1000,10,MATCH(O31,Cargas,1))),Coluna_fih,1,1))*(1+0.13*0.25)*(PI()*(fi_h/1000)^2/4)*SQRT(2*9.81*(O31/100-fi_h/2/1000))*1000)),"",IF(O31&lt;fi_h/20,0,(OFFSET('Base de dados'!$A$5,IF(O31&lt;20,1,IF(O31&gt;1000,10,MATCH(O31,Cargas,1))),Coluna_fih,1,1))*(PI()*(fi_h/1000)^2/4)*SQRT(2*9.81*(O31/100-fi_h/2/1000))*1000))</f>
        <v>0.64544712903152668</v>
      </c>
      <c r="Q31" s="38">
        <f ca="1">IF(O31="","",IF(Tipo_Vertedor="Retangular",IF(O31&lt;=cota_s*100,0,IF(Tipo_Vertedor="Retangular",Cd_sr*Lef_sr*((O31/100-cota_s)^(3/2))*1000)),IF(O31&lt;=cota_s*100+fi_s/20,0,(OFFSET('Base de dados'!$A$4,IF(O31&lt;20,1,IF(O31&gt;1000,10,MATCH(O31,Cargas,1))),Coluna_fis,1,1))*(PI()*(fi_s/1000)^2/4)*(2*9.81*(O31/100-cota_s-fi_s/2/1000))^0.5*1000)))</f>
        <v>0</v>
      </c>
      <c r="R31" s="38">
        <f t="shared" ca="1" si="1"/>
        <v>0.64544712903152668</v>
      </c>
      <c r="S31" s="38">
        <f t="shared" ca="1" si="2"/>
        <v>9.375</v>
      </c>
      <c r="AD31" s="38">
        <f t="shared" si="12"/>
        <v>10.754571084980377</v>
      </c>
      <c r="AE31" s="38">
        <f t="shared" ca="1" si="13"/>
        <v>4.4912465888142803</v>
      </c>
      <c r="AF31" s="38">
        <f ca="1">IF(ISERROR(IF('Hidrograma afluente'!I38="",0,'Hidrograma afluente'!I38)+Simulação!G31),"",IF('Hidrograma afluente'!I38="",0,'Hidrograma afluente'!I38)+Simulação!G31)</f>
        <v>225.0442355494643</v>
      </c>
      <c r="AG31" s="36">
        <v>1.692186754918612</v>
      </c>
      <c r="AH31" s="36">
        <v>1.692186754918612</v>
      </c>
      <c r="AI31" s="48">
        <v>97.5</v>
      </c>
      <c r="AJ31" s="36">
        <v>97.5</v>
      </c>
      <c r="AK31" s="38">
        <f>IF(A31="","",IF('Hidrograma afluente'!I38="",0,'Hidrograma afluente'!I38)+Simulação!B31)</f>
        <v>226.74638709345513</v>
      </c>
    </row>
    <row r="32" spans="1:37" s="36" customFormat="1">
      <c r="A32" s="23">
        <f t="shared" si="3"/>
        <v>27</v>
      </c>
      <c r="B32" s="24">
        <f>IF(A32="","",IF(A32&gt;tc_lot_i+tc,0,IF('Hidrograma afluente'!B39="","",'Hidrograma afluente'!B39)))</f>
        <v>4.0737011685531748</v>
      </c>
      <c r="C32" s="41">
        <f t="shared" si="4"/>
        <v>4.0737011685531748</v>
      </c>
      <c r="D32" s="41">
        <f t="shared" ca="1" si="5"/>
        <v>102.8125</v>
      </c>
      <c r="E32" s="41">
        <f t="shared" ca="1" si="6"/>
        <v>2.4053930855565979</v>
      </c>
      <c r="F32" s="41">
        <f t="shared" ca="1" si="7"/>
        <v>0</v>
      </c>
      <c r="G32" s="41">
        <f t="shared" ca="1" si="8"/>
        <v>2.4053930855565979</v>
      </c>
      <c r="H32" s="41">
        <f t="shared" ca="1" si="14"/>
        <v>108.55450925154975</v>
      </c>
      <c r="I32" s="42">
        <f t="shared" ca="1" si="9"/>
        <v>82.25</v>
      </c>
      <c r="J32" s="18"/>
      <c r="K32" s="76"/>
      <c r="M32" s="132">
        <f t="shared" ca="1" si="0"/>
        <v>10.346853230543621</v>
      </c>
      <c r="N32" s="38">
        <f t="shared" si="10"/>
        <v>0.29062500000000002</v>
      </c>
      <c r="O32" s="36">
        <f t="shared" si="11"/>
        <v>7.75</v>
      </c>
      <c r="P32" s="38">
        <f ca="1">IF(ISERROR(IF(O32&lt;fi_h/20,0,(OFFSET('Base de dados'!$A$5,IF(O32&lt;20,1,IF(O32&gt;1000,10,MATCH(O32,Cargas,1))),Coluna_fih,1,1))*(1+0.13*0.25)*(PI()*(fi_h/1000)^2/4)*SQRT(2*9.81*(O32/100-fi_h/2/1000))*1000)),"",IF(O32&lt;fi_h/20,0,(OFFSET('Base de dados'!$A$5,IF(O32&lt;20,1,IF(O32&gt;1000,10,MATCH(O32,Cargas,1))),Coluna_fih,1,1))*(PI()*(fi_h/1000)^2/4)*SQRT(2*9.81*(O32/100-fi_h/2/1000))*1000))</f>
        <v>0.65935323054362049</v>
      </c>
      <c r="Q32" s="38">
        <f ca="1">IF(O32="","",IF(Tipo_Vertedor="Retangular",IF(O32&lt;=cota_s*100,0,IF(Tipo_Vertedor="Retangular",Cd_sr*Lef_sr*((O32/100-cota_s)^(3/2))*1000)),IF(O32&lt;=cota_s*100+fi_s/20,0,(OFFSET('Base de dados'!$A$4,IF(O32&lt;20,1,IF(O32&gt;1000,10,MATCH(O32,Cargas,1))),Coluna_fis,1,1))*(PI()*(fi_s/1000)^2/4)*(2*9.81*(O32/100-cota_s-fi_s/2/1000))^0.5*1000)))</f>
        <v>0</v>
      </c>
      <c r="R32" s="38">
        <f t="shared" ca="1" si="1"/>
        <v>0.65935323054362049</v>
      </c>
      <c r="S32" s="38">
        <f t="shared" ca="1" si="2"/>
        <v>9.6875</v>
      </c>
      <c r="AD32" s="38">
        <f t="shared" si="12"/>
        <v>11.243415225206757</v>
      </c>
      <c r="AE32" s="38">
        <f t="shared" ca="1" si="13"/>
        <v>4.7778631514214176</v>
      </c>
      <c r="AF32" s="38">
        <f ca="1">IF(ISERROR(IF('Hidrograma afluente'!I39="",0,'Hidrograma afluente'!I39)+Simulação!G32),"",IF('Hidrograma afluente'!I39="",0,'Hidrograma afluente'!I39)+Simulação!G32)</f>
        <v>225.07807901045854</v>
      </c>
      <c r="AG32" s="36">
        <v>1.7141366248514127</v>
      </c>
      <c r="AH32" s="36">
        <v>1.7141366248514127</v>
      </c>
      <c r="AI32" s="48">
        <v>101.25</v>
      </c>
      <c r="AJ32" s="36">
        <v>101.25</v>
      </c>
      <c r="AK32" s="38">
        <f>IF(A32="","",IF('Hidrograma afluente'!I39="",0,'Hidrograma afluente'!I39)+Simulação!B32)</f>
        <v>226.74638709345513</v>
      </c>
    </row>
    <row r="33" spans="1:37" s="36" customFormat="1">
      <c r="A33" s="23">
        <f t="shared" si="3"/>
        <v>28</v>
      </c>
      <c r="B33" s="24">
        <f>IF(A33="","",IF(A33&gt;tc_lot_i+tc,0,IF('Hidrograma afluente'!B40="","",'Hidrograma afluente'!B40)))</f>
        <v>4.0737011685531748</v>
      </c>
      <c r="C33" s="41">
        <f t="shared" si="4"/>
        <v>4.0737011685531748</v>
      </c>
      <c r="D33" s="41">
        <f t="shared" ca="1" si="5"/>
        <v>105.9375</v>
      </c>
      <c r="E33" s="41">
        <f t="shared" ca="1" si="6"/>
        <v>2.4424629064187595</v>
      </c>
      <c r="F33" s="41">
        <f t="shared" ca="1" si="7"/>
        <v>0</v>
      </c>
      <c r="G33" s="41">
        <f t="shared" ca="1" si="8"/>
        <v>2.4424629064187595</v>
      </c>
      <c r="H33" s="41">
        <f t="shared" ca="1" si="14"/>
        <v>111.64243943068759</v>
      </c>
      <c r="I33" s="42">
        <f t="shared" ca="1" si="9"/>
        <v>84.75</v>
      </c>
      <c r="J33" s="18"/>
      <c r="K33" s="76"/>
      <c r="M33" s="132">
        <f t="shared" ca="1" si="0"/>
        <v>10.672972041678982</v>
      </c>
      <c r="N33" s="38">
        <f t="shared" si="10"/>
        <v>0.3</v>
      </c>
      <c r="O33" s="36">
        <f t="shared" si="11"/>
        <v>8</v>
      </c>
      <c r="P33" s="38">
        <f ca="1">IF(ISERROR(IF(O33&lt;fi_h/20,0,(OFFSET('Base de dados'!$A$5,IF(O33&lt;20,1,IF(O33&gt;1000,10,MATCH(O33,Cargas,1))),Coluna_fih,1,1))*(1+0.13*0.25)*(PI()*(fi_h/1000)^2/4)*SQRT(2*9.81*(O33/100-fi_h/2/1000))*1000)),"",IF(O33&lt;fi_h/20,0,(OFFSET('Base de dados'!$A$5,IF(O33&lt;20,1,IF(O33&gt;1000,10,MATCH(O33,Cargas,1))),Coluna_fih,1,1))*(PI()*(fi_h/1000)^2/4)*SQRT(2*9.81*(O33/100-fi_h/2/1000))*1000))</f>
        <v>0.67297204167898161</v>
      </c>
      <c r="Q33" s="38">
        <f ca="1">IF(O33="","",IF(Tipo_Vertedor="Retangular",IF(O33&lt;=cota_s*100,0,IF(Tipo_Vertedor="Retangular",Cd_sr*Lef_sr*((O33/100-cota_s)^(3/2))*1000)),IF(O33&lt;=cota_s*100+fi_s/20,0,(OFFSET('Base de dados'!$A$4,IF(O33&lt;20,1,IF(O33&gt;1000,10,MATCH(O33,Cargas,1))),Coluna_fis,1,1))*(PI()*(fi_s/1000)^2/4)*(2*9.81*(O33/100-cota_s-fi_s/2/1000))^0.5*1000)))</f>
        <v>0</v>
      </c>
      <c r="R33" s="38">
        <f t="shared" ca="1" si="1"/>
        <v>0.67297204167898161</v>
      </c>
      <c r="S33" s="38">
        <f t="shared" ca="1" si="2"/>
        <v>10</v>
      </c>
      <c r="AD33" s="38">
        <f t="shared" si="12"/>
        <v>11.732259365433137</v>
      </c>
      <c r="AE33" s="38">
        <f t="shared" ca="1" si="13"/>
        <v>5.0687345109399393</v>
      </c>
      <c r="AF33" s="38">
        <f ca="1">IF(ISERROR(IF('Hidrograma afluente'!I40="",0,'Hidrograma afluente'!I40)+Simulação!G33),"",IF('Hidrograma afluente'!I40="",0,'Hidrograma afluente'!I40)+Simulação!G33)</f>
        <v>225.11514883132071</v>
      </c>
      <c r="AG33" s="36">
        <v>1.7439173714260592</v>
      </c>
      <c r="AH33" s="36">
        <v>1.7439173714260592</v>
      </c>
      <c r="AI33" s="48">
        <v>104.75</v>
      </c>
      <c r="AJ33" s="36">
        <v>104.75</v>
      </c>
      <c r="AK33" s="38">
        <f>IF(A33="","",IF('Hidrograma afluente'!I40="",0,'Hidrograma afluente'!I40)+Simulação!B33)</f>
        <v>226.74638709345513</v>
      </c>
    </row>
    <row r="34" spans="1:37" s="36" customFormat="1">
      <c r="A34" s="23">
        <f t="shared" si="3"/>
        <v>29</v>
      </c>
      <c r="B34" s="24">
        <f>IF(A34="","",IF(A34&gt;tc_lot_i+tc,0,IF('Hidrograma afluente'!B41="","",'Hidrograma afluente'!B41)))</f>
        <v>4.0737011685531748</v>
      </c>
      <c r="C34" s="41">
        <f t="shared" si="4"/>
        <v>4.0737011685531748</v>
      </c>
      <c r="D34" s="41">
        <f t="shared" ca="1" si="5"/>
        <v>109.0625</v>
      </c>
      <c r="E34" s="41">
        <f t="shared" ca="1" si="6"/>
        <v>2.4789784594505164</v>
      </c>
      <c r="F34" s="41">
        <f t="shared" ca="1" si="7"/>
        <v>0</v>
      </c>
      <c r="G34" s="41">
        <f t="shared" ca="1" si="8"/>
        <v>2.4789784594505164</v>
      </c>
      <c r="H34" s="41">
        <f t="shared" ca="1" si="14"/>
        <v>114.73092387765583</v>
      </c>
      <c r="I34" s="42">
        <f t="shared" ca="1" si="9"/>
        <v>87.25</v>
      </c>
      <c r="J34" s="18"/>
      <c r="K34" s="76"/>
      <c r="M34" s="132">
        <f t="shared" ca="1" si="0"/>
        <v>10.998820664948131</v>
      </c>
      <c r="N34" s="38">
        <f t="shared" si="10"/>
        <v>0.30937500000000001</v>
      </c>
      <c r="O34" s="36">
        <f t="shared" si="11"/>
        <v>8.25</v>
      </c>
      <c r="P34" s="38">
        <f ca="1">IF(ISERROR(IF(O34&lt;fi_h/20,0,(OFFSET('Base de dados'!$A$5,IF(O34&lt;20,1,IF(O34&gt;1000,10,MATCH(O34,Cargas,1))),Coluna_fih,1,1))*(1+0.13*0.25)*(PI()*(fi_h/1000)^2/4)*SQRT(2*9.81*(O34/100-fi_h/2/1000))*1000)),"",IF(O34&lt;fi_h/20,0,(OFFSET('Base de dados'!$A$5,IF(O34&lt;20,1,IF(O34&gt;1000,10,MATCH(O34,Cargas,1))),Coluna_fih,1,1))*(PI()*(fi_h/1000)^2/4)*SQRT(2*9.81*(O34/100-fi_h/2/1000))*1000))</f>
        <v>0.68632066494813138</v>
      </c>
      <c r="Q34" s="38">
        <f ca="1">IF(O34="","",IF(Tipo_Vertedor="Retangular",IF(O34&lt;=cota_s*100,0,IF(Tipo_Vertedor="Retangular",Cd_sr*Lef_sr*((O34/100-cota_s)^(3/2))*1000)),IF(O34&lt;=cota_s*100+fi_s/20,0,(OFFSET('Base de dados'!$A$4,IF(O34&lt;20,1,IF(O34&gt;1000,10,MATCH(O34,Cargas,1))),Coluna_fis,1,1))*(PI()*(fi_s/1000)^2/4)*(2*9.81*(O34/100-cota_s-fi_s/2/1000))^0.5*1000)))</f>
        <v>0</v>
      </c>
      <c r="R34" s="38">
        <f t="shared" ca="1" si="1"/>
        <v>0.68632066494813138</v>
      </c>
      <c r="S34" s="38">
        <f t="shared" ca="1" si="2"/>
        <v>10.3125</v>
      </c>
      <c r="AD34" s="38">
        <f t="shared" si="12"/>
        <v>12.221103505659517</v>
      </c>
      <c r="AE34" s="38">
        <f t="shared" ca="1" si="13"/>
        <v>5.3640209928920957</v>
      </c>
      <c r="AF34" s="38">
        <f ca="1">IF(ISERROR(IF('Hidrograma afluente'!I41="",0,'Hidrograma afluente'!I41)+Simulação!G34),"",IF('Hidrograma afluente'!I41="",0,'Hidrograma afluente'!I41)+Simulação!G34)</f>
        <v>225.15166438435244</v>
      </c>
      <c r="AG34" s="36">
        <v>1.7731980228012201</v>
      </c>
      <c r="AH34" s="36">
        <v>1.7731980228012201</v>
      </c>
      <c r="AI34" s="48">
        <v>108.25</v>
      </c>
      <c r="AJ34" s="36">
        <v>108.25</v>
      </c>
      <c r="AK34" s="38">
        <f>IF(A34="","",IF('Hidrograma afluente'!I41="",0,'Hidrograma afluente'!I41)+Simulação!B34)</f>
        <v>226.74638709345513</v>
      </c>
    </row>
    <row r="35" spans="1:37" s="36" customFormat="1">
      <c r="A35" s="23">
        <f t="shared" si="3"/>
        <v>30</v>
      </c>
      <c r="B35" s="24">
        <f>IF(A35="","",IF(A35&gt;tc_lot_i+tc,0,IF('Hidrograma afluente'!B42="","",'Hidrograma afluente'!B42)))</f>
        <v>4.0737011685531748</v>
      </c>
      <c r="C35" s="41">
        <f t="shared" si="4"/>
        <v>4.0737011685531748</v>
      </c>
      <c r="D35" s="41">
        <f t="shared" ca="1" si="5"/>
        <v>112.18749999999999</v>
      </c>
      <c r="E35" s="41">
        <f t="shared" ca="1" si="6"/>
        <v>2.514963887535512</v>
      </c>
      <c r="F35" s="41">
        <f t="shared" ca="1" si="7"/>
        <v>0</v>
      </c>
      <c r="G35" s="41">
        <f t="shared" ca="1" si="8"/>
        <v>2.514963887535512</v>
      </c>
      <c r="H35" s="41">
        <f t="shared" ca="1" si="14"/>
        <v>117.81993844957083</v>
      </c>
      <c r="I35" s="42">
        <f t="shared" ca="1" si="9"/>
        <v>89.75</v>
      </c>
      <c r="J35" s="18"/>
      <c r="K35" s="76"/>
      <c r="M35" s="132">
        <f t="shared" ca="1" si="0"/>
        <v>11.324414570471703</v>
      </c>
      <c r="N35" s="38">
        <f t="shared" si="10"/>
        <v>0.31875000000000003</v>
      </c>
      <c r="O35" s="36">
        <f t="shared" si="11"/>
        <v>8.5</v>
      </c>
      <c r="P35" s="38">
        <f ca="1">IF(ISERROR(IF(O35&lt;fi_h/20,0,(OFFSET('Base de dados'!$A$5,IF(O35&lt;20,1,IF(O35&gt;1000,10,MATCH(O35,Cargas,1))),Coluna_fih,1,1))*(1+0.13*0.25)*(PI()*(fi_h/1000)^2/4)*SQRT(2*9.81*(O35/100-fi_h/2/1000))*1000)),"",IF(O35&lt;fi_h/20,0,(OFFSET('Base de dados'!$A$5,IF(O35&lt;20,1,IF(O35&gt;1000,10,MATCH(O35,Cargas,1))),Coluna_fih,1,1))*(PI()*(fi_h/1000)^2/4)*SQRT(2*9.81*(O35/100-fi_h/2/1000))*1000))</f>
        <v>0.69941457047170064</v>
      </c>
      <c r="Q35" s="38">
        <f ca="1">IF(O35="","",IF(Tipo_Vertedor="Retangular",IF(O35&lt;=cota_s*100,0,IF(Tipo_Vertedor="Retangular",Cd_sr*Lef_sr*((O35/100-cota_s)^(3/2))*1000)),IF(O35&lt;=cota_s*100+fi_s/20,0,(OFFSET('Base de dados'!$A$4,IF(O35&lt;20,1,IF(O35&gt;1000,10,MATCH(O35,Cargas,1))),Coluna_fis,1,1))*(PI()*(fi_s/1000)^2/4)*(2*9.81*(O35/100-cota_s-fi_s/2/1000))^0.5*1000)))</f>
        <v>0</v>
      </c>
      <c r="R35" s="38">
        <f t="shared" ca="1" si="1"/>
        <v>0.69941457047170064</v>
      </c>
      <c r="S35" s="38">
        <f t="shared" ca="1" si="2"/>
        <v>10.625000000000002</v>
      </c>
      <c r="AD35" s="38">
        <f t="shared" si="12"/>
        <v>12.709947645885897</v>
      </c>
      <c r="AE35" s="38">
        <f t="shared" ca="1" si="13"/>
        <v>5.6636575337112571</v>
      </c>
      <c r="AF35" s="38">
        <f ca="1">IF(ISERROR(IF('Hidrograma afluente'!I42="",0,'Hidrograma afluente'!I42)+Simulação!G35),"",IF('Hidrograma afluente'!I42="",0,'Hidrograma afluente'!I42)+Simulação!G35)</f>
        <v>225.18764981243746</v>
      </c>
      <c r="AG35" s="36">
        <v>1.8020029572036607</v>
      </c>
      <c r="AH35" s="36">
        <v>1.8020029572036607</v>
      </c>
      <c r="AI35" s="48">
        <v>111.75</v>
      </c>
      <c r="AJ35" s="36">
        <v>111.75</v>
      </c>
      <c r="AK35" s="38">
        <f>IF(A35="","",IF('Hidrograma afluente'!I42="",0,'Hidrograma afluente'!I42)+Simulação!B35)</f>
        <v>226.74638709345513</v>
      </c>
    </row>
    <row r="36" spans="1:37" s="36" customFormat="1">
      <c r="A36" s="23">
        <f t="shared" si="3"/>
        <v>31</v>
      </c>
      <c r="B36" s="24">
        <f>IF(A36="","",IF(A36&gt;tc_lot_i+tc,0,IF('Hidrograma afluente'!B43="","",'Hidrograma afluente'!B43)))</f>
        <v>4.0737011685531748</v>
      </c>
      <c r="C36" s="41">
        <f t="shared" si="4"/>
        <v>4.0737011685531748</v>
      </c>
      <c r="D36" s="41">
        <f t="shared" ca="1" si="5"/>
        <v>115</v>
      </c>
      <c r="E36" s="41">
        <f t="shared" ca="1" si="6"/>
        <v>2.546916094706893</v>
      </c>
      <c r="F36" s="41">
        <f t="shared" ca="1" si="7"/>
        <v>0</v>
      </c>
      <c r="G36" s="41">
        <f t="shared" ca="1" si="8"/>
        <v>2.546916094706893</v>
      </c>
      <c r="H36" s="41">
        <f t="shared" ca="1" si="14"/>
        <v>120.60048624239946</v>
      </c>
      <c r="I36" s="42">
        <f t="shared" ca="1" si="9"/>
        <v>92</v>
      </c>
      <c r="J36" s="18"/>
      <c r="K36" s="76"/>
      <c r="M36" s="132">
        <f t="shared" ca="1" si="0"/>
        <v>11.649767806124482</v>
      </c>
      <c r="N36" s="38">
        <f t="shared" si="10"/>
        <v>0.328125</v>
      </c>
      <c r="O36" s="36">
        <f t="shared" si="11"/>
        <v>8.75</v>
      </c>
      <c r="P36" s="38">
        <f ca="1">IF(ISERROR(IF(O36&lt;fi_h/20,0,(OFFSET('Base de dados'!$A$5,IF(O36&lt;20,1,IF(O36&gt;1000,10,MATCH(O36,Cargas,1))),Coluna_fih,1,1))*(1+0.13*0.25)*(PI()*(fi_h/1000)^2/4)*SQRT(2*9.81*(O36/100-fi_h/2/1000))*1000)),"",IF(O36&lt;fi_h/20,0,(OFFSET('Base de dados'!$A$5,IF(O36&lt;20,1,IF(O36&gt;1000,10,MATCH(O36,Cargas,1))),Coluna_fih,1,1))*(PI()*(fi_h/1000)^2/4)*SQRT(2*9.81*(O36/100-fi_h/2/1000))*1000))</f>
        <v>0.71226780612448137</v>
      </c>
      <c r="Q36" s="38">
        <f ca="1">IF(O36="","",IF(Tipo_Vertedor="Retangular",IF(O36&lt;=cota_s*100,0,IF(Tipo_Vertedor="Retangular",Cd_sr*Lef_sr*((O36/100-cota_s)^(3/2))*1000)),IF(O36&lt;=cota_s*100+fi_s/20,0,(OFFSET('Base de dados'!$A$4,IF(O36&lt;20,1,IF(O36&gt;1000,10,MATCH(O36,Cargas,1))),Coluna_fis,1,1))*(PI()*(fi_s/1000)^2/4)*(2*9.81*(O36/100-cota_s-fi_s/2/1000))^0.5*1000)))</f>
        <v>0</v>
      </c>
      <c r="R36" s="38">
        <f t="shared" ca="1" si="1"/>
        <v>0.71226780612448137</v>
      </c>
      <c r="S36" s="38">
        <f t="shared" ca="1" si="2"/>
        <v>10.9375</v>
      </c>
      <c r="AD36" s="38">
        <f t="shared" si="12"/>
        <v>13.198791786112277</v>
      </c>
      <c r="AE36" s="38">
        <f t="shared" ca="1" si="13"/>
        <v>5.9673703326458014</v>
      </c>
      <c r="AF36" s="38">
        <f ca="1">IF(ISERROR(IF('Hidrograma afluente'!I43="",0,'Hidrograma afluente'!I43)+Simulação!G36),"",IF('Hidrograma afluente'!I43="",0,'Hidrograma afluente'!I43)+Simulação!G36)</f>
        <v>225.21960201960883</v>
      </c>
      <c r="AG36" s="36">
        <v>1.8303546343469395</v>
      </c>
      <c r="AH36" s="36">
        <v>1.8303546343469395</v>
      </c>
      <c r="AI36" s="48">
        <v>115.25</v>
      </c>
      <c r="AJ36" s="36">
        <v>115.25</v>
      </c>
      <c r="AK36" s="38">
        <f>IF(A36="","",IF('Hidrograma afluente'!I43="",0,'Hidrograma afluente'!I43)+Simulação!B36)</f>
        <v>226.74638709345513</v>
      </c>
    </row>
    <row r="37" spans="1:37" s="36" customFormat="1">
      <c r="A37" s="23">
        <f t="shared" si="3"/>
        <v>32</v>
      </c>
      <c r="B37" s="24">
        <f>IF(A37="","",IF(A37&gt;tc_lot_i+tc,0,IF('Hidrograma afluente'!B44="","",'Hidrograma afluente'!B44)))</f>
        <v>4.0737011685531748</v>
      </c>
      <c r="C37" s="41">
        <f t="shared" si="4"/>
        <v>4.0737011685531748</v>
      </c>
      <c r="D37" s="41">
        <f t="shared" ca="1" si="5"/>
        <v>117.8125</v>
      </c>
      <c r="E37" s="41">
        <f t="shared" ca="1" si="6"/>
        <v>2.5784723832816754</v>
      </c>
      <c r="F37" s="41">
        <f t="shared" ca="1" si="7"/>
        <v>0</v>
      </c>
      <c r="G37" s="41">
        <f t="shared" ca="1" si="8"/>
        <v>2.5784723832816754</v>
      </c>
      <c r="H37" s="41">
        <f t="shared" ca="1" si="14"/>
        <v>123.38142995382466</v>
      </c>
      <c r="I37" s="42">
        <f t="shared" ca="1" si="9"/>
        <v>94.25</v>
      </c>
      <c r="J37" s="18"/>
      <c r="K37" s="76"/>
      <c r="M37" s="132">
        <f t="shared" ca="1" si="0"/>
        <v>11.974893174126125</v>
      </c>
      <c r="N37" s="38">
        <f t="shared" si="10"/>
        <v>0.33749999999999997</v>
      </c>
      <c r="O37" s="36">
        <f t="shared" si="11"/>
        <v>9</v>
      </c>
      <c r="P37" s="38">
        <f ca="1">IF(ISERROR(IF(O37&lt;fi_h/20,0,(OFFSET('Base de dados'!$A$5,IF(O37&lt;20,1,IF(O37&gt;1000,10,MATCH(O37,Cargas,1))),Coluna_fih,1,1))*(1+0.13*0.25)*(PI()*(fi_h/1000)^2/4)*SQRT(2*9.81*(O37/100-fi_h/2/1000))*1000)),"",IF(O37&lt;fi_h/20,0,(OFFSET('Base de dados'!$A$5,IF(O37&lt;20,1,IF(O37&gt;1000,10,MATCH(O37,Cargas,1))),Coluna_fih,1,1))*(PI()*(fi_h/1000)^2/4)*SQRT(2*9.81*(O37/100-fi_h/2/1000))*1000))</f>
        <v>0.72489317412612619</v>
      </c>
      <c r="Q37" s="38">
        <f ca="1">IF(O37="","",IF(Tipo_Vertedor="Retangular",IF(O37&lt;=cota_s*100,0,IF(Tipo_Vertedor="Retangular",Cd_sr*Lef_sr*((O37/100-cota_s)^(3/2))*1000)),IF(O37&lt;=cota_s*100+fi_s/20,0,(OFFSET('Base de dados'!$A$4,IF(O37&lt;20,1,IF(O37&gt;1000,10,MATCH(O37,Cargas,1))),Coluna_fis,1,1))*(PI()*(fi_s/1000)^2/4)*(2*9.81*(O37/100-cota_s-fi_s/2/1000))^0.5*1000)))</f>
        <v>0</v>
      </c>
      <c r="R37" s="38">
        <f t="shared" ca="1" si="1"/>
        <v>0.72489317412612619</v>
      </c>
      <c r="S37" s="38">
        <f t="shared" ca="1" si="2"/>
        <v>11.249999999999998</v>
      </c>
      <c r="AD37" s="38">
        <f t="shared" si="12"/>
        <v>13.687635926338658</v>
      </c>
      <c r="AE37" s="38">
        <f t="shared" ca="1" si="13"/>
        <v>6.2748936413251153</v>
      </c>
      <c r="AF37" s="38">
        <f ca="1">IF(ISERROR(IF('Hidrograma afluente'!I44="",0,'Hidrograma afluente'!I44)+Simulação!G37),"",IF('Hidrograma afluente'!I44="",0,'Hidrograma afluente'!I44)+Simulação!G37)</f>
        <v>225.25115830818362</v>
      </c>
      <c r="AG37" s="36">
        <v>1.8582738003803154</v>
      </c>
      <c r="AH37" s="36">
        <v>1.8582738003803154</v>
      </c>
      <c r="AI37" s="48">
        <v>118.75</v>
      </c>
      <c r="AJ37" s="36">
        <v>118.75</v>
      </c>
      <c r="AK37" s="38">
        <f>IF(A37="","",IF('Hidrograma afluente'!I44="",0,'Hidrograma afluente'!I44)+Simulação!B37)</f>
        <v>226.74638709345513</v>
      </c>
    </row>
    <row r="38" spans="1:37" s="36" customFormat="1">
      <c r="A38" s="23">
        <f t="shared" si="3"/>
        <v>33</v>
      </c>
      <c r="B38" s="24">
        <f>IF(A38="","",IF(A38&gt;tc_lot_i+tc,0,IF('Hidrograma afluente'!B45="","",'Hidrograma afluente'!B45)))</f>
        <v>4.0737011685531748</v>
      </c>
      <c r="C38" s="41">
        <f t="shared" si="4"/>
        <v>4.0737011685531748</v>
      </c>
      <c r="D38" s="41">
        <f t="shared" ca="1" si="5"/>
        <v>120.625</v>
      </c>
      <c r="E38" s="41">
        <f t="shared" ca="1" si="6"/>
        <v>2.609647115840676</v>
      </c>
      <c r="F38" s="41">
        <f t="shared" ca="1" si="7"/>
        <v>0</v>
      </c>
      <c r="G38" s="41">
        <f t="shared" ca="1" si="8"/>
        <v>2.609647115840676</v>
      </c>
      <c r="H38" s="41">
        <f t="shared" ca="1" si="14"/>
        <v>126.16275522126567</v>
      </c>
      <c r="I38" s="42">
        <f t="shared" ca="1" si="9"/>
        <v>96.5</v>
      </c>
      <c r="J38" s="18"/>
      <c r="K38" s="76"/>
      <c r="M38" s="132">
        <f t="shared" ca="1" si="0"/>
        <v>12.299802380402992</v>
      </c>
      <c r="N38" s="38">
        <f t="shared" si="10"/>
        <v>0.34687499999999999</v>
      </c>
      <c r="O38" s="36">
        <f t="shared" si="11"/>
        <v>9.25</v>
      </c>
      <c r="P38" s="38">
        <f ca="1">IF(ISERROR(IF(O38&lt;fi_h/20,0,(OFFSET('Base de dados'!$A$5,IF(O38&lt;20,1,IF(O38&gt;1000,10,MATCH(O38,Cargas,1))),Coluna_fih,1,1))*(1+0.13*0.25)*(PI()*(fi_h/1000)^2/4)*SQRT(2*9.81*(O38/100-fi_h/2/1000))*1000)),"",IF(O38&lt;fi_h/20,0,(OFFSET('Base de dados'!$A$5,IF(O38&lt;20,1,IF(O38&gt;1000,10,MATCH(O38,Cargas,1))),Coluna_fih,1,1))*(PI()*(fi_h/1000)^2/4)*SQRT(2*9.81*(O38/100-fi_h/2/1000))*1000))</f>
        <v>0.73730238040299223</v>
      </c>
      <c r="Q38" s="38">
        <f ca="1">IF(O38="","",IF(Tipo_Vertedor="Retangular",IF(O38&lt;=cota_s*100,0,IF(Tipo_Vertedor="Retangular",Cd_sr*Lef_sr*((O38/100-cota_s)^(3/2))*1000)),IF(O38&lt;=cota_s*100+fi_s/20,0,(OFFSET('Base de dados'!$A$4,IF(O38&lt;20,1,IF(O38&gt;1000,10,MATCH(O38,Cargas,1))),Coluna_fis,1,1))*(PI()*(fi_s/1000)^2/4)*(2*9.81*(O38/100-cota_s-fi_s/2/1000))^0.5*1000)))</f>
        <v>0</v>
      </c>
      <c r="R38" s="38">
        <f t="shared" ca="1" si="1"/>
        <v>0.73730238040299223</v>
      </c>
      <c r="S38" s="38">
        <f t="shared" ca="1" si="2"/>
        <v>11.5625</v>
      </c>
      <c r="AD38" s="38">
        <f t="shared" si="12"/>
        <v>14.176480066565038</v>
      </c>
      <c r="AE38" s="38">
        <f t="shared" ca="1" si="13"/>
        <v>6.586180811272456</v>
      </c>
      <c r="AF38" s="38">
        <f ca="1">IF(ISERROR(IF('Hidrograma afluente'!I45="",0,'Hidrograma afluente'!I45)+Simulação!G38),"",IF('Hidrograma afluente'!I45="",0,'Hidrograma afluente'!I45)+Simulação!G38)</f>
        <v>225.28233304074263</v>
      </c>
      <c r="AG38" s="36">
        <v>1.885779665518875</v>
      </c>
      <c r="AH38" s="36">
        <v>2.018640394175383</v>
      </c>
      <c r="AI38" s="48">
        <v>122.25</v>
      </c>
      <c r="AJ38" s="36">
        <v>122</v>
      </c>
      <c r="AK38" s="38">
        <f>IF(A38="","",IF('Hidrograma afluente'!I45="",0,'Hidrograma afluente'!I45)+Simulação!B38)</f>
        <v>226.74638709345513</v>
      </c>
    </row>
    <row r="39" spans="1:37" s="36" customFormat="1">
      <c r="A39" s="23">
        <f t="shared" si="3"/>
        <v>34</v>
      </c>
      <c r="B39" s="24">
        <f>IF(A39="","",IF(A39&gt;tc_lot_i+tc,0,IF('Hidrograma afluente'!B46="","",'Hidrograma afluente'!B46)))</f>
        <v>4.0737011685531748</v>
      </c>
      <c r="C39" s="41">
        <f t="shared" si="4"/>
        <v>4.0737011685531748</v>
      </c>
      <c r="D39" s="41">
        <f t="shared" ca="1" si="5"/>
        <v>123.4375</v>
      </c>
      <c r="E39" s="41">
        <f t="shared" ca="1" si="6"/>
        <v>2.64045380703485</v>
      </c>
      <c r="F39" s="41">
        <f t="shared" ca="1" si="7"/>
        <v>0</v>
      </c>
      <c r="G39" s="41">
        <f t="shared" ca="1" si="8"/>
        <v>2.64045380703485</v>
      </c>
      <c r="H39" s="41">
        <f t="shared" ca="1" si="14"/>
        <v>128.9444485300715</v>
      </c>
      <c r="I39" s="42">
        <f t="shared" ca="1" si="9"/>
        <v>98.75</v>
      </c>
      <c r="J39" s="18"/>
      <c r="K39" s="76"/>
      <c r="M39" s="132">
        <f t="shared" ca="1" si="0"/>
        <v>12.62450616168327</v>
      </c>
      <c r="N39" s="38">
        <f t="shared" si="10"/>
        <v>0.35625000000000001</v>
      </c>
      <c r="O39" s="36">
        <f t="shared" si="11"/>
        <v>9.5</v>
      </c>
      <c r="P39" s="38">
        <f ca="1">IF(ISERROR(IF(O39&lt;fi_h/20,0,(OFFSET('Base de dados'!$A$5,IF(O39&lt;20,1,IF(O39&gt;1000,10,MATCH(O39,Cargas,1))),Coluna_fih,1,1))*(1+0.13*0.25)*(PI()*(fi_h/1000)^2/4)*SQRT(2*9.81*(O39/100-fi_h/2/1000))*1000)),"",IF(O39&lt;fi_h/20,0,(OFFSET('Base de dados'!$A$5,IF(O39&lt;20,1,IF(O39&gt;1000,10,MATCH(O39,Cargas,1))),Coluna_fih,1,1))*(PI()*(fi_h/1000)^2/4)*SQRT(2*9.81*(O39/100-fi_h/2/1000))*1000))</f>
        <v>0.74950616168326922</v>
      </c>
      <c r="Q39" s="38">
        <f ca="1">IF(O39="","",IF(Tipo_Vertedor="Retangular",IF(O39&lt;=cota_s*100,0,IF(Tipo_Vertedor="Retangular",Cd_sr*Lef_sr*((O39/100-cota_s)^(3/2))*1000)),IF(O39&lt;=cota_s*100+fi_s/20,0,(OFFSET('Base de dados'!$A$4,IF(O39&lt;20,1,IF(O39&gt;1000,10,MATCH(O39,Cargas,1))),Coluna_fis,1,1))*(PI()*(fi_s/1000)^2/4)*(2*9.81*(O39/100-cota_s-fi_s/2/1000))^0.5*1000)))</f>
        <v>0</v>
      </c>
      <c r="R39" s="38">
        <f t="shared" ca="1" si="1"/>
        <v>0.74950616168326922</v>
      </c>
      <c r="S39" s="38">
        <f t="shared" ca="1" si="2"/>
        <v>11.875</v>
      </c>
      <c r="AD39" s="38">
        <f t="shared" si="12"/>
        <v>14.665324206791418</v>
      </c>
      <c r="AE39" s="38">
        <f t="shared" ca="1" si="13"/>
        <v>6.9011868666449878</v>
      </c>
      <c r="AF39" s="38">
        <f ca="1">IF(ISERROR(IF('Hidrograma afluente'!I46="",0,'Hidrograma afluente'!I46)+Simulação!G39),"",IF('Hidrograma afluente'!I46="",0,'Hidrograma afluente'!I46)+Simulação!G39)</f>
        <v>225.31313973193679</v>
      </c>
      <c r="AG39" s="36">
        <v>1.9109663569316047</v>
      </c>
      <c r="AH39" s="36">
        <v>2.2350706597772709</v>
      </c>
      <c r="AI39" s="48">
        <v>125.5</v>
      </c>
      <c r="AJ39" s="36">
        <v>125</v>
      </c>
      <c r="AK39" s="38">
        <f>IF(A39="","",IF('Hidrograma afluente'!I46="",0,'Hidrograma afluente'!I46)+Simulação!B39)</f>
        <v>226.74638709345513</v>
      </c>
    </row>
    <row r="40" spans="1:37" s="36" customFormat="1">
      <c r="A40" s="23">
        <f t="shared" si="3"/>
        <v>35</v>
      </c>
      <c r="B40" s="24">
        <f>IF(A40="","",IF(A40&gt;tc_lot_i+tc,0,IF('Hidrograma afluente'!B47="","",'Hidrograma afluente'!B47)))</f>
        <v>4.0737011685531748</v>
      </c>
      <c r="C40" s="41">
        <f t="shared" si="4"/>
        <v>3.5644885224840279</v>
      </c>
      <c r="D40" s="41">
        <f t="shared" ca="1" si="5"/>
        <v>126.25</v>
      </c>
      <c r="E40" s="41">
        <f t="shared" ca="1" si="6"/>
        <v>2.670905192056451</v>
      </c>
      <c r="F40" s="41">
        <f t="shared" ca="1" si="7"/>
        <v>0</v>
      </c>
      <c r="G40" s="41">
        <f t="shared" ca="1" si="8"/>
        <v>2.670905192056451</v>
      </c>
      <c r="H40" s="41">
        <f t="shared" ca="1" si="14"/>
        <v>131.21728449898077</v>
      </c>
      <c r="I40" s="42">
        <f t="shared" ca="1" si="9"/>
        <v>101</v>
      </c>
      <c r="J40" s="18"/>
      <c r="K40" s="76"/>
      <c r="M40" s="132">
        <f t="shared" ca="1" si="0"/>
        <v>12.949014394252963</v>
      </c>
      <c r="N40" s="38">
        <f t="shared" si="10"/>
        <v>0.36562500000000003</v>
      </c>
      <c r="O40" s="36">
        <f t="shared" si="11"/>
        <v>9.75</v>
      </c>
      <c r="P40" s="38">
        <f ca="1">IF(ISERROR(IF(O40&lt;fi_h/20,0,(OFFSET('Base de dados'!$A$5,IF(O40&lt;20,1,IF(O40&gt;1000,10,MATCH(O40,Cargas,1))),Coluna_fih,1,1))*(1+0.13*0.25)*(PI()*(fi_h/1000)^2/4)*SQRT(2*9.81*(O40/100-fi_h/2/1000))*1000)),"",IF(O40&lt;fi_h/20,0,(OFFSET('Base de dados'!$A$5,IF(O40&lt;20,1,IF(O40&gt;1000,10,MATCH(O40,Cargas,1))),Coluna_fih,1,1))*(PI()*(fi_h/1000)^2/4)*SQRT(2*9.81*(O40/100-fi_h/2/1000))*1000))</f>
        <v>0.76151439425296163</v>
      </c>
      <c r="Q40" s="38">
        <f ca="1">IF(O40="","",IF(Tipo_Vertedor="Retangular",IF(O40&lt;=cota_s*100,0,IF(Tipo_Vertedor="Retangular",Cd_sr*Lef_sr*((O40/100-cota_s)^(3/2))*1000)),IF(O40&lt;=cota_s*100+fi_s/20,0,(OFFSET('Base de dados'!$A$4,IF(O40&lt;20,1,IF(O40&gt;1000,10,MATCH(O40,Cargas,1))),Coluna_fis,1,1))*(PI()*(fi_s/1000)^2/4)*(2*9.81*(O40/100-cota_s-fi_s/2/1000))^0.5*1000)))</f>
        <v>0</v>
      </c>
      <c r="R40" s="38">
        <f t="shared" ca="1" si="1"/>
        <v>0.76151439425296163</v>
      </c>
      <c r="S40" s="38">
        <f t="shared" ca="1" si="2"/>
        <v>12.187500000000002</v>
      </c>
      <c r="AD40" s="38">
        <f t="shared" si="12"/>
        <v>15.154168347017798</v>
      </c>
      <c r="AE40" s="38">
        <f t="shared" ca="1" si="13"/>
        <v>7.2198684065904661</v>
      </c>
      <c r="AF40" s="38">
        <f ca="1">IF(ISERROR(IF('Hidrograma afluente'!I47="",0,'Hidrograma afluente'!I47)+Simulação!G40),"",IF('Hidrograma afluente'!I47="",0,'Hidrograma afluente'!I47)+Simulação!G40)</f>
        <v>225.34359111695838</v>
      </c>
      <c r="AG40" s="36">
        <v>1.9358253763613127</v>
      </c>
      <c r="AH40" s="36">
        <v>2.3635144850544241</v>
      </c>
      <c r="AI40" s="48">
        <v>128.75</v>
      </c>
      <c r="AJ40" s="36">
        <v>127.75</v>
      </c>
      <c r="AK40" s="38">
        <f>IF(A40="","",IF('Hidrograma afluente'!I47="",0,'Hidrograma afluente'!I47)+Simulação!B40)</f>
        <v>226.74638709345513</v>
      </c>
    </row>
    <row r="41" spans="1:37" s="36" customFormat="1">
      <c r="A41" s="23">
        <f t="shared" si="3"/>
        <v>36</v>
      </c>
      <c r="B41" s="24">
        <f>IF(A41="","",IF(A41&gt;tc_lot_i+tc,0,IF('Hidrograma afluente'!B48="","",'Hidrograma afluente'!B48)))</f>
        <v>3.5644885224840279</v>
      </c>
      <c r="C41" s="41">
        <f t="shared" si="4"/>
        <v>3.0552758764148811</v>
      </c>
      <c r="D41" s="41">
        <f t="shared" ca="1" si="5"/>
        <v>128.43750000000003</v>
      </c>
      <c r="E41" s="41">
        <f t="shared" ca="1" si="6"/>
        <v>2.6943516756700054</v>
      </c>
      <c r="F41" s="41">
        <f t="shared" ca="1" si="7"/>
        <v>0</v>
      </c>
      <c r="G41" s="41">
        <f t="shared" ca="1" si="8"/>
        <v>2.6943516756700054</v>
      </c>
      <c r="H41" s="41">
        <f t="shared" ca="1" si="14"/>
        <v>132.36291272322896</v>
      </c>
      <c r="I41" s="42">
        <f t="shared" ca="1" si="9"/>
        <v>102.75</v>
      </c>
      <c r="J41" s="18"/>
      <c r="K41" s="76"/>
      <c r="M41" s="132">
        <f t="shared" ca="1" si="0"/>
        <v>13.27333618750691</v>
      </c>
      <c r="N41" s="38">
        <f t="shared" si="10"/>
        <v>0.375</v>
      </c>
      <c r="O41" s="36">
        <f t="shared" si="11"/>
        <v>10</v>
      </c>
      <c r="P41" s="38">
        <f ca="1">IF(ISERROR(IF(O41&lt;fi_h/20,0,(OFFSET('Base de dados'!$A$5,IF(O41&lt;20,1,IF(O41&gt;1000,10,MATCH(O41,Cargas,1))),Coluna_fih,1,1))*(1+0.13*0.25)*(PI()*(fi_h/1000)^2/4)*SQRT(2*9.81*(O41/100-fi_h/2/1000))*1000)),"",IF(O41&lt;fi_h/20,0,(OFFSET('Base de dados'!$A$5,IF(O41&lt;20,1,IF(O41&gt;1000,10,MATCH(O41,Cargas,1))),Coluna_fih,1,1))*(PI()*(fi_h/1000)^2/4)*SQRT(2*9.81*(O41/100-fi_h/2/1000))*1000))</f>
        <v>0.77333618750691047</v>
      </c>
      <c r="Q41" s="38">
        <f ca="1">IF(O41="","",IF(Tipo_Vertedor="Retangular",IF(O41&lt;=cota_s*100,0,IF(Tipo_Vertedor="Retangular",Cd_sr*Lef_sr*((O41/100-cota_s)^(3/2))*1000)),IF(O41&lt;=cota_s*100+fi_s/20,0,(OFFSET('Base de dados'!$A$4,IF(O41&lt;20,1,IF(O41&gt;1000,10,MATCH(O41,Cargas,1))),Coluna_fis,1,1))*(PI()*(fi_s/1000)^2/4)*(2*9.81*(O41/100-cota_s-fi_s/2/1000))^0.5*1000)))</f>
        <v>0</v>
      </c>
      <c r="R41" s="38">
        <f t="shared" ca="1" si="1"/>
        <v>0.77333618750691047</v>
      </c>
      <c r="S41" s="38">
        <f t="shared" ca="1" si="2"/>
        <v>12.5</v>
      </c>
      <c r="AD41" s="38">
        <f t="shared" si="12"/>
        <v>15.612459728480029</v>
      </c>
      <c r="AE41" s="38">
        <f t="shared" ca="1" si="13"/>
        <v>7.5417838186540536</v>
      </c>
      <c r="AF41" s="38">
        <f ca="1">IF(ISERROR(IF('Hidrograma afluente'!I48="",0,'Hidrograma afluente'!I48)+Simulação!G41),"",IF('Hidrograma afluente'!I48="",0,'Hidrograma afluente'!I48)+Simulação!G41)</f>
        <v>205.1240661528536</v>
      </c>
      <c r="AG41" s="36">
        <v>1.9566132575639879</v>
      </c>
      <c r="AH41" s="36">
        <v>2.4517857747747969</v>
      </c>
      <c r="AI41" s="48">
        <v>131.5</v>
      </c>
      <c r="AJ41" s="36">
        <v>130</v>
      </c>
      <c r="AK41" s="38">
        <f>IF(A41="","",IF('Hidrograma afluente'!I48="",0,'Hidrograma afluente'!I48)+Simulação!B41)</f>
        <v>205.99420299966764</v>
      </c>
    </row>
    <row r="42" spans="1:37" s="36" customFormat="1">
      <c r="A42" s="23">
        <f t="shared" si="3"/>
        <v>37</v>
      </c>
      <c r="B42" s="24">
        <f>IF(A42="","",IF(A42&gt;tc_lot_i+tc,0,IF('Hidrograma afluente'!B49="","",'Hidrograma afluente'!B49)))</f>
        <v>3.0552758764148811</v>
      </c>
      <c r="C42" s="41">
        <f t="shared" si="4"/>
        <v>2.5460632303457342</v>
      </c>
      <c r="D42" s="41">
        <f t="shared" ca="1" si="5"/>
        <v>129.37499999999997</v>
      </c>
      <c r="E42" s="41">
        <f t="shared" ca="1" si="6"/>
        <v>2.7043379408169734</v>
      </c>
      <c r="F42" s="41">
        <f t="shared" ca="1" si="7"/>
        <v>0</v>
      </c>
      <c r="G42" s="41">
        <f t="shared" ca="1" si="8"/>
        <v>2.7043379408169734</v>
      </c>
      <c r="H42" s="41">
        <f t="shared" ca="1" si="14"/>
        <v>132.27200116594361</v>
      </c>
      <c r="I42" s="42">
        <f t="shared" ca="1" si="9"/>
        <v>103.5</v>
      </c>
      <c r="J42" s="18"/>
      <c r="K42" s="76"/>
      <c r="M42" s="132">
        <f t="shared" ca="1" si="0"/>
        <v>13.597479964815019</v>
      </c>
      <c r="N42" s="38">
        <f t="shared" si="10"/>
        <v>0.38437499999999997</v>
      </c>
      <c r="O42" s="36">
        <f t="shared" si="11"/>
        <v>10.25</v>
      </c>
      <c r="P42" s="38">
        <f ca="1">IF(ISERROR(IF(O42&lt;fi_h/20,0,(OFFSET('Base de dados'!$A$5,IF(O42&lt;20,1,IF(O42&gt;1000,10,MATCH(O42,Cargas,1))),Coluna_fih,1,1))*(1+0.13*0.25)*(PI()*(fi_h/1000)^2/4)*SQRT(2*9.81*(O42/100-fi_h/2/1000))*1000)),"",IF(O42&lt;fi_h/20,0,(OFFSET('Base de dados'!$A$5,IF(O42&lt;20,1,IF(O42&gt;1000,10,MATCH(O42,Cargas,1))),Coluna_fih,1,1))*(PI()*(fi_h/1000)^2/4)*SQRT(2*9.81*(O42/100-fi_h/2/1000))*1000))</f>
        <v>0.78497996481502108</v>
      </c>
      <c r="Q42" s="38">
        <f ca="1">IF(O42="","",IF(Tipo_Vertedor="Retangular",IF(O42&lt;=cota_s*100,0,IF(Tipo_Vertedor="Retangular",Cd_sr*Lef_sr*((O42/100-cota_s)^(3/2))*1000)),IF(O42&lt;=cota_s*100+fi_s/20,0,(OFFSET('Base de dados'!$A$4,IF(O42&lt;20,1,IF(O42&gt;1000,10,MATCH(O42,Cargas,1))),Coluna_fis,1,1))*(PI()*(fi_s/1000)^2/4)*(2*9.81*(O42/100-cota_s-fi_s/2/1000))^0.5*1000)))</f>
        <v>0</v>
      </c>
      <c r="R42" s="38">
        <f t="shared" ca="1" si="1"/>
        <v>0.78497996481502108</v>
      </c>
      <c r="S42" s="38">
        <f t="shared" ca="1" si="2"/>
        <v>12.812499999999998</v>
      </c>
      <c r="AD42" s="38">
        <f t="shared" si="12"/>
        <v>16.009645592413964</v>
      </c>
      <c r="AE42" s="38">
        <f t="shared" ca="1" si="13"/>
        <v>7.8657051956432724</v>
      </c>
      <c r="AF42" s="38">
        <f ca="1">IF(ISERROR(IF('Hidrograma afluente'!I49="",0,'Hidrograma afluente'!I49)+Simulação!G42),"",IF('Hidrograma afluente'!I49="",0,'Hidrograma afluente'!I49)+Simulação!G42)</f>
        <v>184.89108097028219</v>
      </c>
      <c r="AG42" s="36">
        <v>2.2969992168274245</v>
      </c>
      <c r="AH42" s="36">
        <v>2.4967365462236923</v>
      </c>
      <c r="AI42" s="48">
        <v>133.25</v>
      </c>
      <c r="AJ42" s="36">
        <v>131.25</v>
      </c>
      <c r="AK42" s="38">
        <f>IF(A42="","",IF('Hidrograma afluente'!I49="",0,'Hidrograma afluente'!I49)+Simulação!B42)</f>
        <v>185.24201890588009</v>
      </c>
    </row>
    <row r="43" spans="1:37" s="36" customFormat="1">
      <c r="A43" s="23">
        <f t="shared" si="3"/>
        <v>38</v>
      </c>
      <c r="B43" s="24">
        <f>IF(A43="","",IF(A43&gt;tc_lot_i+tc,0,IF('Hidrograma afluente'!B50="","",'Hidrograma afluente'!B50)))</f>
        <v>2.5460632303457342</v>
      </c>
      <c r="C43" s="41">
        <f t="shared" si="4"/>
        <v>2.0368505842765874</v>
      </c>
      <c r="D43" s="41">
        <f t="shared" ca="1" si="5"/>
        <v>129.37499999999997</v>
      </c>
      <c r="E43" s="41">
        <f t="shared" ca="1" si="6"/>
        <v>2.7043379408169734</v>
      </c>
      <c r="F43" s="41">
        <f t="shared" ca="1" si="7"/>
        <v>0</v>
      </c>
      <c r="G43" s="41">
        <f t="shared" ca="1" si="8"/>
        <v>2.7043379408169734</v>
      </c>
      <c r="H43" s="41">
        <f t="shared" ca="1" si="14"/>
        <v>131.25357587380532</v>
      </c>
      <c r="I43" s="42">
        <f t="shared" ca="1" si="9"/>
        <v>103.5</v>
      </c>
      <c r="J43" s="18"/>
      <c r="K43" s="76"/>
      <c r="M43" s="132">
        <f t="shared" ca="1" si="0"/>
        <v>13.9214535337446</v>
      </c>
      <c r="N43" s="38">
        <f t="shared" si="10"/>
        <v>0.39374999999999999</v>
      </c>
      <c r="O43" s="36">
        <f t="shared" si="11"/>
        <v>10.5</v>
      </c>
      <c r="P43" s="38">
        <f ca="1">IF(ISERROR(IF(O43&lt;fi_h/20,0,(OFFSET('Base de dados'!$A$5,IF(O43&lt;20,1,IF(O43&gt;1000,10,MATCH(O43,Cargas,1))),Coluna_fih,1,1))*(1+0.13*0.25)*(PI()*(fi_h/1000)^2/4)*SQRT(2*9.81*(O43/100-fi_h/2/1000))*1000)),"",IF(O43&lt;fi_h/20,0,(OFFSET('Base de dados'!$A$5,IF(O43&lt;20,1,IF(O43&gt;1000,10,MATCH(O43,Cargas,1))),Coluna_fih,1,1))*(PI()*(fi_h/1000)^2/4)*SQRT(2*9.81*(O43/100-fi_h/2/1000))*1000))</f>
        <v>0.7964535337445996</v>
      </c>
      <c r="Q43" s="38">
        <f ca="1">IF(O43="","",IF(Tipo_Vertedor="Retangular",IF(O43&lt;=cota_s*100,0,IF(Tipo_Vertedor="Retangular",Cd_sr*Lef_sr*((O43/100-cota_s)^(3/2))*1000)),IF(O43&lt;=cota_s*100+fi_s/20,0,(OFFSET('Base de dados'!$A$4,IF(O43&lt;20,1,IF(O43&gt;1000,10,MATCH(O43,Cargas,1))),Coluna_fis,1,1))*(PI()*(fi_s/1000)^2/4)*(2*9.81*(O43/100-cota_s-fi_s/2/1000))^0.5*1000)))</f>
        <v>0</v>
      </c>
      <c r="R43" s="38">
        <f t="shared" ca="1" si="1"/>
        <v>0.7964535337445996</v>
      </c>
      <c r="S43" s="38">
        <f t="shared" ca="1" si="2"/>
        <v>13.125</v>
      </c>
      <c r="AD43" s="38">
        <f t="shared" si="12"/>
        <v>16.345725938819601</v>
      </c>
      <c r="AE43" s="38">
        <f t="shared" ca="1" si="13"/>
        <v>8.1902257485413088</v>
      </c>
      <c r="AF43" s="38">
        <f ca="1">IF(ISERROR(IF('Hidrograma afluente'!I50="",0,'Hidrograma afluente'!I50)+Simulação!G43),"",IF('Hidrograma afluente'!I50="",0,'Hidrograma afluente'!I50)+Simulação!G43)</f>
        <v>164.64810952256386</v>
      </c>
      <c r="AG43" s="36">
        <v>2.3516761689601116</v>
      </c>
      <c r="AH43" s="36">
        <v>2.5054454538656419</v>
      </c>
      <c r="AI43" s="48">
        <v>133.75</v>
      </c>
      <c r="AJ43" s="36">
        <v>131.5</v>
      </c>
      <c r="AK43" s="38">
        <f>IF(A43="","",IF('Hidrograma afluente'!I50="",0,'Hidrograma afluente'!I50)+Simulação!B43)</f>
        <v>164.48983481209262</v>
      </c>
    </row>
    <row r="44" spans="1:37" s="36" customFormat="1">
      <c r="A44" s="23">
        <f t="shared" si="3"/>
        <v>39</v>
      </c>
      <c r="B44" s="24">
        <f>IF(A44="","",IF(A44&gt;tc_lot_i+tc,0,IF('Hidrograma afluente'!B51="","",'Hidrograma afluente'!B51)))</f>
        <v>2.0368505842765874</v>
      </c>
      <c r="C44" s="41">
        <f t="shared" si="4"/>
        <v>1.5276379382074405</v>
      </c>
      <c r="D44" s="41">
        <f t="shared" ca="1" si="5"/>
        <v>128.43750000000003</v>
      </c>
      <c r="E44" s="41">
        <f t="shared" ca="1" si="6"/>
        <v>2.6943516756700054</v>
      </c>
      <c r="F44" s="41">
        <f t="shared" ca="1" si="7"/>
        <v>0</v>
      </c>
      <c r="G44" s="41">
        <f t="shared" ca="1" si="8"/>
        <v>2.6943516756700054</v>
      </c>
      <c r="H44" s="41">
        <f t="shared" ca="1" si="14"/>
        <v>129.30763684681406</v>
      </c>
      <c r="I44" s="42">
        <f t="shared" ca="1" si="9"/>
        <v>102.75</v>
      </c>
      <c r="J44" s="18"/>
      <c r="K44" s="76"/>
      <c r="M44" s="132">
        <f t="shared" ca="1" si="0"/>
        <v>14.24526414730262</v>
      </c>
      <c r="N44" s="38">
        <f t="shared" si="10"/>
        <v>0.40312500000000001</v>
      </c>
      <c r="O44" s="36">
        <f t="shared" si="11"/>
        <v>10.75</v>
      </c>
      <c r="P44" s="38">
        <f ca="1">IF(ISERROR(IF(O44&lt;fi_h/20,0,(OFFSET('Base de dados'!$A$5,IF(O44&lt;20,1,IF(O44&gt;1000,10,MATCH(O44,Cargas,1))),Coluna_fih,1,1))*(1+0.13*0.25)*(PI()*(fi_h/1000)^2/4)*SQRT(2*9.81*(O44/100-fi_h/2/1000))*1000)),"",IF(O44&lt;fi_h/20,0,(OFFSET('Base de dados'!$A$5,IF(O44&lt;20,1,IF(O44&gt;1000,10,MATCH(O44,Cargas,1))),Coluna_fih,1,1))*(PI()*(fi_h/1000)^2/4)*SQRT(2*9.81*(O44/100-fi_h/2/1000))*1000))</f>
        <v>0.80776414730261969</v>
      </c>
      <c r="Q44" s="38">
        <f ca="1">IF(O44="","",IF(Tipo_Vertedor="Retangular",IF(O44&lt;=cota_s*100,0,IF(Tipo_Vertedor="Retangular",Cd_sr*Lef_sr*((O44/100-cota_s)^(3/2))*1000)),IF(O44&lt;=cota_s*100+fi_s/20,0,(OFFSET('Base de dados'!$A$4,IF(O44&lt;20,1,IF(O44&gt;1000,10,MATCH(O44,Cargas,1))),Coluna_fis,1,1))*(PI()*(fi_s/1000)^2/4)*(2*9.81*(O44/100-cota_s-fi_s/2/1000))^0.5*1000)))</f>
        <v>0</v>
      </c>
      <c r="R44" s="38">
        <f t="shared" ca="1" si="1"/>
        <v>0.80776414730261969</v>
      </c>
      <c r="S44" s="38">
        <f t="shared" ca="1" si="2"/>
        <v>13.4375</v>
      </c>
      <c r="AD44" s="38">
        <f t="shared" si="12"/>
        <v>16.620700767696942</v>
      </c>
      <c r="AE44" s="38">
        <f t="shared" ca="1" si="13"/>
        <v>8.5141471255305277</v>
      </c>
      <c r="AF44" s="38">
        <f ca="1">IF(ISERROR(IF('Hidrograma afluente'!I51="",0,'Hidrograma afluente'!I51)+Simulação!G44),"",IF('Hidrograma afluente'!I51="",0,'Hidrograma afluente'!I51)+Simulação!G44)</f>
        <v>144.39515180969849</v>
      </c>
      <c r="AG44" s="36">
        <v>2.3252571290066979</v>
      </c>
      <c r="AH44" s="36">
        <v>2.4879386997855439</v>
      </c>
      <c r="AI44" s="48">
        <v>133.5</v>
      </c>
      <c r="AJ44" s="36">
        <v>131</v>
      </c>
      <c r="AK44" s="38">
        <f>IF(A44="","",IF('Hidrograma afluente'!I51="",0,'Hidrograma afluente'!I51)+Simulação!B44)</f>
        <v>143.73765071830508</v>
      </c>
    </row>
    <row r="45" spans="1:37" s="36" customFormat="1">
      <c r="A45" s="23">
        <f t="shared" si="3"/>
        <v>40</v>
      </c>
      <c r="B45" s="24">
        <f>IF(A45="","",IF(A45&gt;tc_lot_i+tc,0,IF('Hidrograma afluente'!B52="","",'Hidrograma afluente'!B52)))</f>
        <v>1.5276379382074405</v>
      </c>
      <c r="C45" s="41">
        <f t="shared" si="4"/>
        <v>1.0184252921382937</v>
      </c>
      <c r="D45" s="41">
        <f t="shared" ca="1" si="5"/>
        <v>126.5625</v>
      </c>
      <c r="E45" s="41">
        <f t="shared" ca="1" si="6"/>
        <v>2.6742672753995462</v>
      </c>
      <c r="F45" s="41">
        <f t="shared" ca="1" si="7"/>
        <v>0</v>
      </c>
      <c r="G45" s="41">
        <f t="shared" ca="1" si="8"/>
        <v>2.6742672753995462</v>
      </c>
      <c r="H45" s="41">
        <f t="shared" ca="1" si="14"/>
        <v>126.43429595494619</v>
      </c>
      <c r="I45" s="42">
        <f t="shared" ca="1" si="9"/>
        <v>101.25</v>
      </c>
      <c r="J45" s="18"/>
      <c r="K45" s="76"/>
      <c r="M45" s="132">
        <f t="shared" ca="1" si="0"/>
        <v>14.568918557562837</v>
      </c>
      <c r="N45" s="38">
        <f t="shared" si="10"/>
        <v>0.41249999999999998</v>
      </c>
      <c r="O45" s="36">
        <f t="shared" si="11"/>
        <v>11</v>
      </c>
      <c r="P45" s="38">
        <f ca="1">IF(ISERROR(IF(O45&lt;fi_h/20,0,(OFFSET('Base de dados'!$A$5,IF(O45&lt;20,1,IF(O45&gt;1000,10,MATCH(O45,Cargas,1))),Coluna_fih,1,1))*(1+0.13*0.25)*(PI()*(fi_h/1000)^2/4)*SQRT(2*9.81*(O45/100-fi_h/2/1000))*1000)),"",IF(O45&lt;fi_h/20,0,(OFFSET('Base de dados'!$A$5,IF(O45&lt;20,1,IF(O45&gt;1000,10,MATCH(O45,Cargas,1))),Coluna_fih,1,1))*(PI()*(fi_h/1000)^2/4)*SQRT(2*9.81*(O45/100-fi_h/2/1000))*1000))</f>
        <v>0.81891855756283649</v>
      </c>
      <c r="Q45" s="38">
        <f ca="1">IF(O45="","",IF(Tipo_Vertedor="Retangular",IF(O45&lt;=cota_s*100,0,IF(Tipo_Vertedor="Retangular",Cd_sr*Lef_sr*((O45/100-cota_s)^(3/2))*1000)),IF(O45&lt;=cota_s*100+fi_s/20,0,(OFFSET('Base de dados'!$A$4,IF(O45&lt;20,1,IF(O45&gt;1000,10,MATCH(O45,Cargas,1))),Coluna_fis,1,1))*(PI()*(fi_s/1000)^2/4)*(2*9.81*(O45/100-cota_s-fi_s/2/1000))^0.5*1000)))</f>
        <v>0</v>
      </c>
      <c r="R45" s="38">
        <f t="shared" ca="1" si="1"/>
        <v>0.81891855756283649</v>
      </c>
      <c r="S45" s="38">
        <f t="shared" ca="1" si="2"/>
        <v>13.75</v>
      </c>
      <c r="AD45" s="38">
        <f t="shared" si="12"/>
        <v>16.834570079045985</v>
      </c>
      <c r="AE45" s="38">
        <f t="shared" ca="1" si="13"/>
        <v>8.8362642625947014</v>
      </c>
      <c r="AF45" s="38">
        <f ca="1">IF(ISERROR(IF('Hidrograma afluente'!I52="",0,'Hidrograma afluente'!I52)+Simulação!G45),"",IF('Hidrograma afluente'!I52="",0,'Hidrograma afluente'!I52)+Simulação!G45)</f>
        <v>124.13209596170969</v>
      </c>
      <c r="AG45" s="36">
        <v>2.1947559869442812</v>
      </c>
      <c r="AH45" s="36">
        <v>2.4424868574957515</v>
      </c>
      <c r="AI45" s="48">
        <v>132.5</v>
      </c>
      <c r="AJ45" s="36">
        <v>129.75</v>
      </c>
      <c r="AK45" s="38">
        <f>IF(A45="","",IF('Hidrograma afluente'!I52="",0,'Hidrograma afluente'!I52)+Simulação!B45)</f>
        <v>122.98546662451758</v>
      </c>
    </row>
    <row r="46" spans="1:37" s="36" customFormat="1">
      <c r="A46" s="23">
        <f t="shared" si="3"/>
        <v>41</v>
      </c>
      <c r="B46" s="24">
        <f>IF(A46="","",IF(A46&gt;tc_lot_i+tc,0,IF('Hidrograma afluente'!B53="","",'Hidrograma afluente'!B53)))</f>
        <v>1.0184252921382937</v>
      </c>
      <c r="C46" s="41">
        <f t="shared" si="4"/>
        <v>0.50921264606914685</v>
      </c>
      <c r="D46" s="41">
        <f t="shared" ca="1" si="5"/>
        <v>123.75</v>
      </c>
      <c r="E46" s="41">
        <f t="shared" ca="1" si="6"/>
        <v>2.6438546144604169</v>
      </c>
      <c r="F46" s="41">
        <f t="shared" ca="1" si="7"/>
        <v>0</v>
      </c>
      <c r="G46" s="41">
        <f t="shared" ca="1" si="8"/>
        <v>2.6438546144604169</v>
      </c>
      <c r="H46" s="41">
        <f t="shared" ca="1" si="14"/>
        <v>122.63378332374701</v>
      </c>
      <c r="I46" s="42">
        <f t="shared" ca="1" si="9"/>
        <v>99</v>
      </c>
      <c r="J46" s="18"/>
      <c r="K46" s="76"/>
      <c r="M46" s="132">
        <f t="shared" ca="1" si="0"/>
        <v>14.892423062804056</v>
      </c>
      <c r="N46" s="38">
        <f t="shared" si="10"/>
        <v>0.421875</v>
      </c>
      <c r="O46" s="36">
        <f t="shared" si="11"/>
        <v>11.25</v>
      </c>
      <c r="P46" s="38">
        <f ca="1">IF(ISERROR(IF(O46&lt;fi_h/20,0,(OFFSET('Base de dados'!$A$5,IF(O46&lt;20,1,IF(O46&gt;1000,10,MATCH(O46,Cargas,1))),Coluna_fih,1,1))*(1+0.13*0.25)*(PI()*(fi_h/1000)^2/4)*SQRT(2*9.81*(O46/100-fi_h/2/1000))*1000)),"",IF(O46&lt;fi_h/20,0,(OFFSET('Base de dados'!$A$5,IF(O46&lt;20,1,IF(O46&gt;1000,10,MATCH(O46,Cargas,1))),Coluna_fih,1,1))*(PI()*(fi_h/1000)^2/4)*SQRT(2*9.81*(O46/100-fi_h/2/1000))*1000))</f>
        <v>0.82992306280405592</v>
      </c>
      <c r="Q46" s="38">
        <f ca="1">IF(O46="","",IF(Tipo_Vertedor="Retangular",IF(O46&lt;=cota_s*100,0,IF(Tipo_Vertedor="Retangular",Cd_sr*Lef_sr*((O46/100-cota_s)^(3/2))*1000)),IF(O46&lt;=cota_s*100+fi_s/20,0,(OFFSET('Base de dados'!$A$4,IF(O46&lt;20,1,IF(O46&gt;1000,10,MATCH(O46,Cargas,1))),Coluna_fis,1,1))*(PI()*(fi_s/1000)^2/4)*(2*9.81*(O46/100-cota_s-fi_s/2/1000))^0.5*1000)))</f>
        <v>0</v>
      </c>
      <c r="R46" s="38">
        <f t="shared" ca="1" si="1"/>
        <v>0.82992306280405592</v>
      </c>
      <c r="S46" s="38">
        <f t="shared" ca="1" si="2"/>
        <v>14.0625</v>
      </c>
      <c r="AD46" s="38">
        <f t="shared" si="12"/>
        <v>16.987333872866728</v>
      </c>
      <c r="AE46" s="38">
        <f t="shared" ca="1" si="13"/>
        <v>9.1553515759863</v>
      </c>
      <c r="AF46" s="38">
        <f ca="1">IF(ISERROR(IF('Hidrograma afluente'!I53="",0,'Hidrograma afluente'!I53)+Simulação!G46),"",IF('Hidrograma afluente'!I53="",0,'Hidrograma afluente'!I53)+Simulação!G46)</f>
        <v>103.85871185305223</v>
      </c>
      <c r="AG46" s="36">
        <v>1.9528501020677274</v>
      </c>
      <c r="AH46" s="36">
        <v>2.3635144850544241</v>
      </c>
      <c r="AI46" s="48">
        <v>131</v>
      </c>
      <c r="AJ46" s="36">
        <v>127.75</v>
      </c>
      <c r="AK46" s="38">
        <f>IF(A46="","",IF('Hidrograma afluente'!I53="",0,'Hidrograma afluente'!I53)+Simulação!B46)</f>
        <v>102.23328253073009</v>
      </c>
    </row>
    <row r="47" spans="1:37" s="36" customFormat="1">
      <c r="A47" s="23">
        <f t="shared" si="3"/>
        <v>42</v>
      </c>
      <c r="B47" s="24">
        <f>IF(A47="","",IF(A47&gt;tc_lot_i+tc,0,IF('Hidrograma afluente'!B54="","",'Hidrograma afluente'!B54)))</f>
        <v>0.50921264606914685</v>
      </c>
      <c r="C47" s="41">
        <f t="shared" si="4"/>
        <v>0</v>
      </c>
      <c r="D47" s="41">
        <f t="shared" ca="1" si="5"/>
        <v>119.99999999999999</v>
      </c>
      <c r="E47" s="41">
        <f t="shared" ca="1" si="6"/>
        <v>2.6027516667131234</v>
      </c>
      <c r="F47" s="41">
        <f t="shared" ca="1" si="7"/>
        <v>0</v>
      </c>
      <c r="G47" s="41">
        <f t="shared" ca="1" si="8"/>
        <v>2.6027516667131234</v>
      </c>
      <c r="H47" s="41">
        <f t="shared" ca="1" si="14"/>
        <v>117.90646097935601</v>
      </c>
      <c r="I47" s="42">
        <f t="shared" ca="1" si="9"/>
        <v>96</v>
      </c>
      <c r="J47" s="18"/>
      <c r="K47" s="76"/>
      <c r="M47" s="132">
        <f t="shared" ca="1" si="0"/>
        <v>15.215783549094137</v>
      </c>
      <c r="N47" s="38">
        <f t="shared" si="10"/>
        <v>0.43125000000000002</v>
      </c>
      <c r="O47" s="36">
        <f t="shared" si="11"/>
        <v>11.5</v>
      </c>
      <c r="P47" s="38">
        <f ca="1">IF(ISERROR(IF(O47&lt;fi_h/20,0,(OFFSET('Base de dados'!$A$5,IF(O47&lt;20,1,IF(O47&gt;1000,10,MATCH(O47,Cargas,1))),Coluna_fih,1,1))*(1+0.13*0.25)*(PI()*(fi_h/1000)^2/4)*SQRT(2*9.81*(O47/100-fi_h/2/1000))*1000)),"",IF(O47&lt;fi_h/20,0,(OFFSET('Base de dados'!$A$5,IF(O47&lt;20,1,IF(O47&gt;1000,10,MATCH(O47,Cargas,1))),Coluna_fih,1,1))*(PI()*(fi_h/1000)^2/4)*SQRT(2*9.81*(O47/100-fi_h/2/1000))*1000))</f>
        <v>0.84078354909413711</v>
      </c>
      <c r="Q47" s="38">
        <f ca="1">IF(O47="","",IF(Tipo_Vertedor="Retangular",IF(O47&lt;=cota_s*100,0,IF(Tipo_Vertedor="Retangular",Cd_sr*Lef_sr*((O47/100-cota_s)^(3/2))*1000)),IF(O47&lt;=cota_s*100+fi_s/20,0,(OFFSET('Base de dados'!$A$4,IF(O47&lt;20,1,IF(O47&gt;1000,10,MATCH(O47,Cargas,1))),Coluna_fis,1,1))*(PI()*(fi_s/1000)^2/4)*(2*9.81*(O47/100-cota_s-fi_s/2/1000))^0.5*1000)))</f>
        <v>0</v>
      </c>
      <c r="R47" s="38">
        <f t="shared" ca="1" si="1"/>
        <v>0.84078354909413711</v>
      </c>
      <c r="S47" s="38">
        <f t="shared" ca="1" si="2"/>
        <v>14.375</v>
      </c>
      <c r="AD47" s="38">
        <f t="shared" si="12"/>
        <v>17.078992149159173</v>
      </c>
      <c r="AE47" s="38">
        <f t="shared" ca="1" si="13"/>
        <v>9.4701479528567116</v>
      </c>
      <c r="AF47" s="38">
        <f ca="1">IF(ISERROR(IF('Hidrograma afluente'!I54="",0,'Hidrograma afluente'!I54)+Simulação!G47),"",IF('Hidrograma afluente'!I54="",0,'Hidrograma afluente'!I54)+Simulação!G47)</f>
        <v>83.574637457586547</v>
      </c>
      <c r="AG47" s="36">
        <v>1.9377243991416917</v>
      </c>
      <c r="AH47" s="36">
        <v>2.2481640365759255</v>
      </c>
      <c r="AI47" s="48">
        <v>129</v>
      </c>
      <c r="AJ47" s="36">
        <v>125.25</v>
      </c>
      <c r="AK47" s="38">
        <f>IF(A47="","",IF('Hidrograma afluente'!I54="",0,'Hidrograma afluente'!I54)+Simulação!B47)</f>
        <v>81.481098436942574</v>
      </c>
    </row>
    <row r="48" spans="1:37" s="36" customFormat="1">
      <c r="A48" s="23">
        <f t="shared" si="3"/>
        <v>43</v>
      </c>
      <c r="B48" s="24">
        <f>IF(A48="","",IF(A48&gt;tc_lot_i+tc,0,IF('Hidrograma afluente'!B55="","",'Hidrograma afluente'!B55)))</f>
        <v>0</v>
      </c>
      <c r="C48" s="41">
        <f t="shared" si="4"/>
        <v>0</v>
      </c>
      <c r="D48" s="41">
        <f t="shared" ca="1" si="5"/>
        <v>115.3125</v>
      </c>
      <c r="E48" s="41">
        <f t="shared" ca="1" si="6"/>
        <v>2.5504416301487511</v>
      </c>
      <c r="F48" s="41">
        <f t="shared" ca="1" si="7"/>
        <v>0</v>
      </c>
      <c r="G48" s="41">
        <f t="shared" ca="1" si="8"/>
        <v>2.5504416301487511</v>
      </c>
      <c r="H48" s="41">
        <f t="shared" ca="1" si="14"/>
        <v>112.76205836985125</v>
      </c>
      <c r="I48" s="42">
        <f t="shared" ca="1" si="9"/>
        <v>92.25</v>
      </c>
      <c r="J48" s="18"/>
      <c r="K48" s="76"/>
      <c r="M48" s="132">
        <f t="shared" ca="1" si="0"/>
        <v>15.539005527099267</v>
      </c>
      <c r="N48" s="38">
        <f t="shared" si="10"/>
        <v>0.44062499999999999</v>
      </c>
      <c r="O48" s="36">
        <f t="shared" si="11"/>
        <v>11.75</v>
      </c>
      <c r="P48" s="38">
        <f ca="1">IF(ISERROR(IF(O48&lt;fi_h/20,0,(OFFSET('Base de dados'!$A$5,IF(O48&lt;20,1,IF(O48&gt;1000,10,MATCH(O48,Cargas,1))),Coluna_fih,1,1))*(1+0.13*0.25)*(PI()*(fi_h/1000)^2/4)*SQRT(2*9.81*(O48/100-fi_h/2/1000))*1000)),"",IF(O48&lt;fi_h/20,0,(OFFSET('Base de dados'!$A$5,IF(O48&lt;20,1,IF(O48&gt;1000,10,MATCH(O48,Cargas,1))),Coluna_fih,1,1))*(PI()*(fi_h/1000)^2/4)*SQRT(2*9.81*(O48/100-fi_h/2/1000))*1000))</f>
        <v>0.85150552709926763</v>
      </c>
      <c r="Q48" s="38">
        <f ca="1">IF(O48="","",IF(Tipo_Vertedor="Retangular",IF(O48&lt;=cota_s*100,0,IF(Tipo_Vertedor="Retangular",Cd_sr*Lef_sr*((O48/100-cota_s)^(3/2))*1000)),IF(O48&lt;=cota_s*100+fi_s/20,0,(OFFSET('Base de dados'!$A$4,IF(O48&lt;20,1,IF(O48&gt;1000,10,MATCH(O48,Cargas,1))),Coluna_fis,1,1))*(PI()*(fi_s/1000)^2/4)*(2*9.81*(O48/100-cota_s-fi_s/2/1000))^0.5*1000)))</f>
        <v>0</v>
      </c>
      <c r="R48" s="38">
        <f t="shared" ca="1" si="1"/>
        <v>0.85150552709926763</v>
      </c>
      <c r="S48" s="38">
        <f t="shared" ca="1" si="2"/>
        <v>14.6875</v>
      </c>
      <c r="AD48" s="38">
        <f t="shared" si="12"/>
        <v>17.109544907923322</v>
      </c>
      <c r="AE48" s="38">
        <f t="shared" ca="1" si="13"/>
        <v>9.7793395506684249</v>
      </c>
      <c r="AF48" s="38">
        <f ca="1">IF(ISERROR(IF('Hidrograma afluente'!I55="",0,'Hidrograma afluente'!I55)+Simulação!G48),"",IF('Hidrograma afluente'!I55="",0,'Hidrograma afluente'!I55)+Simulação!G48)</f>
        <v>63.279355973303829</v>
      </c>
      <c r="AG48" s="36">
        <v>1.9167316700879879</v>
      </c>
      <c r="AH48" s="36">
        <v>2.018640394175383</v>
      </c>
      <c r="AI48" s="48">
        <v>126.25</v>
      </c>
      <c r="AJ48" s="36">
        <v>122</v>
      </c>
      <c r="AK48" s="38">
        <f>IF(A48="","",IF('Hidrograma afluente'!I55="",0,'Hidrograma afluente'!I55)+Simulação!B48)</f>
        <v>60.728914343155076</v>
      </c>
    </row>
    <row r="49" spans="1:37" s="36" customFormat="1">
      <c r="A49" s="23">
        <f t="shared" si="3"/>
        <v>44</v>
      </c>
      <c r="B49" s="24">
        <f>IF(A49="","",IF(A49&gt;tc_lot_i+tc,0,IF('Hidrograma afluente'!B56="","",'Hidrograma afluente'!B56)))</f>
        <v>0</v>
      </c>
      <c r="C49" s="41">
        <f t="shared" si="4"/>
        <v>0</v>
      </c>
      <c r="D49" s="41">
        <f t="shared" ca="1" si="5"/>
        <v>110</v>
      </c>
      <c r="E49" s="41">
        <f t="shared" ca="1" si="6"/>
        <v>2.4898286986007854</v>
      </c>
      <c r="F49" s="41">
        <f t="shared" ca="1" si="7"/>
        <v>0</v>
      </c>
      <c r="G49" s="41">
        <f t="shared" ca="1" si="8"/>
        <v>2.4898286986007854</v>
      </c>
      <c r="H49" s="41">
        <f t="shared" ca="1" si="14"/>
        <v>107.51017130139921</v>
      </c>
      <c r="I49" s="42">
        <f t="shared" ca="1" si="9"/>
        <v>88</v>
      </c>
      <c r="J49" s="18"/>
      <c r="K49" s="76"/>
      <c r="M49" s="132">
        <f t="shared" ca="1" si="0"/>
        <v>15.862094164771962</v>
      </c>
      <c r="N49" s="38">
        <f t="shared" si="10"/>
        <v>0.44999999999999996</v>
      </c>
      <c r="O49" s="36">
        <f t="shared" si="11"/>
        <v>12</v>
      </c>
      <c r="P49" s="38">
        <f ca="1">IF(ISERROR(IF(O49&lt;fi_h/20,0,(OFFSET('Base de dados'!$A$5,IF(O49&lt;20,1,IF(O49&gt;1000,10,MATCH(O49,Cargas,1))),Coluna_fih,1,1))*(1+0.13*0.25)*(PI()*(fi_h/1000)^2/4)*SQRT(2*9.81*(O49/100-fi_h/2/1000))*1000)),"",IF(O49&lt;fi_h/20,0,(OFFSET('Base de dados'!$A$5,IF(O49&lt;20,1,IF(O49&gt;1000,10,MATCH(O49,Cargas,1))),Coluna_fih,1,1))*(PI()*(fi_h/1000)^2/4)*SQRT(2*9.81*(O49/100-fi_h/2/1000))*1000))</f>
        <v>0.86209416477196388</v>
      </c>
      <c r="Q49" s="38">
        <f ca="1">IF(O49="","",IF(Tipo_Vertedor="Retangular",IF(O49&lt;=cota_s*100,0,IF(Tipo_Vertedor="Retangular",Cd_sr*Lef_sr*((O49/100-cota_s)^(3/2))*1000)),IF(O49&lt;=cota_s*100+fi_s/20,0,(OFFSET('Base de dados'!$A$4,IF(O49&lt;20,1,IF(O49&gt;1000,10,MATCH(O49,Cargas,1))),Coluna_fis,1,1))*(PI()*(fi_s/1000)^2/4)*(2*9.81*(O49/100-cota_s-fi_s/2/1000))^0.5*1000)))</f>
        <v>0</v>
      </c>
      <c r="R49" s="38">
        <f t="shared" ca="1" si="1"/>
        <v>0.86209416477196388</v>
      </c>
      <c r="S49" s="38">
        <f t="shared" ca="1" si="2"/>
        <v>14.999999999999998</v>
      </c>
      <c r="AD49" s="38">
        <f t="shared" si="12"/>
        <v>17.109544907923322</v>
      </c>
      <c r="AE49" s="38">
        <f t="shared" ca="1" si="13"/>
        <v>10.081755770393396</v>
      </c>
      <c r="AF49" s="38">
        <f ca="1">IF(ISERROR(IF('Hidrograma afluente'!I56="",0,'Hidrograma afluente'!I56)+Simulação!G49),"",IF('Hidrograma afluente'!I56="",0,'Hidrograma afluente'!I56)+Simulação!G49)</f>
        <v>42.975771594037511</v>
      </c>
      <c r="AG49" s="36">
        <v>1.891621744609191</v>
      </c>
      <c r="AH49" s="36">
        <v>1.8582738003803154</v>
      </c>
      <c r="AI49" s="48">
        <v>123</v>
      </c>
      <c r="AJ49" s="36">
        <v>118.75</v>
      </c>
      <c r="AK49" s="38">
        <f>IF(A49="","",IF('Hidrograma afluente'!I56="",0,'Hidrograma afluente'!I56)+Simulação!B49)</f>
        <v>40.485942895436729</v>
      </c>
    </row>
    <row r="50" spans="1:37" s="36" customFormat="1">
      <c r="A50" s="23">
        <f t="shared" si="3"/>
        <v>45</v>
      </c>
      <c r="B50" s="24">
        <f>IF(A50="","",IF(A50&gt;tc_lot_i+tc,0,IF('Hidrograma afluente'!B57="","",'Hidrograma afluente'!B57)))</f>
        <v>0</v>
      </c>
      <c r="C50" s="41">
        <f t="shared" si="4"/>
        <v>0</v>
      </c>
      <c r="D50" s="41">
        <f t="shared" ca="1" si="5"/>
        <v>105</v>
      </c>
      <c r="E50" s="41">
        <f t="shared" ca="1" si="6"/>
        <v>2.4314013044487632</v>
      </c>
      <c r="F50" s="41">
        <f t="shared" ca="1" si="7"/>
        <v>0</v>
      </c>
      <c r="G50" s="41">
        <f t="shared" ca="1" si="8"/>
        <v>2.4314013044487632</v>
      </c>
      <c r="H50" s="41">
        <f t="shared" ca="1" si="14"/>
        <v>102.56859869555123</v>
      </c>
      <c r="I50" s="42">
        <f t="shared" ca="1" si="9"/>
        <v>84</v>
      </c>
      <c r="J50" s="18"/>
      <c r="K50" s="76"/>
      <c r="M50" s="132">
        <f t="shared" ca="1" si="0"/>
        <v>16.185054316468115</v>
      </c>
      <c r="N50" s="38">
        <f t="shared" si="10"/>
        <v>0.45937499999999998</v>
      </c>
      <c r="O50" s="36">
        <f t="shared" si="11"/>
        <v>12.25</v>
      </c>
      <c r="P50" s="38">
        <f ca="1">IF(ISERROR(IF(O50&lt;fi_h/20,0,(OFFSET('Base de dados'!$A$5,IF(O50&lt;20,1,IF(O50&gt;1000,10,MATCH(O50,Cargas,1))),Coluna_fih,1,1))*(1+0.13*0.25)*(PI()*(fi_h/1000)^2/4)*SQRT(2*9.81*(O50/100-fi_h/2/1000))*1000)),"",IF(O50&lt;fi_h/20,0,(OFFSET('Base de dados'!$A$5,IF(O50&lt;20,1,IF(O50&gt;1000,10,MATCH(O50,Cargas,1))),Coluna_fih,1,1))*(PI()*(fi_h/1000)^2/4)*SQRT(2*9.81*(O50/100-fi_h/2/1000))*1000))</f>
        <v>0.87255431646811443</v>
      </c>
      <c r="Q50" s="38">
        <f ca="1">IF(O50="","",IF(Tipo_Vertedor="Retangular",IF(O50&lt;=cota_s*100,0,IF(Tipo_Vertedor="Retangular",Cd_sr*Lef_sr*((O50/100-cota_s)^(3/2))*1000)),IF(O50&lt;=cota_s*100+fi_s/20,0,(OFFSET('Base de dados'!$A$4,IF(O50&lt;20,1,IF(O50&gt;1000,10,MATCH(O50,Cargas,1))),Coluna_fis,1,1))*(PI()*(fi_s/1000)^2/4)*(2*9.81*(O50/100-cota_s-fi_s/2/1000))^0.5*1000)))</f>
        <v>0</v>
      </c>
      <c r="R50" s="38">
        <f t="shared" ca="1" si="1"/>
        <v>0.87255431646811443</v>
      </c>
      <c r="S50" s="38">
        <f t="shared" ca="1" si="2"/>
        <v>15.3125</v>
      </c>
      <c r="AD50" s="38">
        <f t="shared" si="12"/>
        <v>17.109544907923322</v>
      </c>
      <c r="AE50" s="38">
        <f t="shared" ca="1" si="13"/>
        <v>10.377029570576369</v>
      </c>
      <c r="AF50" s="38">
        <f ca="1">IF(ISERROR(IF('Hidrograma afluente'!I57="",0,'Hidrograma afluente'!I57)+Simulação!G50),"",IF('Hidrograma afluente'!I57="",0,'Hidrograma afluente'!I57)+Simulação!G50)</f>
        <v>22.674372752167113</v>
      </c>
      <c r="AG50" s="36">
        <v>1.8661739882010873</v>
      </c>
      <c r="AH50" s="36">
        <v>1.8343691029900564</v>
      </c>
      <c r="AI50" s="48">
        <v>119.75</v>
      </c>
      <c r="AJ50" s="36">
        <v>115.75</v>
      </c>
      <c r="AK50" s="38">
        <f>IF(A50="","",IF('Hidrograma afluente'!I57="",0,'Hidrograma afluente'!I57)+Simulação!B50)</f>
        <v>20.24297144771835</v>
      </c>
    </row>
    <row r="51" spans="1:37" s="36" customFormat="1">
      <c r="A51" s="23">
        <f t="shared" si="3"/>
        <v>46</v>
      </c>
      <c r="B51" s="24">
        <f>IF(A51="","",IF(A51&gt;tc_lot_i+tc,0,IF('Hidrograma afluente'!B58="","",'Hidrograma afluente'!B58)))</f>
        <v>0</v>
      </c>
      <c r="C51" s="41">
        <f t="shared" si="4"/>
        <v>0</v>
      </c>
      <c r="D51" s="41">
        <f t="shared" ca="1" si="5"/>
        <v>100</v>
      </c>
      <c r="E51" s="41">
        <f t="shared" ca="1" si="6"/>
        <v>2.3715348739106106</v>
      </c>
      <c r="F51" s="41">
        <f t="shared" ca="1" si="7"/>
        <v>0</v>
      </c>
      <c r="G51" s="41">
        <f t="shared" ca="1" si="8"/>
        <v>2.3715348739106106</v>
      </c>
      <c r="H51" s="41">
        <f t="shared" ca="1" si="14"/>
        <v>97.628465126089395</v>
      </c>
      <c r="I51" s="42">
        <f t="shared" ca="1" si="9"/>
        <v>80</v>
      </c>
      <c r="J51" s="18"/>
      <c r="K51" s="76"/>
      <c r="M51" s="132">
        <f t="shared" ca="1" si="0"/>
        <v>16.507890548958592</v>
      </c>
      <c r="N51" s="38">
        <f t="shared" si="10"/>
        <v>0.46875</v>
      </c>
      <c r="O51" s="36">
        <f t="shared" si="11"/>
        <v>12.5</v>
      </c>
      <c r="P51" s="38">
        <f ca="1">IF(ISERROR(IF(O51&lt;fi_h/20,0,(OFFSET('Base de dados'!$A$5,IF(O51&lt;20,1,IF(O51&gt;1000,10,MATCH(O51,Cargas,1))),Coluna_fih,1,1))*(1+0.13*0.25)*(PI()*(fi_h/1000)^2/4)*SQRT(2*9.81*(O51/100-fi_h/2/1000))*1000)),"",IF(O51&lt;fi_h/20,0,(OFFSET('Base de dados'!$A$5,IF(O51&lt;20,1,IF(O51&gt;1000,10,MATCH(O51,Cargas,1))),Coluna_fih,1,1))*(PI()*(fi_h/1000)^2/4)*SQRT(2*9.81*(O51/100-fi_h/2/1000))*1000))</f>
        <v>0.88289054895859342</v>
      </c>
      <c r="Q51" s="38">
        <f ca="1">IF(O51="","",IF(Tipo_Vertedor="Retangular",IF(O51&lt;=cota_s*100,0,IF(Tipo_Vertedor="Retangular",Cd_sr*Lef_sr*((O51/100-cota_s)^(3/2))*1000)),IF(O51&lt;=cota_s*100+fi_s/20,0,(OFFSET('Base de dados'!$A$4,IF(O51&lt;20,1,IF(O51&gt;1000,10,MATCH(O51,Cargas,1))),Coluna_fis,1,1))*(PI()*(fi_s/1000)^2/4)*(2*9.81*(O51/100-cota_s-fi_s/2/1000))^0.5*1000)))</f>
        <v>0</v>
      </c>
      <c r="R51" s="38">
        <f t="shared" ca="1" si="1"/>
        <v>0.88289054895859342</v>
      </c>
      <c r="S51" s="38">
        <f t="shared" ca="1" si="2"/>
        <v>15.625</v>
      </c>
      <c r="AD51" s="38">
        <f t="shared" si="12"/>
        <v>17.109544907923322</v>
      </c>
      <c r="AE51" s="38">
        <f t="shared" ca="1" si="13"/>
        <v>10.665205741277932</v>
      </c>
      <c r="AF51" s="38">
        <f ca="1">IF(ISERROR(IF('Hidrograma afluente'!I58="",0,'Hidrograma afluente'!I58)+Simulação!G51),"",IF('Hidrograma afluente'!I58="",0,'Hidrograma afluente'!I58)+Simulação!G51)</f>
        <v>2.3715348739106106</v>
      </c>
      <c r="AG51" s="36">
        <v>1.8423717982706409</v>
      </c>
      <c r="AH51" s="36">
        <v>1.8101487493654185</v>
      </c>
      <c r="AI51" s="48">
        <v>116.75</v>
      </c>
      <c r="AJ51" s="36">
        <v>112.75</v>
      </c>
      <c r="AK51" s="38">
        <f>IF(A51="","",IF('Hidrograma afluente'!I58="",0,'Hidrograma afluente'!I58)+Simulação!B51)</f>
        <v>0</v>
      </c>
    </row>
    <row r="52" spans="1:37" s="36" customFormat="1">
      <c r="A52" s="23">
        <f t="shared" si="3"/>
        <v>47</v>
      </c>
      <c r="B52" s="24">
        <f>IF(A52="","",IF(A52&gt;tc_lot_i+tc,0,IF('Hidrograma afluente'!B59="","",'Hidrograma afluente'!B59)))</f>
        <v>0</v>
      </c>
      <c r="C52" s="41">
        <f t="shared" si="4"/>
        <v>0</v>
      </c>
      <c r="D52" s="41">
        <f t="shared" ca="1" si="5"/>
        <v>95</v>
      </c>
      <c r="E52" s="41">
        <f t="shared" ca="1" si="6"/>
        <v>2.3138315476324918</v>
      </c>
      <c r="F52" s="41">
        <f t="shared" ca="1" si="7"/>
        <v>0</v>
      </c>
      <c r="G52" s="41">
        <f t="shared" ca="1" si="8"/>
        <v>2.3138315476324918</v>
      </c>
      <c r="H52" s="41">
        <f t="shared" ca="1" si="14"/>
        <v>92.686168452367511</v>
      </c>
      <c r="I52" s="42">
        <f t="shared" ca="1" si="9"/>
        <v>76</v>
      </c>
      <c r="J52" s="18"/>
      <c r="K52" s="76"/>
      <c r="M52" s="132">
        <f t="shared" ca="1" si="0"/>
        <v>16.830607164730903</v>
      </c>
      <c r="N52" s="38">
        <f t="shared" si="10"/>
        <v>0.47812500000000002</v>
      </c>
      <c r="O52" s="36">
        <f t="shared" si="11"/>
        <v>12.75</v>
      </c>
      <c r="P52" s="38">
        <f ca="1">IF(ISERROR(IF(O52&lt;fi_h/20,0,(OFFSET('Base de dados'!$A$5,IF(O52&lt;20,1,IF(O52&gt;1000,10,MATCH(O52,Cargas,1))),Coluna_fih,1,1))*(1+0.13*0.25)*(PI()*(fi_h/1000)^2/4)*SQRT(2*9.81*(O52/100-fi_h/2/1000))*1000)),"",IF(O52&lt;fi_h/20,0,(OFFSET('Base de dados'!$A$5,IF(O52&lt;20,1,IF(O52&gt;1000,10,MATCH(O52,Cargas,1))),Coluna_fih,1,1))*(PI()*(fi_h/1000)^2/4)*SQRT(2*9.81*(O52/100-fi_h/2/1000))*1000))</f>
        <v>0.89310716473090446</v>
      </c>
      <c r="Q52" s="38">
        <f ca="1">IF(O52="","",IF(Tipo_Vertedor="Retangular",IF(O52&lt;=cota_s*100,0,IF(Tipo_Vertedor="Retangular",Cd_sr*Lef_sr*((O52/100-cota_s)^(3/2))*1000)),IF(O52&lt;=cota_s*100+fi_s/20,0,(OFFSET('Base de dados'!$A$4,IF(O52&lt;20,1,IF(O52&gt;1000,10,MATCH(O52,Cargas,1))),Coluna_fis,1,1))*(PI()*(fi_s/1000)^2/4)*(2*9.81*(O52/100-cota_s-fi_s/2/1000))^0.5*1000)))</f>
        <v>0</v>
      </c>
      <c r="R52" s="38">
        <f t="shared" ca="1" si="1"/>
        <v>0.89310716473090446</v>
      </c>
      <c r="S52" s="38">
        <f t="shared" ca="1" si="2"/>
        <v>15.9375</v>
      </c>
      <c r="AD52" s="38">
        <f t="shared" si="12"/>
        <v>17.109544907923322</v>
      </c>
      <c r="AE52" s="38">
        <f t="shared" ca="1" si="13"/>
        <v>10.946327726570518</v>
      </c>
      <c r="AF52" s="38">
        <f ca="1">IF(ISERROR(IF('Hidrograma afluente'!I59="",0,'Hidrograma afluente'!I59)+Simulação!G52),"",IF('Hidrograma afluente'!I59="",0,'Hidrograma afluente'!I59)+Simulação!G52)</f>
        <v>2.3138315476324918</v>
      </c>
      <c r="AG52" s="36">
        <v>1.8182580487619575</v>
      </c>
      <c r="AH52" s="36">
        <v>1.7855998946163256</v>
      </c>
      <c r="AI52" s="48">
        <v>113.75</v>
      </c>
      <c r="AJ52" s="36">
        <v>109.75</v>
      </c>
      <c r="AK52" s="38">
        <f>IF(A52="","",IF('Hidrograma afluente'!I59="",0,'Hidrograma afluente'!I59)+Simulação!B52)</f>
        <v>0</v>
      </c>
    </row>
    <row r="53" spans="1:37" s="36" customFormat="1">
      <c r="A53" s="23">
        <f t="shared" si="3"/>
        <v>48</v>
      </c>
      <c r="B53" s="24">
        <f>IF(A53="","",IF(A53&gt;tc_lot_i+tc,0,IF('Hidrograma afluente'!B60="","",'Hidrograma afluente'!B60)))</f>
        <v>0</v>
      </c>
      <c r="C53" s="41">
        <f t="shared" si="4"/>
        <v>0</v>
      </c>
      <c r="D53" s="41">
        <f t="shared" ca="1" si="5"/>
        <v>90.3125</v>
      </c>
      <c r="E53" s="41">
        <f t="shared" ca="1" si="6"/>
        <v>2.2546363875083828</v>
      </c>
      <c r="F53" s="41">
        <f t="shared" ca="1" si="7"/>
        <v>0</v>
      </c>
      <c r="G53" s="41">
        <f t="shared" ca="1" si="8"/>
        <v>2.2546363875083828</v>
      </c>
      <c r="H53" s="41">
        <f t="shared" ca="1" si="14"/>
        <v>88.057863612491616</v>
      </c>
      <c r="I53" s="42">
        <f t="shared" ca="1" si="9"/>
        <v>72.25</v>
      </c>
      <c r="J53" s="18"/>
      <c r="K53" s="76"/>
      <c r="M53" s="132">
        <f t="shared" ca="1" si="0"/>
        <v>17.153208222918142</v>
      </c>
      <c r="N53" s="38">
        <f t="shared" si="10"/>
        <v>0.48750000000000004</v>
      </c>
      <c r="O53" s="36">
        <f t="shared" si="11"/>
        <v>13</v>
      </c>
      <c r="P53" s="38">
        <f ca="1">IF(ISERROR(IF(O53&lt;fi_h/20,0,(OFFSET('Base de dados'!$A$5,IF(O53&lt;20,1,IF(O53&gt;1000,10,MATCH(O53,Cargas,1))),Coluna_fih,1,1))*(1+0.13*0.25)*(PI()*(fi_h/1000)^2/4)*SQRT(2*9.81*(O53/100-fi_h/2/1000))*1000)),"",IF(O53&lt;fi_h/20,0,(OFFSET('Base de dados'!$A$5,IF(O53&lt;20,1,IF(O53&gt;1000,10,MATCH(O53,Cargas,1))),Coluna_fih,1,1))*(PI()*(fi_h/1000)^2/4)*SQRT(2*9.81*(O53/100-fi_h/2/1000))*1000))</f>
        <v>0.90320822291813929</v>
      </c>
      <c r="Q53" s="38">
        <f ca="1">IF(O53="","",IF(Tipo_Vertedor="Retangular",IF(O53&lt;=cota_s*100,0,IF(Tipo_Vertedor="Retangular",Cd_sr*Lef_sr*((O53/100-cota_s)^(3/2))*1000)),IF(O53&lt;=cota_s*100+fi_s/20,0,(OFFSET('Base de dados'!$A$4,IF(O53&lt;20,1,IF(O53&gt;1000,10,MATCH(O53,Cargas,1))),Coluna_fis,1,1))*(PI()*(fi_s/1000)^2/4)*(2*9.81*(O53/100-cota_s-fi_s/2/1000))^0.5*1000)))</f>
        <v>0</v>
      </c>
      <c r="R53" s="38">
        <f t="shared" ca="1" si="1"/>
        <v>0.90320822291813929</v>
      </c>
      <c r="S53" s="38">
        <f t="shared" ca="1" si="2"/>
        <v>16.250000000000004</v>
      </c>
      <c r="AD53" s="38">
        <f t="shared" si="12"/>
        <v>17.109544907923322</v>
      </c>
      <c r="AE53" s="38">
        <f t="shared" ca="1" si="13"/>
        <v>11.220435802678971</v>
      </c>
      <c r="AF53" s="38">
        <f ca="1">IF(ISERROR(IF('Hidrograma afluente'!I60="",0,'Hidrograma afluente'!I60)+Simulação!G53),"",IF('Hidrograma afluente'!I60="",0,'Hidrograma afluente'!I60)+Simulação!G53)</f>
        <v>2.2546363875083828</v>
      </c>
      <c r="AG53" s="36">
        <v>1.7938201751324703</v>
      </c>
      <c r="AH53" s="36">
        <v>1.7607087983191538</v>
      </c>
      <c r="AI53" s="48">
        <v>110.75</v>
      </c>
      <c r="AJ53" s="36">
        <v>106.75</v>
      </c>
      <c r="AK53" s="38">
        <f>IF(A53="","",IF('Hidrograma afluente'!I60="",0,'Hidrograma afluente'!I60)+Simulação!B53)</f>
        <v>0</v>
      </c>
    </row>
    <row r="54" spans="1:37" s="36" customFormat="1">
      <c r="A54" s="23">
        <f t="shared" si="3"/>
        <v>49</v>
      </c>
      <c r="B54" s="24">
        <f>IF(A54="","",IF(A54&gt;tc_lot_i+tc,0,IF('Hidrograma afluente'!B61="","",'Hidrograma afluente'!B61)))</f>
        <v>0</v>
      </c>
      <c r="C54" s="41">
        <f t="shared" si="4"/>
        <v>0</v>
      </c>
      <c r="D54" s="41">
        <f t="shared" ca="1" si="5"/>
        <v>85.625</v>
      </c>
      <c r="E54" s="41">
        <f t="shared" ca="1" si="6"/>
        <v>2.1938445817637886</v>
      </c>
      <c r="F54" s="41">
        <f t="shared" ca="1" si="7"/>
        <v>0</v>
      </c>
      <c r="G54" s="41">
        <f t="shared" ca="1" si="8"/>
        <v>2.1938445817637886</v>
      </c>
      <c r="H54" s="41">
        <f t="shared" ca="1" si="14"/>
        <v>83.431155418236216</v>
      </c>
      <c r="I54" s="42">
        <f t="shared" ca="1" si="9"/>
        <v>68.5</v>
      </c>
      <c r="J54" s="18"/>
      <c r="K54" s="76"/>
      <c r="M54" s="132">
        <f t="shared" ca="1" si="0"/>
        <v>17.475697558144027</v>
      </c>
      <c r="N54" s="38">
        <f t="shared" si="10"/>
        <v>0.49687500000000001</v>
      </c>
      <c r="O54" s="36">
        <f t="shared" si="11"/>
        <v>13.25</v>
      </c>
      <c r="P54" s="38">
        <f ca="1">IF(ISERROR(IF(O54&lt;fi_h/20,0,(OFFSET('Base de dados'!$A$5,IF(O54&lt;20,1,IF(O54&gt;1000,10,MATCH(O54,Cargas,1))),Coluna_fih,1,1))*(1+0.13*0.25)*(PI()*(fi_h/1000)^2/4)*SQRT(2*9.81*(O54/100-fi_h/2/1000))*1000)),"",IF(O54&lt;fi_h/20,0,(OFFSET('Base de dados'!$A$5,IF(O54&lt;20,1,IF(O54&gt;1000,10,MATCH(O54,Cargas,1))),Coluna_fih,1,1))*(PI()*(fi_h/1000)^2/4)*SQRT(2*9.81*(O54/100-fi_h/2/1000))*1000))</f>
        <v>0.91319755814402581</v>
      </c>
      <c r="Q54" s="38">
        <f ca="1">IF(O54="","",IF(Tipo_Vertedor="Retangular",IF(O54&lt;=cota_s*100,0,IF(Tipo_Vertedor="Retangular",Cd_sr*Lef_sr*((O54/100-cota_s)^(3/2))*1000)),IF(O54&lt;=cota_s*100+fi_s/20,0,(OFFSET('Base de dados'!$A$4,IF(O54&lt;20,1,IF(O54&gt;1000,10,MATCH(O54,Cargas,1))),Coluna_fis,1,1))*(PI()*(fi_s/1000)^2/4)*(2*9.81*(O54/100-cota_s-fi_s/2/1000))^0.5*1000)))</f>
        <v>0</v>
      </c>
      <c r="R54" s="38">
        <f t="shared" ca="1" si="1"/>
        <v>0.91319755814402581</v>
      </c>
      <c r="S54" s="38">
        <f t="shared" ca="1" si="2"/>
        <v>16.5625</v>
      </c>
      <c r="AD54" s="38">
        <f t="shared" si="12"/>
        <v>17.109544907923322</v>
      </c>
      <c r="AE54" s="38">
        <f t="shared" ca="1" si="13"/>
        <v>11.487344660835301</v>
      </c>
      <c r="AF54" s="38">
        <f ca="1">IF(ISERROR(IF('Hidrograma afluente'!I61="",0,'Hidrograma afluente'!I61)+Simulação!G54),"",IF('Hidrograma afluente'!I61="",0,'Hidrograma afluente'!I61)+Simulação!G54)</f>
        <v>2.1938445817637886</v>
      </c>
      <c r="AG54" s="36">
        <v>1.7690447449222224</v>
      </c>
      <c r="AH54" s="36">
        <v>1.735460734589845</v>
      </c>
      <c r="AI54" s="48">
        <v>107.75</v>
      </c>
      <c r="AJ54" s="36">
        <v>103.75</v>
      </c>
      <c r="AK54" s="38">
        <f>IF(A54="","",IF('Hidrograma afluente'!I61="",0,'Hidrograma afluente'!I61)+Simulação!B54)</f>
        <v>0</v>
      </c>
    </row>
    <row r="55" spans="1:37" s="36" customFormat="1">
      <c r="A55" s="23">
        <f t="shared" si="3"/>
        <v>50</v>
      </c>
      <c r="B55" s="24">
        <f>IF(A55="","",IF(A55&gt;tc_lot_i+tc,0,IF('Hidrograma afluente'!B62="","",'Hidrograma afluente'!B62)))</f>
        <v>0</v>
      </c>
      <c r="C55" s="41">
        <f t="shared" si="4"/>
        <v>0</v>
      </c>
      <c r="D55" s="41">
        <f t="shared" ca="1" si="5"/>
        <v>81.25</v>
      </c>
      <c r="E55" s="41">
        <f t="shared" ca="1" si="6"/>
        <v>2.1355448026334281</v>
      </c>
      <c r="F55" s="41">
        <f t="shared" ca="1" si="7"/>
        <v>0</v>
      </c>
      <c r="G55" s="41">
        <f t="shared" ca="1" si="8"/>
        <v>2.1355448026334281</v>
      </c>
      <c r="H55" s="41">
        <f t="shared" ca="1" si="14"/>
        <v>79.114455197366567</v>
      </c>
      <c r="I55" s="42">
        <f t="shared" ca="1" si="9"/>
        <v>65</v>
      </c>
      <c r="J55" s="18"/>
      <c r="K55" s="76"/>
      <c r="M55" s="132">
        <f t="shared" ca="1" si="0"/>
        <v>17.798078797532195</v>
      </c>
      <c r="N55" s="38">
        <f t="shared" si="10"/>
        <v>0.50625000000000009</v>
      </c>
      <c r="O55" s="36">
        <f t="shared" si="11"/>
        <v>13.5</v>
      </c>
      <c r="P55" s="38">
        <f ca="1">IF(ISERROR(IF(O55&lt;fi_h/20,0,(OFFSET('Base de dados'!$A$5,IF(O55&lt;20,1,IF(O55&gt;1000,10,MATCH(O55,Cargas,1))),Coluna_fih,1,1))*(1+0.13*0.25)*(PI()*(fi_h/1000)^2/4)*SQRT(2*9.81*(O55/100-fi_h/2/1000))*1000)),"",IF(O55&lt;fi_h/20,0,(OFFSET('Base de dados'!$A$5,IF(O55&lt;20,1,IF(O55&gt;1000,10,MATCH(O55,Cargas,1))),Coluna_fih,1,1))*(PI()*(fi_h/1000)^2/4)*SQRT(2*9.81*(O55/100-fi_h/2/1000))*1000))</f>
        <v>0.92307879753219335</v>
      </c>
      <c r="Q55" s="38">
        <f ca="1">IF(O55="","",IF(Tipo_Vertedor="Retangular",IF(O55&lt;=cota_s*100,0,IF(Tipo_Vertedor="Retangular",Cd_sr*Lef_sr*((O55/100-cota_s)^(3/2))*1000)),IF(O55&lt;=cota_s*100+fi_s/20,0,(OFFSET('Base de dados'!$A$4,IF(O55&lt;20,1,IF(O55&gt;1000,10,MATCH(O55,Cargas,1))),Coluna_fis,1,1))*(PI()*(fi_s/1000)^2/4)*(2*9.81*(O55/100-cota_s-fi_s/2/1000))^0.5*1000)))</f>
        <v>0</v>
      </c>
      <c r="R55" s="38">
        <f t="shared" ca="1" si="1"/>
        <v>0.92307879753219335</v>
      </c>
      <c r="S55" s="38">
        <f t="shared" ca="1" si="2"/>
        <v>16.875000000000004</v>
      </c>
      <c r="AD55" s="38">
        <f t="shared" si="12"/>
        <v>17.109544907923322</v>
      </c>
      <c r="AE55" s="38">
        <f t="shared" ca="1" si="13"/>
        <v>11.747108023899134</v>
      </c>
      <c r="AF55" s="38">
        <f ca="1">IF(ISERROR(IF('Hidrograma afluente'!I62="",0,'Hidrograma afluente'!I62)+Simulação!G55),"",IF('Hidrograma afluente'!I62="",0,'Hidrograma afluente'!I62)+Simulação!G55)</f>
        <v>2.1355448026334281</v>
      </c>
      <c r="AG55" s="36">
        <v>1.7439173714260592</v>
      </c>
      <c r="AH55" s="36">
        <v>1.7098398902025207</v>
      </c>
      <c r="AI55" s="48">
        <v>104.75</v>
      </c>
      <c r="AJ55" s="36">
        <v>100.75</v>
      </c>
      <c r="AK55" s="38">
        <f>IF(A55="","",IF('Hidrograma afluente'!I62="",0,'Hidrograma afluente'!I62)+Simulação!B55)</f>
        <v>0</v>
      </c>
    </row>
    <row r="56" spans="1:37" s="36" customFormat="1">
      <c r="A56" s="23">
        <f t="shared" si="3"/>
        <v>51</v>
      </c>
      <c r="B56" s="24">
        <f>IF(A56="","",IF(A56&gt;tc_lot_i+tc,0,IF('Hidrograma afluente'!B63="","",'Hidrograma afluente'!B63)))</f>
        <v>0</v>
      </c>
      <c r="C56" s="41">
        <f t="shared" si="4"/>
        <v>0</v>
      </c>
      <c r="D56" s="41">
        <f t="shared" ca="1" si="5"/>
        <v>76.875</v>
      </c>
      <c r="E56" s="41">
        <f t="shared" ca="1" si="6"/>
        <v>2.0756081420092189</v>
      </c>
      <c r="F56" s="41">
        <f t="shared" ca="1" si="7"/>
        <v>0</v>
      </c>
      <c r="G56" s="41">
        <f t="shared" ca="1" si="8"/>
        <v>2.0756081420092189</v>
      </c>
      <c r="H56" s="41">
        <f t="shared" ca="1" si="14"/>
        <v>74.799391857990784</v>
      </c>
      <c r="I56" s="42">
        <f t="shared" ca="1" si="9"/>
        <v>61.5</v>
      </c>
      <c r="J56" s="18"/>
      <c r="K56" s="76"/>
      <c r="M56" s="132">
        <f t="shared" ca="1" si="0"/>
        <v>18.12035537609361</v>
      </c>
      <c r="N56" s="38">
        <f t="shared" si="10"/>
        <v>0.515625</v>
      </c>
      <c r="O56" s="36">
        <f t="shared" si="11"/>
        <v>13.75</v>
      </c>
      <c r="P56" s="38">
        <f ca="1">IF(ISERROR(IF(O56&lt;fi_h/20,0,(OFFSET('Base de dados'!$A$5,IF(O56&lt;20,1,IF(O56&gt;1000,10,MATCH(O56,Cargas,1))),Coluna_fih,1,1))*(1+0.13*0.25)*(PI()*(fi_h/1000)^2/4)*SQRT(2*9.81*(O56/100-fi_h/2/1000))*1000)),"",IF(O56&lt;fi_h/20,0,(OFFSET('Base de dados'!$A$5,IF(O56&lt;20,1,IF(O56&gt;1000,10,MATCH(O56,Cargas,1))),Coluna_fih,1,1))*(PI()*(fi_h/1000)^2/4)*SQRT(2*9.81*(O56/100-fi_h/2/1000))*1000))</f>
        <v>0.93285537609360869</v>
      </c>
      <c r="Q56" s="38">
        <f ca="1">IF(O56="","",IF(Tipo_Vertedor="Retangular",IF(O56&lt;=cota_s*100,0,IF(Tipo_Vertedor="Retangular",Cd_sr*Lef_sr*((O56/100-cota_s)^(3/2))*1000)),IF(O56&lt;=cota_s*100+fi_s/20,0,(OFFSET('Base de dados'!$A$4,IF(O56&lt;20,1,IF(O56&gt;1000,10,MATCH(O56,Cargas,1))),Coluna_fis,1,1))*(PI()*(fi_s/1000)^2/4)*(2*9.81*(O56/100-cota_s-fi_s/2/1000))^0.5*1000)))</f>
        <v>0</v>
      </c>
      <c r="R56" s="38">
        <f t="shared" ca="1" si="1"/>
        <v>0.93285537609360869</v>
      </c>
      <c r="S56" s="38">
        <f t="shared" ca="1" si="2"/>
        <v>17.1875</v>
      </c>
      <c r="AD56" s="38">
        <f t="shared" si="12"/>
        <v>17.109544907923322</v>
      </c>
      <c r="AE56" s="38">
        <f t="shared" ca="1" si="13"/>
        <v>11.999777200577693</v>
      </c>
      <c r="AF56" s="38">
        <f ca="1">IF(ISERROR(IF('Hidrograma afluente'!I63="",0,'Hidrograma afluente'!I63)+Simulação!G56),"",IF('Hidrograma afluente'!I63="",0,'Hidrograma afluente'!I63)+Simulação!G56)</f>
        <v>2.0756081420092189</v>
      </c>
      <c r="AG56" s="36">
        <v>1.7184226160017271</v>
      </c>
      <c r="AH56" s="36">
        <v>1.6965827376852747</v>
      </c>
      <c r="AI56" s="48">
        <v>101.75</v>
      </c>
      <c r="AJ56" s="36">
        <v>98</v>
      </c>
      <c r="AK56" s="38">
        <f>IF(A56="","",IF('Hidrograma afluente'!I63="",0,'Hidrograma afluente'!I63)+Simulação!B56)</f>
        <v>0</v>
      </c>
    </row>
    <row r="57" spans="1:37" s="36" customFormat="1">
      <c r="A57" s="23">
        <f t="shared" si="3"/>
        <v>52</v>
      </c>
      <c r="B57" s="24">
        <f>IF(A57="","",IF(A57&gt;tc_lot_i+tc,0,IF('Hidrograma afluente'!B64="","",'Hidrograma afluente'!B64)))</f>
        <v>0</v>
      </c>
      <c r="C57" s="41">
        <f t="shared" si="4"/>
        <v>0</v>
      </c>
      <c r="D57" s="41">
        <f t="shared" ca="1" si="5"/>
        <v>72.5</v>
      </c>
      <c r="E57" s="41">
        <f t="shared" ca="1" si="6"/>
        <v>2.020353587750233</v>
      </c>
      <c r="F57" s="41">
        <f t="shared" ca="1" si="7"/>
        <v>0</v>
      </c>
      <c r="G57" s="41">
        <f t="shared" ca="1" si="8"/>
        <v>2.020353587750233</v>
      </c>
      <c r="H57" s="41">
        <f t="shared" ca="1" si="14"/>
        <v>70.479646412249764</v>
      </c>
      <c r="I57" s="42">
        <f t="shared" ca="1" si="9"/>
        <v>58</v>
      </c>
      <c r="J57" s="18"/>
      <c r="K57" s="76"/>
      <c r="M57" s="132">
        <f t="shared" ca="1" si="0"/>
        <v>18.442530550677279</v>
      </c>
      <c r="N57" s="38">
        <f t="shared" si="10"/>
        <v>0.52500000000000002</v>
      </c>
      <c r="O57" s="36">
        <f t="shared" si="11"/>
        <v>14</v>
      </c>
      <c r="P57" s="38">
        <f ca="1">IF(ISERROR(IF(O57&lt;fi_h/20,0,(OFFSET('Base de dados'!$A$5,IF(O57&lt;20,1,IF(O57&gt;1000,10,MATCH(O57,Cargas,1))),Coluna_fih,1,1))*(1+0.13*0.25)*(PI()*(fi_h/1000)^2/4)*SQRT(2*9.81*(O57/100-fi_h/2/1000))*1000)),"",IF(O57&lt;fi_h/20,0,(OFFSET('Base de dados'!$A$5,IF(O57&lt;20,1,IF(O57&gt;1000,10,MATCH(O57,Cargas,1))),Coluna_fih,1,1))*(PI()*(fi_h/1000)^2/4)*SQRT(2*9.81*(O57/100-fi_h/2/1000))*1000))</f>
        <v>0.94253055067727998</v>
      </c>
      <c r="Q57" s="38">
        <f ca="1">IF(O57="","",IF(Tipo_Vertedor="Retangular",IF(O57&lt;=cota_s*100,0,IF(Tipo_Vertedor="Retangular",Cd_sr*Lef_sr*((O57/100-cota_s)^(3/2))*1000)),IF(O57&lt;=cota_s*100+fi_s/20,0,(OFFSET('Base de dados'!$A$4,IF(O57&lt;20,1,IF(O57&gt;1000,10,MATCH(O57,Cargas,1))),Coluna_fis,1,1))*(PI()*(fi_s/1000)^2/4)*(2*9.81*(O57/100-cota_s-fi_s/2/1000))^0.5*1000)))</f>
        <v>0</v>
      </c>
      <c r="R57" s="38">
        <f t="shared" ca="1" si="1"/>
        <v>0.94253055067727998</v>
      </c>
      <c r="S57" s="38">
        <f t="shared" ca="1" si="2"/>
        <v>17.5</v>
      </c>
      <c r="AD57" s="38">
        <f t="shared" si="12"/>
        <v>17.109544907923322</v>
      </c>
      <c r="AE57" s="38">
        <f t="shared" ca="1" si="13"/>
        <v>12.245534904363261</v>
      </c>
      <c r="AF57" s="38">
        <f ca="1">IF(ISERROR(IF('Hidrograma afluente'!I64="",0,'Hidrograma afluente'!I64)+Simulação!G57),"",IF('Hidrograma afluente'!I64="",0,'Hidrograma afluente'!I64)+Simulação!G57)</f>
        <v>2.020353587750233</v>
      </c>
      <c r="AG57" s="36">
        <v>1.7053407080085252</v>
      </c>
      <c r="AH57" s="36">
        <v>1.6722618330328627</v>
      </c>
      <c r="AI57" s="48">
        <v>99</v>
      </c>
      <c r="AJ57" s="36">
        <v>95.25</v>
      </c>
      <c r="AK57" s="38">
        <f>IF(A57="","",IF('Hidrograma afluente'!I64="",0,'Hidrograma afluente'!I64)+Simulação!B57)</f>
        <v>0</v>
      </c>
    </row>
    <row r="58" spans="1:37" s="36" customFormat="1">
      <c r="A58" s="23">
        <f t="shared" si="3"/>
        <v>53</v>
      </c>
      <c r="B58" s="24">
        <f>IF(A58="","",IF(A58&gt;tc_lot_i+tc,0,IF('Hidrograma afluente'!B65="","",'Hidrograma afluente'!B65)))</f>
        <v>0</v>
      </c>
      <c r="C58" s="41">
        <f t="shared" si="4"/>
        <v>0</v>
      </c>
      <c r="D58" s="41">
        <f t="shared" ca="1" si="5"/>
        <v>68.4375</v>
      </c>
      <c r="E58" s="41">
        <f t="shared" ca="1" si="6"/>
        <v>1.9611087930665019</v>
      </c>
      <c r="F58" s="41">
        <f t="shared" ca="1" si="7"/>
        <v>0</v>
      </c>
      <c r="G58" s="41">
        <f t="shared" ca="1" si="8"/>
        <v>1.9611087930665019</v>
      </c>
      <c r="H58" s="41">
        <f t="shared" ca="1" si="14"/>
        <v>66.476391206933499</v>
      </c>
      <c r="I58" s="42">
        <f t="shared" ca="1" si="9"/>
        <v>54.75</v>
      </c>
      <c r="J58" s="18"/>
      <c r="K58" s="76"/>
      <c r="M58" s="132">
        <f t="shared" ca="1" si="0"/>
        <v>18.764607412644853</v>
      </c>
      <c r="N58" s="38">
        <f t="shared" si="10"/>
        <v>0.53437499999999993</v>
      </c>
      <c r="O58" s="36">
        <f t="shared" si="11"/>
        <v>14.25</v>
      </c>
      <c r="P58" s="38">
        <f ca="1">IF(ISERROR(IF(O58&lt;fi_h/20,0,(OFFSET('Base de dados'!$A$5,IF(O58&lt;20,1,IF(O58&gt;1000,10,MATCH(O58,Cargas,1))),Coluna_fih,1,1))*(1+0.13*0.25)*(PI()*(fi_h/1000)^2/4)*SQRT(2*9.81*(O58/100-fi_h/2/1000))*1000)),"",IF(O58&lt;fi_h/20,0,(OFFSET('Base de dados'!$A$5,IF(O58&lt;20,1,IF(O58&gt;1000,10,MATCH(O58,Cargas,1))),Coluna_fih,1,1))*(PI()*(fi_h/1000)^2/4)*SQRT(2*9.81*(O58/100-fi_h/2/1000))*1000))</f>
        <v>0.95210741264485743</v>
      </c>
      <c r="Q58" s="38">
        <f ca="1">IF(O58="","",IF(Tipo_Vertedor="Retangular",IF(O58&lt;=cota_s*100,0,IF(Tipo_Vertedor="Retangular",Cd_sr*Lef_sr*((O58/100-cota_s)^(3/2))*1000)),IF(O58&lt;=cota_s*100+fi_s/20,0,(OFFSET('Base de dados'!$A$4,IF(O58&lt;20,1,IF(O58&gt;1000,10,MATCH(O58,Cargas,1))),Coluna_fis,1,1))*(PI()*(fi_s/1000)^2/4)*(2*9.81*(O58/100-cota_s-fi_s/2/1000))^0.5*1000)))</f>
        <v>0</v>
      </c>
      <c r="R58" s="38">
        <f t="shared" ca="1" si="1"/>
        <v>0.95210741264485743</v>
      </c>
      <c r="S58" s="38">
        <f t="shared" ca="1" si="2"/>
        <v>17.812499999999996</v>
      </c>
      <c r="AD58" s="38">
        <f t="shared" si="12"/>
        <v>17.109544907923322</v>
      </c>
      <c r="AE58" s="38">
        <f t="shared" ca="1" si="13"/>
        <v>12.484422647212265</v>
      </c>
      <c r="AF58" s="38">
        <f ca="1">IF(ISERROR(IF('Hidrograma afluente'!I65="",0,'Hidrograma afluente'!I65)+Simulação!G58),"",IF('Hidrograma afluente'!I65="",0,'Hidrograma afluente'!I65)+Simulação!G58)</f>
        <v>1.9611087930665019</v>
      </c>
      <c r="AG58" s="36">
        <v>1.6811465084274442</v>
      </c>
      <c r="AH58" s="36">
        <v>1.6475819526279107</v>
      </c>
      <c r="AI58" s="48">
        <v>96.25</v>
      </c>
      <c r="AJ58" s="36">
        <v>92.5</v>
      </c>
      <c r="AK58" s="38">
        <f>IF(A58="","",IF('Hidrograma afluente'!I65="",0,'Hidrograma afluente'!I65)+Simulação!B58)</f>
        <v>0</v>
      </c>
    </row>
    <row r="59" spans="1:37" s="36" customFormat="1">
      <c r="A59" s="23">
        <f t="shared" si="3"/>
        <v>54</v>
      </c>
      <c r="B59" s="24">
        <f>IF(A59="","",IF(A59&gt;tc_lot_i+tc,0,IF('Hidrograma afluente'!B66="","",'Hidrograma afluente'!B66)))</f>
        <v>0</v>
      </c>
      <c r="C59" s="41">
        <f t="shared" si="4"/>
        <v>0</v>
      </c>
      <c r="D59" s="41">
        <f t="shared" ca="1" si="5"/>
        <v>64.375000000000014</v>
      </c>
      <c r="E59" s="41">
        <f t="shared" ca="1" si="6"/>
        <v>1.9000175728003841</v>
      </c>
      <c r="F59" s="41">
        <f t="shared" ca="1" si="7"/>
        <v>0</v>
      </c>
      <c r="G59" s="41">
        <f t="shared" ca="1" si="8"/>
        <v>1.9000175728003841</v>
      </c>
      <c r="H59" s="41">
        <f t="shared" ca="1" si="14"/>
        <v>62.474982427199627</v>
      </c>
      <c r="I59" s="42">
        <f t="shared" ca="1" si="9"/>
        <v>51.5</v>
      </c>
      <c r="J59" s="18"/>
      <c r="K59" s="76"/>
      <c r="M59" s="132">
        <f t="shared" ca="1" si="0"/>
        <v>19.086588899408969</v>
      </c>
      <c r="N59" s="38">
        <f t="shared" si="10"/>
        <v>0.54374999999999996</v>
      </c>
      <c r="O59" s="36">
        <f t="shared" si="11"/>
        <v>14.5</v>
      </c>
      <c r="P59" s="38">
        <f ca="1">IF(ISERROR(IF(O59&lt;fi_h/20,0,(OFFSET('Base de dados'!$A$5,IF(O59&lt;20,1,IF(O59&gt;1000,10,MATCH(O59,Cargas,1))),Coluna_fih,1,1))*(1+0.13*0.25)*(PI()*(fi_h/1000)^2/4)*SQRT(2*9.81*(O59/100-fi_h/2/1000))*1000)),"",IF(O59&lt;fi_h/20,0,(OFFSET('Base de dados'!$A$5,IF(O59&lt;20,1,IF(O59&gt;1000,10,MATCH(O59,Cargas,1))),Coluna_fih,1,1))*(PI()*(fi_h/1000)^2/4)*SQRT(2*9.81*(O59/100-fi_h/2/1000))*1000))</f>
        <v>0.96158889940896941</v>
      </c>
      <c r="Q59" s="38">
        <f ca="1">IF(O59="","",IF(Tipo_Vertedor="Retangular",IF(O59&lt;=cota_s*100,0,IF(Tipo_Vertedor="Retangular",Cd_sr*Lef_sr*((O59/100-cota_s)^(3/2))*1000)),IF(O59&lt;=cota_s*100+fi_s/20,0,(OFFSET('Base de dados'!$A$4,IF(O59&lt;20,1,IF(O59&gt;1000,10,MATCH(O59,Cargas,1))),Coluna_fis,1,1))*(PI()*(fi_s/1000)^2/4)*(2*9.81*(O59/100-cota_s-fi_s/2/1000))^0.5*1000)))</f>
        <v>0</v>
      </c>
      <c r="R59" s="38">
        <f t="shared" ca="1" si="1"/>
        <v>0.96158889940896941</v>
      </c>
      <c r="S59" s="38">
        <f t="shared" ca="1" si="2"/>
        <v>18.125</v>
      </c>
      <c r="AD59" s="38">
        <f t="shared" si="12"/>
        <v>17.109544907923322</v>
      </c>
      <c r="AE59" s="38">
        <f t="shared" ca="1" si="13"/>
        <v>12.716090229164278</v>
      </c>
      <c r="AF59" s="38">
        <f ca="1">IF(ISERROR(IF('Hidrograma afluente'!I66="",0,'Hidrograma afluente'!I66)+Simulação!G59),"",IF('Hidrograma afluente'!I66="",0,'Hidrograma afluente'!I66)+Simulação!G59)</f>
        <v>1.9000175728003841</v>
      </c>
      <c r="AG59" s="36">
        <v>1.6565989964999241</v>
      </c>
      <c r="AH59" s="36">
        <v>1.622526715660475</v>
      </c>
      <c r="AI59" s="48">
        <v>93.5</v>
      </c>
      <c r="AJ59" s="36">
        <v>89.75</v>
      </c>
      <c r="AK59" s="38">
        <f>IF(A59="","",IF('Hidrograma afluente'!I66="",0,'Hidrograma afluente'!I66)+Simulação!B59)</f>
        <v>0</v>
      </c>
    </row>
    <row r="60" spans="1:37" s="36" customFormat="1">
      <c r="A60" s="23">
        <f t="shared" si="3"/>
        <v>55</v>
      </c>
      <c r="B60" s="24">
        <f>IF(A60="","",IF(A60&gt;tc_lot_i+tc,0,IF('Hidrograma afluente'!B67="","",'Hidrograma afluente'!B67)))</f>
        <v>0</v>
      </c>
      <c r="C60" s="41">
        <f t="shared" si="4"/>
        <v>0</v>
      </c>
      <c r="D60" s="41">
        <f t="shared" ca="1" si="5"/>
        <v>60.624999999999993</v>
      </c>
      <c r="E60" s="41">
        <f t="shared" ca="1" si="6"/>
        <v>1.841828043523891</v>
      </c>
      <c r="F60" s="41">
        <f t="shared" ca="1" si="7"/>
        <v>0</v>
      </c>
      <c r="G60" s="41">
        <f t="shared" ca="1" si="8"/>
        <v>1.841828043523891</v>
      </c>
      <c r="H60" s="41">
        <f t="shared" ca="1" si="14"/>
        <v>58.783171956476103</v>
      </c>
      <c r="I60" s="42">
        <f t="shared" ca="1" si="9"/>
        <v>48.5</v>
      </c>
      <c r="J60" s="18"/>
      <c r="K60" s="76"/>
      <c r="M60" s="132">
        <f t="shared" ca="1" si="0"/>
        <v>19.408477804957364</v>
      </c>
      <c r="N60" s="38">
        <f t="shared" si="10"/>
        <v>0.55312499999999998</v>
      </c>
      <c r="O60" s="36">
        <f t="shared" si="11"/>
        <v>14.75</v>
      </c>
      <c r="P60" s="38">
        <f ca="1">IF(ISERROR(IF(O60&lt;fi_h/20,0,(OFFSET('Base de dados'!$A$5,IF(O60&lt;20,1,IF(O60&gt;1000,10,MATCH(O60,Cargas,1))),Coluna_fih,1,1))*(1+0.13*0.25)*(PI()*(fi_h/1000)^2/4)*SQRT(2*9.81*(O60/100-fi_h/2/1000))*1000)),"",IF(O60&lt;fi_h/20,0,(OFFSET('Base de dados'!$A$5,IF(O60&lt;20,1,IF(O60&gt;1000,10,MATCH(O60,Cargas,1))),Coluna_fih,1,1))*(PI()*(fi_h/1000)^2/4)*SQRT(2*9.81*(O60/100-fi_h/2/1000))*1000))</f>
        <v>0.97097780495736441</v>
      </c>
      <c r="Q60" s="38">
        <f ca="1">IF(O60="","",IF(Tipo_Vertedor="Retangular",IF(O60&lt;=cota_s*100,0,IF(Tipo_Vertedor="Retangular",Cd_sr*Lef_sr*((O60/100-cota_s)^(3/2))*1000)),IF(O60&lt;=cota_s*100+fi_s/20,0,(OFFSET('Base de dados'!$A$4,IF(O60&lt;20,1,IF(O60&gt;1000,10,MATCH(O60,Cargas,1))),Coluna_fis,1,1))*(PI()*(fi_s/1000)^2/4)*(2*9.81*(O60/100-cota_s-fi_s/2/1000))^0.5*1000)))</f>
        <v>0</v>
      </c>
      <c r="R60" s="38">
        <f t="shared" ca="1" si="1"/>
        <v>0.97097780495736441</v>
      </c>
      <c r="S60" s="38">
        <f t="shared" ca="1" si="2"/>
        <v>18.4375</v>
      </c>
      <c r="AD60" s="38">
        <f t="shared" si="12"/>
        <v>17.109544907923322</v>
      </c>
      <c r="AE60" s="38">
        <f t="shared" ca="1" si="13"/>
        <v>12.940600966143734</v>
      </c>
      <c r="AF60" s="38">
        <f ca="1">IF(ISERROR(IF('Hidrograma afluente'!I67="",0,'Hidrograma afluente'!I67)+Simulação!G60),"",IF('Hidrograma afluente'!I67="",0,'Hidrograma afluente'!I67)+Simulação!G60)</f>
        <v>1.841828043523891</v>
      </c>
      <c r="AG60" s="36">
        <v>1.6316822262963229</v>
      </c>
      <c r="AH60" s="36">
        <v>1.5970784562565286</v>
      </c>
      <c r="AI60" s="48">
        <v>90.75</v>
      </c>
      <c r="AJ60" s="36">
        <v>87</v>
      </c>
      <c r="AK60" s="38">
        <f>IF(A60="","",IF('Hidrograma afluente'!I67="",0,'Hidrograma afluente'!I67)+Simulação!B60)</f>
        <v>0</v>
      </c>
    </row>
    <row r="61" spans="1:37" s="36" customFormat="1">
      <c r="A61" s="23">
        <f t="shared" si="3"/>
        <v>56</v>
      </c>
      <c r="B61" s="24">
        <f>IF(A61="","",IF(A61&gt;tc_lot_i+tc,0,IF('Hidrograma afluente'!B68="","",'Hidrograma afluente'!B68)))</f>
        <v>0</v>
      </c>
      <c r="C61" s="41">
        <f t="shared" si="4"/>
        <v>0</v>
      </c>
      <c r="D61" s="41">
        <f t="shared" ca="1" si="5"/>
        <v>56.875</v>
      </c>
      <c r="E61" s="41">
        <f t="shared" ca="1" si="6"/>
        <v>1.7817391242468195</v>
      </c>
      <c r="F61" s="41">
        <f t="shared" ca="1" si="7"/>
        <v>0</v>
      </c>
      <c r="G61" s="41">
        <f t="shared" ca="1" si="8"/>
        <v>1.7817391242468195</v>
      </c>
      <c r="H61" s="41">
        <f t="shared" ca="1" si="14"/>
        <v>55.093260875753181</v>
      </c>
      <c r="I61" s="42">
        <f t="shared" ca="1" si="9"/>
        <v>45.5</v>
      </c>
      <c r="J61" s="18"/>
      <c r="K61" s="76"/>
      <c r="M61" s="132">
        <f t="shared" ca="1" si="0"/>
        <v>19.730276789469734</v>
      </c>
      <c r="N61" s="38">
        <f t="shared" si="10"/>
        <v>0.5625</v>
      </c>
      <c r="O61" s="36">
        <f t="shared" si="11"/>
        <v>15</v>
      </c>
      <c r="P61" s="38">
        <f ca="1">IF(ISERROR(IF(O61&lt;fi_h/20,0,(OFFSET('Base de dados'!$A$5,IF(O61&lt;20,1,IF(O61&gt;1000,10,MATCH(O61,Cargas,1))),Coluna_fih,1,1))*(1+0.13*0.25)*(PI()*(fi_h/1000)^2/4)*SQRT(2*9.81*(O61/100-fi_h/2/1000))*1000)),"",IF(O61&lt;fi_h/20,0,(OFFSET('Base de dados'!$A$5,IF(O61&lt;20,1,IF(O61&gt;1000,10,MATCH(O61,Cargas,1))),Coluna_fih,1,1))*(PI()*(fi_h/1000)^2/4)*SQRT(2*9.81*(O61/100-fi_h/2/1000))*1000))</f>
        <v>0.98027678946973418</v>
      </c>
      <c r="Q61" s="38">
        <f ca="1">IF(O61="","",IF(Tipo_Vertedor="Retangular",IF(O61&lt;=cota_s*100,0,IF(Tipo_Vertedor="Retangular",Cd_sr*Lef_sr*((O61/100-cota_s)^(3/2))*1000)),IF(O61&lt;=cota_s*100+fi_s/20,0,(OFFSET('Base de dados'!$A$4,IF(O61&lt;20,1,IF(O61&gt;1000,10,MATCH(O61,Cargas,1))),Coluna_fis,1,1))*(PI()*(fi_s/1000)^2/4)*(2*9.81*(O61/100-cota_s-fi_s/2/1000))^0.5*1000)))</f>
        <v>0</v>
      </c>
      <c r="R61" s="38">
        <f t="shared" ca="1" si="1"/>
        <v>0.98027678946973418</v>
      </c>
      <c r="S61" s="38">
        <f t="shared" ca="1" si="2"/>
        <v>18.75</v>
      </c>
      <c r="AD61" s="38">
        <f t="shared" si="12"/>
        <v>17.109544907923322</v>
      </c>
      <c r="AE61" s="38">
        <f t="shared" ca="1" si="13"/>
        <v>13.158014996209976</v>
      </c>
      <c r="AF61" s="38">
        <f ca="1">IF(ISERROR(IF('Hidrograma afluente'!I68="",0,'Hidrograma afluente'!I68)+Simulação!G61),"",IF('Hidrograma afluente'!I68="",0,'Hidrograma afluente'!I68)+Simulação!G61)</f>
        <v>1.7817391242468195</v>
      </c>
      <c r="AG61" s="36">
        <v>1.6063790150578079</v>
      </c>
      <c r="AH61" s="36">
        <v>1.5712180777490772</v>
      </c>
      <c r="AI61" s="48">
        <v>88</v>
      </c>
      <c r="AJ61" s="36">
        <v>84.25</v>
      </c>
      <c r="AK61" s="38">
        <f>IF(A61="","",IF('Hidrograma afluente'!I68="",0,'Hidrograma afluente'!I68)+Simulação!B61)</f>
        <v>0</v>
      </c>
    </row>
    <row r="62" spans="1:37" s="36" customFormat="1">
      <c r="A62" s="23">
        <f t="shared" si="3"/>
        <v>57</v>
      </c>
      <c r="B62" s="24">
        <f>IF(A62="","",IF(A62&gt;tc_lot_i+tc,0,IF('Hidrograma afluente'!B69="","",'Hidrograma afluente'!B69)))</f>
        <v>0</v>
      </c>
      <c r="C62" s="41">
        <f t="shared" si="4"/>
        <v>0</v>
      </c>
      <c r="D62" s="41">
        <f t="shared" ca="1" si="5"/>
        <v>53.125</v>
      </c>
      <c r="E62" s="41">
        <f t="shared" ca="1" si="6"/>
        <v>1.7195517066469983</v>
      </c>
      <c r="F62" s="41">
        <f t="shared" ca="1" si="7"/>
        <v>0</v>
      </c>
      <c r="G62" s="41">
        <f t="shared" ca="1" si="8"/>
        <v>1.7195517066469983</v>
      </c>
      <c r="H62" s="41">
        <f t="shared" ca="1" si="14"/>
        <v>51.405448293353004</v>
      </c>
      <c r="I62" s="42">
        <f t="shared" ca="1" si="9"/>
        <v>42.5</v>
      </c>
      <c r="J62" s="18"/>
      <c r="K62" s="76"/>
      <c r="M62" s="132">
        <f t="shared" ca="1" si="0"/>
        <v>20.051988388121032</v>
      </c>
      <c r="N62" s="38">
        <f t="shared" si="10"/>
        <v>0.57187500000000002</v>
      </c>
      <c r="O62" s="36">
        <f t="shared" si="11"/>
        <v>15.25</v>
      </c>
      <c r="P62" s="38">
        <f ca="1">IF(ISERROR(IF(O62&lt;fi_h/20,0,(OFFSET('Base de dados'!$A$5,IF(O62&lt;20,1,IF(O62&gt;1000,10,MATCH(O62,Cargas,1))),Coluna_fih,1,1))*(1+0.13*0.25)*(PI()*(fi_h/1000)^2/4)*SQRT(2*9.81*(O62/100-fi_h/2/1000))*1000)),"",IF(O62&lt;fi_h/20,0,(OFFSET('Base de dados'!$A$5,IF(O62&lt;20,1,IF(O62&gt;1000,10,MATCH(O62,Cargas,1))),Coluna_fih,1,1))*(PI()*(fi_h/1000)^2/4)*SQRT(2*9.81*(O62/100-fi_h/2/1000))*1000))</f>
        <v>0.98948838812103201</v>
      </c>
      <c r="Q62" s="38">
        <f ca="1">IF(O62="","",IF(Tipo_Vertedor="Retangular",IF(O62&lt;=cota_s*100,0,IF(Tipo_Vertedor="Retangular",Cd_sr*Lef_sr*((O62/100-cota_s)^(3/2))*1000)),IF(O62&lt;=cota_s*100+fi_s/20,0,(OFFSET('Base de dados'!$A$4,IF(O62&lt;20,1,IF(O62&gt;1000,10,MATCH(O62,Cargas,1))),Coluna_fis,1,1))*(PI()*(fi_s/1000)^2/4)*(2*9.81*(O62/100-cota_s-fi_s/2/1000))^0.5*1000)))</f>
        <v>0</v>
      </c>
      <c r="R62" s="38">
        <f t="shared" ca="1" si="1"/>
        <v>0.98948838812103201</v>
      </c>
      <c r="S62" s="38">
        <f t="shared" ca="1" si="2"/>
        <v>19.0625</v>
      </c>
      <c r="AD62" s="38">
        <f t="shared" si="12"/>
        <v>17.109544907923322</v>
      </c>
      <c r="AE62" s="38">
        <f t="shared" ca="1" si="13"/>
        <v>13.368092446063606</v>
      </c>
      <c r="AF62" s="38">
        <f ca="1">IF(ISERROR(IF('Hidrograma afluente'!I69="",0,'Hidrograma afluente'!I69)+Simulação!G62),"",IF('Hidrograma afluente'!I69="",0,'Hidrograma afluente'!I69)+Simulação!G62)</f>
        <v>1.7195517066469983</v>
      </c>
      <c r="AG62" s="36">
        <v>1.5806708045715472</v>
      </c>
      <c r="AH62" s="36">
        <v>1.5473336377126667</v>
      </c>
      <c r="AI62" s="48">
        <v>85.25</v>
      </c>
      <c r="AJ62" s="36">
        <v>81.75</v>
      </c>
      <c r="AK62" s="38">
        <f>IF(A62="","",IF('Hidrograma afluente'!I69="",0,'Hidrograma afluente'!I69)+Simulação!B62)</f>
        <v>0</v>
      </c>
    </row>
    <row r="63" spans="1:37" s="36" customFormat="1">
      <c r="A63" s="23">
        <f t="shared" si="3"/>
        <v>58</v>
      </c>
      <c r="B63" s="24">
        <f>IF(A63="","",IF(A63&gt;tc_lot_i+tc,0,IF('Hidrograma afluente'!B70="","",'Hidrograma afluente'!B70)))</f>
        <v>0</v>
      </c>
      <c r="C63" s="41">
        <f t="shared" si="4"/>
        <v>0</v>
      </c>
      <c r="D63" s="41">
        <f t="shared" ca="1" si="5"/>
        <v>49.6875</v>
      </c>
      <c r="E63" s="41">
        <f t="shared" ca="1" si="6"/>
        <v>1.6605018889018621</v>
      </c>
      <c r="F63" s="41">
        <f t="shared" ca="1" si="7"/>
        <v>0</v>
      </c>
      <c r="G63" s="41">
        <f t="shared" ca="1" si="8"/>
        <v>1.6605018889018621</v>
      </c>
      <c r="H63" s="41">
        <f t="shared" ca="1" si="14"/>
        <v>48.026998111098138</v>
      </c>
      <c r="I63" s="42">
        <f t="shared" ca="1" si="9"/>
        <v>39.75</v>
      </c>
      <c r="J63" s="18"/>
      <c r="K63" s="76"/>
      <c r="M63" s="132">
        <f t="shared" ca="1" si="0"/>
        <v>20.373615019153842</v>
      </c>
      <c r="N63" s="38">
        <f t="shared" si="10"/>
        <v>0.58125000000000004</v>
      </c>
      <c r="O63" s="36">
        <f t="shared" si="11"/>
        <v>15.5</v>
      </c>
      <c r="P63" s="38">
        <f ca="1">IF(ISERROR(IF(O63&lt;fi_h/20,0,(OFFSET('Base de dados'!$A$5,IF(O63&lt;20,1,IF(O63&gt;1000,10,MATCH(O63,Cargas,1))),Coluna_fih,1,1))*(1+0.13*0.25)*(PI()*(fi_h/1000)^2/4)*SQRT(2*9.81*(O63/100-fi_h/2/1000))*1000)),"",IF(O63&lt;fi_h/20,0,(OFFSET('Base de dados'!$A$5,IF(O63&lt;20,1,IF(O63&gt;1000,10,MATCH(O63,Cargas,1))),Coluna_fih,1,1))*(PI()*(fi_h/1000)^2/4)*SQRT(2*9.81*(O63/100-fi_h/2/1000))*1000))</f>
        <v>0.9986150191538411</v>
      </c>
      <c r="Q63" s="38">
        <f ca="1">IF(O63="","",IF(Tipo_Vertedor="Retangular",IF(O63&lt;=cota_s*100,0,IF(Tipo_Vertedor="Retangular",Cd_sr*Lef_sr*((O63/100-cota_s)^(3/2))*1000)),IF(O63&lt;=cota_s*100+fi_s/20,0,(OFFSET('Base de dados'!$A$4,IF(O63&lt;20,1,IF(O63&gt;1000,10,MATCH(O63,Cargas,1))),Coluna_fis,1,1))*(PI()*(fi_s/1000)^2/4)*(2*9.81*(O63/100-cota_s-fi_s/2/1000))^0.5*1000)))</f>
        <v>0</v>
      </c>
      <c r="R63" s="38">
        <f t="shared" ca="1" si="1"/>
        <v>0.9986150191538411</v>
      </c>
      <c r="S63" s="38">
        <f t="shared" ca="1" si="2"/>
        <v>19.375</v>
      </c>
      <c r="AD63" s="38">
        <f t="shared" si="12"/>
        <v>17.109544907923322</v>
      </c>
      <c r="AE63" s="38">
        <f t="shared" ca="1" si="13"/>
        <v>13.570895661796538</v>
      </c>
      <c r="AF63" s="38">
        <f ca="1">IF(ISERROR(IF('Hidrograma afluente'!I70="",0,'Hidrograma afluente'!I70)+Simulação!G63),"",IF('Hidrograma afluente'!I70="",0,'Hidrograma afluente'!I70)+Simulação!G63)</f>
        <v>1.6605018889018621</v>
      </c>
      <c r="AG63" s="36">
        <v>1.5545375019058341</v>
      </c>
      <c r="AH63" s="36">
        <v>1.5301918659440499</v>
      </c>
      <c r="AI63" s="48">
        <v>82.5</v>
      </c>
      <c r="AJ63" s="36">
        <v>79.25</v>
      </c>
      <c r="AK63" s="38">
        <f>IF(A63="","",IF('Hidrograma afluente'!I70="",0,'Hidrograma afluente'!I70)+Simulação!B63)</f>
        <v>0</v>
      </c>
    </row>
    <row r="64" spans="1:37" s="36" customFormat="1">
      <c r="A64" s="23">
        <f t="shared" si="3"/>
        <v>59</v>
      </c>
      <c r="B64" s="24">
        <f>IF(A64="","",IF(A64&gt;tc_lot_i+tc,0,IF('Hidrograma afluente'!B71="","",'Hidrograma afluente'!B71)))</f>
        <v>0</v>
      </c>
      <c r="C64" s="41">
        <f t="shared" si="4"/>
        <v>0</v>
      </c>
      <c r="D64" s="41">
        <f t="shared" ca="1" si="5"/>
        <v>46.25</v>
      </c>
      <c r="E64" s="41">
        <f t="shared" ca="1" si="6"/>
        <v>1.5992732644112766</v>
      </c>
      <c r="F64" s="41">
        <f t="shared" ca="1" si="7"/>
        <v>0</v>
      </c>
      <c r="G64" s="41">
        <f t="shared" ca="1" si="8"/>
        <v>1.5992732644112766</v>
      </c>
      <c r="H64" s="41">
        <f t="shared" ca="1" si="14"/>
        <v>44.650726735588727</v>
      </c>
      <c r="I64" s="42">
        <f t="shared" ca="1" si="9"/>
        <v>37</v>
      </c>
      <c r="J64" s="18"/>
      <c r="K64" s="76"/>
      <c r="M64" s="132">
        <f t="shared" ca="1" si="0"/>
        <v>20.695158991292637</v>
      </c>
      <c r="N64" s="38">
        <f t="shared" si="10"/>
        <v>0.59062499999999996</v>
      </c>
      <c r="O64" s="36">
        <f t="shared" si="11"/>
        <v>15.75</v>
      </c>
      <c r="P64" s="38">
        <f ca="1">IF(ISERROR(IF(O64&lt;fi_h/20,0,(OFFSET('Base de dados'!$A$5,IF(O64&lt;20,1,IF(O64&gt;1000,10,MATCH(O64,Cargas,1))),Coluna_fih,1,1))*(1+0.13*0.25)*(PI()*(fi_h/1000)^2/4)*SQRT(2*9.81*(O64/100-fi_h/2/1000))*1000)),"",IF(O64&lt;fi_h/20,0,(OFFSET('Base de dados'!$A$5,IF(O64&lt;20,1,IF(O64&gt;1000,10,MATCH(O64,Cargas,1))),Coluna_fih,1,1))*(PI()*(fi_h/1000)^2/4)*SQRT(2*9.81*(O64/100-fi_h/2/1000))*1000))</f>
        <v>1.007658991292637</v>
      </c>
      <c r="Q64" s="38">
        <f ca="1">IF(O64="","",IF(Tipo_Vertedor="Retangular",IF(O64&lt;=cota_s*100,0,IF(Tipo_Vertedor="Retangular",Cd_sr*Lef_sr*((O64/100-cota_s)^(3/2))*1000)),IF(O64&lt;=cota_s*100+fi_s/20,0,(OFFSET('Base de dados'!$A$4,IF(O64&lt;20,1,IF(O64&gt;1000,10,MATCH(O64,Cargas,1))),Coluna_fis,1,1))*(PI()*(fi_s/1000)^2/4)*(2*9.81*(O64/100-cota_s-fi_s/2/1000))^0.5*1000)))</f>
        <v>0</v>
      </c>
      <c r="R64" s="38">
        <f t="shared" ca="1" si="1"/>
        <v>1.007658991292637</v>
      </c>
      <c r="S64" s="38">
        <f t="shared" ca="1" si="2"/>
        <v>19.6875</v>
      </c>
      <c r="AD64" s="38">
        <f t="shared" si="12"/>
        <v>17.109544907923322</v>
      </c>
      <c r="AE64" s="38">
        <f t="shared" ca="1" si="13"/>
        <v>13.766482170995326</v>
      </c>
      <c r="AF64" s="38">
        <f ca="1">IF(ISERROR(IF('Hidrograma afluente'!I71="",0,'Hidrograma afluente'!I71)+Simulação!G64),"",IF('Hidrograma afluente'!I71="",0,'Hidrograma afluente'!I71)+Simulação!G64)</f>
        <v>1.5992732644112766</v>
      </c>
      <c r="AG64" s="36">
        <v>1.5303927546166831</v>
      </c>
      <c r="AH64" s="36">
        <v>1.5054250358298888</v>
      </c>
      <c r="AI64" s="48">
        <v>80</v>
      </c>
      <c r="AJ64" s="36">
        <v>76.75</v>
      </c>
      <c r="AK64" s="38">
        <f>IF(A64="","",IF('Hidrograma afluente'!I71="",0,'Hidrograma afluente'!I71)+Simulação!B64)</f>
        <v>0</v>
      </c>
    </row>
    <row r="65" spans="1:37" s="36" customFormat="1">
      <c r="A65" s="23">
        <f t="shared" si="3"/>
        <v>60</v>
      </c>
      <c r="B65" s="24">
        <f>IF(A65="","",IF(A65&gt;tc_lot_i+tc,0,IF('Hidrograma afluente'!B72="","",'Hidrograma afluente'!B72)))</f>
        <v>0</v>
      </c>
      <c r="C65" s="41">
        <f t="shared" si="4"/>
        <v>0</v>
      </c>
      <c r="D65" s="41">
        <f t="shared" ca="1" si="5"/>
        <v>42.8125</v>
      </c>
      <c r="E65" s="41">
        <f t="shared" ca="1" si="6"/>
        <v>1.5356052310000607</v>
      </c>
      <c r="F65" s="41">
        <f t="shared" ca="1" si="7"/>
        <v>0</v>
      </c>
      <c r="G65" s="41">
        <f t="shared" ca="1" si="8"/>
        <v>1.5356052310000607</v>
      </c>
      <c r="H65" s="41">
        <f ca="1">IF(A65="","",IF(ISERROR(B65+C65+D65-G65),0,B65+C65+D65-G65))</f>
        <v>41.276894768999938</v>
      </c>
      <c r="I65" s="42">
        <f t="shared" ca="1" si="9"/>
        <v>34.25</v>
      </c>
      <c r="J65" s="18"/>
      <c r="K65" s="76"/>
      <c r="M65" s="132">
        <f t="shared" ca="1" si="0"/>
        <v>21.01662251056435</v>
      </c>
      <c r="N65" s="38">
        <f t="shared" si="10"/>
        <v>0.6</v>
      </c>
      <c r="O65" s="36">
        <f t="shared" si="11"/>
        <v>16</v>
      </c>
      <c r="P65" s="38">
        <f ca="1">IF(ISERROR(IF(O65&lt;fi_h/20,0,(OFFSET('Base de dados'!$A$5,IF(O65&lt;20,1,IF(O65&gt;1000,10,MATCH(O65,Cargas,1))),Coluna_fih,1,1))*(1+0.13*0.25)*(PI()*(fi_h/1000)^2/4)*SQRT(2*9.81*(O65/100-fi_h/2/1000))*1000)),"",IF(O65&lt;fi_h/20,0,(OFFSET('Base de dados'!$A$5,IF(O65&lt;20,1,IF(O65&gt;1000,10,MATCH(O65,Cargas,1))),Coluna_fih,1,1))*(PI()*(fi_h/1000)^2/4)*SQRT(2*9.81*(O65/100-fi_h/2/1000))*1000))</f>
        <v>1.0166225105643505</v>
      </c>
      <c r="Q65" s="38">
        <f ca="1">IF(O65="","",IF(Tipo_Vertedor="Retangular",IF(O65&lt;=cota_s*100,0,IF(Tipo_Vertedor="Retangular",Cd_sr*Lef_sr*((O65/100-cota_s)^(3/2))*1000)),IF(O65&lt;=cota_s*100+fi_s/20,0,(OFFSET('Base de dados'!$A$4,IF(O65&lt;20,1,IF(O65&gt;1000,10,MATCH(O65,Cargas,1))),Coluna_fis,1,1))*(PI()*(fi_s/1000)^2/4)*(2*9.81*(O65/100-cota_s-fi_s/2/1000))^0.5*1000)))</f>
        <v>0</v>
      </c>
      <c r="R65" s="38">
        <f t="shared" ca="1" si="1"/>
        <v>1.0166225105643505</v>
      </c>
      <c r="S65" s="38">
        <f t="shared" ca="1" si="2"/>
        <v>20</v>
      </c>
      <c r="AD65" s="38">
        <f t="shared" si="12"/>
        <v>17.109544907923322</v>
      </c>
      <c r="AE65" s="38">
        <f t="shared" ca="1" si="13"/>
        <v>13.954574880720006</v>
      </c>
      <c r="AF65" s="38">
        <f ca="1">IF(ISERROR(IF('Hidrograma afluente'!I72="",0,'Hidrograma afluente'!I72)+Simulação!G65),"",IF('Hidrograma afluente'!I72="",0,'Hidrograma afluente'!I72)+Simulação!G65)</f>
        <v>1.5356052310000607</v>
      </c>
      <c r="AG65" s="36">
        <v>1.5128976571244983</v>
      </c>
      <c r="AH65" s="36">
        <v>1.480243875314305</v>
      </c>
      <c r="AI65" s="48">
        <v>77.5</v>
      </c>
      <c r="AJ65" s="36">
        <v>74.25</v>
      </c>
      <c r="AK65" s="38">
        <f>IF(A65="","",IF('Hidrograma afluente'!I72="",0,'Hidrograma afluente'!I72)+Simulação!B65)</f>
        <v>0</v>
      </c>
    </row>
    <row r="66" spans="1:37" s="36" customFormat="1">
      <c r="A66" s="23">
        <f t="shared" si="3"/>
        <v>61</v>
      </c>
      <c r="B66" s="24">
        <f>IF(A66="","",IF(A66&gt;tc_lot_i+tc,0,IF('Hidrograma afluente'!B73="","",'Hidrograma afluente'!B73)))</f>
        <v>0</v>
      </c>
      <c r="C66" s="41">
        <f t="shared" si="4"/>
        <v>0</v>
      </c>
      <c r="D66" s="41">
        <f t="shared" ca="1" si="5"/>
        <v>39.6875</v>
      </c>
      <c r="E66" s="41">
        <f t="shared" ca="1" si="6"/>
        <v>1.4753428628430976</v>
      </c>
      <c r="F66" s="41">
        <f t="shared" ca="1" si="7"/>
        <v>0</v>
      </c>
      <c r="G66" s="41">
        <f t="shared" ca="1" si="8"/>
        <v>1.4753428628430976</v>
      </c>
      <c r="H66" s="43">
        <f t="shared" ref="H66:H90" ca="1" si="15">IF(A66="","",IF(ISERROR(B66+C66+D66-G66),0,B66+C66+D66-G66))</f>
        <v>38.2121571371569</v>
      </c>
      <c r="I66" s="42">
        <f t="shared" ca="1" si="9"/>
        <v>31.75</v>
      </c>
      <c r="J66" s="18"/>
      <c r="K66" s="76"/>
      <c r="M66" s="132">
        <f t="shared" ca="1" si="0"/>
        <v>21.338007686582323</v>
      </c>
      <c r="N66" s="38">
        <f t="shared" si="10"/>
        <v>0.609375</v>
      </c>
      <c r="O66" s="36">
        <f t="shared" si="11"/>
        <v>16.25</v>
      </c>
      <c r="P66" s="38">
        <f ca="1">IF(ISERROR(IF(O66&lt;fi_h/20,0,(OFFSET('Base de dados'!$A$5,IF(O66&lt;20,1,IF(O66&gt;1000,10,MATCH(O66,Cargas,1))),Coluna_fih,1,1))*(1+0.13*0.25)*(PI()*(fi_h/1000)^2/4)*SQRT(2*9.81*(O66/100-fi_h/2/1000))*1000)),"",IF(O66&lt;fi_h/20,0,(OFFSET('Base de dados'!$A$5,IF(O66&lt;20,1,IF(O66&gt;1000,10,MATCH(O66,Cargas,1))),Coluna_fih,1,1))*(PI()*(fi_h/1000)^2/4)*SQRT(2*9.81*(O66/100-fi_h/2/1000))*1000))</f>
        <v>1.0255076865823245</v>
      </c>
      <c r="Q66" s="38">
        <f ca="1">IF(O66="","",IF(Tipo_Vertedor="Retangular",IF(O66&lt;=cota_s*100,0,IF(Tipo_Vertedor="Retangular",Cd_sr*Lef_sr*((O66/100-cota_s)^(3/2))*1000)),IF(O66&lt;=cota_s*100+fi_s/20,0,(OFFSET('Base de dados'!$A$4,IF(O66&lt;20,1,IF(O66&gt;1000,10,MATCH(O66,Cargas,1))),Coluna_fis,1,1))*(PI()*(fi_s/1000)^2/4)*(2*9.81*(O66/100-cota_s-fi_s/2/1000))^0.5*1000)))</f>
        <v>0</v>
      </c>
      <c r="R66" s="38">
        <f t="shared" ca="1" si="1"/>
        <v>1.0255076865823245</v>
      </c>
      <c r="S66" s="38">
        <f t="shared" ca="1" si="2"/>
        <v>20.3125</v>
      </c>
      <c r="AD66" s="38">
        <f t="shared" si="12"/>
        <v>17.109544907923322</v>
      </c>
      <c r="AE66" s="38">
        <f t="shared" ca="1" si="13"/>
        <v>14.135231766350596</v>
      </c>
      <c r="AF66" s="38">
        <f ca="1">IF(ISERROR(IF('Hidrograma afluente'!I73="",0,'Hidrograma afluente'!I73)+Simulação!G66),"",IF('Hidrograma afluente'!I73="",0,'Hidrograma afluente'!I73)+Simulação!G66)</f>
        <v>1.4753428628430976</v>
      </c>
      <c r="AG66" s="36">
        <v>1.4878429731779108</v>
      </c>
      <c r="AH66" s="36">
        <v>1.4546268670375921</v>
      </c>
      <c r="AI66" s="48">
        <v>75</v>
      </c>
      <c r="AJ66" s="36">
        <v>71.75</v>
      </c>
      <c r="AK66" s="38">
        <f>IF(A66="","",IF('Hidrograma afluente'!I73="",0,'Hidrograma afluente'!I73)+Simulação!B66)</f>
        <v>0</v>
      </c>
    </row>
    <row r="67" spans="1:37" s="36" customFormat="1">
      <c r="A67" s="23">
        <f t="shared" si="3"/>
        <v>62</v>
      </c>
      <c r="B67" s="24">
        <f>IF(A67="","",IF(A67&gt;tc_lot_i+tc,0,IF('Hidrograma afluente'!B74="","",'Hidrograma afluente'!B74)))</f>
        <v>0</v>
      </c>
      <c r="C67" s="41">
        <f t="shared" si="4"/>
        <v>0</v>
      </c>
      <c r="D67" s="41">
        <f t="shared" ca="1" si="5"/>
        <v>36.562499999999993</v>
      </c>
      <c r="E67" s="41">
        <f t="shared" ca="1" si="6"/>
        <v>1.4125118408032491</v>
      </c>
      <c r="F67" s="41">
        <f t="shared" ca="1" si="7"/>
        <v>0</v>
      </c>
      <c r="G67" s="41">
        <f t="shared" ca="1" si="8"/>
        <v>1.4125118408032491</v>
      </c>
      <c r="H67" s="43">
        <f t="shared" ca="1" si="15"/>
        <v>35.149988159196745</v>
      </c>
      <c r="I67" s="42">
        <f t="shared" ca="1" si="9"/>
        <v>29.25</v>
      </c>
      <c r="J67" s="18"/>
      <c r="K67" s="76"/>
      <c r="M67" s="132">
        <f t="shared" ca="1" si="0"/>
        <v>21.659316538344378</v>
      </c>
      <c r="N67" s="38">
        <f t="shared" si="10"/>
        <v>0.61875000000000002</v>
      </c>
      <c r="O67" s="36">
        <f t="shared" si="11"/>
        <v>16.5</v>
      </c>
      <c r="P67" s="38">
        <f ca="1">IF(ISERROR(IF(O67&lt;fi_h/20,0,(OFFSET('Base de dados'!$A$5,IF(O67&lt;20,1,IF(O67&gt;1000,10,MATCH(O67,Cargas,1))),Coluna_fih,1,1))*(1+0.13*0.25)*(PI()*(fi_h/1000)^2/4)*SQRT(2*9.81*(O67/100-fi_h/2/1000))*1000)),"",IF(O67&lt;fi_h/20,0,(OFFSET('Base de dados'!$A$5,IF(O67&lt;20,1,IF(O67&gt;1000,10,MATCH(O67,Cargas,1))),Coluna_fih,1,1))*(PI()*(fi_h/1000)^2/4)*SQRT(2*9.81*(O67/100-fi_h/2/1000))*1000))</f>
        <v>1.0343165383443791</v>
      </c>
      <c r="Q67" s="38">
        <f ca="1">IF(O67="","",IF(Tipo_Vertedor="Retangular",IF(O67&lt;=cota_s*100,0,IF(Tipo_Vertedor="Retangular",Cd_sr*Lef_sr*((O67/100-cota_s)^(3/2))*1000)),IF(O67&lt;=cota_s*100+fi_s/20,0,(OFFSET('Base de dados'!$A$4,IF(O67&lt;20,1,IF(O67&gt;1000,10,MATCH(O67,Cargas,1))),Coluna_fis,1,1))*(PI()*(fi_s/1000)^2/4)*(2*9.81*(O67/100-cota_s-fi_s/2/1000))^0.5*1000)))</f>
        <v>0</v>
      </c>
      <c r="R67" s="38">
        <f t="shared" ca="1" si="1"/>
        <v>1.0343165383443791</v>
      </c>
      <c r="S67" s="38">
        <f t="shared" ca="1" si="2"/>
        <v>20.625</v>
      </c>
      <c r="AD67" s="38">
        <f t="shared" si="12"/>
        <v>17.109544907923322</v>
      </c>
      <c r="AE67" s="38">
        <f t="shared" ca="1" si="13"/>
        <v>14.308503048569378</v>
      </c>
      <c r="AF67" s="38">
        <f ca="1">IF(ISERROR(IF('Hidrograma afluente'!I74="",0,'Hidrograma afluente'!I74)+Simulação!G67),"",IF('Hidrograma afluente'!I74="",0,'Hidrograma afluente'!I74)+Simulação!G67)</f>
        <v>1.4125118408032491</v>
      </c>
      <c r="AG67" s="36">
        <v>1.4623590888482123</v>
      </c>
      <c r="AH67" s="36">
        <v>1.4285505641067417</v>
      </c>
      <c r="AI67" s="48">
        <v>72.5</v>
      </c>
      <c r="AJ67" s="36">
        <v>69.25</v>
      </c>
      <c r="AK67" s="38">
        <f>IF(A67="","",IF('Hidrograma afluente'!I74="",0,'Hidrograma afluente'!I74)+Simulação!B67)</f>
        <v>0</v>
      </c>
    </row>
    <row r="68" spans="1:37" s="36" customFormat="1">
      <c r="A68" s="23">
        <f t="shared" si="3"/>
        <v>63</v>
      </c>
      <c r="B68" s="24">
        <f>IF(A68="","",IF(A68&gt;tc_lot_i+tc,0,IF('Hidrograma afluente'!B75="","",'Hidrograma afluente'!B75)))</f>
        <v>0</v>
      </c>
      <c r="C68" s="41">
        <f t="shared" si="4"/>
        <v>0</v>
      </c>
      <c r="D68" s="41">
        <f t="shared" ca="1" si="5"/>
        <v>33.750000000000007</v>
      </c>
      <c r="E68" s="41">
        <f t="shared" ca="1" si="6"/>
        <v>1.3534723950380254</v>
      </c>
      <c r="F68" s="41">
        <f t="shared" ca="1" si="7"/>
        <v>0</v>
      </c>
      <c r="G68" s="41">
        <f t="shared" ca="1" si="8"/>
        <v>1.3534723950380254</v>
      </c>
      <c r="H68" s="43">
        <f t="shared" ca="1" si="15"/>
        <v>32.396527604961982</v>
      </c>
      <c r="I68" s="42">
        <f t="shared" ca="1" si="9"/>
        <v>27</v>
      </c>
      <c r="J68" s="18"/>
      <c r="K68" s="76"/>
      <c r="M68" s="132">
        <f t="shared" ca="1" si="0"/>
        <v>21.980550999590129</v>
      </c>
      <c r="N68" s="38">
        <f t="shared" si="10"/>
        <v>0.62812500000000004</v>
      </c>
      <c r="O68" s="36">
        <f t="shared" si="11"/>
        <v>16.75</v>
      </c>
      <c r="P68" s="38">
        <f ca="1">IF(ISERROR(IF(O68&lt;fi_h/20,0,(OFFSET('Base de dados'!$A$5,IF(O68&lt;20,1,IF(O68&gt;1000,10,MATCH(O68,Cargas,1))),Coluna_fih,1,1))*(1+0.13*0.25)*(PI()*(fi_h/1000)^2/4)*SQRT(2*9.81*(O68/100-fi_h/2/1000))*1000)),"",IF(O68&lt;fi_h/20,0,(OFFSET('Base de dados'!$A$5,IF(O68&lt;20,1,IF(O68&gt;1000,10,MATCH(O68,Cargas,1))),Coluna_fih,1,1))*(PI()*(fi_h/1000)^2/4)*SQRT(2*9.81*(O68/100-fi_h/2/1000))*1000))</f>
        <v>1.0430509995901294</v>
      </c>
      <c r="Q68" s="38">
        <f ca="1">IF(O68="","",IF(Tipo_Vertedor="Retangular",IF(O68&lt;=cota_s*100,0,IF(Tipo_Vertedor="Retangular",Cd_sr*Lef_sr*((O68/100-cota_s)^(3/2))*1000)),IF(O68&lt;=cota_s*100+fi_s/20,0,(OFFSET('Base de dados'!$A$4,IF(O68&lt;20,1,IF(O68&gt;1000,10,MATCH(O68,Cargas,1))),Coluna_fis,1,1))*(PI()*(fi_s/1000)^2/4)*(2*9.81*(O68/100-cota_s-fi_s/2/1000))^0.5*1000)))</f>
        <v>0</v>
      </c>
      <c r="R68" s="38">
        <f t="shared" ca="1" si="1"/>
        <v>1.0430509995901294</v>
      </c>
      <c r="S68" s="38">
        <f t="shared" ca="1" si="2"/>
        <v>20.9375</v>
      </c>
      <c r="AD68" s="38">
        <f t="shared" si="12"/>
        <v>17.109544907923322</v>
      </c>
      <c r="AE68" s="38">
        <f t="shared" ca="1" si="13"/>
        <v>14.474462102719855</v>
      </c>
      <c r="AF68" s="38">
        <f ca="1">IF(ISERROR(IF('Hidrograma afluente'!I75="",0,'Hidrograma afluente'!I75)+Simulação!G68),"",IF('Hidrograma afluente'!I75="",0,'Hidrograma afluente'!I75)+Simulação!G68)</f>
        <v>1.3534723950380254</v>
      </c>
      <c r="AG68" s="36">
        <v>1.436423160715206</v>
      </c>
      <c r="AH68" s="36">
        <v>1.4019893388010405</v>
      </c>
      <c r="AI68" s="48">
        <v>70</v>
      </c>
      <c r="AJ68" s="36">
        <v>66.75</v>
      </c>
      <c r="AK68" s="38">
        <f>IF(A68="","",IF('Hidrograma afluente'!I75="",0,'Hidrograma afluente'!I75)+Simulação!B68)</f>
        <v>0</v>
      </c>
    </row>
    <row r="69" spans="1:37" s="36" customFormat="1">
      <c r="A69" s="23">
        <f t="shared" si="3"/>
        <v>64</v>
      </c>
      <c r="B69" s="24">
        <f>IF(A69="","",IF(A69&gt;tc_lot_i+tc,0,IF('Hidrograma afluente'!B76="","",'Hidrograma afluente'!B76)))</f>
        <v>0</v>
      </c>
      <c r="C69" s="41">
        <f t="shared" si="4"/>
        <v>0</v>
      </c>
      <c r="D69" s="41">
        <f t="shared" ca="1" si="5"/>
        <v>30.9375</v>
      </c>
      <c r="E69" s="41">
        <f t="shared" ca="1" si="6"/>
        <v>1.2917373370196257</v>
      </c>
      <c r="F69" s="41">
        <f t="shared" ca="1" si="7"/>
        <v>0</v>
      </c>
      <c r="G69" s="41">
        <f t="shared" ca="1" si="8"/>
        <v>1.2917373370196257</v>
      </c>
      <c r="H69" s="43">
        <f t="shared" ca="1" si="15"/>
        <v>29.645762662980374</v>
      </c>
      <c r="I69" s="42">
        <f t="shared" ca="1" si="9"/>
        <v>24.75</v>
      </c>
      <c r="J69" s="18"/>
      <c r="K69" s="76"/>
      <c r="M69" s="132">
        <f t="shared" ref="M69:M132" ca="1" si="16">IF(O69="","",2*N69*1000/(Passo*60)+R69)</f>
        <v>22.30171292375783</v>
      </c>
      <c r="N69" s="38">
        <f t="shared" si="10"/>
        <v>0.63750000000000007</v>
      </c>
      <c r="O69" s="36">
        <f t="shared" si="11"/>
        <v>17</v>
      </c>
      <c r="P69" s="38">
        <f ca="1">IF(ISERROR(IF(O69&lt;fi_h/20,0,(OFFSET('Base de dados'!$A$5,IF(O69&lt;20,1,IF(O69&gt;1000,10,MATCH(O69,Cargas,1))),Coluna_fih,1,1))*(1+0.13*0.25)*(PI()*(fi_h/1000)^2/4)*SQRT(2*9.81*(O69/100-fi_h/2/1000))*1000)),"",IF(O69&lt;fi_h/20,0,(OFFSET('Base de dados'!$A$5,IF(O69&lt;20,1,IF(O69&gt;1000,10,MATCH(O69,Cargas,1))),Coluna_fih,1,1))*(PI()*(fi_h/1000)^2/4)*SQRT(2*9.81*(O69/100-fi_h/2/1000))*1000))</f>
        <v>1.0517129237578267</v>
      </c>
      <c r="Q69" s="38">
        <f ca="1">IF(O69="","",IF(Tipo_Vertedor="Retangular",IF(O69&lt;=cota_s*100,0,IF(Tipo_Vertedor="Retangular",Cd_sr*Lef_sr*((O69/100-cota_s)^(3/2))*1000)),IF(O69&lt;=cota_s*100+fi_s/20,0,(OFFSET('Base de dados'!$A$4,IF(O69&lt;20,1,IF(O69&gt;1000,10,MATCH(O69,Cargas,1))),Coluna_fis,1,1))*(PI()*(fi_s/1000)^2/4)*(2*9.81*(O69/100-cota_s-fi_s/2/1000))^0.5*1000)))</f>
        <v>0</v>
      </c>
      <c r="R69" s="38">
        <f t="shared" ref="R69:R132" ca="1" si="17">IF(O69="","",Q69+P69)</f>
        <v>1.0517129237578267</v>
      </c>
      <c r="S69" s="38">
        <f t="shared" ref="S69:S132" ca="1" si="18">IF(M69="","",2*N69*1000/(Passo*60))</f>
        <v>21.250000000000004</v>
      </c>
      <c r="AD69" s="38">
        <f t="shared" si="12"/>
        <v>17.109544907923322</v>
      </c>
      <c r="AE69" s="38">
        <f t="shared" ca="1" si="13"/>
        <v>14.633174686643313</v>
      </c>
      <c r="AF69" s="38">
        <f ca="1">IF(ISERROR(IF('Hidrograma afluente'!I76="",0,'Hidrograma afluente'!I76)+Simulação!G69),"",IF('Hidrograma afluente'!I76="",0,'Hidrograma afluente'!I76)+Simulação!G69)</f>
        <v>1.2917373370196257</v>
      </c>
      <c r="AG69" s="36">
        <v>1.4100102441263156</v>
      </c>
      <c r="AH69" s="36">
        <v>1.3776464563971627</v>
      </c>
      <c r="AI69" s="48">
        <v>67.5</v>
      </c>
      <c r="AJ69" s="36">
        <v>64.5</v>
      </c>
      <c r="AK69" s="38">
        <f>IF(A69="","",IF('Hidrograma afluente'!I76="",0,'Hidrograma afluente'!I76)+Simulação!B69)</f>
        <v>0</v>
      </c>
    </row>
    <row r="70" spans="1:37" s="36" customFormat="1">
      <c r="A70" s="23">
        <f t="shared" ref="A70:A133" si="19">IF(ISERROR(IF(A69+Passo&lt;=tempo_simul,A69+Passo,"")),"",IF(A69+Passo&lt;=tempo_simul,A69+Passo,""))</f>
        <v>65</v>
      </c>
      <c r="B70" s="24">
        <f>IF(A70="","",IF(A70&gt;tc_lot_i+tc,0,IF('Hidrograma afluente'!B77="","",'Hidrograma afluente'!B77)))</f>
        <v>0</v>
      </c>
      <c r="C70" s="41">
        <f t="shared" ref="C70:C133" si="20">IF(B71=0,0,IF(B71="","",B71))</f>
        <v>0</v>
      </c>
      <c r="D70" s="41">
        <f t="shared" ref="D70:D133" ca="1" si="21">IF(A70="","",IF(ISERROR(VLOOKUP(H69,tabela_auxiliar,7,1)),0,VLOOKUP(H69,tabela_auxiliar,7,1)))</f>
        <v>28.125</v>
      </c>
      <c r="E70" s="41">
        <f t="shared" ref="E70:E133" ca="1" si="22">IF(A70="","",IF(ISERROR(VLOOKUP(H69,tabela_auxiliar,4,TRUE)),0,VLOOKUP(H69,tabela_auxiliar,4,TRUE)))</f>
        <v>1.2268998213265576</v>
      </c>
      <c r="F70" s="41">
        <f t="shared" ref="F70:F133" ca="1" si="23">IF(A70="","",IF(ISERROR(VLOOKUP(H69,tabela_auxiliar,5,TRUE)),0,VLOOKUP(H69,tabela_auxiliar,5,TRUE)))</f>
        <v>0</v>
      </c>
      <c r="G70" s="41">
        <f t="shared" ref="G70:G133" ca="1" si="24">IF(A70="","",IF(ISERROR(VLOOKUP(H69,tabela_auxiliar,6,TRUE)),0,VLOOKUP(H69,tabela_auxiliar,6,TRUE)))</f>
        <v>1.2268998213265576</v>
      </c>
      <c r="H70" s="43">
        <f t="shared" ca="1" si="15"/>
        <v>26.898100178673442</v>
      </c>
      <c r="I70" s="42">
        <f t="shared" ref="I70:I133" ca="1" si="25">IF(A70="","",IF(ISERROR(VLOOKUP(H69,tabela_auxiliar,3,TRUE)),0,VLOOKUP(H69,tabela_auxiliar,3,TRUE)))</f>
        <v>22.5</v>
      </c>
      <c r="J70" s="18"/>
      <c r="K70" s="76"/>
      <c r="M70" s="132">
        <f t="shared" ca="1" si="16"/>
        <v>22.622804088576718</v>
      </c>
      <c r="N70" s="38">
        <f t="shared" ref="N70:N133" si="26">IF(O70="","",b_0*(O70/100)^c_0)</f>
        <v>0.64687499999999998</v>
      </c>
      <c r="O70" s="36">
        <f t="shared" ref="O70:O133" si="27">IF(ISERROR(IF(O69+passo_altura&gt;h_max_puls*100,"",O69+passo_altura)),"",IF(O69+passo_altura&gt;h_max_puls*100,"",O69+passo_altura))</f>
        <v>17.25</v>
      </c>
      <c r="P70" s="38">
        <f ca="1">IF(ISERROR(IF(O70&lt;fi_h/20,0,(OFFSET('Base de dados'!$A$5,IF(O70&lt;20,1,IF(O70&gt;1000,10,MATCH(O70,Cargas,1))),Coluna_fih,1,1))*(1+0.13*0.25)*(PI()*(fi_h/1000)^2/4)*SQRT(2*9.81*(O70/100-fi_h/2/1000))*1000)),"",IF(O70&lt;fi_h/20,0,(OFFSET('Base de dados'!$A$5,IF(O70&lt;20,1,IF(O70&gt;1000,10,MATCH(O70,Cargas,1))),Coluna_fih,1,1))*(PI()*(fi_h/1000)^2/4)*SQRT(2*9.81*(O70/100-fi_h/2/1000))*1000))</f>
        <v>1.0603040885767181</v>
      </c>
      <c r="Q70" s="38">
        <f ca="1">IF(O70="","",IF(Tipo_Vertedor="Retangular",IF(O70&lt;=cota_s*100,0,IF(Tipo_Vertedor="Retangular",Cd_sr*Lef_sr*((O70/100-cota_s)^(3/2))*1000)),IF(O70&lt;=cota_s*100+fi_s/20,0,(OFFSET('Base de dados'!$A$4,IF(O70&lt;20,1,IF(O70&gt;1000,10,MATCH(O70,Cargas,1))),Coluna_fis,1,1))*(PI()*(fi_s/1000)^2/4)*(2*9.81*(O70/100-cota_s-fi_s/2/1000))^0.5*1000)))</f>
        <v>0</v>
      </c>
      <c r="R70" s="38">
        <f t="shared" ca="1" si="17"/>
        <v>1.0603040885767181</v>
      </c>
      <c r="S70" s="38">
        <f t="shared" ca="1" si="18"/>
        <v>21.5625</v>
      </c>
      <c r="AD70" s="38">
        <f t="shared" ref="AD70:AD133" si="28">IF(A70="","",AVERAGE(B70+B69)*Passo*60/1000+AD69)</f>
        <v>17.109544907923322</v>
      </c>
      <c r="AE70" s="38">
        <f t="shared" ref="AE70:AE133" ca="1" si="29">IF(A70="","",AE69+AVERAGE(G70+G69)*Passo*60/1000)</f>
        <v>14.784292916144084</v>
      </c>
      <c r="AF70" s="38">
        <f ca="1">IF(ISERROR(IF('Hidrograma afluente'!I77="",0,'Hidrograma afluente'!I77)+Simulação!G70),"",IF('Hidrograma afluente'!I77="",0,'Hidrograma afluente'!I77)+Simulação!G70)</f>
        <v>1.2268998213265576</v>
      </c>
      <c r="AG70" s="36">
        <v>1.3858082628029869</v>
      </c>
      <c r="AH70" s="36">
        <v>1.352865629519628</v>
      </c>
      <c r="AI70" s="48">
        <v>65.25</v>
      </c>
      <c r="AJ70" s="36">
        <v>62.25</v>
      </c>
      <c r="AK70" s="38">
        <f>IF(A70="","",IF('Hidrograma afluente'!I77="",0,'Hidrograma afluente'!I77)+Simulação!B70)</f>
        <v>0</v>
      </c>
    </row>
    <row r="71" spans="1:37" s="36" customFormat="1">
      <c r="A71" s="23">
        <f t="shared" si="19"/>
        <v>66</v>
      </c>
      <c r="B71" s="24">
        <f>IF(A71="","",IF(A71&gt;tc_lot_i+tc,0,IF('Hidrograma afluente'!B78="","",'Hidrograma afluente'!B78)))</f>
        <v>0</v>
      </c>
      <c r="C71" s="41">
        <f t="shared" si="20"/>
        <v>0</v>
      </c>
      <c r="D71" s="41">
        <f t="shared" ca="1" si="21"/>
        <v>25.624999999999996</v>
      </c>
      <c r="E71" s="41">
        <f t="shared" ca="1" si="22"/>
        <v>1.1662442632420502</v>
      </c>
      <c r="F71" s="41">
        <f t="shared" ca="1" si="23"/>
        <v>0</v>
      </c>
      <c r="G71" s="41">
        <f t="shared" ca="1" si="24"/>
        <v>1.1662442632420502</v>
      </c>
      <c r="H71" s="43">
        <f t="shared" ca="1" si="15"/>
        <v>24.458755736757947</v>
      </c>
      <c r="I71" s="42">
        <f t="shared" ca="1" si="25"/>
        <v>20.5</v>
      </c>
      <c r="J71" s="18"/>
      <c r="K71" s="76"/>
      <c r="M71" s="132">
        <f t="shared" ca="1" si="16"/>
        <v>22.943826200327148</v>
      </c>
      <c r="N71" s="38">
        <f t="shared" si="26"/>
        <v>0.65625</v>
      </c>
      <c r="O71" s="36">
        <f t="shared" si="27"/>
        <v>17.5</v>
      </c>
      <c r="P71" s="38">
        <f ca="1">IF(ISERROR(IF(O71&lt;fi_h/20,0,(OFFSET('Base de dados'!$A$5,IF(O71&lt;20,1,IF(O71&gt;1000,10,MATCH(O71,Cargas,1))),Coluna_fih,1,1))*(1+0.13*0.25)*(PI()*(fi_h/1000)^2/4)*SQRT(2*9.81*(O71/100-fi_h/2/1000))*1000)),"",IF(O71&lt;fi_h/20,0,(OFFSET('Base de dados'!$A$5,IF(O71&lt;20,1,IF(O71&gt;1000,10,MATCH(O71,Cargas,1))),Coluna_fih,1,1))*(PI()*(fi_h/1000)^2/4)*SQRT(2*9.81*(O71/100-fi_h/2/1000))*1000))</f>
        <v>1.0688262003271498</v>
      </c>
      <c r="Q71" s="38">
        <f ca="1">IF(O71="","",IF(Tipo_Vertedor="Retangular",IF(O71&lt;=cota_s*100,0,IF(Tipo_Vertedor="Retangular",Cd_sr*Lef_sr*((O71/100-cota_s)^(3/2))*1000)),IF(O71&lt;=cota_s*100+fi_s/20,0,(OFFSET('Base de dados'!$A$4,IF(O71&lt;20,1,IF(O71&gt;1000,10,MATCH(O71,Cargas,1))),Coluna_fis,1,1))*(PI()*(fi_s/1000)^2/4)*(2*9.81*(O71/100-cota_s-fi_s/2/1000))^0.5*1000)))</f>
        <v>0</v>
      </c>
      <c r="R71" s="38">
        <f t="shared" ca="1" si="17"/>
        <v>1.0688262003271498</v>
      </c>
      <c r="S71" s="38">
        <f t="shared" ca="1" si="18"/>
        <v>21.875</v>
      </c>
      <c r="AD71" s="38">
        <f t="shared" si="28"/>
        <v>17.109544907923322</v>
      </c>
      <c r="AE71" s="38">
        <f t="shared" ca="1" si="29"/>
        <v>14.9278815612182</v>
      </c>
      <c r="AF71" s="38">
        <f ca="1">IF(ISERROR(IF('Hidrograma afluente'!I78="",0,'Hidrograma afluente'!I78)+Simulação!G71),"",IF('Hidrograma afluente'!I78="",0,'Hidrograma afluente'!I78)+Simulação!G71)</f>
        <v>1.1662442632420502</v>
      </c>
      <c r="AG71" s="36">
        <v>1.3611760334229048</v>
      </c>
      <c r="AH71" s="36">
        <v>1.3276223349459815</v>
      </c>
      <c r="AI71" s="48">
        <v>63</v>
      </c>
      <c r="AJ71" s="36">
        <v>60</v>
      </c>
      <c r="AK71" s="38">
        <f>IF(A71="","",IF('Hidrograma afluente'!I78="",0,'Hidrograma afluente'!I78)+Simulação!B71)</f>
        <v>0</v>
      </c>
    </row>
    <row r="72" spans="1:37" s="36" customFormat="1">
      <c r="A72" s="23">
        <f t="shared" si="19"/>
        <v>67</v>
      </c>
      <c r="B72" s="24">
        <f>IF(A72="","",IF(A72&gt;tc_lot_i+tc,0,IF('Hidrograma afluente'!B79="","",'Hidrograma afluente'!B79)))</f>
        <v>0</v>
      </c>
      <c r="C72" s="41">
        <f t="shared" si="20"/>
        <v>0</v>
      </c>
      <c r="D72" s="41">
        <f t="shared" ca="1" si="21"/>
        <v>23.125</v>
      </c>
      <c r="E72" s="41">
        <f t="shared" ca="1" si="22"/>
        <v>1.102255955537935</v>
      </c>
      <c r="F72" s="41">
        <f t="shared" ca="1" si="23"/>
        <v>0</v>
      </c>
      <c r="G72" s="41">
        <f t="shared" ca="1" si="24"/>
        <v>1.102255955537935</v>
      </c>
      <c r="H72" s="43">
        <f t="shared" ca="1" si="15"/>
        <v>22.022744044462065</v>
      </c>
      <c r="I72" s="42">
        <f t="shared" ca="1" si="25"/>
        <v>18.5</v>
      </c>
      <c r="J72" s="18"/>
      <c r="K72" s="76"/>
      <c r="M72" s="132">
        <f t="shared" ca="1" si="16"/>
        <v>23.264780897797337</v>
      </c>
      <c r="N72" s="38">
        <f t="shared" si="26"/>
        <v>0.66562499999999991</v>
      </c>
      <c r="O72" s="36">
        <f t="shared" si="27"/>
        <v>17.75</v>
      </c>
      <c r="P72" s="38">
        <f ca="1">IF(ISERROR(IF(O72&lt;fi_h/20,0,(OFFSET('Base de dados'!$A$5,IF(O72&lt;20,1,IF(O72&gt;1000,10,MATCH(O72,Cargas,1))),Coluna_fih,1,1))*(1+0.13*0.25)*(PI()*(fi_h/1000)^2/4)*SQRT(2*9.81*(O72/100-fi_h/2/1000))*1000)),"",IF(O72&lt;fi_h/20,0,(OFFSET('Base de dados'!$A$5,IF(O72&lt;20,1,IF(O72&gt;1000,10,MATCH(O72,Cargas,1))),Coluna_fih,1,1))*(PI()*(fi_h/1000)^2/4)*SQRT(2*9.81*(O72/100-fi_h/2/1000))*1000))</f>
        <v>1.0772808977973392</v>
      </c>
      <c r="Q72" s="38">
        <f ca="1">IF(O72="","",IF(Tipo_Vertedor="Retangular",IF(O72&lt;=cota_s*100,0,IF(Tipo_Vertedor="Retangular",Cd_sr*Lef_sr*((O72/100-cota_s)^(3/2))*1000)),IF(O72&lt;=cota_s*100+fi_s/20,0,(OFFSET('Base de dados'!$A$4,IF(O72&lt;20,1,IF(O72&gt;1000,10,MATCH(O72,Cargas,1))),Coluna_fis,1,1))*(PI()*(fi_s/1000)^2/4)*(2*9.81*(O72/100-cota_s-fi_s/2/1000))^0.5*1000)))</f>
        <v>0</v>
      </c>
      <c r="R72" s="38">
        <f t="shared" ca="1" si="17"/>
        <v>1.0772808977973392</v>
      </c>
      <c r="S72" s="38">
        <f t="shared" ca="1" si="18"/>
        <v>22.187499999999996</v>
      </c>
      <c r="AD72" s="38">
        <f t="shared" si="28"/>
        <v>17.109544907923322</v>
      </c>
      <c r="AE72" s="38">
        <f t="shared" ca="1" si="29"/>
        <v>15.063991574345</v>
      </c>
      <c r="AF72" s="38">
        <f ca="1">IF(ISERROR(IF('Hidrograma afluente'!I79="",0,'Hidrograma afluente'!I79)+Simulação!G72),"",IF('Hidrograma afluente'!I79="",0,'Hidrograma afluente'!I79)+Simulação!G72)</f>
        <v>1.102255955537935</v>
      </c>
      <c r="AG72" s="36">
        <v>1.3360897599625534</v>
      </c>
      <c r="AH72" s="36">
        <v>1.3079449723751992</v>
      </c>
      <c r="AI72" s="48">
        <v>60.75</v>
      </c>
      <c r="AJ72" s="36">
        <v>57.75</v>
      </c>
      <c r="AK72" s="38">
        <f>IF(A72="","",IF('Hidrograma afluente'!I79="",0,'Hidrograma afluente'!I79)+Simulação!B72)</f>
        <v>0</v>
      </c>
    </row>
    <row r="73" spans="1:37" s="36" customFormat="1">
      <c r="A73" s="23">
        <f t="shared" si="19"/>
        <v>68</v>
      </c>
      <c r="B73" s="24">
        <f>IF(A73="","",IF(A73&gt;tc_lot_i+tc,0,IF('Hidrograma afluente'!B80="","",'Hidrograma afluente'!B80)))</f>
        <v>0</v>
      </c>
      <c r="C73" s="41">
        <f t="shared" si="20"/>
        <v>0</v>
      </c>
      <c r="D73" s="41">
        <f t="shared" ca="1" si="21"/>
        <v>20.9375</v>
      </c>
      <c r="E73" s="41">
        <f t="shared" ca="1" si="22"/>
        <v>1.0430509995901294</v>
      </c>
      <c r="F73" s="41">
        <f t="shared" ca="1" si="23"/>
        <v>0</v>
      </c>
      <c r="G73" s="41">
        <f t="shared" ca="1" si="24"/>
        <v>1.0430509995901294</v>
      </c>
      <c r="H73" s="43">
        <f t="shared" ca="1" si="15"/>
        <v>19.894449000409871</v>
      </c>
      <c r="I73" s="42">
        <f t="shared" ca="1" si="25"/>
        <v>16.75</v>
      </c>
      <c r="J73" s="18"/>
      <c r="K73" s="76"/>
      <c r="M73" s="132">
        <f t="shared" ca="1" si="16"/>
        <v>23.58566975596279</v>
      </c>
      <c r="N73" s="38">
        <f t="shared" si="26"/>
        <v>0.67499999999999993</v>
      </c>
      <c r="O73" s="36">
        <f t="shared" si="27"/>
        <v>18</v>
      </c>
      <c r="P73" s="38">
        <f ca="1">IF(ISERROR(IF(O73&lt;fi_h/20,0,(OFFSET('Base de dados'!$A$5,IF(O73&lt;20,1,IF(O73&gt;1000,10,MATCH(O73,Cargas,1))),Coluna_fih,1,1))*(1+0.13*0.25)*(PI()*(fi_h/1000)^2/4)*SQRT(2*9.81*(O73/100-fi_h/2/1000))*1000)),"",IF(O73&lt;fi_h/20,0,(OFFSET('Base de dados'!$A$5,IF(O73&lt;20,1,IF(O73&gt;1000,10,MATCH(O73,Cargas,1))),Coluna_fih,1,1))*(PI()*(fi_h/1000)^2/4)*SQRT(2*9.81*(O73/100-fi_h/2/1000))*1000))</f>
        <v>1.0856697559627924</v>
      </c>
      <c r="Q73" s="38">
        <f ca="1">IF(O73="","",IF(Tipo_Vertedor="Retangular",IF(O73&lt;=cota_s*100,0,IF(Tipo_Vertedor="Retangular",Cd_sr*Lef_sr*((O73/100-cota_s)^(3/2))*1000)),IF(O73&lt;=cota_s*100+fi_s/20,0,(OFFSET('Base de dados'!$A$4,IF(O73&lt;20,1,IF(O73&gt;1000,10,MATCH(O73,Cargas,1))),Coluna_fis,1,1))*(PI()*(fi_s/1000)^2/4)*(2*9.81*(O73/100-cota_s-fi_s/2/1000))^0.5*1000)))</f>
        <v>0</v>
      </c>
      <c r="R73" s="38">
        <f t="shared" ca="1" si="17"/>
        <v>1.0856697559627924</v>
      </c>
      <c r="S73" s="38">
        <f t="shared" ca="1" si="18"/>
        <v>22.499999999999996</v>
      </c>
      <c r="AD73" s="38">
        <f t="shared" si="28"/>
        <v>17.109544907923322</v>
      </c>
      <c r="AE73" s="38">
        <f t="shared" ca="1" si="29"/>
        <v>15.192709991652684</v>
      </c>
      <c r="AF73" s="38">
        <f ca="1">IF(ISERROR(IF('Hidrograma afluente'!I80="",0,'Hidrograma afluente'!I80)+Simulação!G73),"",IF('Hidrograma afluente'!I80="",0,'Hidrograma afluente'!I80)+Simulação!G73)</f>
        <v>1.0430509995901294</v>
      </c>
      <c r="AG73" s="36">
        <v>1.3166188260294733</v>
      </c>
      <c r="AH73" s="36">
        <v>1.2815712246615691</v>
      </c>
      <c r="AI73" s="48">
        <v>58.5</v>
      </c>
      <c r="AJ73" s="36">
        <v>55.5</v>
      </c>
      <c r="AK73" s="38">
        <f>IF(A73="","",IF('Hidrograma afluente'!I80="",0,'Hidrograma afluente'!I80)+Simulação!B73)</f>
        <v>0</v>
      </c>
    </row>
    <row r="74" spans="1:37" s="36" customFormat="1">
      <c r="A74" s="23">
        <f t="shared" si="19"/>
        <v>69</v>
      </c>
      <c r="B74" s="24">
        <f>IF(A74="","",IF(A74&gt;tc_lot_i+tc,0,IF('Hidrograma afluente'!B81="","",'Hidrograma afluente'!B81)))</f>
        <v>0</v>
      </c>
      <c r="C74" s="41">
        <f t="shared" si="20"/>
        <v>0</v>
      </c>
      <c r="D74" s="41">
        <f t="shared" ca="1" si="21"/>
        <v>18.75</v>
      </c>
      <c r="E74" s="41">
        <f t="shared" ca="1" si="22"/>
        <v>0.98027678946973418</v>
      </c>
      <c r="F74" s="41">
        <f t="shared" ca="1" si="23"/>
        <v>0</v>
      </c>
      <c r="G74" s="41">
        <f t="shared" ca="1" si="24"/>
        <v>0.98027678946973418</v>
      </c>
      <c r="H74" s="43">
        <f t="shared" ca="1" si="15"/>
        <v>17.769723210530266</v>
      </c>
      <c r="I74" s="42">
        <f t="shared" ca="1" si="25"/>
        <v>15</v>
      </c>
      <c r="J74" s="18"/>
      <c r="K74" s="76"/>
      <c r="M74" s="132">
        <f t="shared" ca="1" si="16"/>
        <v>23.906494289411775</v>
      </c>
      <c r="N74" s="38">
        <f t="shared" si="26"/>
        <v>0.68437499999999996</v>
      </c>
      <c r="O74" s="36">
        <f t="shared" si="27"/>
        <v>18.25</v>
      </c>
      <c r="P74" s="38">
        <f ca="1">IF(ISERROR(IF(O74&lt;fi_h/20,0,(OFFSET('Base de dados'!$A$5,IF(O74&lt;20,1,IF(O74&gt;1000,10,MATCH(O74,Cargas,1))),Coluna_fih,1,1))*(1+0.13*0.25)*(PI()*(fi_h/1000)^2/4)*SQRT(2*9.81*(O74/100-fi_h/2/1000))*1000)),"",IF(O74&lt;fi_h/20,0,(OFFSET('Base de dados'!$A$5,IF(O74&lt;20,1,IF(O74&gt;1000,10,MATCH(O74,Cargas,1))),Coluna_fih,1,1))*(PI()*(fi_h/1000)^2/4)*SQRT(2*9.81*(O74/100-fi_h/2/1000))*1000))</f>
        <v>1.0939942894117765</v>
      </c>
      <c r="Q74" s="38">
        <f ca="1">IF(O74="","",IF(Tipo_Vertedor="Retangular",IF(O74&lt;=cota_s*100,0,IF(Tipo_Vertedor="Retangular",Cd_sr*Lef_sr*((O74/100-cota_s)^(3/2))*1000)),IF(O74&lt;=cota_s*100+fi_s/20,0,(OFFSET('Base de dados'!$A$4,IF(O74&lt;20,1,IF(O74&gt;1000,10,MATCH(O74,Cargas,1))),Coluna_fis,1,1))*(PI()*(fi_s/1000)^2/4)*(2*9.81*(O74/100-cota_s-fi_s/2/1000))^0.5*1000)))</f>
        <v>0</v>
      </c>
      <c r="R74" s="38">
        <f t="shared" ca="1" si="17"/>
        <v>1.0939942894117765</v>
      </c>
      <c r="S74" s="38">
        <f t="shared" ca="1" si="18"/>
        <v>22.8125</v>
      </c>
      <c r="AD74" s="38">
        <f t="shared" si="28"/>
        <v>17.109544907923322</v>
      </c>
      <c r="AE74" s="38">
        <f t="shared" ca="1" si="29"/>
        <v>15.314109658996276</v>
      </c>
      <c r="AF74" s="38">
        <f ca="1">IF(ISERROR(IF('Hidrograma afluente'!I81="",0,'Hidrograma afluente'!I81)+Simulação!G74),"",IF('Hidrograma afluente'!I81="",0,'Hidrograma afluente'!I81)+Simulação!G74)</f>
        <v>0.98027678946973418</v>
      </c>
      <c r="AG74" s="36">
        <v>1.2904223673566042</v>
      </c>
      <c r="AH74" s="36">
        <v>1.2546431990807378</v>
      </c>
      <c r="AI74" s="48">
        <v>56.25</v>
      </c>
      <c r="AJ74" s="36">
        <v>53.25</v>
      </c>
      <c r="AK74" s="38">
        <f>IF(A74="","",IF('Hidrograma afluente'!I81="",0,'Hidrograma afluente'!I81)+Simulação!B74)</f>
        <v>0</v>
      </c>
    </row>
    <row r="75" spans="1:37" s="36" customFormat="1">
      <c r="A75" s="23">
        <f t="shared" si="19"/>
        <v>70</v>
      </c>
      <c r="B75" s="24">
        <f>IF(A75="","",IF(A75&gt;tc_lot_i+tc,0,IF('Hidrograma afluente'!B82="","",'Hidrograma afluente'!B82)))</f>
        <v>0</v>
      </c>
      <c r="C75" s="41">
        <f t="shared" si="20"/>
        <v>0</v>
      </c>
      <c r="D75" s="41">
        <f t="shared" ca="1" si="21"/>
        <v>16.5625</v>
      </c>
      <c r="E75" s="41">
        <f t="shared" ca="1" si="22"/>
        <v>0.91319755814402581</v>
      </c>
      <c r="F75" s="41">
        <f t="shared" ca="1" si="23"/>
        <v>0</v>
      </c>
      <c r="G75" s="41">
        <f t="shared" ca="1" si="24"/>
        <v>0.91319755814402581</v>
      </c>
      <c r="H75" s="43">
        <f t="shared" ca="1" si="15"/>
        <v>15.649302441855975</v>
      </c>
      <c r="I75" s="42">
        <f t="shared" ca="1" si="25"/>
        <v>13.25</v>
      </c>
      <c r="J75" s="18"/>
      <c r="K75" s="76"/>
      <c r="M75" s="132">
        <f t="shared" ca="1" si="16"/>
        <v>24.227255955537935</v>
      </c>
      <c r="N75" s="38">
        <f t="shared" si="26"/>
        <v>0.69374999999999998</v>
      </c>
      <c r="O75" s="36">
        <f t="shared" si="27"/>
        <v>18.5</v>
      </c>
      <c r="P75" s="38">
        <f ca="1">IF(ISERROR(IF(O75&lt;fi_h/20,0,(OFFSET('Base de dados'!$A$5,IF(O75&lt;20,1,IF(O75&gt;1000,10,MATCH(O75,Cargas,1))),Coluna_fih,1,1))*(1+0.13*0.25)*(PI()*(fi_h/1000)^2/4)*SQRT(2*9.81*(O75/100-fi_h/2/1000))*1000)),"",IF(O75&lt;fi_h/20,0,(OFFSET('Base de dados'!$A$5,IF(O75&lt;20,1,IF(O75&gt;1000,10,MATCH(O75,Cargas,1))),Coluna_fih,1,1))*(PI()*(fi_h/1000)^2/4)*SQRT(2*9.81*(O75/100-fi_h/2/1000))*1000))</f>
        <v>1.102255955537935</v>
      </c>
      <c r="Q75" s="38">
        <f ca="1">IF(O75="","",IF(Tipo_Vertedor="Retangular",IF(O75&lt;=cota_s*100,0,IF(Tipo_Vertedor="Retangular",Cd_sr*Lef_sr*((O75/100-cota_s)^(3/2))*1000)),IF(O75&lt;=cota_s*100+fi_s/20,0,(OFFSET('Base de dados'!$A$4,IF(O75&lt;20,1,IF(O75&gt;1000,10,MATCH(O75,Cargas,1))),Coluna_fis,1,1))*(PI()*(fi_s/1000)^2/4)*(2*9.81*(O75/100-cota_s-fi_s/2/1000))^0.5*1000)))</f>
        <v>0</v>
      </c>
      <c r="R75" s="38">
        <f t="shared" ca="1" si="17"/>
        <v>1.102255955537935</v>
      </c>
      <c r="S75" s="38">
        <f t="shared" ca="1" si="18"/>
        <v>23.125</v>
      </c>
      <c r="AD75" s="38">
        <f t="shared" si="28"/>
        <v>17.109544907923322</v>
      </c>
      <c r="AE75" s="38">
        <f t="shared" ca="1" si="29"/>
        <v>15.427718119853102</v>
      </c>
      <c r="AF75" s="38">
        <f ca="1">IF(ISERROR(IF('Hidrograma afluente'!I82="",0,'Hidrograma afluente'!I82)+Simulação!G75),"",IF('Hidrograma afluente'!I82="",0,'Hidrograma afluente'!I82)+Simulação!G75)</f>
        <v>0.91319755814402581</v>
      </c>
      <c r="AG75" s="36">
        <v>1.2636829662906817</v>
      </c>
      <c r="AH75" s="36">
        <v>1.2302124494911835</v>
      </c>
      <c r="AI75" s="48">
        <v>54</v>
      </c>
      <c r="AJ75" s="36">
        <v>51.25</v>
      </c>
      <c r="AK75" s="38">
        <f>IF(A75="","",IF('Hidrograma afluente'!I82="",0,'Hidrograma afluente'!I82)+Simulação!B75)</f>
        <v>0</v>
      </c>
    </row>
    <row r="76" spans="1:37" s="36" customFormat="1">
      <c r="A76" s="23">
        <f t="shared" si="19"/>
        <v>71</v>
      </c>
      <c r="B76" s="24">
        <f>IF(A76="","",IF(A76&gt;tc_lot_i+tc,0,IF('Hidrograma afluente'!B83="","",'Hidrograma afluente'!B83)))</f>
        <v>0</v>
      </c>
      <c r="C76" s="41">
        <f t="shared" si="20"/>
        <v>0</v>
      </c>
      <c r="D76" s="41">
        <f t="shared" ca="1" si="21"/>
        <v>14.6875</v>
      </c>
      <c r="E76" s="41">
        <f t="shared" ca="1" si="22"/>
        <v>0.85150552709926763</v>
      </c>
      <c r="F76" s="41">
        <f t="shared" ca="1" si="23"/>
        <v>0</v>
      </c>
      <c r="G76" s="41">
        <f t="shared" ca="1" si="24"/>
        <v>0.85150552709926763</v>
      </c>
      <c r="H76" s="43">
        <f t="shared" ca="1" si="15"/>
        <v>13.835994472900733</v>
      </c>
      <c r="I76" s="42">
        <f t="shared" ca="1" si="25"/>
        <v>11.75</v>
      </c>
      <c r="J76" s="18"/>
      <c r="K76" s="76"/>
      <c r="M76" s="132">
        <f t="shared" ca="1" si="16"/>
        <v>24.547956157519113</v>
      </c>
      <c r="N76" s="38">
        <f t="shared" si="26"/>
        <v>0.703125</v>
      </c>
      <c r="O76" s="36">
        <f t="shared" si="27"/>
        <v>18.75</v>
      </c>
      <c r="P76" s="38">
        <f ca="1">IF(ISERROR(IF(O76&lt;fi_h/20,0,(OFFSET('Base de dados'!$A$5,IF(O76&lt;20,1,IF(O76&gt;1000,10,MATCH(O76,Cargas,1))),Coluna_fih,1,1))*(1+0.13*0.25)*(PI()*(fi_h/1000)^2/4)*SQRT(2*9.81*(O76/100-fi_h/2/1000))*1000)),"",IF(O76&lt;fi_h/20,0,(OFFSET('Base de dados'!$A$5,IF(O76&lt;20,1,IF(O76&gt;1000,10,MATCH(O76,Cargas,1))),Coluna_fih,1,1))*(PI()*(fi_h/1000)^2/4)*SQRT(2*9.81*(O76/100-fi_h/2/1000))*1000))</f>
        <v>1.1104561575191136</v>
      </c>
      <c r="Q76" s="38">
        <f ca="1">IF(O76="","",IF(Tipo_Vertedor="Retangular",IF(O76&lt;=cota_s*100,0,IF(Tipo_Vertedor="Retangular",Cd_sr*Lef_sr*((O76/100-cota_s)^(3/2))*1000)),IF(O76&lt;=cota_s*100+fi_s/20,0,(OFFSET('Base de dados'!$A$4,IF(O76&lt;20,1,IF(O76&gt;1000,10,MATCH(O76,Cargas,1))),Coluna_fis,1,1))*(PI()*(fi_s/1000)^2/4)*(2*9.81*(O76/100-cota_s-fi_s/2/1000))^0.5*1000)))</f>
        <v>0</v>
      </c>
      <c r="R76" s="38">
        <f t="shared" ca="1" si="17"/>
        <v>1.1104561575191136</v>
      </c>
      <c r="S76" s="38">
        <f t="shared" ca="1" si="18"/>
        <v>23.4375</v>
      </c>
      <c r="AD76" s="38">
        <f t="shared" si="28"/>
        <v>17.109544907923322</v>
      </c>
      <c r="AE76" s="38">
        <f t="shared" ca="1" si="29"/>
        <v>15.533600304967699</v>
      </c>
      <c r="AF76" s="38">
        <f ca="1">IF(ISERROR(IF('Hidrograma afluente'!I83="",0,'Hidrograma afluente'!I83)+Simulação!G76),"",IF('Hidrograma afluente'!I83="",0,'Hidrograma afluente'!I83)+Simulação!G76)</f>
        <v>0.85150552709926763</v>
      </c>
      <c r="AG76" s="36">
        <v>1.2363653959943273</v>
      </c>
      <c r="AH76" s="36">
        <v>1.2052865986007841</v>
      </c>
      <c r="AI76" s="48">
        <v>51.75</v>
      </c>
      <c r="AJ76" s="36">
        <v>49.25</v>
      </c>
      <c r="AK76" s="38">
        <f>IF(A76="","",IF('Hidrograma afluente'!I83="",0,'Hidrograma afluente'!I83)+Simulação!B76)</f>
        <v>0</v>
      </c>
    </row>
    <row r="77" spans="1:37" s="36" customFormat="1">
      <c r="A77" s="23">
        <f t="shared" si="19"/>
        <v>72</v>
      </c>
      <c r="B77" s="24">
        <f>IF(A77="","",IF(A77&gt;tc_lot_i+tc,0,IF('Hidrograma afluente'!B84="","",'Hidrograma afluente'!B84)))</f>
        <v>0</v>
      </c>
      <c r="C77" s="41">
        <f t="shared" si="20"/>
        <v>0</v>
      </c>
      <c r="D77" s="41">
        <f t="shared" ca="1" si="21"/>
        <v>12.812499999999998</v>
      </c>
      <c r="E77" s="41">
        <f t="shared" ca="1" si="22"/>
        <v>0.78497996481502108</v>
      </c>
      <c r="F77" s="41">
        <f t="shared" ca="1" si="23"/>
        <v>0</v>
      </c>
      <c r="G77" s="41">
        <f t="shared" ca="1" si="24"/>
        <v>0.78497996481502108</v>
      </c>
      <c r="H77" s="43">
        <f t="shared" ca="1" si="15"/>
        <v>12.027520035184978</v>
      </c>
      <c r="I77" s="42">
        <f t="shared" ca="1" si="25"/>
        <v>10.25</v>
      </c>
      <c r="J77" s="18"/>
      <c r="K77" s="76"/>
      <c r="M77" s="132">
        <f t="shared" ca="1" si="16"/>
        <v>24.868596247099632</v>
      </c>
      <c r="N77" s="38">
        <f t="shared" si="26"/>
        <v>0.71250000000000002</v>
      </c>
      <c r="O77" s="36">
        <f t="shared" si="27"/>
        <v>19</v>
      </c>
      <c r="P77" s="38">
        <f ca="1">IF(ISERROR(IF(O77&lt;fi_h/20,0,(OFFSET('Base de dados'!$A$5,IF(O77&lt;20,1,IF(O77&gt;1000,10,MATCH(O77,Cargas,1))),Coluna_fih,1,1))*(1+0.13*0.25)*(PI()*(fi_h/1000)^2/4)*SQRT(2*9.81*(O77/100-fi_h/2/1000))*1000)),"",IF(O77&lt;fi_h/20,0,(OFFSET('Base de dados'!$A$5,IF(O77&lt;20,1,IF(O77&gt;1000,10,MATCH(O77,Cargas,1))),Coluna_fih,1,1))*(PI()*(fi_h/1000)^2/4)*SQRT(2*9.81*(O77/100-fi_h/2/1000))*1000))</f>
        <v>1.1185962470996327</v>
      </c>
      <c r="Q77" s="38">
        <f ca="1">IF(O77="","",IF(Tipo_Vertedor="Retangular",IF(O77&lt;=cota_s*100,0,IF(Tipo_Vertedor="Retangular",Cd_sr*Lef_sr*((O77/100-cota_s)^(3/2))*1000)),IF(O77&lt;=cota_s*100+fi_s/20,0,(OFFSET('Base de dados'!$A$4,IF(O77&lt;20,1,IF(O77&gt;1000,10,MATCH(O77,Cargas,1))),Coluna_fis,1,1))*(PI()*(fi_s/1000)^2/4)*(2*9.81*(O77/100-cota_s-fi_s/2/1000))^0.5*1000)))</f>
        <v>0</v>
      </c>
      <c r="R77" s="38">
        <f t="shared" ca="1" si="17"/>
        <v>1.1185962470996327</v>
      </c>
      <c r="S77" s="38">
        <f t="shared" ca="1" si="18"/>
        <v>23.75</v>
      </c>
      <c r="AD77" s="38">
        <f t="shared" si="28"/>
        <v>17.109544907923322</v>
      </c>
      <c r="AE77" s="38">
        <f t="shared" ca="1" si="29"/>
        <v>15.631789434482556</v>
      </c>
      <c r="AF77" s="38">
        <f ca="1">IF(ISERROR(IF('Hidrograma afluente'!I84="",0,'Hidrograma afluente'!I84)+Simulação!G77),"",IF('Hidrograma afluente'!I84="",0,'Hidrograma afluente'!I84)+Simulação!G77)</f>
        <v>0.78497996481502108</v>
      </c>
      <c r="AG77" s="36">
        <v>1.2115661378132687</v>
      </c>
      <c r="AH77" s="36">
        <v>1.1798342674503897</v>
      </c>
      <c r="AI77" s="48">
        <v>49.75</v>
      </c>
      <c r="AJ77" s="36">
        <v>47.25</v>
      </c>
      <c r="AK77" s="38">
        <f>IF(A77="","",IF('Hidrograma afluente'!I84="",0,'Hidrograma afluente'!I84)+Simulação!B77)</f>
        <v>0</v>
      </c>
    </row>
    <row r="78" spans="1:37" s="36" customFormat="1">
      <c r="A78" s="23">
        <f t="shared" si="19"/>
        <v>73</v>
      </c>
      <c r="B78" s="24">
        <f>IF(A78="","",IF(A78&gt;tc_lot_i+tc,0,IF('Hidrograma afluente'!B85="","",'Hidrograma afluente'!B85)))</f>
        <v>0</v>
      </c>
      <c r="C78" s="41">
        <f t="shared" si="20"/>
        <v>0</v>
      </c>
      <c r="D78" s="41">
        <f t="shared" ca="1" si="21"/>
        <v>11.249999999999998</v>
      </c>
      <c r="E78" s="41">
        <f t="shared" ca="1" si="22"/>
        <v>0.72489317412612619</v>
      </c>
      <c r="F78" s="41">
        <f t="shared" ca="1" si="23"/>
        <v>0</v>
      </c>
      <c r="G78" s="41">
        <f t="shared" ca="1" si="24"/>
        <v>0.72489317412612619</v>
      </c>
      <c r="H78" s="43">
        <f t="shared" ca="1" si="15"/>
        <v>10.525106825873872</v>
      </c>
      <c r="I78" s="42">
        <f t="shared" ca="1" si="25"/>
        <v>9</v>
      </c>
      <c r="J78" s="18"/>
      <c r="K78" s="76"/>
      <c r="M78" s="132">
        <f t="shared" ca="1" si="16"/>
        <v>25.189177527191632</v>
      </c>
      <c r="N78" s="38">
        <f t="shared" si="26"/>
        <v>0.72187500000000004</v>
      </c>
      <c r="O78" s="36">
        <f t="shared" si="27"/>
        <v>19.25</v>
      </c>
      <c r="P78" s="38">
        <f ca="1">IF(ISERROR(IF(O78&lt;fi_h/20,0,(OFFSET('Base de dados'!$A$5,IF(O78&lt;20,1,IF(O78&gt;1000,10,MATCH(O78,Cargas,1))),Coluna_fih,1,1))*(1+0.13*0.25)*(PI()*(fi_h/1000)^2/4)*SQRT(2*9.81*(O78/100-fi_h/2/1000))*1000)),"",IF(O78&lt;fi_h/20,0,(OFFSET('Base de dados'!$A$5,IF(O78&lt;20,1,IF(O78&gt;1000,10,MATCH(O78,Cargas,1))),Coluna_fih,1,1))*(PI()*(fi_h/1000)^2/4)*SQRT(2*9.81*(O78/100-fi_h/2/1000))*1000))</f>
        <v>1.1266775271916321</v>
      </c>
      <c r="Q78" s="38">
        <f ca="1">IF(O78="","",IF(Tipo_Vertedor="Retangular",IF(O78&lt;=cota_s*100,0,IF(Tipo_Vertedor="Retangular",Cd_sr*Lef_sr*((O78/100-cota_s)^(3/2))*1000)),IF(O78&lt;=cota_s*100+fi_s/20,0,(OFFSET('Base de dados'!$A$4,IF(O78&lt;20,1,IF(O78&gt;1000,10,MATCH(O78,Cargas,1))),Coluna_fis,1,1))*(PI()*(fi_s/1000)^2/4)*(2*9.81*(O78/100-cota_s-fi_s/2/1000))^0.5*1000)))</f>
        <v>0</v>
      </c>
      <c r="R78" s="38">
        <f t="shared" ca="1" si="17"/>
        <v>1.1266775271916321</v>
      </c>
      <c r="S78" s="38">
        <f t="shared" ca="1" si="18"/>
        <v>24.0625</v>
      </c>
      <c r="AD78" s="38">
        <f t="shared" si="28"/>
        <v>17.109544907923322</v>
      </c>
      <c r="AE78" s="38">
        <f t="shared" ca="1" si="29"/>
        <v>15.722381822819026</v>
      </c>
      <c r="AF78" s="38">
        <f ca="1">IF(ISERROR(IF('Hidrograma afluente'!I85="",0,'Hidrograma afluente'!I85)+Simulação!G78),"",IF('Hidrograma afluente'!I85="",0,'Hidrograma afluente'!I85)+Simulação!G78)</f>
        <v>0.72489317412612619</v>
      </c>
      <c r="AG78" s="36">
        <v>1.1862485490736376</v>
      </c>
      <c r="AH78" s="36">
        <v>1.1538206154050759</v>
      </c>
      <c r="AI78" s="48">
        <v>47.75</v>
      </c>
      <c r="AJ78" s="36">
        <v>45.25</v>
      </c>
      <c r="AK78" s="38">
        <f>IF(A78="","",IF('Hidrograma afluente'!I85="",0,'Hidrograma afluente'!I85)+Simulação!B78)</f>
        <v>0</v>
      </c>
    </row>
    <row r="79" spans="1:37" s="36" customFormat="1">
      <c r="A79" s="23">
        <f t="shared" si="19"/>
        <v>74</v>
      </c>
      <c r="B79" s="24">
        <f>IF(A79="","",IF(A79&gt;tc_lot_i+tc,0,IF('Hidrograma afluente'!B86="","",'Hidrograma afluente'!B86)))</f>
        <v>0</v>
      </c>
      <c r="C79" s="41">
        <f t="shared" si="20"/>
        <v>0</v>
      </c>
      <c r="D79" s="41">
        <f t="shared" ca="1" si="21"/>
        <v>9.6875</v>
      </c>
      <c r="E79" s="41">
        <f t="shared" ca="1" si="22"/>
        <v>0.65935323054362049</v>
      </c>
      <c r="F79" s="41">
        <f t="shared" ca="1" si="23"/>
        <v>0</v>
      </c>
      <c r="G79" s="41">
        <f t="shared" ca="1" si="24"/>
        <v>0.65935323054362049</v>
      </c>
      <c r="H79" s="43">
        <f t="shared" ca="1" si="15"/>
        <v>9.0281467694563791</v>
      </c>
      <c r="I79" s="42">
        <f t="shared" ca="1" si="25"/>
        <v>7.75</v>
      </c>
      <c r="J79" s="18"/>
      <c r="K79" s="76"/>
      <c r="M79" s="132">
        <f t="shared" ca="1" si="16"/>
        <v>25.509701254309665</v>
      </c>
      <c r="N79" s="38">
        <f t="shared" si="26"/>
        <v>0.73125000000000007</v>
      </c>
      <c r="O79" s="36">
        <f t="shared" si="27"/>
        <v>19.5</v>
      </c>
      <c r="P79" s="38">
        <f ca="1">IF(ISERROR(IF(O79&lt;fi_h/20,0,(OFFSET('Base de dados'!$A$5,IF(O79&lt;20,1,IF(O79&gt;1000,10,MATCH(O79,Cargas,1))),Coluna_fih,1,1))*(1+0.13*0.25)*(PI()*(fi_h/1000)^2/4)*SQRT(2*9.81*(O79/100-fi_h/2/1000))*1000)),"",IF(O79&lt;fi_h/20,0,(OFFSET('Base de dados'!$A$5,IF(O79&lt;20,1,IF(O79&gt;1000,10,MATCH(O79,Cargas,1))),Coluna_fih,1,1))*(PI()*(fi_h/1000)^2/4)*SQRT(2*9.81*(O79/100-fi_h/2/1000))*1000))</f>
        <v>1.1347012543096615</v>
      </c>
      <c r="Q79" s="38">
        <f ca="1">IF(O79="","",IF(Tipo_Vertedor="Retangular",IF(O79&lt;=cota_s*100,0,IF(Tipo_Vertedor="Retangular",Cd_sr*Lef_sr*((O79/100-cota_s)^(3/2))*1000)),IF(O79&lt;=cota_s*100+fi_s/20,0,(OFFSET('Base de dados'!$A$4,IF(O79&lt;20,1,IF(O79&gt;1000,10,MATCH(O79,Cargas,1))),Coluna_fis,1,1))*(PI()*(fi_s/1000)^2/4)*(2*9.81*(O79/100-cota_s-fi_s/2/1000))^0.5*1000)))</f>
        <v>0</v>
      </c>
      <c r="R79" s="38">
        <f t="shared" ca="1" si="17"/>
        <v>1.1347012543096615</v>
      </c>
      <c r="S79" s="38">
        <f t="shared" ca="1" si="18"/>
        <v>24.375000000000004</v>
      </c>
      <c r="AD79" s="38">
        <f t="shared" si="28"/>
        <v>17.109544907923322</v>
      </c>
      <c r="AE79" s="38">
        <f t="shared" ca="1" si="29"/>
        <v>15.80543660709921</v>
      </c>
      <c r="AF79" s="38">
        <f ca="1">IF(ISERROR(IF('Hidrograma afluente'!I86="",0,'Hidrograma afluente'!I86)+Simulação!G79),"",IF('Hidrograma afluente'!I86="",0,'Hidrograma afluente'!I86)+Simulação!G79)</f>
        <v>0.65935323054362049</v>
      </c>
      <c r="AG79" s="36">
        <v>1.1603787028650863</v>
      </c>
      <c r="AH79" s="36">
        <v>1.127206780682807</v>
      </c>
      <c r="AI79" s="48">
        <v>45.75</v>
      </c>
      <c r="AJ79" s="36">
        <v>43.25</v>
      </c>
      <c r="AK79" s="38">
        <f>IF(A79="","",IF('Hidrograma afluente'!I86="",0,'Hidrograma afluente'!I86)+Simulação!B79)</f>
        <v>0</v>
      </c>
    </row>
    <row r="80" spans="1:37" s="36" customFormat="1">
      <c r="A80" s="23">
        <f t="shared" si="19"/>
        <v>75</v>
      </c>
      <c r="B80" s="24">
        <f>IF(A80="","",IF(A80&gt;tc_lot_i+tc,0,IF('Hidrograma afluente'!B87="","",'Hidrograma afluente'!B87)))</f>
        <v>0</v>
      </c>
      <c r="C80" s="41">
        <f t="shared" si="20"/>
        <v>0</v>
      </c>
      <c r="D80" s="41">
        <f t="shared" ca="1" si="21"/>
        <v>8.1250000000000018</v>
      </c>
      <c r="E80" s="41">
        <f t="shared" ca="1" si="22"/>
        <v>0.58653495323123517</v>
      </c>
      <c r="F80" s="41">
        <f t="shared" ca="1" si="23"/>
        <v>0</v>
      </c>
      <c r="G80" s="41">
        <f t="shared" ca="1" si="24"/>
        <v>0.58653495323123517</v>
      </c>
      <c r="H80" s="43">
        <f t="shared" ca="1" si="15"/>
        <v>7.5384650467687671</v>
      </c>
      <c r="I80" s="42">
        <f t="shared" ca="1" si="25"/>
        <v>6.5</v>
      </c>
      <c r="J80" s="18"/>
      <c r="K80" s="76"/>
      <c r="M80" s="132">
        <f t="shared" ca="1" si="16"/>
        <v>25.830168640851404</v>
      </c>
      <c r="N80" s="38">
        <f t="shared" si="26"/>
        <v>0.74062500000000009</v>
      </c>
      <c r="O80" s="36">
        <f t="shared" si="27"/>
        <v>19.75</v>
      </c>
      <c r="P80" s="38">
        <f ca="1">IF(ISERROR(IF(O80&lt;fi_h/20,0,(OFFSET('Base de dados'!$A$5,IF(O80&lt;20,1,IF(O80&gt;1000,10,MATCH(O80,Cargas,1))),Coluna_fih,1,1))*(1+0.13*0.25)*(PI()*(fi_h/1000)^2/4)*SQRT(2*9.81*(O80/100-fi_h/2/1000))*1000)),"",IF(O80&lt;fi_h/20,0,(OFFSET('Base de dados'!$A$5,IF(O80&lt;20,1,IF(O80&gt;1000,10,MATCH(O80,Cargas,1))),Coluna_fih,1,1))*(PI()*(fi_h/1000)^2/4)*SQRT(2*9.81*(O80/100-fi_h/2/1000))*1000))</f>
        <v>1.1426686408514009</v>
      </c>
      <c r="Q80" s="38">
        <f ca="1">IF(O80="","",IF(Tipo_Vertedor="Retangular",IF(O80&lt;=cota_s*100,0,IF(Tipo_Vertedor="Retangular",Cd_sr*Lef_sr*((O80/100-cota_s)^(3/2))*1000)),IF(O80&lt;=cota_s*100+fi_s/20,0,(OFFSET('Base de dados'!$A$4,IF(O80&lt;20,1,IF(O80&gt;1000,10,MATCH(O80,Cargas,1))),Coluna_fis,1,1))*(PI()*(fi_s/1000)^2/4)*(2*9.81*(O80/100-cota_s-fi_s/2/1000))^0.5*1000)))</f>
        <v>0</v>
      </c>
      <c r="R80" s="38">
        <f t="shared" ca="1" si="17"/>
        <v>1.1426686408514009</v>
      </c>
      <c r="S80" s="38">
        <f t="shared" ca="1" si="18"/>
        <v>24.687500000000004</v>
      </c>
      <c r="AD80" s="38">
        <f t="shared" si="28"/>
        <v>17.109544907923322</v>
      </c>
      <c r="AE80" s="38">
        <f t="shared" ca="1" si="29"/>
        <v>15.880189898125701</v>
      </c>
      <c r="AF80" s="38">
        <f ca="1">IF(ISERROR(IF('Hidrograma afluente'!I87="",0,'Hidrograma afluente'!I87)+Simulação!G80),"",IF('Hidrograma afluente'!I87="",0,'Hidrograma afluente'!I87)+Simulação!G80)</f>
        <v>0.58653495323123517</v>
      </c>
      <c r="AG80" s="36">
        <v>1.1339188013021082</v>
      </c>
      <c r="AH80" s="36">
        <v>1.0999491989636829</v>
      </c>
      <c r="AI80" s="48">
        <v>43.75</v>
      </c>
      <c r="AJ80" s="36">
        <v>41.25</v>
      </c>
      <c r="AK80" s="38">
        <f>IF(A80="","",IF('Hidrograma afluente'!I87="",0,'Hidrograma afluente'!I87)+Simulação!B80)</f>
        <v>0</v>
      </c>
    </row>
    <row r="81" spans="1:37" s="36" customFormat="1">
      <c r="A81" s="23">
        <f t="shared" si="19"/>
        <v>76</v>
      </c>
      <c r="B81" s="24">
        <f>IF(A81="","",IF(A81&gt;tc_lot_i+tc,0,IF('Hidrograma afluente'!B88="","",'Hidrograma afluente'!B88)))</f>
        <v>0</v>
      </c>
      <c r="C81" s="41">
        <f t="shared" si="20"/>
        <v>0</v>
      </c>
      <c r="D81" s="41">
        <f t="shared" ca="1" si="21"/>
        <v>6.875</v>
      </c>
      <c r="E81" s="41">
        <f t="shared" ca="1" si="22"/>
        <v>0.52100336500726552</v>
      </c>
      <c r="F81" s="41">
        <f t="shared" ca="1" si="23"/>
        <v>0</v>
      </c>
      <c r="G81" s="41">
        <f t="shared" ca="1" si="24"/>
        <v>0.52100336500726552</v>
      </c>
      <c r="H81" s="43">
        <f t="shared" ca="1" si="15"/>
        <v>6.3539966349927344</v>
      </c>
      <c r="I81" s="42">
        <f t="shared" ca="1" si="25"/>
        <v>5.5</v>
      </c>
      <c r="J81" s="18"/>
      <c r="K81" s="76"/>
      <c r="M81" s="132">
        <f t="shared" ca="1" si="16"/>
        <v>26.150580857236228</v>
      </c>
      <c r="N81" s="38">
        <f t="shared" si="26"/>
        <v>0.75</v>
      </c>
      <c r="O81" s="36">
        <f t="shared" si="27"/>
        <v>20</v>
      </c>
      <c r="P81" s="38">
        <f ca="1">IF(ISERROR(IF(O81&lt;fi_h/20,0,(OFFSET('Base de dados'!$A$5,IF(O81&lt;20,1,IF(O81&gt;1000,10,MATCH(O81,Cargas,1))),Coluna_fih,1,1))*(1+0.13*0.25)*(PI()*(fi_h/1000)^2/4)*SQRT(2*9.81*(O81/100-fi_h/2/1000))*1000)),"",IF(O81&lt;fi_h/20,0,(OFFSET('Base de dados'!$A$5,IF(O81&lt;20,1,IF(O81&gt;1000,10,MATCH(O81,Cargas,1))),Coluna_fih,1,1))*(PI()*(fi_h/1000)^2/4)*SQRT(2*9.81*(O81/100-fi_h/2/1000))*1000))</f>
        <v>1.150580857236229</v>
      </c>
      <c r="Q81" s="38">
        <f ca="1">IF(O81="","",IF(Tipo_Vertedor="Retangular",IF(O81&lt;=cota_s*100,0,IF(Tipo_Vertedor="Retangular",Cd_sr*Lef_sr*((O81/100-cota_s)^(3/2))*1000)),IF(O81&lt;=cota_s*100+fi_s/20,0,(OFFSET('Base de dados'!$A$4,IF(O81&lt;20,1,IF(O81&gt;1000,10,MATCH(O81,Cargas,1))),Coluna_fis,1,1))*(PI()*(fi_s/1000)^2/4)*(2*9.81*(O81/100-cota_s-fi_s/2/1000))^0.5*1000)))</f>
        <v>0</v>
      </c>
      <c r="R81" s="38">
        <f t="shared" ca="1" si="17"/>
        <v>1.150580857236229</v>
      </c>
      <c r="S81" s="38">
        <f t="shared" ca="1" si="18"/>
        <v>25</v>
      </c>
      <c r="AD81" s="38">
        <f t="shared" si="28"/>
        <v>17.109544907923322</v>
      </c>
      <c r="AE81" s="38">
        <f t="shared" ca="1" si="29"/>
        <v>15.946642197220012</v>
      </c>
      <c r="AF81" s="38">
        <f ca="1">IF(ISERROR(IF('Hidrograma afluente'!I88="",0,'Hidrograma afluente'!I88)+Simulação!G81),"",IF('Hidrograma afluente'!I88="",0,'Hidrograma afluente'!I88)+Simulação!G81)</f>
        <v>0.52100336500726552</v>
      </c>
      <c r="AG81" s="36">
        <v>1.1068265274332558</v>
      </c>
      <c r="AH81" s="36">
        <v>1.0805116099480354</v>
      </c>
      <c r="AI81" s="48">
        <v>41.75</v>
      </c>
      <c r="AJ81" s="36">
        <v>39.5</v>
      </c>
      <c r="AK81" s="38">
        <f>IF(A81="","",IF('Hidrograma afluente'!I88="",0,'Hidrograma afluente'!I88)+Simulação!B81)</f>
        <v>0</v>
      </c>
    </row>
    <row r="82" spans="1:37" s="36" customFormat="1">
      <c r="A82" s="23">
        <f t="shared" si="19"/>
        <v>77</v>
      </c>
      <c r="B82" s="24">
        <f>IF(A82="","",IF(A82&gt;tc_lot_i+tc,0,IF('Hidrograma afluente'!B89="","",'Hidrograma afluente'!B89)))</f>
        <v>0</v>
      </c>
      <c r="C82" s="41">
        <f t="shared" si="20"/>
        <v>0</v>
      </c>
      <c r="D82" s="41">
        <f t="shared" ca="1" si="21"/>
        <v>5.6249999999999991</v>
      </c>
      <c r="E82" s="41">
        <f t="shared" ca="1" si="22"/>
        <v>0.44594367507098998</v>
      </c>
      <c r="F82" s="41">
        <f t="shared" ca="1" si="23"/>
        <v>0</v>
      </c>
      <c r="G82" s="41">
        <f t="shared" ca="1" si="24"/>
        <v>0.44594367507098998</v>
      </c>
      <c r="H82" s="43">
        <f t="shared" ca="1" si="15"/>
        <v>5.1790563249290091</v>
      </c>
      <c r="I82" s="42">
        <f t="shared" ca="1" si="25"/>
        <v>4.5</v>
      </c>
      <c r="J82" s="18"/>
      <c r="K82" s="76"/>
      <c r="M82" s="132">
        <f t="shared" ca="1" si="16"/>
        <v>26.470939033912327</v>
      </c>
      <c r="N82" s="38">
        <f t="shared" si="26"/>
        <v>0.75937500000000002</v>
      </c>
      <c r="O82" s="36">
        <f t="shared" si="27"/>
        <v>20.25</v>
      </c>
      <c r="P82" s="38">
        <f ca="1">IF(ISERROR(IF(O82&lt;fi_h/20,0,(OFFSET('Base de dados'!$A$5,IF(O82&lt;20,1,IF(O82&gt;1000,10,MATCH(O82,Cargas,1))),Coluna_fih,1,1))*(1+0.13*0.25)*(PI()*(fi_h/1000)^2/4)*SQRT(2*9.81*(O82/100-fi_h/2/1000))*1000)),"",IF(O82&lt;fi_h/20,0,(OFFSET('Base de dados'!$A$5,IF(O82&lt;20,1,IF(O82&gt;1000,10,MATCH(O82,Cargas,1))),Coluna_fih,1,1))*(PI()*(fi_h/1000)^2/4)*SQRT(2*9.81*(O82/100-fi_h/2/1000))*1000))</f>
        <v>1.1584390339123263</v>
      </c>
      <c r="Q82" s="38">
        <f ca="1">IF(O82="","",IF(Tipo_Vertedor="Retangular",IF(O82&lt;=cota_s*100,0,IF(Tipo_Vertedor="Retangular",Cd_sr*Lef_sr*((O82/100-cota_s)^(3/2))*1000)),IF(O82&lt;=cota_s*100+fi_s/20,0,(OFFSET('Base de dados'!$A$4,IF(O82&lt;20,1,IF(O82&gt;1000,10,MATCH(O82,Cargas,1))),Coluna_fis,1,1))*(PI()*(fi_s/1000)^2/4)*(2*9.81*(O82/100-cota_s-fi_s/2/1000))^0.5*1000)))</f>
        <v>0</v>
      </c>
      <c r="R82" s="38">
        <f t="shared" ca="1" si="17"/>
        <v>1.1584390339123263</v>
      </c>
      <c r="S82" s="38">
        <f t="shared" ca="1" si="18"/>
        <v>25.3125</v>
      </c>
      <c r="AD82" s="38">
        <f t="shared" si="28"/>
        <v>17.109544907923322</v>
      </c>
      <c r="AE82" s="38">
        <f t="shared" ca="1" si="29"/>
        <v>16.004659019624707</v>
      </c>
      <c r="AF82" s="38">
        <f ca="1">IF(ISERROR(IF('Hidrograma afluente'!I89="",0,'Hidrograma afluente'!I89)+Simulação!G82),"",IF('Hidrograma afluente'!I89="",0,'Hidrograma afluente'!I89)+Simulação!G82)</f>
        <v>0.44594367507098998</v>
      </c>
      <c r="AG82" s="36">
        <v>1.0840498721191889</v>
      </c>
      <c r="AH82" s="36">
        <v>1.0554116908432236</v>
      </c>
      <c r="AI82" s="48">
        <v>39.75</v>
      </c>
      <c r="AJ82" s="36">
        <v>37.75</v>
      </c>
      <c r="AK82" s="38">
        <f>IF(A82="","",IF('Hidrograma afluente'!I89="",0,'Hidrograma afluente'!I89)+Simulação!B82)</f>
        <v>0</v>
      </c>
    </row>
    <row r="83" spans="1:37" s="36" customFormat="1">
      <c r="A83" s="23">
        <f t="shared" si="19"/>
        <v>78</v>
      </c>
      <c r="B83" s="24">
        <f>IF(A83="","",IF(A83&gt;tc_lot_i+tc,0,IF('Hidrograma afluente'!B90="","",'Hidrograma afluente'!B90)))</f>
        <v>0</v>
      </c>
      <c r="C83" s="41">
        <f t="shared" si="20"/>
        <v>0</v>
      </c>
      <c r="D83" s="41">
        <f t="shared" ca="1" si="21"/>
        <v>4.6875</v>
      </c>
      <c r="E83" s="41">
        <f t="shared" ca="1" si="22"/>
        <v>0.38004171162652095</v>
      </c>
      <c r="F83" s="41">
        <f t="shared" ca="1" si="23"/>
        <v>0</v>
      </c>
      <c r="G83" s="41">
        <f t="shared" ca="1" si="24"/>
        <v>0.38004171162652095</v>
      </c>
      <c r="H83" s="43">
        <f t="shared" ca="1" si="15"/>
        <v>4.3074582883734793</v>
      </c>
      <c r="I83" s="42">
        <f t="shared" ca="1" si="25"/>
        <v>3.75</v>
      </c>
      <c r="J83" s="18"/>
      <c r="K83" s="76"/>
      <c r="M83" s="132">
        <f t="shared" ca="1" si="16"/>
        <v>26.791244263242046</v>
      </c>
      <c r="N83" s="38">
        <f t="shared" si="26"/>
        <v>0.76874999999999993</v>
      </c>
      <c r="O83" s="36">
        <f t="shared" si="27"/>
        <v>20.5</v>
      </c>
      <c r="P83" s="38">
        <f ca="1">IF(ISERROR(IF(O83&lt;fi_h/20,0,(OFFSET('Base de dados'!$A$5,IF(O83&lt;20,1,IF(O83&gt;1000,10,MATCH(O83,Cargas,1))),Coluna_fih,1,1))*(1+0.13*0.25)*(PI()*(fi_h/1000)^2/4)*SQRT(2*9.81*(O83/100-fi_h/2/1000))*1000)),"",IF(O83&lt;fi_h/20,0,(OFFSET('Base de dados'!$A$5,IF(O83&lt;20,1,IF(O83&gt;1000,10,MATCH(O83,Cargas,1))),Coluna_fih,1,1))*(PI()*(fi_h/1000)^2/4)*SQRT(2*9.81*(O83/100-fi_h/2/1000))*1000))</f>
        <v>1.1662442632420502</v>
      </c>
      <c r="Q83" s="38">
        <f ca="1">IF(O83="","",IF(Tipo_Vertedor="Retangular",IF(O83&lt;=cota_s*100,0,IF(Tipo_Vertedor="Retangular",Cd_sr*Lef_sr*((O83/100-cota_s)^(3/2))*1000)),IF(O83&lt;=cota_s*100+fi_s/20,0,(OFFSET('Base de dados'!$A$4,IF(O83&lt;20,1,IF(O83&gt;1000,10,MATCH(O83,Cargas,1))),Coluna_fis,1,1))*(PI()*(fi_s/1000)^2/4)*(2*9.81*(O83/100-cota_s-fi_s/2/1000))^0.5*1000)))</f>
        <v>0</v>
      </c>
      <c r="R83" s="38">
        <f t="shared" ca="1" si="17"/>
        <v>1.1662442632420502</v>
      </c>
      <c r="S83" s="38">
        <f t="shared" ca="1" si="18"/>
        <v>25.624999999999996</v>
      </c>
      <c r="AD83" s="38">
        <f t="shared" si="28"/>
        <v>17.109544907923322</v>
      </c>
      <c r="AE83" s="38">
        <f t="shared" ca="1" si="29"/>
        <v>16.054218142826556</v>
      </c>
      <c r="AF83" s="38">
        <f ca="1">IF(ISERROR(IF('Hidrograma afluente'!I90="",0,'Hidrograma afluente'!I90)+Simulação!G83),"",IF('Hidrograma afluente'!I90="",0,'Hidrograma afluente'!I90)+Simulação!G83)</f>
        <v>0.38004171162652095</v>
      </c>
      <c r="AG83" s="36">
        <v>1.0590338158801575</v>
      </c>
      <c r="AH83" s="36">
        <v>1.0297001190174786</v>
      </c>
      <c r="AI83" s="48">
        <v>38</v>
      </c>
      <c r="AJ83" s="36">
        <v>36</v>
      </c>
      <c r="AK83" s="38">
        <f>IF(A83="","",IF('Hidrograma afluente'!I90="",0,'Hidrograma afluente'!I90)+Simulação!B83)</f>
        <v>0</v>
      </c>
    </row>
    <row r="84" spans="1:37" s="36" customFormat="1">
      <c r="A84" s="23">
        <f t="shared" si="19"/>
        <v>79</v>
      </c>
      <c r="B84" s="24">
        <f>IF(A84="","",IF(A84&gt;tc_lot_i+tc,0,IF('Hidrograma afluente'!B91="","",'Hidrograma afluente'!B91)))</f>
        <v>0</v>
      </c>
      <c r="C84" s="41">
        <f t="shared" si="20"/>
        <v>0</v>
      </c>
      <c r="D84" s="41">
        <f t="shared" ca="1" si="21"/>
        <v>3.7499999999999996</v>
      </c>
      <c r="E84" s="41">
        <f t="shared" ca="1" si="22"/>
        <v>0.29999607300131581</v>
      </c>
      <c r="F84" s="41">
        <f t="shared" ca="1" si="23"/>
        <v>0</v>
      </c>
      <c r="G84" s="41">
        <f t="shared" ca="1" si="24"/>
        <v>0.29999607300131581</v>
      </c>
      <c r="H84" s="43">
        <f t="shared" ca="1" si="15"/>
        <v>3.4500039269986837</v>
      </c>
      <c r="I84" s="42">
        <f t="shared" ca="1" si="25"/>
        <v>3</v>
      </c>
      <c r="J84" s="18"/>
      <c r="K84" s="76"/>
      <c r="M84" s="132">
        <f t="shared" ca="1" si="16"/>
        <v>27.111497601274493</v>
      </c>
      <c r="N84" s="38">
        <f t="shared" si="26"/>
        <v>0.77812499999999996</v>
      </c>
      <c r="O84" s="36">
        <f t="shared" si="27"/>
        <v>20.75</v>
      </c>
      <c r="P84" s="38">
        <f ca="1">IF(ISERROR(IF(O84&lt;fi_h/20,0,(OFFSET('Base de dados'!$A$5,IF(O84&lt;20,1,IF(O84&gt;1000,10,MATCH(O84,Cargas,1))),Coluna_fih,1,1))*(1+0.13*0.25)*(PI()*(fi_h/1000)^2/4)*SQRT(2*9.81*(O84/100-fi_h/2/1000))*1000)),"",IF(O84&lt;fi_h/20,0,(OFFSET('Base de dados'!$A$5,IF(O84&lt;20,1,IF(O84&gt;1000,10,MATCH(O84,Cargas,1))),Coluna_fih,1,1))*(PI()*(fi_h/1000)^2/4)*SQRT(2*9.81*(O84/100-fi_h/2/1000))*1000))</f>
        <v>1.1739976012744917</v>
      </c>
      <c r="Q84" s="38">
        <f ca="1">IF(O84="","",IF(Tipo_Vertedor="Retangular",IF(O84&lt;=cota_s*100,0,IF(Tipo_Vertedor="Retangular",Cd_sr*Lef_sr*((O84/100-cota_s)^(3/2))*1000)),IF(O84&lt;=cota_s*100+fi_s/20,0,(OFFSET('Base de dados'!$A$4,IF(O84&lt;20,1,IF(O84&gt;1000,10,MATCH(O84,Cargas,1))),Coluna_fis,1,1))*(PI()*(fi_s/1000)^2/4)*(2*9.81*(O84/100-cota_s-fi_s/2/1000))^0.5*1000)))</f>
        <v>0</v>
      </c>
      <c r="R84" s="38">
        <f t="shared" ca="1" si="17"/>
        <v>1.1739976012744917</v>
      </c>
      <c r="S84" s="38">
        <f t="shared" ca="1" si="18"/>
        <v>25.9375</v>
      </c>
      <c r="AD84" s="38">
        <f t="shared" si="28"/>
        <v>17.109544907923322</v>
      </c>
      <c r="AE84" s="38">
        <f t="shared" ca="1" si="29"/>
        <v>16.095020409904226</v>
      </c>
      <c r="AF84" s="38">
        <f ca="1">IF(ISERROR(IF('Hidrograma afluente'!I91="",0,'Hidrograma afluente'!I91)+Simulação!G84),"",IF('Hidrograma afluente'!I91="",0,'Hidrograma afluente'!I91)+Simulação!G84)</f>
        <v>0.29999607300131581</v>
      </c>
      <c r="AG84" s="36">
        <v>1.033412367408937</v>
      </c>
      <c r="AH84" s="36">
        <v>1.0033298724949171</v>
      </c>
      <c r="AI84" s="48">
        <v>36.25</v>
      </c>
      <c r="AJ84" s="36">
        <v>34.25</v>
      </c>
      <c r="AK84" s="38">
        <f>IF(A84="","",IF('Hidrograma afluente'!I91="",0,'Hidrograma afluente'!I91)+Simulação!B84)</f>
        <v>0</v>
      </c>
    </row>
    <row r="85" spans="1:37" s="36" customFormat="1">
      <c r="A85" s="23">
        <f t="shared" si="19"/>
        <v>80</v>
      </c>
      <c r="B85" s="24">
        <f>IF(A85="","",IF(A85&gt;tc_lot_i+tc,0,IF('Hidrograma afluente'!B92="","",'Hidrograma afluente'!B92)))</f>
        <v>0</v>
      </c>
      <c r="C85" s="41">
        <f t="shared" si="20"/>
        <v>0</v>
      </c>
      <c r="D85" s="41">
        <f t="shared" ca="1" si="21"/>
        <v>3.125</v>
      </c>
      <c r="E85" s="41">
        <f t="shared" ca="1" si="22"/>
        <v>0.23175045050587106</v>
      </c>
      <c r="F85" s="41">
        <f t="shared" ca="1" si="23"/>
        <v>0</v>
      </c>
      <c r="G85" s="41">
        <f t="shared" ca="1" si="24"/>
        <v>0.23175045050587106</v>
      </c>
      <c r="H85" s="43">
        <f t="shared" ca="1" si="15"/>
        <v>2.8932495494941288</v>
      </c>
      <c r="I85" s="42">
        <f t="shared" ca="1" si="25"/>
        <v>2.5</v>
      </c>
      <c r="J85" s="18"/>
      <c r="K85" s="76"/>
      <c r="M85" s="132">
        <f t="shared" ca="1" si="16"/>
        <v>27.431700069413356</v>
      </c>
      <c r="N85" s="38">
        <f t="shared" si="26"/>
        <v>0.78749999999999998</v>
      </c>
      <c r="O85" s="36">
        <f t="shared" si="27"/>
        <v>21</v>
      </c>
      <c r="P85" s="38">
        <f ca="1">IF(ISERROR(IF(O85&lt;fi_h/20,0,(OFFSET('Base de dados'!$A$5,IF(O85&lt;20,1,IF(O85&gt;1000,10,MATCH(O85,Cargas,1))),Coluna_fih,1,1))*(1+0.13*0.25)*(PI()*(fi_h/1000)^2/4)*SQRT(2*9.81*(O85/100-fi_h/2/1000))*1000)),"",IF(O85&lt;fi_h/20,0,(OFFSET('Base de dados'!$A$5,IF(O85&lt;20,1,IF(O85&gt;1000,10,MATCH(O85,Cargas,1))),Coluna_fih,1,1))*(PI()*(fi_h/1000)^2/4)*SQRT(2*9.81*(O85/100-fi_h/2/1000))*1000))</f>
        <v>1.1817000694133555</v>
      </c>
      <c r="Q85" s="38">
        <f ca="1">IF(O85="","",IF(Tipo_Vertedor="Retangular",IF(O85&lt;=cota_s*100,0,IF(Tipo_Vertedor="Retangular",Cd_sr*Lef_sr*((O85/100-cota_s)^(3/2))*1000)),IF(O85&lt;=cota_s*100+fi_s/20,0,(OFFSET('Base de dados'!$A$4,IF(O85&lt;20,1,IF(O85&gt;1000,10,MATCH(O85,Cargas,1))),Coluna_fis,1,1))*(PI()*(fi_s/1000)^2/4)*(2*9.81*(O85/100-cota_s-fi_s/2/1000))^0.5*1000)))</f>
        <v>0</v>
      </c>
      <c r="R85" s="38">
        <f t="shared" ca="1" si="17"/>
        <v>1.1817000694133555</v>
      </c>
      <c r="S85" s="38">
        <f t="shared" ca="1" si="18"/>
        <v>26.25</v>
      </c>
      <c r="AD85" s="38">
        <f t="shared" si="28"/>
        <v>17.109544907923322</v>
      </c>
      <c r="AE85" s="38">
        <f t="shared" ca="1" si="29"/>
        <v>16.126925201314656</v>
      </c>
      <c r="AF85" s="38">
        <f ca="1">IF(ISERROR(IF('Hidrograma afluente'!I92="",0,'Hidrograma afluente'!I92)+Simulação!G85),"",IF('Hidrograma afluente'!I92="",0,'Hidrograma afluente'!I92)+Simulação!G85)</f>
        <v>0.23175045050587106</v>
      </c>
      <c r="AG85" s="36">
        <v>1.0071393245474038</v>
      </c>
      <c r="AH85" s="36">
        <v>0.97624757668161388</v>
      </c>
      <c r="AI85" s="48">
        <v>34.5</v>
      </c>
      <c r="AJ85" s="36">
        <v>32.5</v>
      </c>
      <c r="AK85" s="38">
        <f>IF(A85="","",IF('Hidrograma afluente'!I92="",0,'Hidrograma afluente'!I92)+Simulação!B85)</f>
        <v>0</v>
      </c>
    </row>
    <row r="86" spans="1:37" s="36" customFormat="1">
      <c r="A86" s="23">
        <f t="shared" si="19"/>
        <v>81</v>
      </c>
      <c r="B86" s="24">
        <f>IF(A86="","",IF(A86&gt;tc_lot_i+tc,0,IF('Hidrograma afluente'!B93="","",'Hidrograma afluente'!B93)))</f>
        <v>0</v>
      </c>
      <c r="C86" s="41">
        <f t="shared" si="20"/>
        <v>0</v>
      </c>
      <c r="D86" s="41">
        <f t="shared" ca="1" si="21"/>
        <v>2.5</v>
      </c>
      <c r="E86" s="41">
        <f t="shared" ca="1" si="22"/>
        <v>0.13198067587013479</v>
      </c>
      <c r="F86" s="41">
        <f t="shared" ca="1" si="23"/>
        <v>0</v>
      </c>
      <c r="G86" s="41">
        <f t="shared" ca="1" si="24"/>
        <v>0.13198067587013479</v>
      </c>
      <c r="H86" s="43">
        <f t="shared" ca="1" si="15"/>
        <v>2.368019324129865</v>
      </c>
      <c r="I86" s="42">
        <f t="shared" ca="1" si="25"/>
        <v>2</v>
      </c>
      <c r="J86" s="18"/>
      <c r="K86" s="76"/>
      <c r="M86" s="132">
        <f t="shared" ca="1" si="16"/>
        <v>27.751852655987616</v>
      </c>
      <c r="N86" s="38">
        <f t="shared" si="26"/>
        <v>0.796875</v>
      </c>
      <c r="O86" s="36">
        <f t="shared" si="27"/>
        <v>21.25</v>
      </c>
      <c r="P86" s="38">
        <f ca="1">IF(ISERROR(IF(O86&lt;fi_h/20,0,(OFFSET('Base de dados'!$A$5,IF(O86&lt;20,1,IF(O86&gt;1000,10,MATCH(O86,Cargas,1))),Coluna_fih,1,1))*(1+0.13*0.25)*(PI()*(fi_h/1000)^2/4)*SQRT(2*9.81*(O86/100-fi_h/2/1000))*1000)),"",IF(O86&lt;fi_h/20,0,(OFFSET('Base de dados'!$A$5,IF(O86&lt;20,1,IF(O86&gt;1000,10,MATCH(O86,Cargas,1))),Coluna_fih,1,1))*(PI()*(fi_h/1000)^2/4)*SQRT(2*9.81*(O86/100-fi_h/2/1000))*1000))</f>
        <v>1.1893526559876164</v>
      </c>
      <c r="Q86" s="38">
        <f ca="1">IF(O86="","",IF(Tipo_Vertedor="Retangular",IF(O86&lt;=cota_s*100,0,IF(Tipo_Vertedor="Retangular",Cd_sr*Lef_sr*((O86/100-cota_s)^(3/2))*1000)),IF(O86&lt;=cota_s*100+fi_s/20,0,(OFFSET('Base de dados'!$A$4,IF(O86&lt;20,1,IF(O86&gt;1000,10,MATCH(O86,Cargas,1))),Coluna_fis,1,1))*(PI()*(fi_s/1000)^2/4)*(2*9.81*(O86/100-cota_s-fi_s/2/1000))^0.5*1000)))</f>
        <v>0</v>
      </c>
      <c r="R86" s="38">
        <f t="shared" ca="1" si="17"/>
        <v>1.1893526559876164</v>
      </c>
      <c r="S86" s="38">
        <f t="shared" ca="1" si="18"/>
        <v>26.5625</v>
      </c>
      <c r="AD86" s="38">
        <f t="shared" si="28"/>
        <v>17.109544907923322</v>
      </c>
      <c r="AE86" s="38">
        <f t="shared" ca="1" si="29"/>
        <v>16.148749068897217</v>
      </c>
      <c r="AF86" s="38">
        <f ca="1">IF(ISERROR(IF('Hidrograma afluente'!I93="",0,'Hidrograma afluente'!I93)+Simulação!G86),"",IF('Hidrograma afluente'!I93="",0,'Hidrograma afluente'!I93)+Simulação!G86)</f>
        <v>0.13198067587013479</v>
      </c>
      <c r="AG86" s="36">
        <v>0.98016229114665399</v>
      </c>
      <c r="AH86" s="36">
        <v>0.94839223368434444</v>
      </c>
      <c r="AI86" s="48">
        <v>32.75</v>
      </c>
      <c r="AJ86" s="36">
        <v>30.75</v>
      </c>
      <c r="AK86" s="38">
        <f>IF(A86="","",IF('Hidrograma afluente'!I93="",0,'Hidrograma afluente'!I93)+Simulação!B86)</f>
        <v>0</v>
      </c>
    </row>
    <row r="87" spans="1:37" s="36" customFormat="1">
      <c r="A87" s="23">
        <f t="shared" si="19"/>
        <v>82</v>
      </c>
      <c r="B87" s="24">
        <f>IF(A87="","",IF(A87&gt;tc_lot_i+tc,0,IF('Hidrograma afluente'!B94="","",'Hidrograma afluente'!B94)))</f>
        <v>0</v>
      </c>
      <c r="C87" s="41">
        <f t="shared" si="20"/>
        <v>0</v>
      </c>
      <c r="D87" s="41">
        <f t="shared" ca="1" si="21"/>
        <v>2.1875</v>
      </c>
      <c r="E87" s="41">
        <f t="shared" ca="1" si="22"/>
        <v>0</v>
      </c>
      <c r="F87" s="41">
        <f t="shared" ca="1" si="23"/>
        <v>0</v>
      </c>
      <c r="G87" s="41">
        <f t="shared" ca="1" si="24"/>
        <v>0</v>
      </c>
      <c r="H87" s="43">
        <f t="shared" ca="1" si="15"/>
        <v>2.1875</v>
      </c>
      <c r="I87" s="42">
        <f t="shared" ca="1" si="25"/>
        <v>1.75</v>
      </c>
      <c r="J87" s="18"/>
      <c r="K87" s="76"/>
      <c r="M87" s="132">
        <f t="shared" ca="1" si="16"/>
        <v>28.071956317731797</v>
      </c>
      <c r="N87" s="38">
        <f t="shared" si="26"/>
        <v>0.80625000000000002</v>
      </c>
      <c r="O87" s="36">
        <f t="shared" si="27"/>
        <v>21.5</v>
      </c>
      <c r="P87" s="38">
        <f ca="1">IF(ISERROR(IF(O87&lt;fi_h/20,0,(OFFSET('Base de dados'!$A$5,IF(O87&lt;20,1,IF(O87&gt;1000,10,MATCH(O87,Cargas,1))),Coluna_fih,1,1))*(1+0.13*0.25)*(PI()*(fi_h/1000)^2/4)*SQRT(2*9.81*(O87/100-fi_h/2/1000))*1000)),"",IF(O87&lt;fi_h/20,0,(OFFSET('Base de dados'!$A$5,IF(O87&lt;20,1,IF(O87&gt;1000,10,MATCH(O87,Cargas,1))),Coluna_fih,1,1))*(PI()*(fi_h/1000)^2/4)*SQRT(2*9.81*(O87/100-fi_h/2/1000))*1000))</f>
        <v>1.1969563177317983</v>
      </c>
      <c r="Q87" s="38">
        <f ca="1">IF(O87="","",IF(Tipo_Vertedor="Retangular",IF(O87&lt;=cota_s*100,0,IF(Tipo_Vertedor="Retangular",Cd_sr*Lef_sr*((O87/100-cota_s)^(3/2))*1000)),IF(O87&lt;=cota_s*100+fi_s/20,0,(OFFSET('Base de dados'!$A$4,IF(O87&lt;20,1,IF(O87&gt;1000,10,MATCH(O87,Cargas,1))),Coluna_fis,1,1))*(PI()*(fi_s/1000)^2/4)*(2*9.81*(O87/100-cota_s-fi_s/2/1000))^0.5*1000)))</f>
        <v>0</v>
      </c>
      <c r="R87" s="38">
        <f t="shared" ca="1" si="17"/>
        <v>1.1969563177317983</v>
      </c>
      <c r="S87" s="38">
        <f t="shared" ca="1" si="18"/>
        <v>26.875</v>
      </c>
      <c r="AD87" s="38">
        <f t="shared" si="28"/>
        <v>17.109544907923322</v>
      </c>
      <c r="AE87" s="38">
        <f t="shared" ca="1" si="29"/>
        <v>16.156667909449425</v>
      </c>
      <c r="AF87" s="38">
        <f ca="1">IF(ISERROR(IF('Hidrograma afluente'!I94="",0,'Hidrograma afluente'!I94)+Simulação!G87),"",IF('Hidrograma afluente'!I94="",0,'Hidrograma afluente'!I94)+Simulação!G87)</f>
        <v>0</v>
      </c>
      <c r="AG87" s="36">
        <v>0.9524214481635298</v>
      </c>
      <c r="AH87" s="36">
        <v>0.92384799228984193</v>
      </c>
      <c r="AI87" s="48">
        <v>31</v>
      </c>
      <c r="AJ87" s="36">
        <v>29.25</v>
      </c>
      <c r="AK87" s="38">
        <f>IF(A87="","",IF('Hidrograma afluente'!I94="",0,'Hidrograma afluente'!I94)+Simulação!B87)</f>
        <v>0</v>
      </c>
    </row>
    <row r="88" spans="1:37" s="36" customFormat="1">
      <c r="A88" s="23">
        <f t="shared" si="19"/>
        <v>83</v>
      </c>
      <c r="B88" s="24">
        <f>IF(A88="","",IF(A88&gt;tc_lot_i+tc,0,IF('Hidrograma afluente'!B95="","",'Hidrograma afluente'!B95)))</f>
        <v>0</v>
      </c>
      <c r="C88" s="41">
        <f t="shared" si="20"/>
        <v>0</v>
      </c>
      <c r="D88" s="41">
        <f t="shared" ca="1" si="21"/>
        <v>2.1875</v>
      </c>
      <c r="E88" s="41">
        <f t="shared" ca="1" si="22"/>
        <v>0</v>
      </c>
      <c r="F88" s="41">
        <f t="shared" ca="1" si="23"/>
        <v>0</v>
      </c>
      <c r="G88" s="41">
        <f t="shared" ca="1" si="24"/>
        <v>0</v>
      </c>
      <c r="H88" s="43">
        <f t="shared" ca="1" si="15"/>
        <v>2.1875</v>
      </c>
      <c r="I88" s="42">
        <f t="shared" ca="1" si="25"/>
        <v>1.75</v>
      </c>
      <c r="J88" s="18"/>
      <c r="K88" s="76"/>
      <c r="M88" s="132">
        <f t="shared" ca="1" si="16"/>
        <v>28.392011981182144</v>
      </c>
      <c r="N88" s="38">
        <f t="shared" si="26"/>
        <v>0.81562500000000004</v>
      </c>
      <c r="O88" s="36">
        <f t="shared" si="27"/>
        <v>21.75</v>
      </c>
      <c r="P88" s="38">
        <f ca="1">IF(ISERROR(IF(O88&lt;fi_h/20,0,(OFFSET('Base de dados'!$A$5,IF(O88&lt;20,1,IF(O88&gt;1000,10,MATCH(O88,Cargas,1))),Coluna_fih,1,1))*(1+0.13*0.25)*(PI()*(fi_h/1000)^2/4)*SQRT(2*9.81*(O88/100-fi_h/2/1000))*1000)),"",IF(O88&lt;fi_h/20,0,(OFFSET('Base de dados'!$A$5,IF(O88&lt;20,1,IF(O88&gt;1000,10,MATCH(O88,Cargas,1))),Coluna_fih,1,1))*(PI()*(fi_h/1000)^2/4)*SQRT(2*9.81*(O88/100-fi_h/2/1000))*1000))</f>
        <v>1.2045119811821443</v>
      </c>
      <c r="Q88" s="38">
        <f ca="1">IF(O88="","",IF(Tipo_Vertedor="Retangular",IF(O88&lt;=cota_s*100,0,IF(Tipo_Vertedor="Retangular",Cd_sr*Lef_sr*((O88/100-cota_s)^(3/2))*1000)),IF(O88&lt;=cota_s*100+fi_s/20,0,(OFFSET('Base de dados'!$A$4,IF(O88&lt;20,1,IF(O88&gt;1000,10,MATCH(O88,Cargas,1))),Coluna_fis,1,1))*(PI()*(fi_s/1000)^2/4)*(2*9.81*(O88/100-cota_s-fi_s/2/1000))^0.5*1000)))</f>
        <v>0</v>
      </c>
      <c r="R88" s="38">
        <f t="shared" ca="1" si="17"/>
        <v>1.2045119811821443</v>
      </c>
      <c r="S88" s="38">
        <f t="shared" ca="1" si="18"/>
        <v>27.1875</v>
      </c>
      <c r="AD88" s="38">
        <f t="shared" si="28"/>
        <v>17.109544907923322</v>
      </c>
      <c r="AE88" s="38">
        <f t="shared" ca="1" si="29"/>
        <v>16.156667909449425</v>
      </c>
      <c r="AF88" s="38">
        <f ca="1">IF(ISERROR(IF('Hidrograma afluente'!I95="",0,'Hidrograma afluente'!I95)+Simulação!G88),"",IF('Hidrograma afluente'!I95="",0,'Hidrograma afluente'!I95)+Simulação!G88)</f>
        <v>0</v>
      </c>
      <c r="AG88" s="36">
        <v>0.92384799228984193</v>
      </c>
      <c r="AH88" s="36">
        <v>0.89863362768325328</v>
      </c>
      <c r="AI88" s="48">
        <v>29.25</v>
      </c>
      <c r="AJ88" s="36">
        <v>27.75</v>
      </c>
      <c r="AK88" s="38">
        <f>IF(A88="","",IF('Hidrograma afluente'!I95="",0,'Hidrograma afluente'!I95)+Simulação!B88)</f>
        <v>0</v>
      </c>
    </row>
    <row r="89" spans="1:37" s="36" customFormat="1">
      <c r="A89" s="23">
        <f t="shared" si="19"/>
        <v>84</v>
      </c>
      <c r="B89" s="24">
        <f>IF(A89="","",IF(A89&gt;tc_lot_i+tc,0,IF('Hidrograma afluente'!B96="","",'Hidrograma afluente'!B96)))</f>
        <v>0</v>
      </c>
      <c r="C89" s="41">
        <f t="shared" si="20"/>
        <v>0</v>
      </c>
      <c r="D89" s="41">
        <f t="shared" ca="1" si="21"/>
        <v>2.1875</v>
      </c>
      <c r="E89" s="41">
        <f t="shared" ca="1" si="22"/>
        <v>0</v>
      </c>
      <c r="F89" s="41">
        <f t="shared" ca="1" si="23"/>
        <v>0</v>
      </c>
      <c r="G89" s="41">
        <f t="shared" ca="1" si="24"/>
        <v>0</v>
      </c>
      <c r="H89" s="43">
        <f t="shared" ca="1" si="15"/>
        <v>2.1875</v>
      </c>
      <c r="I89" s="42">
        <f t="shared" ca="1" si="25"/>
        <v>1.75</v>
      </c>
      <c r="J89" s="18"/>
      <c r="K89" s="76"/>
      <c r="M89" s="132">
        <f t="shared" ca="1" si="16"/>
        <v>28.712020543994448</v>
      </c>
      <c r="N89" s="38">
        <f t="shared" si="26"/>
        <v>0.82499999999999996</v>
      </c>
      <c r="O89" s="36">
        <f t="shared" si="27"/>
        <v>22</v>
      </c>
      <c r="P89" s="38">
        <f ca="1">IF(ISERROR(IF(O89&lt;fi_h/20,0,(OFFSET('Base de dados'!$A$5,IF(O89&lt;20,1,IF(O89&gt;1000,10,MATCH(O89,Cargas,1))),Coluna_fih,1,1))*(1+0.13*0.25)*(PI()*(fi_h/1000)^2/4)*SQRT(2*9.81*(O89/100-fi_h/2/1000))*1000)),"",IF(O89&lt;fi_h/20,0,(OFFSET('Base de dados'!$A$5,IF(O89&lt;20,1,IF(O89&gt;1000,10,MATCH(O89,Cargas,1))),Coluna_fih,1,1))*(PI()*(fi_h/1000)^2/4)*SQRT(2*9.81*(O89/100-fi_h/2/1000))*1000))</f>
        <v>1.21202054399445</v>
      </c>
      <c r="Q89" s="38">
        <f ca="1">IF(O89="","",IF(Tipo_Vertedor="Retangular",IF(O89&lt;=cota_s*100,0,IF(Tipo_Vertedor="Retangular",Cd_sr*Lef_sr*((O89/100-cota_s)^(3/2))*1000)),IF(O89&lt;=cota_s*100+fi_s/20,0,(OFFSET('Base de dados'!$A$4,IF(O89&lt;20,1,IF(O89&gt;1000,10,MATCH(O89,Cargas,1))),Coluna_fis,1,1))*(PI()*(fi_s/1000)^2/4)*(2*9.81*(O89/100-cota_s-fi_s/2/1000))^0.5*1000)))</f>
        <v>0</v>
      </c>
      <c r="R89" s="38">
        <f t="shared" ca="1" si="17"/>
        <v>1.21202054399445</v>
      </c>
      <c r="S89" s="38">
        <f t="shared" ca="1" si="18"/>
        <v>27.5</v>
      </c>
      <c r="AD89" s="38">
        <f t="shared" si="28"/>
        <v>17.109544907923322</v>
      </c>
      <c r="AE89" s="38">
        <f t="shared" ca="1" si="29"/>
        <v>16.156667909449425</v>
      </c>
      <c r="AF89" s="38">
        <f ca="1">IF(ISERROR(IF('Hidrograma afluente'!I96="",0,'Hidrograma afluente'!I96)+Simulação!G89),"",IF('Hidrograma afluente'!I96="",0,'Hidrograma afluente'!I96)+Simulação!G89)</f>
        <v>0</v>
      </c>
      <c r="AG89" s="36">
        <v>0.89863362768325328</v>
      </c>
      <c r="AH89" s="36">
        <v>0.87269105687428461</v>
      </c>
      <c r="AI89" s="48">
        <v>27.75</v>
      </c>
      <c r="AJ89" s="36">
        <v>26.25</v>
      </c>
      <c r="AK89" s="38">
        <f>IF(A89="","",IF('Hidrograma afluente'!I96="",0,'Hidrograma afluente'!I96)+Simulação!B89)</f>
        <v>0</v>
      </c>
    </row>
    <row r="90" spans="1:37" s="36" customFormat="1">
      <c r="A90" s="23">
        <f t="shared" si="19"/>
        <v>85</v>
      </c>
      <c r="B90" s="24">
        <f>IF(A90="","",IF(A90&gt;tc_lot_i+tc,0,IF('Hidrograma afluente'!B97="","",'Hidrograma afluente'!B97)))</f>
        <v>0</v>
      </c>
      <c r="C90" s="41">
        <f t="shared" si="20"/>
        <v>0</v>
      </c>
      <c r="D90" s="41">
        <f t="shared" ca="1" si="21"/>
        <v>2.1875</v>
      </c>
      <c r="E90" s="41">
        <f t="shared" ca="1" si="22"/>
        <v>0</v>
      </c>
      <c r="F90" s="41">
        <f t="shared" ca="1" si="23"/>
        <v>0</v>
      </c>
      <c r="G90" s="41">
        <f t="shared" ca="1" si="24"/>
        <v>0</v>
      </c>
      <c r="H90" s="43">
        <f t="shared" ca="1" si="15"/>
        <v>2.1875</v>
      </c>
      <c r="I90" s="42">
        <f t="shared" ca="1" si="25"/>
        <v>1.75</v>
      </c>
      <c r="J90" s="18"/>
      <c r="K90" s="76"/>
      <c r="M90" s="132">
        <f t="shared" ca="1" si="16"/>
        <v>29.031982876188867</v>
      </c>
      <c r="N90" s="38">
        <f t="shared" si="26"/>
        <v>0.83437499999999998</v>
      </c>
      <c r="O90" s="36">
        <f t="shared" si="27"/>
        <v>22.25</v>
      </c>
      <c r="P90" s="38">
        <f ca="1">IF(ISERROR(IF(O90&lt;fi_h/20,0,(OFFSET('Base de dados'!$A$5,IF(O90&lt;20,1,IF(O90&gt;1000,10,MATCH(O90,Cargas,1))),Coluna_fih,1,1))*(1+0.13*0.25)*(PI()*(fi_h/1000)^2/4)*SQRT(2*9.81*(O90/100-fi_h/2/1000))*1000)),"",IF(O90&lt;fi_h/20,0,(OFFSET('Base de dados'!$A$5,IF(O90&lt;20,1,IF(O90&gt;1000,10,MATCH(O90,Cargas,1))),Coluna_fih,1,1))*(PI()*(fi_h/1000)^2/4)*SQRT(2*9.81*(O90/100-fi_h/2/1000))*1000))</f>
        <v>1.2194828761888667</v>
      </c>
      <c r="Q90" s="38">
        <f ca="1">IF(O90="","",IF(Tipo_Vertedor="Retangular",IF(O90&lt;=cota_s*100,0,IF(Tipo_Vertedor="Retangular",Cd_sr*Lef_sr*((O90/100-cota_s)^(3/2))*1000)),IF(O90&lt;=cota_s*100+fi_s/20,0,(OFFSET('Base de dados'!$A$4,IF(O90&lt;20,1,IF(O90&gt;1000,10,MATCH(O90,Cargas,1))),Coluna_fis,1,1))*(PI()*(fi_s/1000)^2/4)*(2*9.81*(O90/100-cota_s-fi_s/2/1000))^0.5*1000)))</f>
        <v>0</v>
      </c>
      <c r="R90" s="38">
        <f t="shared" ca="1" si="17"/>
        <v>1.2194828761888667</v>
      </c>
      <c r="S90" s="38">
        <f t="shared" ca="1" si="18"/>
        <v>27.8125</v>
      </c>
      <c r="AD90" s="38">
        <f t="shared" si="28"/>
        <v>17.109544907923322</v>
      </c>
      <c r="AE90" s="38">
        <f t="shared" ca="1" si="29"/>
        <v>16.156667909449425</v>
      </c>
      <c r="AF90" s="38">
        <f ca="1">IF(ISERROR(IF('Hidrograma afluente'!I97="",0,'Hidrograma afluente'!I97)+Simulação!G90),"",IF('Hidrograma afluente'!I97="",0,'Hidrograma afluente'!I97)+Simulação!G90)</f>
        <v>0</v>
      </c>
      <c r="AG90" s="36">
        <v>0.87269105687428461</v>
      </c>
      <c r="AH90" s="36">
        <v>0.84595328753634358</v>
      </c>
      <c r="AI90" s="48">
        <v>26.25</v>
      </c>
      <c r="AJ90" s="36">
        <v>24.75</v>
      </c>
      <c r="AK90" s="38">
        <f>IF(A90="","",IF('Hidrograma afluente'!I97="",0,'Hidrograma afluente'!I97)+Simulação!B90)</f>
        <v>0</v>
      </c>
    </row>
    <row r="91" spans="1:37" s="36" customFormat="1">
      <c r="A91" s="23">
        <f t="shared" si="19"/>
        <v>86</v>
      </c>
      <c r="B91" s="24">
        <f>IF(A91="","",IF(A91&gt;tc_lot_i+tc,0,IF('Hidrograma afluente'!B98="","",'Hidrograma afluente'!B98)))</f>
        <v>0</v>
      </c>
      <c r="C91" s="41">
        <f t="shared" si="20"/>
        <v>0</v>
      </c>
      <c r="D91" s="41">
        <f t="shared" ca="1" si="21"/>
        <v>2.1875</v>
      </c>
      <c r="E91" s="41">
        <f t="shared" ca="1" si="22"/>
        <v>0</v>
      </c>
      <c r="F91" s="41">
        <f t="shared" ca="1" si="23"/>
        <v>0</v>
      </c>
      <c r="G91" s="41">
        <f t="shared" ca="1" si="24"/>
        <v>0</v>
      </c>
      <c r="H91" s="43">
        <f t="shared" ref="H91:H154" ca="1" si="30">IF(A91="","",IF(ISERROR(B91+C91+D91-G91),0,B91+C91+D91-G91))</f>
        <v>2.1875</v>
      </c>
      <c r="I91" s="42">
        <f t="shared" ca="1" si="25"/>
        <v>1.75</v>
      </c>
      <c r="J91" s="18"/>
      <c r="K91" s="76"/>
      <c r="M91" s="132">
        <f t="shared" ca="1" si="16"/>
        <v>29.351899821326558</v>
      </c>
      <c r="N91" s="38">
        <f t="shared" si="26"/>
        <v>0.84375</v>
      </c>
      <c r="O91" s="36">
        <f t="shared" si="27"/>
        <v>22.5</v>
      </c>
      <c r="P91" s="38">
        <f ca="1">IF(ISERROR(IF(O91&lt;fi_h/20,0,(OFFSET('Base de dados'!$A$5,IF(O91&lt;20,1,IF(O91&gt;1000,10,MATCH(O91,Cargas,1))),Coluna_fih,1,1))*(1+0.13*0.25)*(PI()*(fi_h/1000)^2/4)*SQRT(2*9.81*(O91/100-fi_h/2/1000))*1000)),"",IF(O91&lt;fi_h/20,0,(OFFSET('Base de dados'!$A$5,IF(O91&lt;20,1,IF(O91&gt;1000,10,MATCH(O91,Cargas,1))),Coluna_fih,1,1))*(PI()*(fi_h/1000)^2/4)*SQRT(2*9.81*(O91/100-fi_h/2/1000))*1000))</f>
        <v>1.2268998213265576</v>
      </c>
      <c r="Q91" s="38">
        <f ca="1">IF(O91="","",IF(Tipo_Vertedor="Retangular",IF(O91&lt;=cota_s*100,0,IF(Tipo_Vertedor="Retangular",Cd_sr*Lef_sr*((O91/100-cota_s)^(3/2))*1000)),IF(O91&lt;=cota_s*100+fi_s/20,0,(OFFSET('Base de dados'!$A$4,IF(O91&lt;20,1,IF(O91&gt;1000,10,MATCH(O91,Cargas,1))),Coluna_fis,1,1))*(PI()*(fi_s/1000)^2/4)*(2*9.81*(O91/100-cota_s-fi_s/2/1000))^0.5*1000)))</f>
        <v>0</v>
      </c>
      <c r="R91" s="38">
        <f t="shared" ca="1" si="17"/>
        <v>1.2268998213265576</v>
      </c>
      <c r="S91" s="38">
        <f t="shared" ca="1" si="18"/>
        <v>28.125</v>
      </c>
      <c r="AD91" s="38">
        <f t="shared" si="28"/>
        <v>17.109544907923322</v>
      </c>
      <c r="AE91" s="38">
        <f t="shared" ca="1" si="29"/>
        <v>16.156667909449425</v>
      </c>
      <c r="AF91" s="38">
        <f ca="1">IF(ISERROR(IF('Hidrograma afluente'!I98="",0,'Hidrograma afluente'!I98)+Simulação!G91),"",IF('Hidrograma afluente'!I98="",0,'Hidrograma afluente'!I98)+Simulação!G91)</f>
        <v>0</v>
      </c>
      <c r="AG91" s="36">
        <v>0.84595328753634358</v>
      </c>
      <c r="AH91" s="36">
        <v>0.8183423786159062</v>
      </c>
      <c r="AI91" s="48">
        <v>24.75</v>
      </c>
      <c r="AJ91" s="36">
        <v>23.25</v>
      </c>
      <c r="AK91" s="38">
        <f>IF(A91="","",IF('Hidrograma afluente'!I98="",0,'Hidrograma afluente'!I98)+Simulação!B91)</f>
        <v>0</v>
      </c>
    </row>
    <row r="92" spans="1:37" s="36" customFormat="1">
      <c r="A92" s="23">
        <f t="shared" si="19"/>
        <v>87</v>
      </c>
      <c r="B92" s="24">
        <f>IF(A92="","",IF(A92&gt;tc_lot_i+tc,0,IF('Hidrograma afluente'!B99="","",'Hidrograma afluente'!B99)))</f>
        <v>0</v>
      </c>
      <c r="C92" s="41">
        <f t="shared" si="20"/>
        <v>0</v>
      </c>
      <c r="D92" s="41">
        <f t="shared" ca="1" si="21"/>
        <v>2.1875</v>
      </c>
      <c r="E92" s="41">
        <f t="shared" ca="1" si="22"/>
        <v>0</v>
      </c>
      <c r="F92" s="41">
        <f t="shared" ca="1" si="23"/>
        <v>0</v>
      </c>
      <c r="G92" s="41">
        <f t="shared" ca="1" si="24"/>
        <v>0</v>
      </c>
      <c r="H92" s="43">
        <f t="shared" ca="1" si="30"/>
        <v>2.1875</v>
      </c>
      <c r="I92" s="42">
        <f t="shared" ca="1" si="25"/>
        <v>1.75</v>
      </c>
      <c r="J92" s="18"/>
      <c r="K92" s="76"/>
      <c r="M92" s="132">
        <f t="shared" ca="1" si="16"/>
        <v>29.671772197622715</v>
      </c>
      <c r="N92" s="38">
        <f t="shared" si="26"/>
        <v>0.85312500000000002</v>
      </c>
      <c r="O92" s="36">
        <f t="shared" si="27"/>
        <v>22.75</v>
      </c>
      <c r="P92" s="38">
        <f ca="1">IF(ISERROR(IF(O92&lt;fi_h/20,0,(OFFSET('Base de dados'!$A$5,IF(O92&lt;20,1,IF(O92&gt;1000,10,MATCH(O92,Cargas,1))),Coluna_fih,1,1))*(1+0.13*0.25)*(PI()*(fi_h/1000)^2/4)*SQRT(2*9.81*(O92/100-fi_h/2/1000))*1000)),"",IF(O92&lt;fi_h/20,0,(OFFSET('Base de dados'!$A$5,IF(O92&lt;20,1,IF(O92&gt;1000,10,MATCH(O92,Cargas,1))),Coluna_fih,1,1))*(PI()*(fi_h/1000)^2/4)*SQRT(2*9.81*(O92/100-fi_h/2/1000))*1000))</f>
        <v>1.2342721976227153</v>
      </c>
      <c r="Q92" s="38">
        <f ca="1">IF(O92="","",IF(Tipo_Vertedor="Retangular",IF(O92&lt;=cota_s*100,0,IF(Tipo_Vertedor="Retangular",Cd_sr*Lef_sr*((O92/100-cota_s)^(3/2))*1000)),IF(O92&lt;=cota_s*100+fi_s/20,0,(OFFSET('Base de dados'!$A$4,IF(O92&lt;20,1,IF(O92&gt;1000,10,MATCH(O92,Cargas,1))),Coluna_fis,1,1))*(PI()*(fi_s/1000)^2/4)*(2*9.81*(O92/100-cota_s-fi_s/2/1000))^0.5*1000)))</f>
        <v>0</v>
      </c>
      <c r="R92" s="38">
        <f t="shared" ca="1" si="17"/>
        <v>1.2342721976227153</v>
      </c>
      <c r="S92" s="38">
        <f t="shared" ca="1" si="18"/>
        <v>28.4375</v>
      </c>
      <c r="AD92" s="38">
        <f t="shared" si="28"/>
        <v>17.109544907923322</v>
      </c>
      <c r="AE92" s="38">
        <f t="shared" ca="1" si="29"/>
        <v>16.156667909449425</v>
      </c>
      <c r="AF92" s="38">
        <f ca="1">IF(ISERROR(IF('Hidrograma afluente'!I99="",0,'Hidrograma afluente'!I99)+Simulação!G92),"",IF('Hidrograma afluente'!I99="",0,'Hidrograma afluente'!I99)+Simulação!G92)</f>
        <v>0</v>
      </c>
      <c r="AG92" s="36">
        <v>0.8183423786159062</v>
      </c>
      <c r="AH92" s="36">
        <v>0.78976675834320276</v>
      </c>
      <c r="AI92" s="48">
        <v>23.25</v>
      </c>
      <c r="AJ92" s="36">
        <v>21.75</v>
      </c>
      <c r="AK92" s="38">
        <f>IF(A92="","",IF('Hidrograma afluente'!I99="",0,'Hidrograma afluente'!I99)+Simulação!B92)</f>
        <v>0</v>
      </c>
    </row>
    <row r="93" spans="1:37" s="36" customFormat="1">
      <c r="A93" s="23">
        <f t="shared" si="19"/>
        <v>88</v>
      </c>
      <c r="B93" s="24">
        <f>IF(A93="","",IF(A93&gt;tc_lot_i+tc,0,IF('Hidrograma afluente'!B100="","",'Hidrograma afluente'!B100)))</f>
        <v>0</v>
      </c>
      <c r="C93" s="41">
        <f t="shared" si="20"/>
        <v>0</v>
      </c>
      <c r="D93" s="41">
        <f t="shared" ca="1" si="21"/>
        <v>2.1875</v>
      </c>
      <c r="E93" s="41">
        <f t="shared" ca="1" si="22"/>
        <v>0</v>
      </c>
      <c r="F93" s="41">
        <f t="shared" ca="1" si="23"/>
        <v>0</v>
      </c>
      <c r="G93" s="41">
        <f t="shared" ca="1" si="24"/>
        <v>0</v>
      </c>
      <c r="H93" s="43">
        <f t="shared" ca="1" si="30"/>
        <v>2.1875</v>
      </c>
      <c r="I93" s="42">
        <f t="shared" ca="1" si="25"/>
        <v>1.75</v>
      </c>
      <c r="J93" s="18"/>
      <c r="K93" s="76"/>
      <c r="M93" s="132">
        <f t="shared" ca="1" si="16"/>
        <v>29.991600799000096</v>
      </c>
      <c r="N93" s="38">
        <f t="shared" si="26"/>
        <v>0.86250000000000004</v>
      </c>
      <c r="O93" s="36">
        <f t="shared" si="27"/>
        <v>23</v>
      </c>
      <c r="P93" s="38">
        <f ca="1">IF(ISERROR(IF(O93&lt;fi_h/20,0,(OFFSET('Base de dados'!$A$5,IF(O93&lt;20,1,IF(O93&gt;1000,10,MATCH(O93,Cargas,1))),Coluna_fih,1,1))*(1+0.13*0.25)*(PI()*(fi_h/1000)^2/4)*SQRT(2*9.81*(O93/100-fi_h/2/1000))*1000)),"",IF(O93&lt;fi_h/20,0,(OFFSET('Base de dados'!$A$5,IF(O93&lt;20,1,IF(O93&gt;1000,10,MATCH(O93,Cargas,1))),Coluna_fih,1,1))*(PI()*(fi_h/1000)^2/4)*SQRT(2*9.81*(O93/100-fi_h/2/1000))*1000))</f>
        <v>1.2416007990000955</v>
      </c>
      <c r="Q93" s="38">
        <f ca="1">IF(O93="","",IF(Tipo_Vertedor="Retangular",IF(O93&lt;=cota_s*100,0,IF(Tipo_Vertedor="Retangular",Cd_sr*Lef_sr*((O93/100-cota_s)^(3/2))*1000)),IF(O93&lt;=cota_s*100+fi_s/20,0,(OFFSET('Base de dados'!$A$4,IF(O93&lt;20,1,IF(O93&gt;1000,10,MATCH(O93,Cargas,1))),Coluna_fis,1,1))*(PI()*(fi_s/1000)^2/4)*(2*9.81*(O93/100-cota_s-fi_s/2/1000))^0.5*1000)))</f>
        <v>0</v>
      </c>
      <c r="R93" s="38">
        <f t="shared" ca="1" si="17"/>
        <v>1.2416007990000955</v>
      </c>
      <c r="S93" s="38">
        <f t="shared" ca="1" si="18"/>
        <v>28.75</v>
      </c>
      <c r="AD93" s="38">
        <f t="shared" si="28"/>
        <v>17.109544907923322</v>
      </c>
      <c r="AE93" s="38">
        <f t="shared" ca="1" si="29"/>
        <v>16.156667909449425</v>
      </c>
      <c r="AF93" s="38">
        <f ca="1">IF(ISERROR(IF('Hidrograma afluente'!I100="",0,'Hidrograma afluente'!I100)+Simulação!G93),"",IF('Hidrograma afluente'!I100="",0,'Hidrograma afluente'!I100)+Simulação!G93)</f>
        <v>0</v>
      </c>
      <c r="AG93" s="36">
        <v>0.78976675834320276</v>
      </c>
      <c r="AH93" s="36">
        <v>0.76513894328955523</v>
      </c>
      <c r="AI93" s="48">
        <v>21.75</v>
      </c>
      <c r="AJ93" s="36">
        <v>20.5</v>
      </c>
      <c r="AK93" s="38">
        <f>IF(A93="","",IF('Hidrograma afluente'!I100="",0,'Hidrograma afluente'!I100)+Simulação!B93)</f>
        <v>0</v>
      </c>
    </row>
    <row r="94" spans="1:37" s="36" customFormat="1">
      <c r="A94" s="23">
        <f t="shared" si="19"/>
        <v>89</v>
      </c>
      <c r="B94" s="24">
        <f>IF(A94="","",IF(A94&gt;tc_lot_i+tc,0,IF('Hidrograma afluente'!B101="","",'Hidrograma afluente'!B101)))</f>
        <v>0</v>
      </c>
      <c r="C94" s="41">
        <f t="shared" si="20"/>
        <v>0</v>
      </c>
      <c r="D94" s="41">
        <f t="shared" ca="1" si="21"/>
        <v>2.1875</v>
      </c>
      <c r="E94" s="41">
        <f t="shared" ca="1" si="22"/>
        <v>0</v>
      </c>
      <c r="F94" s="41">
        <f t="shared" ca="1" si="23"/>
        <v>0</v>
      </c>
      <c r="G94" s="41">
        <f t="shared" ca="1" si="24"/>
        <v>0</v>
      </c>
      <c r="H94" s="43">
        <f t="shared" ca="1" si="30"/>
        <v>2.1875</v>
      </c>
      <c r="I94" s="42">
        <f t="shared" ca="1" si="25"/>
        <v>1.75</v>
      </c>
      <c r="J94" s="18"/>
      <c r="K94" s="76"/>
      <c r="M94" s="132">
        <f t="shared" ca="1" si="16"/>
        <v>30.31138639608691</v>
      </c>
      <c r="N94" s="38">
        <f t="shared" si="26"/>
        <v>0.87187500000000007</v>
      </c>
      <c r="O94" s="36">
        <f t="shared" si="27"/>
        <v>23.25</v>
      </c>
      <c r="P94" s="38">
        <f ca="1">IF(ISERROR(IF(O94&lt;fi_h/20,0,(OFFSET('Base de dados'!$A$5,IF(O94&lt;20,1,IF(O94&gt;1000,10,MATCH(O94,Cargas,1))),Coluna_fih,1,1))*(1+0.13*0.25)*(PI()*(fi_h/1000)^2/4)*SQRT(2*9.81*(O94/100-fi_h/2/1000))*1000)),"",IF(O94&lt;fi_h/20,0,(OFFSET('Base de dados'!$A$5,IF(O94&lt;20,1,IF(O94&gt;1000,10,MATCH(O94,Cargas,1))),Coluna_fih,1,1))*(PI()*(fi_h/1000)^2/4)*SQRT(2*9.81*(O94/100-fi_h/2/1000))*1000))</f>
        <v>1.2488863960869074</v>
      </c>
      <c r="Q94" s="38">
        <f ca="1">IF(O94="","",IF(Tipo_Vertedor="Retangular",IF(O94&lt;=cota_s*100,0,IF(Tipo_Vertedor="Retangular",Cd_sr*Lef_sr*((O94/100-cota_s)^(3/2))*1000)),IF(O94&lt;=cota_s*100+fi_s/20,0,(OFFSET('Base de dados'!$A$4,IF(O94&lt;20,1,IF(O94&gt;1000,10,MATCH(O94,Cargas,1))),Coluna_fis,1,1))*(PI()*(fi_s/1000)^2/4)*(2*9.81*(O94/100-cota_s-fi_s/2/1000))^0.5*1000)))</f>
        <v>0</v>
      </c>
      <c r="R94" s="38">
        <f t="shared" ca="1" si="17"/>
        <v>1.2488863960869074</v>
      </c>
      <c r="S94" s="38">
        <f t="shared" ca="1" si="18"/>
        <v>29.062500000000004</v>
      </c>
      <c r="AD94" s="38">
        <f t="shared" si="28"/>
        <v>17.109544907923322</v>
      </c>
      <c r="AE94" s="38">
        <f t="shared" ca="1" si="29"/>
        <v>16.156667909449425</v>
      </c>
      <c r="AF94" s="38">
        <f ca="1">IF(ISERROR(IF('Hidrograma afluente'!I101="",0,'Hidrograma afluente'!I101)+Simulação!G94),"",IF('Hidrograma afluente'!I101="",0,'Hidrograma afluente'!I101)+Simulação!G94)</f>
        <v>0</v>
      </c>
      <c r="AG94" s="36">
        <v>0.76513894328955523</v>
      </c>
      <c r="AH94" s="36">
        <v>0.73969160634184816</v>
      </c>
      <c r="AI94" s="48">
        <v>20.5</v>
      </c>
      <c r="AJ94" s="36">
        <v>19.25</v>
      </c>
      <c r="AK94" s="38">
        <f>IF(A94="","",IF('Hidrograma afluente'!I101="",0,'Hidrograma afluente'!I101)+Simulação!B94)</f>
        <v>0</v>
      </c>
    </row>
    <row r="95" spans="1:37" s="36" customFormat="1">
      <c r="A95" s="23">
        <f t="shared" si="19"/>
        <v>90</v>
      </c>
      <c r="B95" s="24">
        <f>IF(A95="","",IF(A95&gt;tc_lot_i+tc,0,IF('Hidrograma afluente'!B102="","",'Hidrograma afluente'!B102)))</f>
        <v>0</v>
      </c>
      <c r="C95" s="41">
        <f t="shared" si="20"/>
        <v>0</v>
      </c>
      <c r="D95" s="41">
        <f t="shared" ca="1" si="21"/>
        <v>2.1875</v>
      </c>
      <c r="E95" s="41">
        <f t="shared" ca="1" si="22"/>
        <v>0</v>
      </c>
      <c r="F95" s="41">
        <f t="shared" ca="1" si="23"/>
        <v>0</v>
      </c>
      <c r="G95" s="41">
        <f t="shared" ca="1" si="24"/>
        <v>0</v>
      </c>
      <c r="H95" s="43">
        <f t="shared" ca="1" si="30"/>
        <v>2.1875</v>
      </c>
      <c r="I95" s="42">
        <f t="shared" ca="1" si="25"/>
        <v>1.75</v>
      </c>
      <c r="J95" s="18"/>
      <c r="K95" s="76"/>
      <c r="M95" s="132">
        <f t="shared" ca="1" si="16"/>
        <v>30.631129737162613</v>
      </c>
      <c r="N95" s="38">
        <f t="shared" si="26"/>
        <v>0.88124999999999998</v>
      </c>
      <c r="O95" s="36">
        <f t="shared" si="27"/>
        <v>23.5</v>
      </c>
      <c r="P95" s="38">
        <f ca="1">IF(ISERROR(IF(O95&lt;fi_h/20,0,(OFFSET('Base de dados'!$A$5,IF(O95&lt;20,1,IF(O95&gt;1000,10,MATCH(O95,Cargas,1))),Coluna_fih,1,1))*(1+0.13*0.25)*(PI()*(fi_h/1000)^2/4)*SQRT(2*9.81*(O95/100-fi_h/2/1000))*1000)),"",IF(O95&lt;fi_h/20,0,(OFFSET('Base de dados'!$A$5,IF(O95&lt;20,1,IF(O95&gt;1000,10,MATCH(O95,Cargas,1))),Coluna_fih,1,1))*(PI()*(fi_h/1000)^2/4)*SQRT(2*9.81*(O95/100-fi_h/2/1000))*1000))</f>
        <v>1.2561297371626117</v>
      </c>
      <c r="Q95" s="38">
        <f ca="1">IF(O95="","",IF(Tipo_Vertedor="Retangular",IF(O95&lt;=cota_s*100,0,IF(Tipo_Vertedor="Retangular",Cd_sr*Lef_sr*((O95/100-cota_s)^(3/2))*1000)),IF(O95&lt;=cota_s*100+fi_s/20,0,(OFFSET('Base de dados'!$A$4,IF(O95&lt;20,1,IF(O95&gt;1000,10,MATCH(O95,Cargas,1))),Coluna_fis,1,1))*(PI()*(fi_s/1000)^2/4)*(2*9.81*(O95/100-cota_s-fi_s/2/1000))^0.5*1000)))</f>
        <v>0</v>
      </c>
      <c r="R95" s="38">
        <f t="shared" ca="1" si="17"/>
        <v>1.2561297371626117</v>
      </c>
      <c r="S95" s="38">
        <f t="shared" ca="1" si="18"/>
        <v>29.375</v>
      </c>
      <c r="AD95" s="38">
        <f t="shared" si="28"/>
        <v>17.109544907923322</v>
      </c>
      <c r="AE95" s="38">
        <f t="shared" ca="1" si="29"/>
        <v>16.156667909449425</v>
      </c>
      <c r="AF95" s="38">
        <f ca="1">IF(ISERROR(IF('Hidrograma afluente'!I102="",0,'Hidrograma afluente'!I102)+Simulação!G95),"",IF('Hidrograma afluente'!I102="",0,'Hidrograma afluente'!I102)+Simulação!G95)</f>
        <v>0</v>
      </c>
      <c r="AG95" s="36">
        <v>0.73969160634184816</v>
      </c>
      <c r="AH95" s="36">
        <v>0.71333704687679744</v>
      </c>
      <c r="AI95" s="48">
        <v>19.25</v>
      </c>
      <c r="AJ95" s="36">
        <v>18</v>
      </c>
      <c r="AK95" s="38">
        <f>IF(A95="","",IF('Hidrograma afluente'!I102="",0,'Hidrograma afluente'!I102)+Simulação!B95)</f>
        <v>0</v>
      </c>
    </row>
    <row r="96" spans="1:37" s="36" customFormat="1">
      <c r="A96" s="23">
        <f t="shared" si="19"/>
        <v>91</v>
      </c>
      <c r="B96" s="24">
        <f>IF(A96="","",IF(A96&gt;tc_lot_i+tc,0,IF('Hidrograma afluente'!B103="","",'Hidrograma afluente'!B103)))</f>
        <v>0</v>
      </c>
      <c r="C96" s="41">
        <f t="shared" si="20"/>
        <v>0</v>
      </c>
      <c r="D96" s="41">
        <f t="shared" ca="1" si="21"/>
        <v>2.1875</v>
      </c>
      <c r="E96" s="41">
        <f t="shared" ca="1" si="22"/>
        <v>0</v>
      </c>
      <c r="F96" s="41">
        <f t="shared" ca="1" si="23"/>
        <v>0</v>
      </c>
      <c r="G96" s="41">
        <f t="shared" ca="1" si="24"/>
        <v>0</v>
      </c>
      <c r="H96" s="43">
        <f t="shared" ca="1" si="30"/>
        <v>2.1875</v>
      </c>
      <c r="I96" s="42">
        <f t="shared" ca="1" si="25"/>
        <v>1.75</v>
      </c>
      <c r="J96" s="18"/>
      <c r="K96" s="76"/>
      <c r="M96" s="132">
        <f t="shared" ca="1" si="16"/>
        <v>30.950831549054911</v>
      </c>
      <c r="N96" s="38">
        <f t="shared" si="26"/>
        <v>0.890625</v>
      </c>
      <c r="O96" s="36">
        <f t="shared" si="27"/>
        <v>23.75</v>
      </c>
      <c r="P96" s="38">
        <f ca="1">IF(ISERROR(IF(O96&lt;fi_h/20,0,(OFFSET('Base de dados'!$A$5,IF(O96&lt;20,1,IF(O96&gt;1000,10,MATCH(O96,Cargas,1))),Coluna_fih,1,1))*(1+0.13*0.25)*(PI()*(fi_h/1000)^2/4)*SQRT(2*9.81*(O96/100-fi_h/2/1000))*1000)),"",IF(O96&lt;fi_h/20,0,(OFFSET('Base de dados'!$A$5,IF(O96&lt;20,1,IF(O96&gt;1000,10,MATCH(O96,Cargas,1))),Coluna_fih,1,1))*(PI()*(fi_h/1000)^2/4)*SQRT(2*9.81*(O96/100-fi_h/2/1000))*1000))</f>
        <v>1.2633315490549106</v>
      </c>
      <c r="Q96" s="38">
        <f ca="1">IF(O96="","",IF(Tipo_Vertedor="Retangular",IF(O96&lt;=cota_s*100,0,IF(Tipo_Vertedor="Retangular",Cd_sr*Lef_sr*((O96/100-cota_s)^(3/2))*1000)),IF(O96&lt;=cota_s*100+fi_s/20,0,(OFFSET('Base de dados'!$A$4,IF(O96&lt;20,1,IF(O96&gt;1000,10,MATCH(O96,Cargas,1))),Coluna_fis,1,1))*(PI()*(fi_s/1000)^2/4)*(2*9.81*(O96/100-cota_s-fi_s/2/1000))^0.5*1000)))</f>
        <v>0</v>
      </c>
      <c r="R96" s="38">
        <f t="shared" ca="1" si="17"/>
        <v>1.2633315490549106</v>
      </c>
      <c r="S96" s="38">
        <f t="shared" ca="1" si="18"/>
        <v>29.6875</v>
      </c>
      <c r="AD96" s="38">
        <f t="shared" si="28"/>
        <v>17.109544907923322</v>
      </c>
      <c r="AE96" s="38">
        <f t="shared" ca="1" si="29"/>
        <v>16.156667909449425</v>
      </c>
      <c r="AF96" s="38">
        <f ca="1">IF(ISERROR(IF('Hidrograma afluente'!I103="",0,'Hidrograma afluente'!I103)+Simulação!G96),"",IF('Hidrograma afluente'!I103="",0,'Hidrograma afluente'!I103)+Simulação!G96)</f>
        <v>0</v>
      </c>
      <c r="AG96" s="36">
        <v>0.71333704687679744</v>
      </c>
      <c r="AH96" s="36">
        <v>0.68597070812188232</v>
      </c>
      <c r="AI96" s="48">
        <v>18</v>
      </c>
      <c r="AJ96" s="36">
        <v>16.75</v>
      </c>
      <c r="AK96" s="38">
        <f>IF(A96="","",IF('Hidrograma afluente'!I103="",0,'Hidrograma afluente'!I103)+Simulação!B96)</f>
        <v>0</v>
      </c>
    </row>
    <row r="97" spans="1:37" s="36" customFormat="1">
      <c r="A97" s="23">
        <f t="shared" si="19"/>
        <v>92</v>
      </c>
      <c r="B97" s="24">
        <f>IF(A97="","",IF(A97&gt;tc_lot_i+tc,0,IF('Hidrograma afluente'!B104="","",'Hidrograma afluente'!B104)))</f>
        <v>0</v>
      </c>
      <c r="C97" s="41">
        <f t="shared" si="20"/>
        <v>0</v>
      </c>
      <c r="D97" s="41">
        <f t="shared" ca="1" si="21"/>
        <v>2.1875</v>
      </c>
      <c r="E97" s="41">
        <f t="shared" ca="1" si="22"/>
        <v>0</v>
      </c>
      <c r="F97" s="41">
        <f t="shared" ca="1" si="23"/>
        <v>0</v>
      </c>
      <c r="G97" s="41">
        <f t="shared" ca="1" si="24"/>
        <v>0</v>
      </c>
      <c r="H97" s="43">
        <f t="shared" ca="1" si="30"/>
        <v>2.1875</v>
      </c>
      <c r="I97" s="42">
        <f t="shared" ca="1" si="25"/>
        <v>1.75</v>
      </c>
      <c r="J97" s="18"/>
      <c r="K97" s="76"/>
      <c r="M97" s="132">
        <f t="shared" ca="1" si="16"/>
        <v>31.270492537990972</v>
      </c>
      <c r="N97" s="38">
        <f t="shared" si="26"/>
        <v>0.89999999999999991</v>
      </c>
      <c r="O97" s="36">
        <f t="shared" si="27"/>
        <v>24</v>
      </c>
      <c r="P97" s="38">
        <f ca="1">IF(ISERROR(IF(O97&lt;fi_h/20,0,(OFFSET('Base de dados'!$A$5,IF(O97&lt;20,1,IF(O97&gt;1000,10,MATCH(O97,Cargas,1))),Coluna_fih,1,1))*(1+0.13*0.25)*(PI()*(fi_h/1000)^2/4)*SQRT(2*9.81*(O97/100-fi_h/2/1000))*1000)),"",IF(O97&lt;fi_h/20,0,(OFFSET('Base de dados'!$A$5,IF(O97&lt;20,1,IF(O97&gt;1000,10,MATCH(O97,Cargas,1))),Coluna_fih,1,1))*(PI()*(fi_h/1000)^2/4)*SQRT(2*9.81*(O97/100-fi_h/2/1000))*1000))</f>
        <v>1.2704925379909748</v>
      </c>
      <c r="Q97" s="38">
        <f ca="1">IF(O97="","",IF(Tipo_Vertedor="Retangular",IF(O97&lt;=cota_s*100,0,IF(Tipo_Vertedor="Retangular",Cd_sr*Lef_sr*((O97/100-cota_s)^(3/2))*1000)),IF(O97&lt;=cota_s*100+fi_s/20,0,(OFFSET('Base de dados'!$A$4,IF(O97&lt;20,1,IF(O97&gt;1000,10,MATCH(O97,Cargas,1))),Coluna_fis,1,1))*(PI()*(fi_s/1000)^2/4)*(2*9.81*(O97/100-cota_s-fi_s/2/1000))^0.5*1000)))</f>
        <v>0</v>
      </c>
      <c r="R97" s="38">
        <f t="shared" ca="1" si="17"/>
        <v>1.2704925379909748</v>
      </c>
      <c r="S97" s="38">
        <f t="shared" ca="1" si="18"/>
        <v>29.999999999999996</v>
      </c>
      <c r="AD97" s="38">
        <f t="shared" si="28"/>
        <v>17.109544907923322</v>
      </c>
      <c r="AE97" s="38">
        <f t="shared" ca="1" si="29"/>
        <v>16.156667909449425</v>
      </c>
      <c r="AF97" s="38">
        <f ca="1">IF(ISERROR(IF('Hidrograma afluente'!I104="",0,'Hidrograma afluente'!I104)+Simulação!G97),"",IF('Hidrograma afluente'!I104="",0,'Hidrograma afluente'!I104)+Simulação!G97)</f>
        <v>0</v>
      </c>
      <c r="AG97" s="36">
        <v>0.68597070812188232</v>
      </c>
      <c r="AH97" s="36">
        <v>0.65746625948071513</v>
      </c>
      <c r="AI97" s="48">
        <v>16.75</v>
      </c>
      <c r="AJ97" s="36">
        <v>15.5</v>
      </c>
      <c r="AK97" s="38">
        <f>IF(A97="","",IF('Hidrograma afluente'!I104="",0,'Hidrograma afluente'!I104)+Simulação!B97)</f>
        <v>0</v>
      </c>
    </row>
    <row r="98" spans="1:37" s="36" customFormat="1">
      <c r="A98" s="23">
        <f t="shared" si="19"/>
        <v>93</v>
      </c>
      <c r="B98" s="24">
        <f>IF(A98="","",IF(A98&gt;tc_lot_i+tc,0,IF('Hidrograma afluente'!B105="","",'Hidrograma afluente'!B105)))</f>
        <v>0</v>
      </c>
      <c r="C98" s="41">
        <f t="shared" si="20"/>
        <v>0</v>
      </c>
      <c r="D98" s="41">
        <f t="shared" ca="1" si="21"/>
        <v>2.1875</v>
      </c>
      <c r="E98" s="41">
        <f t="shared" ca="1" si="22"/>
        <v>0</v>
      </c>
      <c r="F98" s="41">
        <f t="shared" ca="1" si="23"/>
        <v>0</v>
      </c>
      <c r="G98" s="41">
        <f t="shared" ca="1" si="24"/>
        <v>0</v>
      </c>
      <c r="H98" s="43">
        <f t="shared" ca="1" si="30"/>
        <v>2.1875</v>
      </c>
      <c r="I98" s="42">
        <f t="shared" ca="1" si="25"/>
        <v>1.75</v>
      </c>
      <c r="J98" s="18"/>
      <c r="K98" s="76"/>
      <c r="M98" s="132">
        <f t="shared" ca="1" si="16"/>
        <v>31.590113390405723</v>
      </c>
      <c r="N98" s="38">
        <f t="shared" si="26"/>
        <v>0.90937499999999993</v>
      </c>
      <c r="O98" s="36">
        <f t="shared" si="27"/>
        <v>24.25</v>
      </c>
      <c r="P98" s="38">
        <f ca="1">IF(ISERROR(IF(O98&lt;fi_h/20,0,(OFFSET('Base de dados'!$A$5,IF(O98&lt;20,1,IF(O98&gt;1000,10,MATCH(O98,Cargas,1))),Coluna_fih,1,1))*(1+0.13*0.25)*(PI()*(fi_h/1000)^2/4)*SQRT(2*9.81*(O98/100-fi_h/2/1000))*1000)),"",IF(O98&lt;fi_h/20,0,(OFFSET('Base de dados'!$A$5,IF(O98&lt;20,1,IF(O98&gt;1000,10,MATCH(O98,Cargas,1))),Coluna_fih,1,1))*(PI()*(fi_h/1000)^2/4)*SQRT(2*9.81*(O98/100-fi_h/2/1000))*1000))</f>
        <v>1.2776133904057272</v>
      </c>
      <c r="Q98" s="38">
        <f ca="1">IF(O98="","",IF(Tipo_Vertedor="Retangular",IF(O98&lt;=cota_s*100,0,IF(Tipo_Vertedor="Retangular",Cd_sr*Lef_sr*((O98/100-cota_s)^(3/2))*1000)),IF(O98&lt;=cota_s*100+fi_s/20,0,(OFFSET('Base de dados'!$A$4,IF(O98&lt;20,1,IF(O98&gt;1000,10,MATCH(O98,Cargas,1))),Coluna_fis,1,1))*(PI()*(fi_s/1000)^2/4)*(2*9.81*(O98/100-cota_s-fi_s/2/1000))^0.5*1000)))</f>
        <v>0</v>
      </c>
      <c r="R98" s="38">
        <f t="shared" ca="1" si="17"/>
        <v>1.2776133904057272</v>
      </c>
      <c r="S98" s="38">
        <f t="shared" ca="1" si="18"/>
        <v>30.312499999999996</v>
      </c>
      <c r="AD98" s="38">
        <f t="shared" si="28"/>
        <v>17.109544907923322</v>
      </c>
      <c r="AE98" s="38">
        <f t="shared" ca="1" si="29"/>
        <v>16.156667909449425</v>
      </c>
      <c r="AF98" s="38">
        <f ca="1">IF(ISERROR(IF('Hidrograma afluente'!I105="",0,'Hidrograma afluente'!I105)+Simulação!G98),"",IF('Hidrograma afluente'!I105="",0,'Hidrograma afluente'!I105)+Simulação!G98)</f>
        <v>0</v>
      </c>
      <c r="AG98" s="36">
        <v>0.65746625948071513</v>
      </c>
      <c r="AH98" s="36">
        <v>0.62766866443203095</v>
      </c>
      <c r="AI98" s="48">
        <v>15.5</v>
      </c>
      <c r="AJ98" s="36">
        <v>14.25</v>
      </c>
      <c r="AK98" s="38">
        <f>IF(A98="","",IF('Hidrograma afluente'!I105="",0,'Hidrograma afluente'!I105)+Simulação!B98)</f>
        <v>0</v>
      </c>
    </row>
    <row r="99" spans="1:37" s="36" customFormat="1">
      <c r="A99" s="23">
        <f t="shared" si="19"/>
        <v>94</v>
      </c>
      <c r="B99" s="24">
        <f>IF(A99="","",IF(A99&gt;tc_lot_i+tc,0,IF('Hidrograma afluente'!B106="","",'Hidrograma afluente'!B106)))</f>
        <v>0</v>
      </c>
      <c r="C99" s="41">
        <f t="shared" si="20"/>
        <v>0</v>
      </c>
      <c r="D99" s="41">
        <f t="shared" ca="1" si="21"/>
        <v>2.1875</v>
      </c>
      <c r="E99" s="41">
        <f t="shared" ca="1" si="22"/>
        <v>0</v>
      </c>
      <c r="F99" s="41">
        <f t="shared" ca="1" si="23"/>
        <v>0</v>
      </c>
      <c r="G99" s="41">
        <f t="shared" ca="1" si="24"/>
        <v>0</v>
      </c>
      <c r="H99" s="43">
        <f t="shared" ca="1" si="30"/>
        <v>2.1875</v>
      </c>
      <c r="I99" s="42">
        <f t="shared" ca="1" si="25"/>
        <v>1.75</v>
      </c>
      <c r="J99" s="18"/>
      <c r="K99" s="76"/>
      <c r="M99" s="132">
        <f t="shared" ca="1" si="16"/>
        <v>31.909694773709806</v>
      </c>
      <c r="N99" s="38">
        <f t="shared" si="26"/>
        <v>0.91874999999999996</v>
      </c>
      <c r="O99" s="36">
        <f t="shared" si="27"/>
        <v>24.5</v>
      </c>
      <c r="P99" s="38">
        <f ca="1">IF(ISERROR(IF(O99&lt;fi_h/20,0,(OFFSET('Base de dados'!$A$5,IF(O99&lt;20,1,IF(O99&gt;1000,10,MATCH(O99,Cargas,1))),Coluna_fih,1,1))*(1+0.13*0.25)*(PI()*(fi_h/1000)^2/4)*SQRT(2*9.81*(O99/100-fi_h/2/1000))*1000)),"",IF(O99&lt;fi_h/20,0,(OFFSET('Base de dados'!$A$5,IF(O99&lt;20,1,IF(O99&gt;1000,10,MATCH(O99,Cargas,1))),Coluna_fih,1,1))*(PI()*(fi_h/1000)^2/4)*SQRT(2*9.81*(O99/100-fi_h/2/1000))*1000))</f>
        <v>1.2846947737098044</v>
      </c>
      <c r="Q99" s="38">
        <f ca="1">IF(O99="","",IF(Tipo_Vertedor="Retangular",IF(O99&lt;=cota_s*100,0,IF(Tipo_Vertedor="Retangular",Cd_sr*Lef_sr*((O99/100-cota_s)^(3/2))*1000)),IF(O99&lt;=cota_s*100+fi_s/20,0,(OFFSET('Base de dados'!$A$4,IF(O99&lt;20,1,IF(O99&gt;1000,10,MATCH(O99,Cargas,1))),Coluna_fis,1,1))*(PI()*(fi_s/1000)^2/4)*(2*9.81*(O99/100-cota_s-fi_s/2/1000))^0.5*1000)))</f>
        <v>0</v>
      </c>
      <c r="R99" s="38">
        <f t="shared" ca="1" si="17"/>
        <v>1.2846947737098044</v>
      </c>
      <c r="S99" s="38">
        <f t="shared" ca="1" si="18"/>
        <v>30.625</v>
      </c>
      <c r="AD99" s="38">
        <f t="shared" si="28"/>
        <v>17.109544907923322</v>
      </c>
      <c r="AE99" s="38">
        <f t="shared" ca="1" si="29"/>
        <v>16.156667909449425</v>
      </c>
      <c r="AF99" s="38">
        <f ca="1">IF(ISERROR(IF('Hidrograma afluente'!I106="",0,'Hidrograma afluente'!I106)+Simulação!G99),"",IF('Hidrograma afluente'!I106="",0,'Hidrograma afluente'!I106)+Simulação!G99)</f>
        <v>0</v>
      </c>
      <c r="AG99" s="36">
        <v>0.62766866443203095</v>
      </c>
      <c r="AH99" s="36">
        <v>0.60277094179576263</v>
      </c>
      <c r="AI99" s="48">
        <v>14.25</v>
      </c>
      <c r="AJ99" s="36">
        <v>13.25</v>
      </c>
      <c r="AK99" s="38">
        <f>IF(A99="","",IF('Hidrograma afluente'!I106="",0,'Hidrograma afluente'!I106)+Simulação!B99)</f>
        <v>0</v>
      </c>
    </row>
    <row r="100" spans="1:37" s="36" customFormat="1">
      <c r="A100" s="23">
        <f t="shared" si="19"/>
        <v>95</v>
      </c>
      <c r="B100" s="24">
        <f>IF(A100="","",IF(A100&gt;tc_lot_i+tc,0,IF('Hidrograma afluente'!B107="","",'Hidrograma afluente'!B107)))</f>
        <v>0</v>
      </c>
      <c r="C100" s="41">
        <f t="shared" si="20"/>
        <v>0</v>
      </c>
      <c r="D100" s="41">
        <f t="shared" ca="1" si="21"/>
        <v>2.1875</v>
      </c>
      <c r="E100" s="41">
        <f t="shared" ca="1" si="22"/>
        <v>0</v>
      </c>
      <c r="F100" s="41">
        <f t="shared" ca="1" si="23"/>
        <v>0</v>
      </c>
      <c r="G100" s="41">
        <f t="shared" ca="1" si="24"/>
        <v>0</v>
      </c>
      <c r="H100" s="43">
        <f t="shared" ca="1" si="30"/>
        <v>2.1875</v>
      </c>
      <c r="I100" s="42">
        <f t="shared" ca="1" si="25"/>
        <v>1.75</v>
      </c>
      <c r="J100" s="18"/>
      <c r="K100" s="76"/>
      <c r="M100" s="132">
        <f t="shared" ca="1" si="16"/>
        <v>32.229237337019626</v>
      </c>
      <c r="N100" s="38">
        <f t="shared" si="26"/>
        <v>0.92812499999999998</v>
      </c>
      <c r="O100" s="36">
        <f t="shared" si="27"/>
        <v>24.75</v>
      </c>
      <c r="P100" s="38">
        <f ca="1">IF(ISERROR(IF(O100&lt;fi_h/20,0,(OFFSET('Base de dados'!$A$5,IF(O100&lt;20,1,IF(O100&gt;1000,10,MATCH(O100,Cargas,1))),Coluna_fih,1,1))*(1+0.13*0.25)*(PI()*(fi_h/1000)^2/4)*SQRT(2*9.81*(O100/100-fi_h/2/1000))*1000)),"",IF(O100&lt;fi_h/20,0,(OFFSET('Base de dados'!$A$5,IF(O100&lt;20,1,IF(O100&gt;1000,10,MATCH(O100,Cargas,1))),Coluna_fih,1,1))*(PI()*(fi_h/1000)^2/4)*SQRT(2*9.81*(O100/100-fi_h/2/1000))*1000))</f>
        <v>1.2917373370196257</v>
      </c>
      <c r="Q100" s="38">
        <f ca="1">IF(O100="","",IF(Tipo_Vertedor="Retangular",IF(O100&lt;=cota_s*100,0,IF(Tipo_Vertedor="Retangular",Cd_sr*Lef_sr*((O100/100-cota_s)^(3/2))*1000)),IF(O100&lt;=cota_s*100+fi_s/20,0,(OFFSET('Base de dados'!$A$4,IF(O100&lt;20,1,IF(O100&gt;1000,10,MATCH(O100,Cargas,1))),Coluna_fis,1,1))*(PI()*(fi_s/1000)^2/4)*(2*9.81*(O100/100-cota_s-fi_s/2/1000))^0.5*1000)))</f>
        <v>0</v>
      </c>
      <c r="R100" s="38">
        <f t="shared" ca="1" si="17"/>
        <v>1.2917373370196257</v>
      </c>
      <c r="S100" s="38">
        <f t="shared" ca="1" si="18"/>
        <v>30.9375</v>
      </c>
      <c r="AD100" s="38">
        <f t="shared" si="28"/>
        <v>17.109544907923322</v>
      </c>
      <c r="AE100" s="38">
        <f t="shared" ca="1" si="29"/>
        <v>16.156667909449425</v>
      </c>
      <c r="AF100" s="38">
        <f ca="1">IF(ISERROR(IF('Hidrograma afluente'!I107="",0,'Hidrograma afluente'!I107)+Simulação!G100),"",IF('Hidrograma afluente'!I107="",0,'Hidrograma afluente'!I107)+Simulação!G100)</f>
        <v>0</v>
      </c>
      <c r="AG100" s="36">
        <v>0.60277094179576263</v>
      </c>
      <c r="AH100" s="36">
        <v>0.57679950089854604</v>
      </c>
      <c r="AI100" s="48">
        <v>13.25</v>
      </c>
      <c r="AJ100" s="36">
        <v>12.25</v>
      </c>
      <c r="AK100" s="38">
        <f>IF(A100="","",IF('Hidrograma afluente'!I107="",0,'Hidrograma afluente'!I107)+Simulação!B100)</f>
        <v>0</v>
      </c>
    </row>
    <row r="101" spans="1:37" s="36" customFormat="1">
      <c r="A101" s="23">
        <f t="shared" si="19"/>
        <v>96</v>
      </c>
      <c r="B101" s="24">
        <f>IF(A101="","",IF(A101&gt;tc_lot_i+tc,0,IF('Hidrograma afluente'!B108="","",'Hidrograma afluente'!B108)))</f>
        <v>0</v>
      </c>
      <c r="C101" s="41">
        <f t="shared" si="20"/>
        <v>0</v>
      </c>
      <c r="D101" s="41">
        <f t="shared" ca="1" si="21"/>
        <v>2.1875</v>
      </c>
      <c r="E101" s="41">
        <f t="shared" ca="1" si="22"/>
        <v>0</v>
      </c>
      <c r="F101" s="41">
        <f t="shared" ca="1" si="23"/>
        <v>0</v>
      </c>
      <c r="G101" s="41">
        <f t="shared" ca="1" si="24"/>
        <v>0</v>
      </c>
      <c r="H101" s="43">
        <f t="shared" ca="1" si="30"/>
        <v>2.1875</v>
      </c>
      <c r="I101" s="42">
        <f t="shared" ca="1" si="25"/>
        <v>1.75</v>
      </c>
      <c r="J101" s="18"/>
      <c r="K101" s="76"/>
      <c r="M101" s="132">
        <f t="shared" ca="1" si="16"/>
        <v>32.548741711851832</v>
      </c>
      <c r="N101" s="38">
        <f t="shared" si="26"/>
        <v>0.9375</v>
      </c>
      <c r="O101" s="36">
        <f t="shared" si="27"/>
        <v>25</v>
      </c>
      <c r="P101" s="38">
        <f ca="1">IF(ISERROR(IF(O101&lt;fi_h/20,0,(OFFSET('Base de dados'!$A$5,IF(O101&lt;20,1,IF(O101&gt;1000,10,MATCH(O101,Cargas,1))),Coluna_fih,1,1))*(1+0.13*0.25)*(PI()*(fi_h/1000)^2/4)*SQRT(2*9.81*(O101/100-fi_h/2/1000))*1000)),"",IF(O101&lt;fi_h/20,0,(OFFSET('Base de dados'!$A$5,IF(O101&lt;20,1,IF(O101&gt;1000,10,MATCH(O101,Cargas,1))),Coluna_fih,1,1))*(PI()*(fi_h/1000)^2/4)*SQRT(2*9.81*(O101/100-fi_h/2/1000))*1000))</f>
        <v>1.2987417118518301</v>
      </c>
      <c r="Q101" s="38">
        <f ca="1">IF(O101="","",IF(Tipo_Vertedor="Retangular",IF(O101&lt;=cota_s*100,0,IF(Tipo_Vertedor="Retangular",Cd_sr*Lef_sr*((O101/100-cota_s)^(3/2))*1000)),IF(O101&lt;=cota_s*100+fi_s/20,0,(OFFSET('Base de dados'!$A$4,IF(O101&lt;20,1,IF(O101&gt;1000,10,MATCH(O101,Cargas,1))),Coluna_fis,1,1))*(PI()*(fi_s/1000)^2/4)*(2*9.81*(O101/100-cota_s-fi_s/2/1000))^0.5*1000)))</f>
        <v>0</v>
      </c>
      <c r="R101" s="38">
        <f t="shared" ca="1" si="17"/>
        <v>1.2987417118518301</v>
      </c>
      <c r="S101" s="38">
        <f t="shared" ca="1" si="18"/>
        <v>31.25</v>
      </c>
      <c r="AD101" s="38">
        <f t="shared" si="28"/>
        <v>17.109544907923322</v>
      </c>
      <c r="AE101" s="38">
        <f t="shared" ca="1" si="29"/>
        <v>16.156667909449425</v>
      </c>
      <c r="AF101" s="38">
        <f ca="1">IF(ISERROR(IF('Hidrograma afluente'!I108="",0,'Hidrograma afluente'!I108)+Simulação!G101),"",IF('Hidrograma afluente'!I108="",0,'Hidrograma afluente'!I108)+Simulação!G101)</f>
        <v>0</v>
      </c>
      <c r="AG101" s="36">
        <v>0.57679950089854604</v>
      </c>
      <c r="AH101" s="36">
        <v>0.54960214719401623</v>
      </c>
      <c r="AI101" s="48">
        <v>12.25</v>
      </c>
      <c r="AJ101" s="36">
        <v>11.25</v>
      </c>
      <c r="AK101" s="38">
        <f>IF(A101="","",IF('Hidrograma afluente'!I108="",0,'Hidrograma afluente'!I108)+Simulação!B101)</f>
        <v>0</v>
      </c>
    </row>
    <row r="102" spans="1:37" s="36" customFormat="1">
      <c r="A102" s="23">
        <f t="shared" si="19"/>
        <v>97</v>
      </c>
      <c r="B102" s="24">
        <f>IF(A102="","",IF(A102&gt;tc_lot_i+tc,0,IF('Hidrograma afluente'!B109="","",'Hidrograma afluente'!B109)))</f>
        <v>0</v>
      </c>
      <c r="C102" s="41">
        <f t="shared" si="20"/>
        <v>0</v>
      </c>
      <c r="D102" s="41">
        <f t="shared" ca="1" si="21"/>
        <v>2.1875</v>
      </c>
      <c r="E102" s="41">
        <f t="shared" ca="1" si="22"/>
        <v>0</v>
      </c>
      <c r="F102" s="41">
        <f t="shared" ca="1" si="23"/>
        <v>0</v>
      </c>
      <c r="G102" s="41">
        <f t="shared" ca="1" si="24"/>
        <v>0</v>
      </c>
      <c r="H102" s="43">
        <f t="shared" ca="1" si="30"/>
        <v>2.1875</v>
      </c>
      <c r="I102" s="42">
        <f t="shared" ca="1" si="25"/>
        <v>1.75</v>
      </c>
      <c r="J102" s="18"/>
      <c r="K102" s="76"/>
      <c r="M102" s="132">
        <f t="shared" ca="1" si="16"/>
        <v>32.868208512784186</v>
      </c>
      <c r="N102" s="38">
        <f t="shared" si="26"/>
        <v>0.94687500000000002</v>
      </c>
      <c r="O102" s="36">
        <f t="shared" si="27"/>
        <v>25.25</v>
      </c>
      <c r="P102" s="38">
        <f ca="1">IF(ISERROR(IF(O102&lt;fi_h/20,0,(OFFSET('Base de dados'!$A$5,IF(O102&lt;20,1,IF(O102&gt;1000,10,MATCH(O102,Cargas,1))),Coluna_fih,1,1))*(1+0.13*0.25)*(PI()*(fi_h/1000)^2/4)*SQRT(2*9.81*(O102/100-fi_h/2/1000))*1000)),"",IF(O102&lt;fi_h/20,0,(OFFSET('Base de dados'!$A$5,IF(O102&lt;20,1,IF(O102&gt;1000,10,MATCH(O102,Cargas,1))),Coluna_fih,1,1))*(PI()*(fi_h/1000)^2/4)*SQRT(2*9.81*(O102/100-fi_h/2/1000))*1000))</f>
        <v>1.3057085127841859</v>
      </c>
      <c r="Q102" s="38">
        <f ca="1">IF(O102="","",IF(Tipo_Vertedor="Retangular",IF(O102&lt;=cota_s*100,0,IF(Tipo_Vertedor="Retangular",Cd_sr*Lef_sr*((O102/100-cota_s)^(3/2))*1000)),IF(O102&lt;=cota_s*100+fi_s/20,0,(OFFSET('Base de dados'!$A$4,IF(O102&lt;20,1,IF(O102&gt;1000,10,MATCH(O102,Cargas,1))),Coluna_fis,1,1))*(PI()*(fi_s/1000)^2/4)*(2*9.81*(O102/100-cota_s-fi_s/2/1000))^0.5*1000)))</f>
        <v>0</v>
      </c>
      <c r="R102" s="38">
        <f t="shared" ca="1" si="17"/>
        <v>1.3057085127841859</v>
      </c>
      <c r="S102" s="38">
        <f t="shared" ca="1" si="18"/>
        <v>31.5625</v>
      </c>
      <c r="AD102" s="38">
        <f t="shared" si="28"/>
        <v>17.109544907923322</v>
      </c>
      <c r="AE102" s="38">
        <f t="shared" ca="1" si="29"/>
        <v>16.156667909449425</v>
      </c>
      <c r="AF102" s="38">
        <f ca="1">IF(ISERROR(IF('Hidrograma afluente'!I109="",0,'Hidrograma afluente'!I109)+Simulação!G102),"",IF('Hidrograma afluente'!I109="",0,'Hidrograma afluente'!I109)+Simulação!G102)</f>
        <v>0</v>
      </c>
      <c r="AG102" s="36">
        <v>0.54960214719401623</v>
      </c>
      <c r="AH102" s="36">
        <v>0.52098692513702693</v>
      </c>
      <c r="AI102" s="48">
        <v>11.25</v>
      </c>
      <c r="AJ102" s="36">
        <v>10.25</v>
      </c>
      <c r="AK102" s="38">
        <f>IF(A102="","",IF('Hidrograma afluente'!I109="",0,'Hidrograma afluente'!I109)+Simulação!B102)</f>
        <v>0</v>
      </c>
    </row>
    <row r="103" spans="1:37" s="36" customFormat="1">
      <c r="A103" s="23">
        <f t="shared" si="19"/>
        <v>98</v>
      </c>
      <c r="B103" s="24">
        <f>IF(A103="","",IF(A103&gt;tc_lot_i+tc,0,IF('Hidrograma afluente'!B110="","",'Hidrograma afluente'!B110)))</f>
        <v>0</v>
      </c>
      <c r="C103" s="41">
        <f t="shared" si="20"/>
        <v>0</v>
      </c>
      <c r="D103" s="41">
        <f t="shared" ca="1" si="21"/>
        <v>2.1875</v>
      </c>
      <c r="E103" s="41">
        <f t="shared" ca="1" si="22"/>
        <v>0</v>
      </c>
      <c r="F103" s="41">
        <f t="shared" ca="1" si="23"/>
        <v>0</v>
      </c>
      <c r="G103" s="41">
        <f t="shared" ca="1" si="24"/>
        <v>0</v>
      </c>
      <c r="H103" s="43">
        <f t="shared" ca="1" si="30"/>
        <v>2.1875</v>
      </c>
      <c r="I103" s="42">
        <f t="shared" ca="1" si="25"/>
        <v>1.75</v>
      </c>
      <c r="J103" s="18"/>
      <c r="K103" s="76"/>
      <c r="M103" s="132">
        <f t="shared" ca="1" si="16"/>
        <v>33.187638338084923</v>
      </c>
      <c r="N103" s="38">
        <f t="shared" si="26"/>
        <v>0.95625000000000004</v>
      </c>
      <c r="O103" s="36">
        <f t="shared" si="27"/>
        <v>25.5</v>
      </c>
      <c r="P103" s="38">
        <f ca="1">IF(ISERROR(IF(O103&lt;fi_h/20,0,(OFFSET('Base de dados'!$A$5,IF(O103&lt;20,1,IF(O103&gt;1000,10,MATCH(O103,Cargas,1))),Coluna_fih,1,1))*(1+0.13*0.25)*(PI()*(fi_h/1000)^2/4)*SQRT(2*9.81*(O103/100-fi_h/2/1000))*1000)),"",IF(O103&lt;fi_h/20,0,(OFFSET('Base de dados'!$A$5,IF(O103&lt;20,1,IF(O103&gt;1000,10,MATCH(O103,Cargas,1))),Coluna_fih,1,1))*(PI()*(fi_h/1000)^2/4)*SQRT(2*9.81*(O103/100-fi_h/2/1000))*1000))</f>
        <v>1.3126383380849267</v>
      </c>
      <c r="Q103" s="38">
        <f ca="1">IF(O103="","",IF(Tipo_Vertedor="Retangular",IF(O103&lt;=cota_s*100,0,IF(Tipo_Vertedor="Retangular",Cd_sr*Lef_sr*((O103/100-cota_s)^(3/2))*1000)),IF(O103&lt;=cota_s*100+fi_s/20,0,(OFFSET('Base de dados'!$A$4,IF(O103&lt;20,1,IF(O103&gt;1000,10,MATCH(O103,Cargas,1))),Coluna_fis,1,1))*(PI()*(fi_s/1000)^2/4)*(2*9.81*(O103/100-cota_s-fi_s/2/1000))^0.5*1000)))</f>
        <v>0</v>
      </c>
      <c r="R103" s="38">
        <f t="shared" ca="1" si="17"/>
        <v>1.3126383380849267</v>
      </c>
      <c r="S103" s="38">
        <f t="shared" ca="1" si="18"/>
        <v>31.875</v>
      </c>
      <c r="AD103" s="38">
        <f t="shared" si="28"/>
        <v>17.109544907923322</v>
      </c>
      <c r="AE103" s="38">
        <f t="shared" ca="1" si="29"/>
        <v>16.156667909449425</v>
      </c>
      <c r="AF103" s="38">
        <f ca="1">IF(ISERROR(IF('Hidrograma afluente'!I110="",0,'Hidrograma afluente'!I110)+Simulação!G103),"",IF('Hidrograma afluente'!I110="",0,'Hidrograma afluente'!I110)+Simulação!G103)</f>
        <v>0</v>
      </c>
      <c r="AG103" s="36">
        <v>0.52098692513702693</v>
      </c>
      <c r="AH103" s="36">
        <v>0.4907058509200754</v>
      </c>
      <c r="AI103" s="48">
        <v>10.25</v>
      </c>
      <c r="AJ103" s="36">
        <v>9.25</v>
      </c>
      <c r="AK103" s="38">
        <f>IF(A103="","",IF('Hidrograma afluente'!I110="",0,'Hidrograma afluente'!I110)+Simulação!B103)</f>
        <v>0</v>
      </c>
    </row>
    <row r="104" spans="1:37" s="36" customFormat="1">
      <c r="A104" s="23">
        <f t="shared" si="19"/>
        <v>99</v>
      </c>
      <c r="B104" s="24">
        <f>IF(A104="","",IF(A104&gt;tc_lot_i+tc,0,IF('Hidrograma afluente'!B111="","",'Hidrograma afluente'!B111)))</f>
        <v>0</v>
      </c>
      <c r="C104" s="41">
        <f t="shared" si="20"/>
        <v>0</v>
      </c>
      <c r="D104" s="41">
        <f t="shared" ca="1" si="21"/>
        <v>2.1875</v>
      </c>
      <c r="E104" s="41">
        <f t="shared" ca="1" si="22"/>
        <v>0</v>
      </c>
      <c r="F104" s="41">
        <f t="shared" ca="1" si="23"/>
        <v>0</v>
      </c>
      <c r="G104" s="41">
        <f t="shared" ca="1" si="24"/>
        <v>0</v>
      </c>
      <c r="H104" s="43">
        <f t="shared" ca="1" si="30"/>
        <v>2.1875</v>
      </c>
      <c r="I104" s="42">
        <f t="shared" ca="1" si="25"/>
        <v>1.75</v>
      </c>
      <c r="J104" s="18"/>
      <c r="K104" s="76"/>
      <c r="M104" s="132">
        <f t="shared" ca="1" si="16"/>
        <v>33.507031770312352</v>
      </c>
      <c r="N104" s="38">
        <f t="shared" si="26"/>
        <v>0.96562500000000007</v>
      </c>
      <c r="O104" s="36">
        <f t="shared" si="27"/>
        <v>25.75</v>
      </c>
      <c r="P104" s="38">
        <f ca="1">IF(ISERROR(IF(O104&lt;fi_h/20,0,(OFFSET('Base de dados'!$A$5,IF(O104&lt;20,1,IF(O104&gt;1000,10,MATCH(O104,Cargas,1))),Coluna_fih,1,1))*(1+0.13*0.25)*(PI()*(fi_h/1000)^2/4)*SQRT(2*9.81*(O104/100-fi_h/2/1000))*1000)),"",IF(O104&lt;fi_h/20,0,(OFFSET('Base de dados'!$A$5,IF(O104&lt;20,1,IF(O104&gt;1000,10,MATCH(O104,Cargas,1))),Coluna_fih,1,1))*(PI()*(fi_h/1000)^2/4)*SQRT(2*9.81*(O104/100-fi_h/2/1000))*1000))</f>
        <v>1.3195317703123435</v>
      </c>
      <c r="Q104" s="38">
        <f ca="1">IF(O104="","",IF(Tipo_Vertedor="Retangular",IF(O104&lt;=cota_s*100,0,IF(Tipo_Vertedor="Retangular",Cd_sr*Lef_sr*((O104/100-cota_s)^(3/2))*1000)),IF(O104&lt;=cota_s*100+fi_s/20,0,(OFFSET('Base de dados'!$A$4,IF(O104&lt;20,1,IF(O104&gt;1000,10,MATCH(O104,Cargas,1))),Coluna_fis,1,1))*(PI()*(fi_s/1000)^2/4)*(2*9.81*(O104/100-cota_s-fi_s/2/1000))^0.5*1000)))</f>
        <v>0</v>
      </c>
      <c r="R104" s="38">
        <f t="shared" ca="1" si="17"/>
        <v>1.3195317703123435</v>
      </c>
      <c r="S104" s="38">
        <f t="shared" ca="1" si="18"/>
        <v>32.187500000000007</v>
      </c>
      <c r="AD104" s="38">
        <f t="shared" si="28"/>
        <v>17.109544907923322</v>
      </c>
      <c r="AE104" s="38">
        <f t="shared" ca="1" si="29"/>
        <v>16.156667909449425</v>
      </c>
      <c r="AF104" s="38">
        <f ca="1">IF(ISERROR(IF('Hidrograma afluente'!I111="",0,'Hidrograma afluente'!I111)+Simulação!G104),"",IF('Hidrograma afluente'!I111="",0,'Hidrograma afluente'!I111)+Simulação!G104)</f>
        <v>0</v>
      </c>
      <c r="AG104" s="36">
        <v>0.4907058509200754</v>
      </c>
      <c r="AH104" s="36">
        <v>0.45842893461326856</v>
      </c>
      <c r="AI104" s="48">
        <v>9.25</v>
      </c>
      <c r="AJ104" s="36">
        <v>8.25</v>
      </c>
      <c r="AK104" s="38">
        <f>IF(A104="","",IF('Hidrograma afluente'!I111="",0,'Hidrograma afluente'!I111)+Simulação!B104)</f>
        <v>0</v>
      </c>
    </row>
    <row r="105" spans="1:37" s="36" customFormat="1">
      <c r="A105" s="23">
        <f t="shared" si="19"/>
        <v>100</v>
      </c>
      <c r="B105" s="24">
        <f>IF(A105="","",IF(A105&gt;tc_lot_i+tc,0,IF('Hidrograma afluente'!B112="","",'Hidrograma afluente'!B112)))</f>
        <v>0</v>
      </c>
      <c r="C105" s="41">
        <f t="shared" si="20"/>
        <v>0</v>
      </c>
      <c r="D105" s="41">
        <f t="shared" ca="1" si="21"/>
        <v>2.1875</v>
      </c>
      <c r="E105" s="41">
        <f t="shared" ca="1" si="22"/>
        <v>0</v>
      </c>
      <c r="F105" s="41">
        <f t="shared" ca="1" si="23"/>
        <v>0</v>
      </c>
      <c r="G105" s="41">
        <f t="shared" ca="1" si="24"/>
        <v>0</v>
      </c>
      <c r="H105" s="43">
        <f t="shared" ca="1" si="30"/>
        <v>2.1875</v>
      </c>
      <c r="I105" s="42">
        <f t="shared" ca="1" si="25"/>
        <v>1.75</v>
      </c>
      <c r="J105" s="18"/>
      <c r="K105" s="76"/>
      <c r="M105" s="132">
        <f t="shared" ca="1" si="16"/>
        <v>33.826389376886333</v>
      </c>
      <c r="N105" s="38">
        <f t="shared" si="26"/>
        <v>0.97500000000000009</v>
      </c>
      <c r="O105" s="36">
        <f t="shared" si="27"/>
        <v>26</v>
      </c>
      <c r="P105" s="38">
        <f ca="1">IF(ISERROR(IF(O105&lt;fi_h/20,0,(OFFSET('Base de dados'!$A$5,IF(O105&lt;20,1,IF(O105&gt;1000,10,MATCH(O105,Cargas,1))),Coluna_fih,1,1))*(1+0.13*0.25)*(PI()*(fi_h/1000)^2/4)*SQRT(2*9.81*(O105/100-fi_h/2/1000))*1000)),"",IF(O105&lt;fi_h/20,0,(OFFSET('Base de dados'!$A$5,IF(O105&lt;20,1,IF(O105&gt;1000,10,MATCH(O105,Cargas,1))),Coluna_fih,1,1))*(PI()*(fi_h/1000)^2/4)*SQRT(2*9.81*(O105/100-fi_h/2/1000))*1000))</f>
        <v>1.3263893768863255</v>
      </c>
      <c r="Q105" s="38">
        <f ca="1">IF(O105="","",IF(Tipo_Vertedor="Retangular",IF(O105&lt;=cota_s*100,0,IF(Tipo_Vertedor="Retangular",Cd_sr*Lef_sr*((O105/100-cota_s)^(3/2))*1000)),IF(O105&lt;=cota_s*100+fi_s/20,0,(OFFSET('Base de dados'!$A$4,IF(O105&lt;20,1,IF(O105&gt;1000,10,MATCH(O105,Cargas,1))),Coluna_fis,1,1))*(PI()*(fi_s/1000)^2/4)*(2*9.81*(O105/100-cota_s-fi_s/2/1000))^0.5*1000)))</f>
        <v>0</v>
      </c>
      <c r="R105" s="38">
        <f t="shared" ca="1" si="17"/>
        <v>1.3263893768863255</v>
      </c>
      <c r="S105" s="38">
        <f t="shared" ca="1" si="18"/>
        <v>32.500000000000007</v>
      </c>
      <c r="AD105" s="38">
        <f t="shared" si="28"/>
        <v>17.109544907923322</v>
      </c>
      <c r="AE105" s="38">
        <f t="shared" ca="1" si="29"/>
        <v>16.156667909449425</v>
      </c>
      <c r="AF105" s="38">
        <f ca="1">IF(ISERROR(IF('Hidrograma afluente'!I112="",0,'Hidrograma afluente'!I112)+Simulação!G105),"",IF('Hidrograma afluente'!I112="",0,'Hidrograma afluente'!I112)+Simulação!G105)</f>
        <v>0</v>
      </c>
      <c r="AG105" s="36">
        <v>0.45842893461326856</v>
      </c>
      <c r="AH105" s="36">
        <v>0.43264388365404211</v>
      </c>
      <c r="AI105" s="48">
        <v>8.25</v>
      </c>
      <c r="AJ105" s="36">
        <v>7.5</v>
      </c>
      <c r="AK105" s="38">
        <f>IF(A105="","",IF('Hidrograma afluente'!I112="",0,'Hidrograma afluente'!I112)+Simulação!B105)</f>
        <v>0</v>
      </c>
    </row>
    <row r="106" spans="1:37" s="36" customFormat="1">
      <c r="A106" s="23">
        <f t="shared" si="19"/>
        <v>101</v>
      </c>
      <c r="B106" s="24">
        <f>IF(A106="","",IF(A106&gt;tc_lot_i+tc,0,IF('Hidrograma afluente'!B113="","",'Hidrograma afluente'!B113)))</f>
        <v>0</v>
      </c>
      <c r="C106" s="41">
        <f t="shared" si="20"/>
        <v>0</v>
      </c>
      <c r="D106" s="41">
        <f t="shared" ca="1" si="21"/>
        <v>2.1875</v>
      </c>
      <c r="E106" s="41">
        <f t="shared" ca="1" si="22"/>
        <v>0</v>
      </c>
      <c r="F106" s="41">
        <f t="shared" ca="1" si="23"/>
        <v>0</v>
      </c>
      <c r="G106" s="41">
        <f t="shared" ca="1" si="24"/>
        <v>0</v>
      </c>
      <c r="H106" s="43">
        <f t="shared" ca="1" si="30"/>
        <v>2.1875</v>
      </c>
      <c r="I106" s="42">
        <f t="shared" ca="1" si="25"/>
        <v>1.75</v>
      </c>
      <c r="J106" s="18"/>
      <c r="K106" s="76"/>
      <c r="M106" s="132">
        <f t="shared" ca="1" si="16"/>
        <v>34.145711710633449</v>
      </c>
      <c r="N106" s="38">
        <f t="shared" si="26"/>
        <v>0.984375</v>
      </c>
      <c r="O106" s="36">
        <f t="shared" si="27"/>
        <v>26.25</v>
      </c>
      <c r="P106" s="38">
        <f ca="1">IF(ISERROR(IF(O106&lt;fi_h/20,0,(OFFSET('Base de dados'!$A$5,IF(O106&lt;20,1,IF(O106&gt;1000,10,MATCH(O106,Cargas,1))),Coluna_fih,1,1))*(1+0.13*0.25)*(PI()*(fi_h/1000)^2/4)*SQRT(2*9.81*(O106/100-fi_h/2/1000))*1000)),"",IF(O106&lt;fi_h/20,0,(OFFSET('Base de dados'!$A$5,IF(O106&lt;20,1,IF(O106&gt;1000,10,MATCH(O106,Cargas,1))),Coluna_fih,1,1))*(PI()*(fi_h/1000)^2/4)*SQRT(2*9.81*(O106/100-fi_h/2/1000))*1000))</f>
        <v>1.3332117106334476</v>
      </c>
      <c r="Q106" s="38">
        <f ca="1">IF(O106="","",IF(Tipo_Vertedor="Retangular",IF(O106&lt;=cota_s*100,0,IF(Tipo_Vertedor="Retangular",Cd_sr*Lef_sr*((O106/100-cota_s)^(3/2))*1000)),IF(O106&lt;=cota_s*100+fi_s/20,0,(OFFSET('Base de dados'!$A$4,IF(O106&lt;20,1,IF(O106&gt;1000,10,MATCH(O106,Cargas,1))),Coluna_fis,1,1))*(PI()*(fi_s/1000)^2/4)*(2*9.81*(O106/100-cota_s-fi_s/2/1000))^0.5*1000)))</f>
        <v>0</v>
      </c>
      <c r="R106" s="38">
        <f t="shared" ca="1" si="17"/>
        <v>1.3332117106334476</v>
      </c>
      <c r="S106" s="38">
        <f t="shared" ca="1" si="18"/>
        <v>32.8125</v>
      </c>
      <c r="AD106" s="38">
        <f t="shared" si="28"/>
        <v>17.109544907923322</v>
      </c>
      <c r="AE106" s="38">
        <f t="shared" ca="1" si="29"/>
        <v>16.156667909449425</v>
      </c>
      <c r="AF106" s="38">
        <f ca="1">IF(ISERROR(IF('Hidrograma afluente'!I113="",0,'Hidrograma afluente'!I113)+Simulação!G106),"",IF('Hidrograma afluente'!I113="",0,'Hidrograma afluente'!I113)+Simulação!G106)</f>
        <v>0</v>
      </c>
      <c r="AG106" s="36">
        <v>0.43264388365404211</v>
      </c>
      <c r="AH106" s="36">
        <v>0.40522138644924488</v>
      </c>
      <c r="AI106" s="48">
        <v>7.5</v>
      </c>
      <c r="AJ106" s="36">
        <v>6.75</v>
      </c>
      <c r="AK106" s="38">
        <f>IF(A106="","",IF('Hidrograma afluente'!I113="",0,'Hidrograma afluente'!I113)+Simulação!B106)</f>
        <v>0</v>
      </c>
    </row>
    <row r="107" spans="1:37" s="36" customFormat="1">
      <c r="A107" s="23">
        <f t="shared" si="19"/>
        <v>102</v>
      </c>
      <c r="B107" s="24">
        <f>IF(A107="","",IF(A107&gt;tc_lot_i+tc,0,IF('Hidrograma afluente'!B114="","",'Hidrograma afluente'!B114)))</f>
        <v>0</v>
      </c>
      <c r="C107" s="41">
        <f t="shared" si="20"/>
        <v>0</v>
      </c>
      <c r="D107" s="41">
        <f t="shared" ca="1" si="21"/>
        <v>2.1875</v>
      </c>
      <c r="E107" s="41">
        <f t="shared" ca="1" si="22"/>
        <v>0</v>
      </c>
      <c r="F107" s="41">
        <f t="shared" ca="1" si="23"/>
        <v>0</v>
      </c>
      <c r="G107" s="41">
        <f t="shared" ca="1" si="24"/>
        <v>0</v>
      </c>
      <c r="H107" s="43">
        <f t="shared" ca="1" si="30"/>
        <v>2.1875</v>
      </c>
      <c r="I107" s="42">
        <f t="shared" ca="1" si="25"/>
        <v>1.75</v>
      </c>
      <c r="J107" s="18"/>
      <c r="K107" s="76"/>
      <c r="M107" s="132">
        <f t="shared" ca="1" si="16"/>
        <v>34.464999310307071</v>
      </c>
      <c r="N107" s="38">
        <f t="shared" si="26"/>
        <v>0.99375000000000002</v>
      </c>
      <c r="O107" s="36">
        <f t="shared" si="27"/>
        <v>26.5</v>
      </c>
      <c r="P107" s="38">
        <f ca="1">IF(ISERROR(IF(O107&lt;fi_h/20,0,(OFFSET('Base de dados'!$A$5,IF(O107&lt;20,1,IF(O107&gt;1000,10,MATCH(O107,Cargas,1))),Coluna_fih,1,1))*(1+0.13*0.25)*(PI()*(fi_h/1000)^2/4)*SQRT(2*9.81*(O107/100-fi_h/2/1000))*1000)),"",IF(O107&lt;fi_h/20,0,(OFFSET('Base de dados'!$A$5,IF(O107&lt;20,1,IF(O107&gt;1000,10,MATCH(O107,Cargas,1))),Coluna_fih,1,1))*(PI()*(fi_h/1000)^2/4)*SQRT(2*9.81*(O107/100-fi_h/2/1000))*1000))</f>
        <v>1.3399993103070731</v>
      </c>
      <c r="Q107" s="38">
        <f ca="1">IF(O107="","",IF(Tipo_Vertedor="Retangular",IF(O107&lt;=cota_s*100,0,IF(Tipo_Vertedor="Retangular",Cd_sr*Lef_sr*((O107/100-cota_s)^(3/2))*1000)),IF(O107&lt;=cota_s*100+fi_s/20,0,(OFFSET('Base de dados'!$A$4,IF(O107&lt;20,1,IF(O107&gt;1000,10,MATCH(O107,Cargas,1))),Coluna_fis,1,1))*(PI()*(fi_s/1000)^2/4)*(2*9.81*(O107/100-cota_s-fi_s/2/1000))^0.5*1000)))</f>
        <v>0</v>
      </c>
      <c r="R107" s="38">
        <f t="shared" ca="1" si="17"/>
        <v>1.3399993103070731</v>
      </c>
      <c r="S107" s="38">
        <f t="shared" ca="1" si="18"/>
        <v>33.125</v>
      </c>
      <c r="AD107" s="38">
        <f t="shared" si="28"/>
        <v>17.109544907923322</v>
      </c>
      <c r="AE107" s="38">
        <f t="shared" ca="1" si="29"/>
        <v>16.156667909449425</v>
      </c>
      <c r="AF107" s="38">
        <f ca="1">IF(ISERROR(IF('Hidrograma afluente'!I114="",0,'Hidrograma afluente'!I114)+Simulação!G107),"",IF('Hidrograma afluente'!I114="",0,'Hidrograma afluente'!I114)+Simulação!G107)</f>
        <v>0</v>
      </c>
      <c r="AG107" s="36">
        <v>0.40522138644924488</v>
      </c>
      <c r="AH107" s="36">
        <v>0.3758031585929581</v>
      </c>
      <c r="AI107" s="48">
        <v>6.75</v>
      </c>
      <c r="AJ107" s="36">
        <v>6</v>
      </c>
      <c r="AK107" s="38">
        <f>IF(A107="","",IF('Hidrograma afluente'!I114="",0,'Hidrograma afluente'!I114)+Simulação!B107)</f>
        <v>0</v>
      </c>
    </row>
    <row r="108" spans="1:37" s="36" customFormat="1">
      <c r="A108" s="23">
        <f t="shared" si="19"/>
        <v>103</v>
      </c>
      <c r="B108" s="24">
        <f>IF(A108="","",IF(A108&gt;tc_lot_i+tc,0,IF('Hidrograma afluente'!B115="","",'Hidrograma afluente'!B115)))</f>
        <v>0</v>
      </c>
      <c r="C108" s="41">
        <f t="shared" si="20"/>
        <v>0</v>
      </c>
      <c r="D108" s="41">
        <f t="shared" ca="1" si="21"/>
        <v>2.1875</v>
      </c>
      <c r="E108" s="41">
        <f t="shared" ca="1" si="22"/>
        <v>0</v>
      </c>
      <c r="F108" s="41">
        <f t="shared" ca="1" si="23"/>
        <v>0</v>
      </c>
      <c r="G108" s="41">
        <f t="shared" ca="1" si="24"/>
        <v>0</v>
      </c>
      <c r="H108" s="43">
        <f t="shared" ca="1" si="30"/>
        <v>2.1875</v>
      </c>
      <c r="I108" s="42">
        <f t="shared" ca="1" si="25"/>
        <v>1.75</v>
      </c>
      <c r="J108" s="18"/>
      <c r="K108" s="76"/>
      <c r="M108" s="132">
        <f t="shared" ca="1" si="16"/>
        <v>34.784252701083872</v>
      </c>
      <c r="N108" s="38">
        <f t="shared" si="26"/>
        <v>1.003125</v>
      </c>
      <c r="O108" s="36">
        <f t="shared" si="27"/>
        <v>26.75</v>
      </c>
      <c r="P108" s="38">
        <f ca="1">IF(ISERROR(IF(O108&lt;fi_h/20,0,(OFFSET('Base de dados'!$A$5,IF(O108&lt;20,1,IF(O108&gt;1000,10,MATCH(O108,Cargas,1))),Coluna_fih,1,1))*(1+0.13*0.25)*(PI()*(fi_h/1000)^2/4)*SQRT(2*9.81*(O108/100-fi_h/2/1000))*1000)),"",IF(O108&lt;fi_h/20,0,(OFFSET('Base de dados'!$A$5,IF(O108&lt;20,1,IF(O108&gt;1000,10,MATCH(O108,Cargas,1))),Coluna_fih,1,1))*(PI()*(fi_h/1000)^2/4)*SQRT(2*9.81*(O108/100-fi_h/2/1000))*1000))</f>
        <v>1.34675270108387</v>
      </c>
      <c r="Q108" s="38">
        <f ca="1">IF(O108="","",IF(Tipo_Vertedor="Retangular",IF(O108&lt;=cota_s*100,0,IF(Tipo_Vertedor="Retangular",Cd_sr*Lef_sr*((O108/100-cota_s)^(3/2))*1000)),IF(O108&lt;=cota_s*100+fi_s/20,0,(OFFSET('Base de dados'!$A$4,IF(O108&lt;20,1,IF(O108&gt;1000,10,MATCH(O108,Cargas,1))),Coluna_fis,1,1))*(PI()*(fi_s/1000)^2/4)*(2*9.81*(O108/100-cota_s-fi_s/2/1000))^0.5*1000)))</f>
        <v>0</v>
      </c>
      <c r="R108" s="38">
        <f t="shared" ca="1" si="17"/>
        <v>1.34675270108387</v>
      </c>
      <c r="S108" s="38">
        <f t="shared" ca="1" si="18"/>
        <v>33.4375</v>
      </c>
      <c r="AD108" s="38">
        <f t="shared" si="28"/>
        <v>17.109544907923322</v>
      </c>
      <c r="AE108" s="38">
        <f t="shared" ca="1" si="29"/>
        <v>16.156667909449425</v>
      </c>
      <c r="AF108" s="38">
        <f ca="1">IF(ISERROR(IF('Hidrograma afluente'!I115="",0,'Hidrograma afluente'!I115)+Simulação!G108),"",IF('Hidrograma afluente'!I115="",0,'Hidrograma afluente'!I115)+Simulação!G108)</f>
        <v>0</v>
      </c>
      <c r="AG108" s="36">
        <v>0.3758031585929581</v>
      </c>
      <c r="AH108" s="36">
        <v>0.34387738509683924</v>
      </c>
      <c r="AI108" s="48">
        <v>6</v>
      </c>
      <c r="AJ108" s="36">
        <v>5.25</v>
      </c>
      <c r="AK108" s="38">
        <f>IF(A108="","",IF('Hidrograma afluente'!I115="",0,'Hidrograma afluente'!I115)+Simulação!B108)</f>
        <v>0</v>
      </c>
    </row>
    <row r="109" spans="1:37" s="36" customFormat="1">
      <c r="A109" s="23">
        <f t="shared" si="19"/>
        <v>104</v>
      </c>
      <c r="B109" s="24">
        <f>IF(A109="","",IF(A109&gt;tc_lot_i+tc,0,IF('Hidrograma afluente'!B116="","",'Hidrograma afluente'!B116)))</f>
        <v>0</v>
      </c>
      <c r="C109" s="41">
        <f t="shared" si="20"/>
        <v>0</v>
      </c>
      <c r="D109" s="41">
        <f t="shared" ca="1" si="21"/>
        <v>2.1875</v>
      </c>
      <c r="E109" s="41">
        <f t="shared" ca="1" si="22"/>
        <v>0</v>
      </c>
      <c r="F109" s="41">
        <f t="shared" ca="1" si="23"/>
        <v>0</v>
      </c>
      <c r="G109" s="41">
        <f t="shared" ca="1" si="24"/>
        <v>0</v>
      </c>
      <c r="H109" s="43">
        <f t="shared" ca="1" si="30"/>
        <v>2.1875</v>
      </c>
      <c r="I109" s="42">
        <f t="shared" ca="1" si="25"/>
        <v>1.75</v>
      </c>
      <c r="J109" s="18"/>
      <c r="K109" s="76"/>
      <c r="M109" s="132">
        <f t="shared" ca="1" si="16"/>
        <v>35.103472395038033</v>
      </c>
      <c r="N109" s="38">
        <f t="shared" si="26"/>
        <v>1.0125000000000002</v>
      </c>
      <c r="O109" s="36">
        <f t="shared" si="27"/>
        <v>27</v>
      </c>
      <c r="P109" s="38">
        <f ca="1">IF(ISERROR(IF(O109&lt;fi_h/20,0,(OFFSET('Base de dados'!$A$5,IF(O109&lt;20,1,IF(O109&gt;1000,10,MATCH(O109,Cargas,1))),Coluna_fih,1,1))*(1+0.13*0.25)*(PI()*(fi_h/1000)^2/4)*SQRT(2*9.81*(O109/100-fi_h/2/1000))*1000)),"",IF(O109&lt;fi_h/20,0,(OFFSET('Base de dados'!$A$5,IF(O109&lt;20,1,IF(O109&gt;1000,10,MATCH(O109,Cargas,1))),Coluna_fih,1,1))*(PI()*(fi_h/1000)^2/4)*SQRT(2*9.81*(O109/100-fi_h/2/1000))*1000))</f>
        <v>1.3534723950380254</v>
      </c>
      <c r="Q109" s="38">
        <f ca="1">IF(O109="","",IF(Tipo_Vertedor="Retangular",IF(O109&lt;=cota_s*100,0,IF(Tipo_Vertedor="Retangular",Cd_sr*Lef_sr*((O109/100-cota_s)^(3/2))*1000)),IF(O109&lt;=cota_s*100+fi_s/20,0,(OFFSET('Base de dados'!$A$4,IF(O109&lt;20,1,IF(O109&gt;1000,10,MATCH(O109,Cargas,1))),Coluna_fis,1,1))*(PI()*(fi_s/1000)^2/4)*(2*9.81*(O109/100-cota_s-fi_s/2/1000))^0.5*1000)))</f>
        <v>0</v>
      </c>
      <c r="R109" s="38">
        <f t="shared" ca="1" si="17"/>
        <v>1.3534723950380254</v>
      </c>
      <c r="S109" s="38">
        <f t="shared" ca="1" si="18"/>
        <v>33.750000000000007</v>
      </c>
      <c r="AD109" s="38">
        <f t="shared" si="28"/>
        <v>17.109544907923322</v>
      </c>
      <c r="AE109" s="38">
        <f t="shared" ca="1" si="29"/>
        <v>16.156667909449425</v>
      </c>
      <c r="AF109" s="38">
        <f ca="1">IF(ISERROR(IF('Hidrograma afluente'!I116="",0,'Hidrograma afluente'!I116)+Simulação!G109),"",IF('Hidrograma afluente'!I116="",0,'Hidrograma afluente'!I116)+Simulação!G109)</f>
        <v>0</v>
      </c>
      <c r="AG109" s="36">
        <v>0.34387738509683924</v>
      </c>
      <c r="AH109" s="36">
        <v>0.3086669693271954</v>
      </c>
      <c r="AI109" s="48">
        <v>5.25</v>
      </c>
      <c r="AJ109" s="36">
        <v>4.5</v>
      </c>
      <c r="AK109" s="38">
        <f>IF(A109="","",IF('Hidrograma afluente'!I116="",0,'Hidrograma afluente'!I116)+Simulação!B109)</f>
        <v>0</v>
      </c>
    </row>
    <row r="110" spans="1:37" s="36" customFormat="1">
      <c r="A110" s="23">
        <f t="shared" si="19"/>
        <v>105</v>
      </c>
      <c r="B110" s="24">
        <f>IF(A110="","",IF(A110&gt;tc_lot_i+tc,0,IF('Hidrograma afluente'!B117="","",'Hidrograma afluente'!B117)))</f>
        <v>0</v>
      </c>
      <c r="C110" s="41">
        <f t="shared" si="20"/>
        <v>0</v>
      </c>
      <c r="D110" s="41">
        <f t="shared" ca="1" si="21"/>
        <v>2.1875</v>
      </c>
      <c r="E110" s="41">
        <f t="shared" ca="1" si="22"/>
        <v>0</v>
      </c>
      <c r="F110" s="41">
        <f t="shared" ca="1" si="23"/>
        <v>0</v>
      </c>
      <c r="G110" s="41">
        <f t="shared" ca="1" si="24"/>
        <v>0</v>
      </c>
      <c r="H110" s="43">
        <f t="shared" ca="1" si="30"/>
        <v>2.1875</v>
      </c>
      <c r="I110" s="42">
        <f t="shared" ca="1" si="25"/>
        <v>1.75</v>
      </c>
      <c r="J110" s="18"/>
      <c r="K110" s="76"/>
      <c r="M110" s="132">
        <f t="shared" ca="1" si="16"/>
        <v>35.422658891594381</v>
      </c>
      <c r="N110" s="38">
        <f t="shared" si="26"/>
        <v>1.0218750000000001</v>
      </c>
      <c r="O110" s="36">
        <f t="shared" si="27"/>
        <v>27.25</v>
      </c>
      <c r="P110" s="38">
        <f ca="1">IF(ISERROR(IF(O110&lt;fi_h/20,0,(OFFSET('Base de dados'!$A$5,IF(O110&lt;20,1,IF(O110&gt;1000,10,MATCH(O110,Cargas,1))),Coluna_fih,1,1))*(1+0.13*0.25)*(PI()*(fi_h/1000)^2/4)*SQRT(2*9.81*(O110/100-fi_h/2/1000))*1000)),"",IF(O110&lt;fi_h/20,0,(OFFSET('Base de dados'!$A$5,IF(O110&lt;20,1,IF(O110&gt;1000,10,MATCH(O110,Cargas,1))),Coluna_fih,1,1))*(PI()*(fi_h/1000)^2/4)*SQRT(2*9.81*(O110/100-fi_h/2/1000))*1000))</f>
        <v>1.3601588915943745</v>
      </c>
      <c r="Q110" s="38">
        <f ca="1">IF(O110="","",IF(Tipo_Vertedor="Retangular",IF(O110&lt;=cota_s*100,0,IF(Tipo_Vertedor="Retangular",Cd_sr*Lef_sr*((O110/100-cota_s)^(3/2))*1000)),IF(O110&lt;=cota_s*100+fi_s/20,0,(OFFSET('Base de dados'!$A$4,IF(O110&lt;20,1,IF(O110&gt;1000,10,MATCH(O110,Cargas,1))),Coluna_fis,1,1))*(PI()*(fi_s/1000)^2/4)*(2*9.81*(O110/100-cota_s-fi_s/2/1000))^0.5*1000)))</f>
        <v>0</v>
      </c>
      <c r="R110" s="38">
        <f t="shared" ca="1" si="17"/>
        <v>1.3601588915943745</v>
      </c>
      <c r="S110" s="38">
        <f t="shared" ca="1" si="18"/>
        <v>34.062500000000007</v>
      </c>
      <c r="AD110" s="38">
        <f t="shared" si="28"/>
        <v>17.109544907923322</v>
      </c>
      <c r="AE110" s="38">
        <f t="shared" ca="1" si="29"/>
        <v>16.156667909449425</v>
      </c>
      <c r="AF110" s="38">
        <f ca="1">IF(ISERROR(IF('Hidrograma afluente'!I117="",0,'Hidrograma afluente'!I117)+Simulação!G110),"",IF('Hidrograma afluente'!I117="",0,'Hidrograma afluente'!I117)+Simulação!G110)</f>
        <v>0</v>
      </c>
      <c r="AG110" s="36">
        <v>0.3086669693271954</v>
      </c>
      <c r="AH110" s="36">
        <v>0.282767971905176</v>
      </c>
      <c r="AI110" s="48">
        <v>4.5</v>
      </c>
      <c r="AJ110" s="36">
        <v>4</v>
      </c>
      <c r="AK110" s="38">
        <f>IF(A110="","",IF('Hidrograma afluente'!I117="",0,'Hidrograma afluente'!I117)+Simulação!B110)</f>
        <v>0</v>
      </c>
    </row>
    <row r="111" spans="1:37" s="36" customFormat="1">
      <c r="A111" s="23">
        <f t="shared" si="19"/>
        <v>106</v>
      </c>
      <c r="B111" s="24">
        <f>IF(A111="","",IF(A111&gt;tc_lot_i+tc,0,IF('Hidrograma afluente'!B118="","",'Hidrograma afluente'!B118)))</f>
        <v>0</v>
      </c>
      <c r="C111" s="41">
        <f t="shared" si="20"/>
        <v>0</v>
      </c>
      <c r="D111" s="41">
        <f t="shared" ca="1" si="21"/>
        <v>2.1875</v>
      </c>
      <c r="E111" s="41">
        <f t="shared" ca="1" si="22"/>
        <v>0</v>
      </c>
      <c r="F111" s="41">
        <f t="shared" ca="1" si="23"/>
        <v>0</v>
      </c>
      <c r="G111" s="41">
        <f t="shared" ca="1" si="24"/>
        <v>0</v>
      </c>
      <c r="H111" s="43">
        <f t="shared" ca="1" si="30"/>
        <v>2.1875</v>
      </c>
      <c r="I111" s="42">
        <f t="shared" ca="1" si="25"/>
        <v>1.75</v>
      </c>
      <c r="J111" s="18"/>
      <c r="K111" s="76"/>
      <c r="M111" s="132">
        <f t="shared" ca="1" si="16"/>
        <v>35.741812677961583</v>
      </c>
      <c r="N111" s="38">
        <f t="shared" si="26"/>
        <v>1.03125</v>
      </c>
      <c r="O111" s="36">
        <f t="shared" si="27"/>
        <v>27.5</v>
      </c>
      <c r="P111" s="38">
        <f ca="1">IF(ISERROR(IF(O111&lt;fi_h/20,0,(OFFSET('Base de dados'!$A$5,IF(O111&lt;20,1,IF(O111&gt;1000,10,MATCH(O111,Cargas,1))),Coluna_fih,1,1))*(1+0.13*0.25)*(PI()*(fi_h/1000)^2/4)*SQRT(2*9.81*(O111/100-fi_h/2/1000))*1000)),"",IF(O111&lt;fi_h/20,0,(OFFSET('Base de dados'!$A$5,IF(O111&lt;20,1,IF(O111&gt;1000,10,MATCH(O111,Cargas,1))),Coluna_fih,1,1))*(PI()*(fi_h/1000)^2/4)*SQRT(2*9.81*(O111/100-fi_h/2/1000))*1000))</f>
        <v>1.3668126779615799</v>
      </c>
      <c r="Q111" s="38">
        <f ca="1">IF(O111="","",IF(Tipo_Vertedor="Retangular",IF(O111&lt;=cota_s*100,0,IF(Tipo_Vertedor="Retangular",Cd_sr*Lef_sr*((O111/100-cota_s)^(3/2))*1000)),IF(O111&lt;=cota_s*100+fi_s/20,0,(OFFSET('Base de dados'!$A$4,IF(O111&lt;20,1,IF(O111&gt;1000,10,MATCH(O111,Cargas,1))),Coluna_fis,1,1))*(PI()*(fi_s/1000)^2/4)*(2*9.81*(O111/100-cota_s-fi_s/2/1000))^0.5*1000)))</f>
        <v>0</v>
      </c>
      <c r="R111" s="38">
        <f t="shared" ca="1" si="17"/>
        <v>1.3668126779615799</v>
      </c>
      <c r="S111" s="38">
        <f t="shared" ca="1" si="18"/>
        <v>34.375</v>
      </c>
      <c r="AD111" s="38">
        <f t="shared" si="28"/>
        <v>17.109544907923322</v>
      </c>
      <c r="AE111" s="38">
        <f t="shared" ca="1" si="29"/>
        <v>16.156667909449425</v>
      </c>
      <c r="AF111" s="38">
        <f ca="1">IF(ISERROR(IF('Hidrograma afluente'!I118="",0,'Hidrograma afluente'!I118)+Simulação!G111),"",IF('Hidrograma afluente'!I118="",0,'Hidrograma afluente'!I118)+Simulação!G111)</f>
        <v>0</v>
      </c>
      <c r="AG111" s="36">
        <v>0.282767971905176</v>
      </c>
      <c r="AH111" s="36">
        <v>0.25424428000861093</v>
      </c>
      <c r="AI111" s="48">
        <v>4</v>
      </c>
      <c r="AJ111" s="36">
        <v>3.5</v>
      </c>
      <c r="AK111" s="38">
        <f>IF(A111="","",IF('Hidrograma afluente'!I118="",0,'Hidrograma afluente'!I118)+Simulação!B111)</f>
        <v>0</v>
      </c>
    </row>
    <row r="112" spans="1:37" s="36" customFormat="1">
      <c r="A112" s="23">
        <f t="shared" si="19"/>
        <v>107</v>
      </c>
      <c r="B112" s="24">
        <f>IF(A112="","",IF(A112&gt;tc_lot_i+tc,0,IF('Hidrograma afluente'!B119="","",'Hidrograma afluente'!B119)))</f>
        <v>0</v>
      </c>
      <c r="C112" s="41">
        <f t="shared" si="20"/>
        <v>0</v>
      </c>
      <c r="D112" s="41">
        <f t="shared" ca="1" si="21"/>
        <v>2.1875</v>
      </c>
      <c r="E112" s="41">
        <f t="shared" ca="1" si="22"/>
        <v>0</v>
      </c>
      <c r="F112" s="41">
        <f t="shared" ca="1" si="23"/>
        <v>0</v>
      </c>
      <c r="G112" s="41">
        <f t="shared" ca="1" si="24"/>
        <v>0</v>
      </c>
      <c r="H112" s="43">
        <f t="shared" ca="1" si="30"/>
        <v>2.1875</v>
      </c>
      <c r="I112" s="42">
        <f t="shared" ca="1" si="25"/>
        <v>1.75</v>
      </c>
      <c r="J112" s="18"/>
      <c r="K112" s="76"/>
      <c r="M112" s="132">
        <f t="shared" ca="1" si="16"/>
        <v>36.060934229546426</v>
      </c>
      <c r="N112" s="38">
        <f t="shared" si="26"/>
        <v>1.0406250000000001</v>
      </c>
      <c r="O112" s="36">
        <f t="shared" si="27"/>
        <v>27.75</v>
      </c>
      <c r="P112" s="38">
        <f ca="1">IF(ISERROR(IF(O112&lt;fi_h/20,0,(OFFSET('Base de dados'!$A$5,IF(O112&lt;20,1,IF(O112&gt;1000,10,MATCH(O112,Cargas,1))),Coluna_fih,1,1))*(1+0.13*0.25)*(PI()*(fi_h/1000)^2/4)*SQRT(2*9.81*(O112/100-fi_h/2/1000))*1000)),"",IF(O112&lt;fi_h/20,0,(OFFSET('Base de dados'!$A$5,IF(O112&lt;20,1,IF(O112&gt;1000,10,MATCH(O112,Cargas,1))),Coluna_fih,1,1))*(PI()*(fi_h/1000)^2/4)*SQRT(2*9.81*(O112/100-fi_h/2/1000))*1000))</f>
        <v>1.3734342295464217</v>
      </c>
      <c r="Q112" s="38">
        <f ca="1">IF(O112="","",IF(Tipo_Vertedor="Retangular",IF(O112&lt;=cota_s*100,0,IF(Tipo_Vertedor="Retangular",Cd_sr*Lef_sr*((O112/100-cota_s)^(3/2))*1000)),IF(O112&lt;=cota_s*100+fi_s/20,0,(OFFSET('Base de dados'!$A$4,IF(O112&lt;20,1,IF(O112&gt;1000,10,MATCH(O112,Cargas,1))),Coluna_fis,1,1))*(PI()*(fi_s/1000)^2/4)*(2*9.81*(O112/100-cota_s-fi_s/2/1000))^0.5*1000)))</f>
        <v>0</v>
      </c>
      <c r="R112" s="38">
        <f t="shared" ca="1" si="17"/>
        <v>1.3734342295464217</v>
      </c>
      <c r="S112" s="38">
        <f t="shared" ca="1" si="18"/>
        <v>34.687500000000007</v>
      </c>
      <c r="AD112" s="38">
        <f t="shared" si="28"/>
        <v>17.109544907923322</v>
      </c>
      <c r="AE112" s="38">
        <f t="shared" ca="1" si="29"/>
        <v>16.156667909449425</v>
      </c>
      <c r="AF112" s="38">
        <f ca="1">IF(ISERROR(IF('Hidrograma afluente'!I119="",0,'Hidrograma afluente'!I119)+Simulação!G112),"",IF('Hidrograma afluente'!I119="",0,'Hidrograma afluente'!I119)+Simulação!G112)</f>
        <v>0</v>
      </c>
      <c r="AG112" s="36">
        <v>0.25424428000861093</v>
      </c>
      <c r="AH112" s="36">
        <v>0.22208687916855316</v>
      </c>
      <c r="AI112" s="48">
        <v>3.5</v>
      </c>
      <c r="AJ112" s="36">
        <v>3</v>
      </c>
      <c r="AK112" s="38">
        <f>IF(A112="","",IF('Hidrograma afluente'!I119="",0,'Hidrograma afluente'!I119)+Simulação!B112)</f>
        <v>0</v>
      </c>
    </row>
    <row r="113" spans="1:37" s="36" customFormat="1">
      <c r="A113" s="23">
        <f t="shared" si="19"/>
        <v>108</v>
      </c>
      <c r="B113" s="24">
        <f>IF(A113="","",IF(A113&gt;tc_lot_i+tc,0,IF('Hidrograma afluente'!B120="","",'Hidrograma afluente'!B120)))</f>
        <v>0</v>
      </c>
      <c r="C113" s="41">
        <f t="shared" si="20"/>
        <v>0</v>
      </c>
      <c r="D113" s="41">
        <f t="shared" ca="1" si="21"/>
        <v>2.1875</v>
      </c>
      <c r="E113" s="41">
        <f t="shared" ca="1" si="22"/>
        <v>0</v>
      </c>
      <c r="F113" s="41">
        <f t="shared" ca="1" si="23"/>
        <v>0</v>
      </c>
      <c r="G113" s="41">
        <f t="shared" ca="1" si="24"/>
        <v>0</v>
      </c>
      <c r="H113" s="43">
        <f t="shared" ca="1" si="30"/>
        <v>2.1875</v>
      </c>
      <c r="I113" s="42">
        <f t="shared" ca="1" si="25"/>
        <v>1.75</v>
      </c>
      <c r="J113" s="18"/>
      <c r="K113" s="76"/>
      <c r="M113" s="132">
        <f t="shared" ca="1" si="16"/>
        <v>36.380024010350198</v>
      </c>
      <c r="N113" s="38">
        <f t="shared" si="26"/>
        <v>1.05</v>
      </c>
      <c r="O113" s="36">
        <f t="shared" si="27"/>
        <v>28</v>
      </c>
      <c r="P113" s="38">
        <f ca="1">IF(ISERROR(IF(O113&lt;fi_h/20,0,(OFFSET('Base de dados'!$A$5,IF(O113&lt;20,1,IF(O113&gt;1000,10,MATCH(O113,Cargas,1))),Coluna_fih,1,1))*(1+0.13*0.25)*(PI()*(fi_h/1000)^2/4)*SQRT(2*9.81*(O113/100-fi_h/2/1000))*1000)),"",IF(O113&lt;fi_h/20,0,(OFFSET('Base de dados'!$A$5,IF(O113&lt;20,1,IF(O113&gt;1000,10,MATCH(O113,Cargas,1))),Coluna_fih,1,1))*(PI()*(fi_h/1000)^2/4)*SQRT(2*9.81*(O113/100-fi_h/2/1000))*1000))</f>
        <v>1.3800240103501975</v>
      </c>
      <c r="Q113" s="38">
        <f ca="1">IF(O113="","",IF(Tipo_Vertedor="Retangular",IF(O113&lt;=cota_s*100,0,IF(Tipo_Vertedor="Retangular",Cd_sr*Lef_sr*((O113/100-cota_s)^(3/2))*1000)),IF(O113&lt;=cota_s*100+fi_s/20,0,(OFFSET('Base de dados'!$A$4,IF(O113&lt;20,1,IF(O113&gt;1000,10,MATCH(O113,Cargas,1))),Coluna_fis,1,1))*(PI()*(fi_s/1000)^2/4)*(2*9.81*(O113/100-cota_s-fi_s/2/1000))^0.5*1000)))</f>
        <v>0</v>
      </c>
      <c r="R113" s="38">
        <f t="shared" ca="1" si="17"/>
        <v>1.3800240103501975</v>
      </c>
      <c r="S113" s="38">
        <f t="shared" ca="1" si="18"/>
        <v>35</v>
      </c>
      <c r="AD113" s="38">
        <f t="shared" si="28"/>
        <v>17.109544907923322</v>
      </c>
      <c r="AE113" s="38">
        <f t="shared" ca="1" si="29"/>
        <v>16.156667909449425</v>
      </c>
      <c r="AF113" s="38">
        <f ca="1">IF(ISERROR(IF('Hidrograma afluente'!I120="",0,'Hidrograma afluente'!I120)+Simulação!G113),"",IF('Hidrograma afluente'!I120="",0,'Hidrograma afluente'!I120)+Simulação!G113)</f>
        <v>0</v>
      </c>
      <c r="AG113" s="36">
        <v>0.22208687916855316</v>
      </c>
      <c r="AH113" s="36">
        <v>0.18440447359149972</v>
      </c>
      <c r="AI113" s="48">
        <v>3</v>
      </c>
      <c r="AJ113" s="36">
        <v>2.5</v>
      </c>
      <c r="AK113" s="38">
        <f>IF(A113="","",IF('Hidrograma afluente'!I120="",0,'Hidrograma afluente'!I120)+Simulação!B113)</f>
        <v>0</v>
      </c>
    </row>
    <row r="114" spans="1:37" s="36" customFormat="1">
      <c r="A114" s="23">
        <f t="shared" si="19"/>
        <v>109</v>
      </c>
      <c r="B114" s="24">
        <f>IF(A114="","",IF(A114&gt;tc_lot_i+tc,0,IF('Hidrograma afluente'!B121="","",'Hidrograma afluente'!B121)))</f>
        <v>0</v>
      </c>
      <c r="C114" s="41">
        <f t="shared" si="20"/>
        <v>0</v>
      </c>
      <c r="D114" s="41">
        <f t="shared" ca="1" si="21"/>
        <v>2.1875</v>
      </c>
      <c r="E114" s="41">
        <f t="shared" ca="1" si="22"/>
        <v>0</v>
      </c>
      <c r="F114" s="41">
        <f t="shared" ca="1" si="23"/>
        <v>0</v>
      </c>
      <c r="G114" s="41">
        <f t="shared" ca="1" si="24"/>
        <v>0</v>
      </c>
      <c r="H114" s="43">
        <f t="shared" ca="1" si="30"/>
        <v>2.1875</v>
      </c>
      <c r="I114" s="42">
        <f t="shared" ca="1" si="25"/>
        <v>1.75</v>
      </c>
      <c r="J114" s="18"/>
      <c r="K114" s="76"/>
      <c r="M114" s="132">
        <f t="shared" ca="1" si="16"/>
        <v>36.699082473348163</v>
      </c>
      <c r="N114" s="38">
        <f t="shared" si="26"/>
        <v>1.059375</v>
      </c>
      <c r="O114" s="36">
        <f t="shared" si="27"/>
        <v>28.25</v>
      </c>
      <c r="P114" s="38">
        <f ca="1">IF(ISERROR(IF(O114&lt;fi_h/20,0,(OFFSET('Base de dados'!$A$5,IF(O114&lt;20,1,IF(O114&gt;1000,10,MATCH(O114,Cargas,1))),Coluna_fih,1,1))*(1+0.13*0.25)*(PI()*(fi_h/1000)^2/4)*SQRT(2*9.81*(O114/100-fi_h/2/1000))*1000)),"",IF(O114&lt;fi_h/20,0,(OFFSET('Base de dados'!$A$5,IF(O114&lt;20,1,IF(O114&gt;1000,10,MATCH(O114,Cargas,1))),Coluna_fih,1,1))*(PI()*(fi_h/1000)^2/4)*SQRT(2*9.81*(O114/100-fi_h/2/1000))*1000))</f>
        <v>1.3865824733481633</v>
      </c>
      <c r="Q114" s="38">
        <f ca="1">IF(O114="","",IF(Tipo_Vertedor="Retangular",IF(O114&lt;=cota_s*100,0,IF(Tipo_Vertedor="Retangular",Cd_sr*Lef_sr*((O114/100-cota_s)^(3/2))*1000)),IF(O114&lt;=cota_s*100+fi_s/20,0,(OFFSET('Base de dados'!$A$4,IF(O114&lt;20,1,IF(O114&gt;1000,10,MATCH(O114,Cargas,1))),Coluna_fis,1,1))*(PI()*(fi_s/1000)^2/4)*(2*9.81*(O114/100-cota_s-fi_s/2/1000))^0.5*1000)))</f>
        <v>0</v>
      </c>
      <c r="R114" s="38">
        <f t="shared" ca="1" si="17"/>
        <v>1.3865824733481633</v>
      </c>
      <c r="S114" s="38">
        <f t="shared" ca="1" si="18"/>
        <v>35.3125</v>
      </c>
      <c r="AD114" s="38">
        <f t="shared" si="28"/>
        <v>17.109544907923322</v>
      </c>
      <c r="AE114" s="38">
        <f t="shared" ca="1" si="29"/>
        <v>16.156667909449425</v>
      </c>
      <c r="AF114" s="38">
        <f ca="1">IF(ISERROR(IF('Hidrograma afluente'!I121="",0,'Hidrograma afluente'!I121)+Simulação!G114),"",IF('Hidrograma afluente'!I121="",0,'Hidrograma afluente'!I121)+Simulação!G114)</f>
        <v>0</v>
      </c>
      <c r="AG114" s="36">
        <v>0.18440447359149972</v>
      </c>
      <c r="AH114" s="36">
        <v>0.1367020038707871</v>
      </c>
      <c r="AI114" s="48">
        <v>2.5</v>
      </c>
      <c r="AJ114" s="36">
        <v>2</v>
      </c>
      <c r="AK114" s="38">
        <f>IF(A114="","",IF('Hidrograma afluente'!I121="",0,'Hidrograma afluente'!I121)+Simulação!B114)</f>
        <v>0</v>
      </c>
    </row>
    <row r="115" spans="1:37" s="36" customFormat="1">
      <c r="A115" s="23">
        <f t="shared" si="19"/>
        <v>110</v>
      </c>
      <c r="B115" s="24">
        <f>IF(A115="","",IF(A115&gt;tc_lot_i+tc,0,IF('Hidrograma afluente'!B122="","",'Hidrograma afluente'!B122)))</f>
        <v>0</v>
      </c>
      <c r="C115" s="41">
        <f t="shared" si="20"/>
        <v>0</v>
      </c>
      <c r="D115" s="41">
        <f t="shared" ca="1" si="21"/>
        <v>2.1875</v>
      </c>
      <c r="E115" s="41">
        <f t="shared" ca="1" si="22"/>
        <v>0</v>
      </c>
      <c r="F115" s="41">
        <f t="shared" ca="1" si="23"/>
        <v>0</v>
      </c>
      <c r="G115" s="41">
        <f t="shared" ca="1" si="24"/>
        <v>0</v>
      </c>
      <c r="H115" s="43">
        <f t="shared" ca="1" si="30"/>
        <v>2.1875</v>
      </c>
      <c r="I115" s="42">
        <f t="shared" ca="1" si="25"/>
        <v>1.75</v>
      </c>
      <c r="J115" s="18"/>
      <c r="K115" s="76"/>
      <c r="M115" s="132">
        <f t="shared" ca="1" si="16"/>
        <v>37.018110060852898</v>
      </c>
      <c r="N115" s="38">
        <f t="shared" si="26"/>
        <v>1.0687499999999999</v>
      </c>
      <c r="O115" s="36">
        <f t="shared" si="27"/>
        <v>28.5</v>
      </c>
      <c r="P115" s="38">
        <f ca="1">IF(ISERROR(IF(O115&lt;fi_h/20,0,(OFFSET('Base de dados'!$A$5,IF(O115&lt;20,1,IF(O115&gt;1000,10,MATCH(O115,Cargas,1))),Coluna_fih,1,1))*(1+0.13*0.25)*(PI()*(fi_h/1000)^2/4)*SQRT(2*9.81*(O115/100-fi_h/2/1000))*1000)),"",IF(O115&lt;fi_h/20,0,(OFFSET('Base de dados'!$A$5,IF(O115&lt;20,1,IF(O115&gt;1000,10,MATCH(O115,Cargas,1))),Coluna_fih,1,1))*(PI()*(fi_h/1000)^2/4)*SQRT(2*9.81*(O115/100-fi_h/2/1000))*1000))</f>
        <v>1.3931100608529028</v>
      </c>
      <c r="Q115" s="38">
        <f ca="1">IF(O115="","",IF(Tipo_Vertedor="Retangular",IF(O115&lt;=cota_s*100,0,IF(Tipo_Vertedor="Retangular",Cd_sr*Lef_sr*((O115/100-cota_s)^(3/2))*1000)),IF(O115&lt;=cota_s*100+fi_s/20,0,(OFFSET('Base de dados'!$A$4,IF(O115&lt;20,1,IF(O115&gt;1000,10,MATCH(O115,Cargas,1))),Coluna_fis,1,1))*(PI()*(fi_s/1000)^2/4)*(2*9.81*(O115/100-cota_s-fi_s/2/1000))^0.5*1000)))</f>
        <v>0</v>
      </c>
      <c r="R115" s="38">
        <f t="shared" ca="1" si="17"/>
        <v>1.3931100608529028</v>
      </c>
      <c r="S115" s="38">
        <f t="shared" ca="1" si="18"/>
        <v>35.624999999999993</v>
      </c>
      <c r="AD115" s="38">
        <f t="shared" si="28"/>
        <v>17.109544907923322</v>
      </c>
      <c r="AE115" s="38">
        <f t="shared" ca="1" si="29"/>
        <v>16.156667909449425</v>
      </c>
      <c r="AF115" s="38">
        <f ca="1">IF(ISERROR(IF('Hidrograma afluente'!I122="",0,'Hidrograma afluente'!I122)+Simulação!G115),"",IF('Hidrograma afluente'!I122="",0,'Hidrograma afluente'!I122)+Simulação!G115)</f>
        <v>0</v>
      </c>
      <c r="AG115" s="36">
        <v>0.1367020038707871</v>
      </c>
      <c r="AH115" s="36">
        <v>0.10501738833714151</v>
      </c>
      <c r="AI115" s="48">
        <v>2</v>
      </c>
      <c r="AJ115" s="36">
        <v>1.75</v>
      </c>
      <c r="AK115" s="38">
        <f>IF(A115="","",IF('Hidrograma afluente'!I122="",0,'Hidrograma afluente'!I122)+Simulação!B115)</f>
        <v>0</v>
      </c>
    </row>
    <row r="116" spans="1:37" s="36" customFormat="1">
      <c r="A116" s="23">
        <f t="shared" si="19"/>
        <v>111</v>
      </c>
      <c r="B116" s="24">
        <f>IF(A116="","",IF(A116&gt;tc_lot_i+tc,0,IF('Hidrograma afluente'!B123="","",'Hidrograma afluente'!B123)))</f>
        <v>0</v>
      </c>
      <c r="C116" s="41">
        <f t="shared" si="20"/>
        <v>0</v>
      </c>
      <c r="D116" s="41">
        <f t="shared" ca="1" si="21"/>
        <v>2.1875</v>
      </c>
      <c r="E116" s="41">
        <f t="shared" ca="1" si="22"/>
        <v>0</v>
      </c>
      <c r="F116" s="41">
        <f t="shared" ca="1" si="23"/>
        <v>0</v>
      </c>
      <c r="G116" s="41">
        <f t="shared" ca="1" si="24"/>
        <v>0</v>
      </c>
      <c r="H116" s="43">
        <f t="shared" ca="1" si="30"/>
        <v>2.1875</v>
      </c>
      <c r="I116" s="42">
        <f t="shared" ca="1" si="25"/>
        <v>1.75</v>
      </c>
      <c r="J116" s="18"/>
      <c r="K116" s="76"/>
      <c r="M116" s="132">
        <f t="shared" ca="1" si="16"/>
        <v>37.337107204862441</v>
      </c>
      <c r="N116" s="38">
        <f t="shared" si="26"/>
        <v>1.078125</v>
      </c>
      <c r="O116" s="36">
        <f t="shared" si="27"/>
        <v>28.75</v>
      </c>
      <c r="P116" s="38">
        <f ca="1">IF(ISERROR(IF(O116&lt;fi_h/20,0,(OFFSET('Base de dados'!$A$5,IF(O116&lt;20,1,IF(O116&gt;1000,10,MATCH(O116,Cargas,1))),Coluna_fih,1,1))*(1+0.13*0.25)*(PI()*(fi_h/1000)^2/4)*SQRT(2*9.81*(O116/100-fi_h/2/1000))*1000)),"",IF(O116&lt;fi_h/20,0,(OFFSET('Base de dados'!$A$5,IF(O116&lt;20,1,IF(O116&gt;1000,10,MATCH(O116,Cargas,1))),Coluna_fih,1,1))*(PI()*(fi_h/1000)^2/4)*SQRT(2*9.81*(O116/100-fi_h/2/1000))*1000))</f>
        <v>1.3996072048624382</v>
      </c>
      <c r="Q116" s="38">
        <f ca="1">IF(O116="","",IF(Tipo_Vertedor="Retangular",IF(O116&lt;=cota_s*100,0,IF(Tipo_Vertedor="Retangular",Cd_sr*Lef_sr*((O116/100-cota_s)^(3/2))*1000)),IF(O116&lt;=cota_s*100+fi_s/20,0,(OFFSET('Base de dados'!$A$4,IF(O116&lt;20,1,IF(O116&gt;1000,10,MATCH(O116,Cargas,1))),Coluna_fis,1,1))*(PI()*(fi_s/1000)^2/4)*(2*9.81*(O116/100-cota_s-fi_s/2/1000))^0.5*1000)))</f>
        <v>0</v>
      </c>
      <c r="R116" s="38">
        <f t="shared" ca="1" si="17"/>
        <v>1.3996072048624382</v>
      </c>
      <c r="S116" s="38">
        <f t="shared" ca="1" si="18"/>
        <v>35.9375</v>
      </c>
      <c r="AD116" s="38">
        <f t="shared" si="28"/>
        <v>17.109544907923322</v>
      </c>
      <c r="AE116" s="38">
        <f t="shared" ca="1" si="29"/>
        <v>16.156667909449425</v>
      </c>
      <c r="AF116" s="38">
        <f ca="1">IF(ISERROR(IF('Hidrograma afluente'!I123="",0,'Hidrograma afluente'!I123)+Simulação!G116),"",IF('Hidrograma afluente'!I123="",0,'Hidrograma afluente'!I123)+Simulação!G116)</f>
        <v>0</v>
      </c>
      <c r="AG116" s="36">
        <v>0.10501738833714151</v>
      </c>
      <c r="AH116" s="36">
        <v>5.8050545596223892E-2</v>
      </c>
      <c r="AI116" s="48">
        <v>1.75</v>
      </c>
      <c r="AJ116" s="36">
        <v>1.5</v>
      </c>
      <c r="AK116" s="38">
        <f>IF(A116="","",IF('Hidrograma afluente'!I123="",0,'Hidrograma afluente'!I123)+Simulação!B116)</f>
        <v>0</v>
      </c>
    </row>
    <row r="117" spans="1:37" s="36" customFormat="1">
      <c r="A117" s="23">
        <f t="shared" si="19"/>
        <v>112</v>
      </c>
      <c r="B117" s="24">
        <f>IF(A117="","",IF(A117&gt;tc_lot_i+tc,0,IF('Hidrograma afluente'!B124="","",'Hidrograma afluente'!B124)))</f>
        <v>0</v>
      </c>
      <c r="C117" s="41">
        <f t="shared" si="20"/>
        <v>0</v>
      </c>
      <c r="D117" s="41">
        <f t="shared" ca="1" si="21"/>
        <v>2.1875</v>
      </c>
      <c r="E117" s="41">
        <f t="shared" ca="1" si="22"/>
        <v>0</v>
      </c>
      <c r="F117" s="41">
        <f t="shared" ca="1" si="23"/>
        <v>0</v>
      </c>
      <c r="G117" s="41">
        <f t="shared" ca="1" si="24"/>
        <v>0</v>
      </c>
      <c r="H117" s="43">
        <f t="shared" ca="1" si="30"/>
        <v>2.1875</v>
      </c>
      <c r="I117" s="42">
        <f t="shared" ca="1" si="25"/>
        <v>1.75</v>
      </c>
      <c r="J117" s="18"/>
      <c r="K117" s="76"/>
      <c r="M117" s="132">
        <f t="shared" ca="1" si="16"/>
        <v>37.656074327393867</v>
      </c>
      <c r="N117" s="38">
        <f t="shared" si="26"/>
        <v>1.0874999999999999</v>
      </c>
      <c r="O117" s="36">
        <f t="shared" si="27"/>
        <v>29</v>
      </c>
      <c r="P117" s="38">
        <f ca="1">IF(ISERROR(IF(O117&lt;fi_h/20,0,(OFFSET('Base de dados'!$A$5,IF(O117&lt;20,1,IF(O117&gt;1000,10,MATCH(O117,Cargas,1))),Coluna_fih,1,1))*(1+0.13*0.25)*(PI()*(fi_h/1000)^2/4)*SQRT(2*9.81*(O117/100-fi_h/2/1000))*1000)),"",IF(O117&lt;fi_h/20,0,(OFFSET('Base de dados'!$A$5,IF(O117&lt;20,1,IF(O117&gt;1000,10,MATCH(O117,Cargas,1))),Coluna_fih,1,1))*(PI()*(fi_h/1000)^2/4)*SQRT(2*9.81*(O117/100-fi_h/2/1000))*1000))</f>
        <v>1.4060743273938667</v>
      </c>
      <c r="Q117" s="38">
        <f ca="1">IF(O117="","",IF(Tipo_Vertedor="Retangular",IF(O117&lt;=cota_s*100,0,IF(Tipo_Vertedor="Retangular",Cd_sr*Lef_sr*((O117/100-cota_s)^(3/2))*1000)),IF(O117&lt;=cota_s*100+fi_s/20,0,(OFFSET('Base de dados'!$A$4,IF(O117&lt;20,1,IF(O117&gt;1000,10,MATCH(O117,Cargas,1))),Coluna_fis,1,1))*(PI()*(fi_s/1000)^2/4)*(2*9.81*(O117/100-cota_s-fi_s/2/1000))^0.5*1000)))</f>
        <v>0</v>
      </c>
      <c r="R117" s="38">
        <f t="shared" ca="1" si="17"/>
        <v>1.4060743273938667</v>
      </c>
      <c r="S117" s="38">
        <f t="shared" ca="1" si="18"/>
        <v>36.25</v>
      </c>
      <c r="AD117" s="38">
        <f t="shared" si="28"/>
        <v>17.109544907923322</v>
      </c>
      <c r="AE117" s="38">
        <f t="shared" ca="1" si="29"/>
        <v>16.156667909449425</v>
      </c>
      <c r="AF117" s="38">
        <f ca="1">IF(ISERROR(IF('Hidrograma afluente'!I124="",0,'Hidrograma afluente'!I124)+Simulação!G117),"",IF('Hidrograma afluente'!I124="",0,'Hidrograma afluente'!I124)+Simulação!G117)</f>
        <v>0</v>
      </c>
      <c r="AG117" s="36">
        <v>5.8050545596223892E-2</v>
      </c>
      <c r="AH117" s="36">
        <v>0</v>
      </c>
      <c r="AI117" s="48">
        <v>1.5</v>
      </c>
      <c r="AJ117" s="36">
        <v>1.25</v>
      </c>
      <c r="AK117" s="38">
        <f>IF(A117="","",IF('Hidrograma afluente'!I124="",0,'Hidrograma afluente'!I124)+Simulação!B117)</f>
        <v>0</v>
      </c>
    </row>
    <row r="118" spans="1:37" s="36" customFormat="1">
      <c r="A118" s="23">
        <f t="shared" si="19"/>
        <v>113</v>
      </c>
      <c r="B118" s="24">
        <f>IF(A118="","",IF(A118&gt;tc_lot_i+tc,0,IF('Hidrograma afluente'!B125="","",'Hidrograma afluente'!B125)))</f>
        <v>0</v>
      </c>
      <c r="C118" s="41">
        <f t="shared" si="20"/>
        <v>0</v>
      </c>
      <c r="D118" s="41">
        <f t="shared" ca="1" si="21"/>
        <v>2.1875</v>
      </c>
      <c r="E118" s="41">
        <f t="shared" ca="1" si="22"/>
        <v>0</v>
      </c>
      <c r="F118" s="41">
        <f t="shared" ca="1" si="23"/>
        <v>0</v>
      </c>
      <c r="G118" s="41">
        <f t="shared" ca="1" si="24"/>
        <v>0</v>
      </c>
      <c r="H118" s="43">
        <f t="shared" ca="1" si="30"/>
        <v>2.1875</v>
      </c>
      <c r="I118" s="42">
        <f t="shared" ca="1" si="25"/>
        <v>1.75</v>
      </c>
      <c r="J118" s="18"/>
      <c r="K118" s="76"/>
      <c r="M118" s="132">
        <f t="shared" ca="1" si="16"/>
        <v>37.975011840803241</v>
      </c>
      <c r="N118" s="38">
        <f t="shared" si="26"/>
        <v>1.0968749999999998</v>
      </c>
      <c r="O118" s="36">
        <f t="shared" si="27"/>
        <v>29.25</v>
      </c>
      <c r="P118" s="38">
        <f ca="1">IF(ISERROR(IF(O118&lt;fi_h/20,0,(OFFSET('Base de dados'!$A$5,IF(O118&lt;20,1,IF(O118&gt;1000,10,MATCH(O118,Cargas,1))),Coluna_fih,1,1))*(1+0.13*0.25)*(PI()*(fi_h/1000)^2/4)*SQRT(2*9.81*(O118/100-fi_h/2/1000))*1000)),"",IF(O118&lt;fi_h/20,0,(OFFSET('Base de dados'!$A$5,IF(O118&lt;20,1,IF(O118&gt;1000,10,MATCH(O118,Cargas,1))),Coluna_fih,1,1))*(PI()*(fi_h/1000)^2/4)*SQRT(2*9.81*(O118/100-fi_h/2/1000))*1000))</f>
        <v>1.4125118408032491</v>
      </c>
      <c r="Q118" s="38">
        <f ca="1">IF(O118="","",IF(Tipo_Vertedor="Retangular",IF(O118&lt;=cota_s*100,0,IF(Tipo_Vertedor="Retangular",Cd_sr*Lef_sr*((O118/100-cota_s)^(3/2))*1000)),IF(O118&lt;=cota_s*100+fi_s/20,0,(OFFSET('Base de dados'!$A$4,IF(O118&lt;20,1,IF(O118&gt;1000,10,MATCH(O118,Cargas,1))),Coluna_fis,1,1))*(PI()*(fi_s/1000)^2/4)*(2*9.81*(O118/100-cota_s-fi_s/2/1000))^0.5*1000)))</f>
        <v>0</v>
      </c>
      <c r="R118" s="38">
        <f t="shared" ca="1" si="17"/>
        <v>1.4125118408032491</v>
      </c>
      <c r="S118" s="38">
        <f t="shared" ca="1" si="18"/>
        <v>36.562499999999993</v>
      </c>
      <c r="AD118" s="38">
        <f t="shared" si="28"/>
        <v>17.109544907923322</v>
      </c>
      <c r="AE118" s="38">
        <f t="shared" ca="1" si="29"/>
        <v>16.156667909449425</v>
      </c>
      <c r="AF118" s="38">
        <f ca="1">IF(ISERROR(IF('Hidrograma afluente'!I125="",0,'Hidrograma afluente'!I125)+Simulação!G118),"",IF('Hidrograma afluente'!I125="",0,'Hidrograma afluente'!I125)+Simulação!G118)</f>
        <v>0</v>
      </c>
      <c r="AG118" s="36">
        <v>0</v>
      </c>
      <c r="AH118" s="36">
        <v>0</v>
      </c>
      <c r="AI118" s="48">
        <v>1.25</v>
      </c>
      <c r="AJ118" s="36">
        <v>1.25</v>
      </c>
      <c r="AK118" s="38">
        <f>IF(A118="","",IF('Hidrograma afluente'!I125="",0,'Hidrograma afluente'!I125)+Simulação!B118)</f>
        <v>0</v>
      </c>
    </row>
    <row r="119" spans="1:37" s="36" customFormat="1">
      <c r="A119" s="23">
        <f t="shared" si="19"/>
        <v>114</v>
      </c>
      <c r="B119" s="24">
        <f>IF(A119="","",IF(A119&gt;tc_lot_i+tc,0,IF('Hidrograma afluente'!B126="","",'Hidrograma afluente'!B126)))</f>
        <v>0</v>
      </c>
      <c r="C119" s="41">
        <f t="shared" si="20"/>
        <v>0</v>
      </c>
      <c r="D119" s="41">
        <f t="shared" ca="1" si="21"/>
        <v>2.1875</v>
      </c>
      <c r="E119" s="41">
        <f t="shared" ca="1" si="22"/>
        <v>0</v>
      </c>
      <c r="F119" s="41">
        <f t="shared" ca="1" si="23"/>
        <v>0</v>
      </c>
      <c r="G119" s="41">
        <f t="shared" ca="1" si="24"/>
        <v>0</v>
      </c>
      <c r="H119" s="43">
        <f t="shared" ca="1" si="30"/>
        <v>2.1875</v>
      </c>
      <c r="I119" s="42">
        <f t="shared" ca="1" si="25"/>
        <v>1.75</v>
      </c>
      <c r="J119" s="18"/>
      <c r="K119" s="76"/>
      <c r="M119" s="132">
        <f t="shared" ca="1" si="16"/>
        <v>38.293920148092432</v>
      </c>
      <c r="N119" s="38">
        <f t="shared" si="26"/>
        <v>1.10625</v>
      </c>
      <c r="O119" s="36">
        <f t="shared" si="27"/>
        <v>29.5</v>
      </c>
      <c r="P119" s="38">
        <f ca="1">IF(ISERROR(IF(O119&lt;fi_h/20,0,(OFFSET('Base de dados'!$A$5,IF(O119&lt;20,1,IF(O119&gt;1000,10,MATCH(O119,Cargas,1))),Coluna_fih,1,1))*(1+0.13*0.25)*(PI()*(fi_h/1000)^2/4)*SQRT(2*9.81*(O119/100-fi_h/2/1000))*1000)),"",IF(O119&lt;fi_h/20,0,(OFFSET('Base de dados'!$A$5,IF(O119&lt;20,1,IF(O119&gt;1000,10,MATCH(O119,Cargas,1))),Coluna_fih,1,1))*(PI()*(fi_h/1000)^2/4)*SQRT(2*9.81*(O119/100-fi_h/2/1000))*1000))</f>
        <v>1.4189201480924327</v>
      </c>
      <c r="Q119" s="38">
        <f ca="1">IF(O119="","",IF(Tipo_Vertedor="Retangular",IF(O119&lt;=cota_s*100,0,IF(Tipo_Vertedor="Retangular",Cd_sr*Lef_sr*((O119/100-cota_s)^(3/2))*1000)),IF(O119&lt;=cota_s*100+fi_s/20,0,(OFFSET('Base de dados'!$A$4,IF(O119&lt;20,1,IF(O119&gt;1000,10,MATCH(O119,Cargas,1))),Coluna_fis,1,1))*(PI()*(fi_s/1000)^2/4)*(2*9.81*(O119/100-cota_s-fi_s/2/1000))^0.5*1000)))</f>
        <v>0</v>
      </c>
      <c r="R119" s="38">
        <f t="shared" ca="1" si="17"/>
        <v>1.4189201480924327</v>
      </c>
      <c r="S119" s="38">
        <f t="shared" ca="1" si="18"/>
        <v>36.875</v>
      </c>
      <c r="AD119" s="38">
        <f t="shared" si="28"/>
        <v>17.109544907923322</v>
      </c>
      <c r="AE119" s="38">
        <f t="shared" ca="1" si="29"/>
        <v>16.156667909449425</v>
      </c>
      <c r="AF119" s="38">
        <f ca="1">IF(ISERROR(IF('Hidrograma afluente'!I126="",0,'Hidrograma afluente'!I126)+Simulação!G119),"",IF('Hidrograma afluente'!I126="",0,'Hidrograma afluente'!I126)+Simulação!G119)</f>
        <v>0</v>
      </c>
      <c r="AG119" s="36">
        <v>0</v>
      </c>
      <c r="AH119" s="36">
        <v>0</v>
      </c>
      <c r="AI119" s="48">
        <v>1.25</v>
      </c>
      <c r="AJ119" s="36">
        <v>1.25</v>
      </c>
      <c r="AK119" s="38">
        <f>IF(A119="","",IF('Hidrograma afluente'!I126="",0,'Hidrograma afluente'!I126)+Simulação!B119)</f>
        <v>0</v>
      </c>
    </row>
    <row r="120" spans="1:37" s="36" customFormat="1">
      <c r="A120" s="23">
        <f t="shared" si="19"/>
        <v>115</v>
      </c>
      <c r="B120" s="24">
        <f>IF(A120="","",IF(A120&gt;tc_lot_i+tc,0,IF('Hidrograma afluente'!B127="","",'Hidrograma afluente'!B127)))</f>
        <v>0</v>
      </c>
      <c r="C120" s="41">
        <f t="shared" si="20"/>
        <v>0</v>
      </c>
      <c r="D120" s="41">
        <f t="shared" ca="1" si="21"/>
        <v>2.1875</v>
      </c>
      <c r="E120" s="41">
        <f t="shared" ca="1" si="22"/>
        <v>0</v>
      </c>
      <c r="F120" s="41">
        <f t="shared" ca="1" si="23"/>
        <v>0</v>
      </c>
      <c r="G120" s="41">
        <f t="shared" ca="1" si="24"/>
        <v>0</v>
      </c>
      <c r="H120" s="43">
        <f t="shared" ca="1" si="30"/>
        <v>2.1875</v>
      </c>
      <c r="I120" s="42">
        <f t="shared" ca="1" si="25"/>
        <v>1.75</v>
      </c>
      <c r="J120" s="18"/>
      <c r="K120" s="76"/>
      <c r="M120" s="132">
        <f t="shared" ca="1" si="16"/>
        <v>38.612799643203459</v>
      </c>
      <c r="N120" s="38">
        <f t="shared" si="26"/>
        <v>1.1156249999999999</v>
      </c>
      <c r="O120" s="36">
        <f t="shared" si="27"/>
        <v>29.75</v>
      </c>
      <c r="P120" s="38">
        <f ca="1">IF(ISERROR(IF(O120&lt;fi_h/20,0,(OFFSET('Base de dados'!$A$5,IF(O120&lt;20,1,IF(O120&gt;1000,10,MATCH(O120,Cargas,1))),Coluna_fih,1,1))*(1+0.13*0.25)*(PI()*(fi_h/1000)^2/4)*SQRT(2*9.81*(O120/100-fi_h/2/1000))*1000)),"",IF(O120&lt;fi_h/20,0,(OFFSET('Base de dados'!$A$5,IF(O120&lt;20,1,IF(O120&gt;1000,10,MATCH(O120,Cargas,1))),Coluna_fih,1,1))*(PI()*(fi_h/1000)^2/4)*SQRT(2*9.81*(O120/100-fi_h/2/1000))*1000))</f>
        <v>1.4252996432034635</v>
      </c>
      <c r="Q120" s="38">
        <f ca="1">IF(O120="","",IF(Tipo_Vertedor="Retangular",IF(O120&lt;=cota_s*100,0,IF(Tipo_Vertedor="Retangular",Cd_sr*Lef_sr*((O120/100-cota_s)^(3/2))*1000)),IF(O120&lt;=cota_s*100+fi_s/20,0,(OFFSET('Base de dados'!$A$4,IF(O120&lt;20,1,IF(O120&gt;1000,10,MATCH(O120,Cargas,1))),Coluna_fis,1,1))*(PI()*(fi_s/1000)^2/4)*(2*9.81*(O120/100-cota_s-fi_s/2/1000))^0.5*1000)))</f>
        <v>0</v>
      </c>
      <c r="R120" s="38">
        <f t="shared" ca="1" si="17"/>
        <v>1.4252996432034635</v>
      </c>
      <c r="S120" s="38">
        <f t="shared" ca="1" si="18"/>
        <v>37.187499999999993</v>
      </c>
      <c r="AD120" s="38">
        <f t="shared" si="28"/>
        <v>17.109544907923322</v>
      </c>
      <c r="AE120" s="38">
        <f t="shared" ca="1" si="29"/>
        <v>16.156667909449425</v>
      </c>
      <c r="AF120" s="38">
        <f ca="1">IF(ISERROR(IF('Hidrograma afluente'!I127="",0,'Hidrograma afluente'!I127)+Simulação!G120),"",IF('Hidrograma afluente'!I127="",0,'Hidrograma afluente'!I127)+Simulação!G120)</f>
        <v>0</v>
      </c>
      <c r="AG120" s="36">
        <v>0</v>
      </c>
      <c r="AH120" s="36">
        <v>0</v>
      </c>
      <c r="AI120" s="48">
        <v>1.25</v>
      </c>
      <c r="AJ120" s="36">
        <v>1.25</v>
      </c>
      <c r="AK120" s="38">
        <f>IF(A120="","",IF('Hidrograma afluente'!I127="",0,'Hidrograma afluente'!I127)+Simulação!B120)</f>
        <v>0</v>
      </c>
    </row>
    <row r="121" spans="1:37" s="36" customFormat="1">
      <c r="A121" s="23">
        <f t="shared" si="19"/>
        <v>116</v>
      </c>
      <c r="B121" s="24">
        <f>IF(A121="","",IF(A121&gt;tc_lot_i+tc,0,IF('Hidrograma afluente'!B128="","",'Hidrograma afluente'!B128)))</f>
        <v>0</v>
      </c>
      <c r="C121" s="41">
        <f t="shared" si="20"/>
        <v>0</v>
      </c>
      <c r="D121" s="41">
        <f t="shared" ca="1" si="21"/>
        <v>2.1875</v>
      </c>
      <c r="E121" s="41">
        <f t="shared" ca="1" si="22"/>
        <v>0</v>
      </c>
      <c r="F121" s="41">
        <f t="shared" ca="1" si="23"/>
        <v>0</v>
      </c>
      <c r="G121" s="41">
        <f t="shared" ca="1" si="24"/>
        <v>0</v>
      </c>
      <c r="H121" s="43">
        <f t="shared" ca="1" si="30"/>
        <v>2.1875</v>
      </c>
      <c r="I121" s="42">
        <f t="shared" ca="1" si="25"/>
        <v>1.75</v>
      </c>
      <c r="J121" s="18"/>
      <c r="K121" s="76"/>
      <c r="M121" s="132">
        <f t="shared" ca="1" si="16"/>
        <v>38.931650711301188</v>
      </c>
      <c r="N121" s="38">
        <f t="shared" si="26"/>
        <v>1.125</v>
      </c>
      <c r="O121" s="36">
        <f t="shared" si="27"/>
        <v>30</v>
      </c>
      <c r="P121" s="38">
        <f ca="1">IF(ISERROR(IF(O121&lt;fi_h/20,0,(OFFSET('Base de dados'!$A$5,IF(O121&lt;20,1,IF(O121&gt;1000,10,MATCH(O121,Cargas,1))),Coluna_fih,1,1))*(1+0.13*0.25)*(PI()*(fi_h/1000)^2/4)*SQRT(2*9.81*(O121/100-fi_h/2/1000))*1000)),"",IF(O121&lt;fi_h/20,0,(OFFSET('Base de dados'!$A$5,IF(O121&lt;20,1,IF(O121&gt;1000,10,MATCH(O121,Cargas,1))),Coluna_fih,1,1))*(PI()*(fi_h/1000)^2/4)*SQRT(2*9.81*(O121/100-fi_h/2/1000))*1000))</f>
        <v>1.4316507113011847</v>
      </c>
      <c r="Q121" s="38">
        <f ca="1">IF(O121="","",IF(Tipo_Vertedor="Retangular",IF(O121&lt;=cota_s*100,0,IF(Tipo_Vertedor="Retangular",Cd_sr*Lef_sr*((O121/100-cota_s)^(3/2))*1000)),IF(O121&lt;=cota_s*100+fi_s/20,0,(OFFSET('Base de dados'!$A$4,IF(O121&lt;20,1,IF(O121&gt;1000,10,MATCH(O121,Cargas,1))),Coluna_fis,1,1))*(PI()*(fi_s/1000)^2/4)*(2*9.81*(O121/100-cota_s-fi_s/2/1000))^0.5*1000)))</f>
        <v>0</v>
      </c>
      <c r="R121" s="38">
        <f t="shared" ca="1" si="17"/>
        <v>1.4316507113011847</v>
      </c>
      <c r="S121" s="38">
        <f t="shared" ca="1" si="18"/>
        <v>37.5</v>
      </c>
      <c r="AD121" s="38">
        <f t="shared" si="28"/>
        <v>17.109544907923322</v>
      </c>
      <c r="AE121" s="38">
        <f t="shared" ca="1" si="29"/>
        <v>16.156667909449425</v>
      </c>
      <c r="AF121" s="38">
        <f ca="1">IF(ISERROR(IF('Hidrograma afluente'!I128="",0,'Hidrograma afluente'!I128)+Simulação!G121),"",IF('Hidrograma afluente'!I128="",0,'Hidrograma afluente'!I128)+Simulação!G121)</f>
        <v>0</v>
      </c>
      <c r="AG121" s="36">
        <v>0</v>
      </c>
      <c r="AH121" s="36">
        <v>0</v>
      </c>
      <c r="AI121" s="48">
        <v>1.25</v>
      </c>
      <c r="AJ121" s="36">
        <v>1.25</v>
      </c>
      <c r="AK121" s="38">
        <f>IF(A121="","",IF('Hidrograma afluente'!I128="",0,'Hidrograma afluente'!I128)+Simulação!B121)</f>
        <v>0</v>
      </c>
    </row>
    <row r="122" spans="1:37" s="36" customFormat="1">
      <c r="A122" s="23">
        <f t="shared" si="19"/>
        <v>117</v>
      </c>
      <c r="B122" s="24">
        <f>IF(A122="","",IF(A122&gt;tc_lot_i+tc,0,IF('Hidrograma afluente'!B129="","",'Hidrograma afluente'!B129)))</f>
        <v>0</v>
      </c>
      <c r="C122" s="41">
        <f t="shared" si="20"/>
        <v>0</v>
      </c>
      <c r="D122" s="41">
        <f t="shared" ca="1" si="21"/>
        <v>2.1875</v>
      </c>
      <c r="E122" s="41">
        <f t="shared" ca="1" si="22"/>
        <v>0</v>
      </c>
      <c r="F122" s="41">
        <f t="shared" ca="1" si="23"/>
        <v>0</v>
      </c>
      <c r="G122" s="41">
        <f t="shared" ca="1" si="24"/>
        <v>0</v>
      </c>
      <c r="H122" s="43">
        <f t="shared" ca="1" si="30"/>
        <v>2.1875</v>
      </c>
      <c r="I122" s="42">
        <f t="shared" ca="1" si="25"/>
        <v>1.75</v>
      </c>
      <c r="J122" s="18"/>
      <c r="K122" s="76"/>
      <c r="M122" s="132">
        <f t="shared" ca="1" si="16"/>
        <v>39.250473729044607</v>
      </c>
      <c r="N122" s="38">
        <f t="shared" si="26"/>
        <v>1.1343749999999999</v>
      </c>
      <c r="O122" s="36">
        <f t="shared" si="27"/>
        <v>30.25</v>
      </c>
      <c r="P122" s="38">
        <f ca="1">IF(ISERROR(IF(O122&lt;fi_h/20,0,(OFFSET('Base de dados'!$A$5,IF(O122&lt;20,1,IF(O122&gt;1000,10,MATCH(O122,Cargas,1))),Coluna_fih,1,1))*(1+0.13*0.25)*(PI()*(fi_h/1000)^2/4)*SQRT(2*9.81*(O122/100-fi_h/2/1000))*1000)),"",IF(O122&lt;fi_h/20,0,(OFFSET('Base de dados'!$A$5,IF(O122&lt;20,1,IF(O122&gt;1000,10,MATCH(O122,Cargas,1))),Coluna_fih,1,1))*(PI()*(fi_h/1000)^2/4)*SQRT(2*9.81*(O122/100-fi_h/2/1000))*1000))</f>
        <v>1.4379737290446082</v>
      </c>
      <c r="Q122" s="38">
        <f ca="1">IF(O122="","",IF(Tipo_Vertedor="Retangular",IF(O122&lt;=cota_s*100,0,IF(Tipo_Vertedor="Retangular",Cd_sr*Lef_sr*((O122/100-cota_s)^(3/2))*1000)),IF(O122&lt;=cota_s*100+fi_s/20,0,(OFFSET('Base de dados'!$A$4,IF(O122&lt;20,1,IF(O122&gt;1000,10,MATCH(O122,Cargas,1))),Coluna_fis,1,1))*(PI()*(fi_s/1000)^2/4)*(2*9.81*(O122/100-cota_s-fi_s/2/1000))^0.5*1000)))</f>
        <v>0</v>
      </c>
      <c r="R122" s="38">
        <f t="shared" ca="1" si="17"/>
        <v>1.4379737290446082</v>
      </c>
      <c r="S122" s="38">
        <f t="shared" ca="1" si="18"/>
        <v>37.8125</v>
      </c>
      <c r="AD122" s="38">
        <f t="shared" si="28"/>
        <v>17.109544907923322</v>
      </c>
      <c r="AE122" s="38">
        <f t="shared" ca="1" si="29"/>
        <v>16.156667909449425</v>
      </c>
      <c r="AF122" s="38">
        <f ca="1">IF(ISERROR(IF('Hidrograma afluente'!I129="",0,'Hidrograma afluente'!I129)+Simulação!G122),"",IF('Hidrograma afluente'!I129="",0,'Hidrograma afluente'!I129)+Simulação!G122)</f>
        <v>0</v>
      </c>
      <c r="AG122" s="36">
        <v>0</v>
      </c>
      <c r="AH122" s="36">
        <v>0</v>
      </c>
      <c r="AI122" s="48">
        <v>1.25</v>
      </c>
      <c r="AJ122" s="36">
        <v>1.25</v>
      </c>
      <c r="AK122" s="38">
        <f>IF(A122="","",IF('Hidrograma afluente'!I129="",0,'Hidrograma afluente'!I129)+Simulação!B122)</f>
        <v>0</v>
      </c>
    </row>
    <row r="123" spans="1:37" s="36" customFormat="1">
      <c r="A123" s="23">
        <f t="shared" si="19"/>
        <v>118</v>
      </c>
      <c r="B123" s="24">
        <f>IF(A123="","",IF(A123&gt;tc_lot_i+tc,0,IF('Hidrograma afluente'!B130="","",'Hidrograma afluente'!B130)))</f>
        <v>0</v>
      </c>
      <c r="C123" s="41">
        <f t="shared" si="20"/>
        <v>0</v>
      </c>
      <c r="D123" s="41">
        <f t="shared" ca="1" si="21"/>
        <v>2.1875</v>
      </c>
      <c r="E123" s="41">
        <f t="shared" ca="1" si="22"/>
        <v>0</v>
      </c>
      <c r="F123" s="41">
        <f t="shared" ca="1" si="23"/>
        <v>0</v>
      </c>
      <c r="G123" s="41">
        <f t="shared" ca="1" si="24"/>
        <v>0</v>
      </c>
      <c r="H123" s="43">
        <f t="shared" ca="1" si="30"/>
        <v>2.1875</v>
      </c>
      <c r="I123" s="42">
        <f t="shared" ca="1" si="25"/>
        <v>1.75</v>
      </c>
      <c r="J123" s="18"/>
      <c r="K123" s="76"/>
      <c r="M123" s="132">
        <f t="shared" ca="1" si="16"/>
        <v>39.569269064847589</v>
      </c>
      <c r="N123" s="38">
        <f t="shared" si="26"/>
        <v>1.14375</v>
      </c>
      <c r="O123" s="36">
        <f t="shared" si="27"/>
        <v>30.5</v>
      </c>
      <c r="P123" s="38">
        <f ca="1">IF(ISERROR(IF(O123&lt;fi_h/20,0,(OFFSET('Base de dados'!$A$5,IF(O123&lt;20,1,IF(O123&gt;1000,10,MATCH(O123,Cargas,1))),Coluna_fih,1,1))*(1+0.13*0.25)*(PI()*(fi_h/1000)^2/4)*SQRT(2*9.81*(O123/100-fi_h/2/1000))*1000)),"",IF(O123&lt;fi_h/20,0,(OFFSET('Base de dados'!$A$5,IF(O123&lt;20,1,IF(O123&gt;1000,10,MATCH(O123,Cargas,1))),Coluna_fih,1,1))*(PI()*(fi_h/1000)^2/4)*SQRT(2*9.81*(O123/100-fi_h/2/1000))*1000))</f>
        <v>1.4442690648475873</v>
      </c>
      <c r="Q123" s="38">
        <f ca="1">IF(O123="","",IF(Tipo_Vertedor="Retangular",IF(O123&lt;=cota_s*100,0,IF(Tipo_Vertedor="Retangular",Cd_sr*Lef_sr*((O123/100-cota_s)^(3/2))*1000)),IF(O123&lt;=cota_s*100+fi_s/20,0,(OFFSET('Base de dados'!$A$4,IF(O123&lt;20,1,IF(O123&gt;1000,10,MATCH(O123,Cargas,1))),Coluna_fis,1,1))*(PI()*(fi_s/1000)^2/4)*(2*9.81*(O123/100-cota_s-fi_s/2/1000))^0.5*1000)))</f>
        <v>0</v>
      </c>
      <c r="R123" s="38">
        <f t="shared" ca="1" si="17"/>
        <v>1.4442690648475873</v>
      </c>
      <c r="S123" s="38">
        <f t="shared" ca="1" si="18"/>
        <v>38.125</v>
      </c>
      <c r="AD123" s="38">
        <f t="shared" si="28"/>
        <v>17.109544907923322</v>
      </c>
      <c r="AE123" s="38">
        <f t="shared" ca="1" si="29"/>
        <v>16.156667909449425</v>
      </c>
      <c r="AF123" s="38">
        <f ca="1">IF(ISERROR(IF('Hidrograma afluente'!I130="",0,'Hidrograma afluente'!I130)+Simulação!G123),"",IF('Hidrograma afluente'!I130="",0,'Hidrograma afluente'!I130)+Simulação!G123)</f>
        <v>0</v>
      </c>
      <c r="AG123" s="36">
        <v>0</v>
      </c>
      <c r="AH123" s="36">
        <v>0</v>
      </c>
      <c r="AI123" s="48">
        <v>1.25</v>
      </c>
      <c r="AJ123" s="36">
        <v>1.25</v>
      </c>
      <c r="AK123" s="38">
        <f>IF(A123="","",IF('Hidrograma afluente'!I130="",0,'Hidrograma afluente'!I130)+Simulação!B123)</f>
        <v>0</v>
      </c>
    </row>
    <row r="124" spans="1:37" s="36" customFormat="1">
      <c r="A124" s="23">
        <f t="shared" si="19"/>
        <v>119</v>
      </c>
      <c r="B124" s="24">
        <f>IF(A124="","",IF(A124&gt;tc_lot_i+tc,0,IF('Hidrograma afluente'!B131="","",'Hidrograma afluente'!B131)))</f>
        <v>0</v>
      </c>
      <c r="C124" s="41">
        <f t="shared" si="20"/>
        <v>0</v>
      </c>
      <c r="D124" s="41">
        <f t="shared" ca="1" si="21"/>
        <v>2.1875</v>
      </c>
      <c r="E124" s="41">
        <f t="shared" ca="1" si="22"/>
        <v>0</v>
      </c>
      <c r="F124" s="41">
        <f t="shared" ca="1" si="23"/>
        <v>0</v>
      </c>
      <c r="G124" s="41">
        <f t="shared" ca="1" si="24"/>
        <v>0</v>
      </c>
      <c r="H124" s="43">
        <f t="shared" ca="1" si="30"/>
        <v>2.1875</v>
      </c>
      <c r="I124" s="42">
        <f t="shared" ca="1" si="25"/>
        <v>1.75</v>
      </c>
      <c r="J124" s="18"/>
      <c r="K124" s="76"/>
      <c r="M124" s="132">
        <f t="shared" ca="1" si="16"/>
        <v>39.888037079129312</v>
      </c>
      <c r="N124" s="38">
        <f t="shared" si="26"/>
        <v>1.153125</v>
      </c>
      <c r="O124" s="36">
        <f t="shared" si="27"/>
        <v>30.75</v>
      </c>
      <c r="P124" s="38">
        <f ca="1">IF(ISERROR(IF(O124&lt;fi_h/20,0,(OFFSET('Base de dados'!$A$5,IF(O124&lt;20,1,IF(O124&gt;1000,10,MATCH(O124,Cargas,1))),Coluna_fih,1,1))*(1+0.13*0.25)*(PI()*(fi_h/1000)^2/4)*SQRT(2*9.81*(O124/100-fi_h/2/1000))*1000)),"",IF(O124&lt;fi_h/20,0,(OFFSET('Base de dados'!$A$5,IF(O124&lt;20,1,IF(O124&gt;1000,10,MATCH(O124,Cargas,1))),Coluna_fih,1,1))*(PI()*(fi_h/1000)^2/4)*SQRT(2*9.81*(O124/100-fi_h/2/1000))*1000))</f>
        <v>1.4505370791293111</v>
      </c>
      <c r="Q124" s="38">
        <f ca="1">IF(O124="","",IF(Tipo_Vertedor="Retangular",IF(O124&lt;=cota_s*100,0,IF(Tipo_Vertedor="Retangular",Cd_sr*Lef_sr*((O124/100-cota_s)^(3/2))*1000)),IF(O124&lt;=cota_s*100+fi_s/20,0,(OFFSET('Base de dados'!$A$4,IF(O124&lt;20,1,IF(O124&gt;1000,10,MATCH(O124,Cargas,1))),Coluna_fis,1,1))*(PI()*(fi_s/1000)^2/4)*(2*9.81*(O124/100-cota_s-fi_s/2/1000))^0.5*1000)))</f>
        <v>0</v>
      </c>
      <c r="R124" s="38">
        <f t="shared" ca="1" si="17"/>
        <v>1.4505370791293111</v>
      </c>
      <c r="S124" s="38">
        <f t="shared" ca="1" si="18"/>
        <v>38.4375</v>
      </c>
      <c r="AD124" s="38">
        <f t="shared" si="28"/>
        <v>17.109544907923322</v>
      </c>
      <c r="AE124" s="38">
        <f t="shared" ca="1" si="29"/>
        <v>16.156667909449425</v>
      </c>
      <c r="AF124" s="38">
        <f ca="1">IF(ISERROR(IF('Hidrograma afluente'!I131="",0,'Hidrograma afluente'!I131)+Simulação!G124),"",IF('Hidrograma afluente'!I131="",0,'Hidrograma afluente'!I131)+Simulação!G124)</f>
        <v>0</v>
      </c>
      <c r="AG124" s="36">
        <v>0</v>
      </c>
      <c r="AH124" s="36">
        <v>0</v>
      </c>
      <c r="AI124" s="48">
        <v>1.25</v>
      </c>
      <c r="AJ124" s="36">
        <v>1.25</v>
      </c>
      <c r="AK124" s="38">
        <f>IF(A124="","",IF('Hidrograma afluente'!I131="",0,'Hidrograma afluente'!I131)+Simulação!B124)</f>
        <v>0</v>
      </c>
    </row>
    <row r="125" spans="1:37" s="36" customFormat="1">
      <c r="A125" s="23">
        <f t="shared" si="19"/>
        <v>120</v>
      </c>
      <c r="B125" s="24">
        <f>IF(A125="","",IF(A125&gt;tc_lot_i+tc,0,IF('Hidrograma afluente'!B132="","",'Hidrograma afluente'!B132)))</f>
        <v>0</v>
      </c>
      <c r="C125" s="41" t="str">
        <f t="shared" si="20"/>
        <v/>
      </c>
      <c r="D125" s="41">
        <f t="shared" ca="1" si="21"/>
        <v>2.1875</v>
      </c>
      <c r="E125" s="41">
        <f t="shared" ca="1" si="22"/>
        <v>0</v>
      </c>
      <c r="F125" s="41">
        <f t="shared" ca="1" si="23"/>
        <v>0</v>
      </c>
      <c r="G125" s="41">
        <f t="shared" ca="1" si="24"/>
        <v>0</v>
      </c>
      <c r="H125" s="43">
        <f t="shared" ca="1" si="30"/>
        <v>0</v>
      </c>
      <c r="I125" s="42">
        <f t="shared" ca="1" si="25"/>
        <v>1.75</v>
      </c>
      <c r="J125" s="18"/>
      <c r="K125" s="76"/>
      <c r="M125" s="132">
        <f t="shared" ca="1" si="16"/>
        <v>40.206778124555093</v>
      </c>
      <c r="N125" s="38">
        <f t="shared" si="26"/>
        <v>1.1625000000000001</v>
      </c>
      <c r="O125" s="36">
        <f t="shared" si="27"/>
        <v>31</v>
      </c>
      <c r="P125" s="38">
        <f ca="1">IF(ISERROR(IF(O125&lt;fi_h/20,0,(OFFSET('Base de dados'!$A$5,IF(O125&lt;20,1,IF(O125&gt;1000,10,MATCH(O125,Cargas,1))),Coluna_fih,1,1))*(1+0.13*0.25)*(PI()*(fi_h/1000)^2/4)*SQRT(2*9.81*(O125/100-fi_h/2/1000))*1000)),"",IF(O125&lt;fi_h/20,0,(OFFSET('Base de dados'!$A$5,IF(O125&lt;20,1,IF(O125&gt;1000,10,MATCH(O125,Cargas,1))),Coluna_fih,1,1))*(PI()*(fi_h/1000)^2/4)*SQRT(2*9.81*(O125/100-fi_h/2/1000))*1000))</f>
        <v>1.4567781245550955</v>
      </c>
      <c r="Q125" s="38">
        <f ca="1">IF(O125="","",IF(Tipo_Vertedor="Retangular",IF(O125&lt;=cota_s*100,0,IF(Tipo_Vertedor="Retangular",Cd_sr*Lef_sr*((O125/100-cota_s)^(3/2))*1000)),IF(O125&lt;=cota_s*100+fi_s/20,0,(OFFSET('Base de dados'!$A$4,IF(O125&lt;20,1,IF(O125&gt;1000,10,MATCH(O125,Cargas,1))),Coluna_fis,1,1))*(PI()*(fi_s/1000)^2/4)*(2*9.81*(O125/100-cota_s-fi_s/2/1000))^0.5*1000)))</f>
        <v>0</v>
      </c>
      <c r="R125" s="38">
        <f t="shared" ca="1" si="17"/>
        <v>1.4567781245550955</v>
      </c>
      <c r="S125" s="38">
        <f t="shared" ca="1" si="18"/>
        <v>38.75</v>
      </c>
      <c r="AD125" s="38">
        <f t="shared" si="28"/>
        <v>17.109544907923322</v>
      </c>
      <c r="AE125" s="38">
        <f t="shared" ca="1" si="29"/>
        <v>16.156667909449425</v>
      </c>
      <c r="AF125" s="38">
        <f ca="1">IF(ISERROR(IF('Hidrograma afluente'!I132="",0,'Hidrograma afluente'!I132)+Simulação!G125),"",IF('Hidrograma afluente'!I132="",0,'Hidrograma afluente'!I132)+Simulação!G125)</f>
        <v>0</v>
      </c>
      <c r="AG125" s="36">
        <v>0</v>
      </c>
      <c r="AH125" s="36">
        <v>0</v>
      </c>
      <c r="AI125" s="48">
        <v>1.25</v>
      </c>
      <c r="AJ125" s="36">
        <v>1.25</v>
      </c>
      <c r="AK125" s="38">
        <f>IF(A125="","",IF('Hidrograma afluente'!I132="",0,'Hidrograma afluente'!I132)+Simulação!B125)</f>
        <v>0</v>
      </c>
    </row>
    <row r="126" spans="1:37" s="36" customFormat="1">
      <c r="A126" s="23" t="str">
        <f t="shared" si="19"/>
        <v/>
      </c>
      <c r="B126" s="24" t="str">
        <f>IF(A126="","",IF(A126&gt;tc_lot_i+tc,0,IF('Hidrograma afluente'!B133="","",'Hidrograma afluente'!B133)))</f>
        <v/>
      </c>
      <c r="C126" s="41" t="str">
        <f t="shared" si="20"/>
        <v/>
      </c>
      <c r="D126" s="41" t="str">
        <f t="shared" si="21"/>
        <v/>
      </c>
      <c r="E126" s="41" t="str">
        <f t="shared" si="22"/>
        <v/>
      </c>
      <c r="F126" s="41" t="str">
        <f t="shared" si="23"/>
        <v/>
      </c>
      <c r="G126" s="41" t="str">
        <f t="shared" si="24"/>
        <v/>
      </c>
      <c r="H126" s="43" t="str">
        <f t="shared" si="30"/>
        <v/>
      </c>
      <c r="I126" s="42" t="str">
        <f t="shared" si="25"/>
        <v/>
      </c>
      <c r="J126" s="18"/>
      <c r="K126" s="76"/>
      <c r="M126" s="132">
        <f t="shared" ca="1" si="16"/>
        <v>40.525492546267934</v>
      </c>
      <c r="N126" s="38">
        <f t="shared" si="26"/>
        <v>1.171875</v>
      </c>
      <c r="O126" s="36">
        <f t="shared" si="27"/>
        <v>31.25</v>
      </c>
      <c r="P126" s="38">
        <f ca="1">IF(ISERROR(IF(O126&lt;fi_h/20,0,(OFFSET('Base de dados'!$A$5,IF(O126&lt;20,1,IF(O126&gt;1000,10,MATCH(O126,Cargas,1))),Coluna_fih,1,1))*(1+0.13*0.25)*(PI()*(fi_h/1000)^2/4)*SQRT(2*9.81*(O126/100-fi_h/2/1000))*1000)),"",IF(O126&lt;fi_h/20,0,(OFFSET('Base de dados'!$A$5,IF(O126&lt;20,1,IF(O126&gt;1000,10,MATCH(O126,Cargas,1))),Coluna_fih,1,1))*(PI()*(fi_h/1000)^2/4)*SQRT(2*9.81*(O126/100-fi_h/2/1000))*1000))</f>
        <v>1.462992546267933</v>
      </c>
      <c r="Q126" s="38">
        <f ca="1">IF(O126="","",IF(Tipo_Vertedor="Retangular",IF(O126&lt;=cota_s*100,0,IF(Tipo_Vertedor="Retangular",Cd_sr*Lef_sr*((O126/100-cota_s)^(3/2))*1000)),IF(O126&lt;=cota_s*100+fi_s/20,0,(OFFSET('Base de dados'!$A$4,IF(O126&lt;20,1,IF(O126&gt;1000,10,MATCH(O126,Cargas,1))),Coluna_fis,1,1))*(PI()*(fi_s/1000)^2/4)*(2*9.81*(O126/100-cota_s-fi_s/2/1000))^0.5*1000)))</f>
        <v>0</v>
      </c>
      <c r="R126" s="38">
        <f t="shared" ca="1" si="17"/>
        <v>1.462992546267933</v>
      </c>
      <c r="S126" s="38">
        <f t="shared" ca="1" si="18"/>
        <v>39.0625</v>
      </c>
      <c r="AD126" s="38" t="str">
        <f t="shared" si="28"/>
        <v/>
      </c>
      <c r="AE126" s="38" t="str">
        <f t="shared" si="29"/>
        <v/>
      </c>
      <c r="AF126" s="38" t="str">
        <f>IF(ISERROR(IF('Hidrograma afluente'!I133="",0,'Hidrograma afluente'!I133)+Simulação!G126),"",IF('Hidrograma afluente'!I133="",0,'Hidrograma afluente'!I133)+Simulação!G126)</f>
        <v/>
      </c>
      <c r="AG126" s="36" t="s">
        <v>182</v>
      </c>
      <c r="AH126" s="36" t="s">
        <v>182</v>
      </c>
      <c r="AI126" s="48" t="s">
        <v>182</v>
      </c>
      <c r="AJ126" s="36" t="s">
        <v>182</v>
      </c>
      <c r="AK126" s="38" t="str">
        <f>IF(A126="","",IF('Hidrograma afluente'!I133="",0,'Hidrograma afluente'!I133)+Simulação!B126)</f>
        <v/>
      </c>
    </row>
    <row r="127" spans="1:37" s="36" customFormat="1">
      <c r="A127" s="23" t="str">
        <f t="shared" si="19"/>
        <v/>
      </c>
      <c r="B127" s="24" t="str">
        <f>IF(A127="","",IF(A127&gt;tc_lot_i+tc,0,IF('Hidrograma afluente'!B134="","",'Hidrograma afluente'!B134)))</f>
        <v/>
      </c>
      <c r="C127" s="41" t="str">
        <f t="shared" si="20"/>
        <v/>
      </c>
      <c r="D127" s="41" t="str">
        <f t="shared" si="21"/>
        <v/>
      </c>
      <c r="E127" s="41" t="str">
        <f t="shared" si="22"/>
        <v/>
      </c>
      <c r="F127" s="41" t="str">
        <f t="shared" si="23"/>
        <v/>
      </c>
      <c r="G127" s="41" t="str">
        <f t="shared" si="24"/>
        <v/>
      </c>
      <c r="H127" s="43" t="str">
        <f t="shared" si="30"/>
        <v/>
      </c>
      <c r="I127" s="42" t="str">
        <f t="shared" si="25"/>
        <v/>
      </c>
      <c r="J127" s="18"/>
      <c r="K127" s="76"/>
      <c r="M127" s="132">
        <f t="shared" ca="1" si="16"/>
        <v>40.844180682111222</v>
      </c>
      <c r="N127" s="38">
        <f t="shared" si="26"/>
        <v>1.1812499999999999</v>
      </c>
      <c r="O127" s="36">
        <f t="shared" si="27"/>
        <v>31.5</v>
      </c>
      <c r="P127" s="38">
        <f ca="1">IF(ISERROR(IF(O127&lt;fi_h/20,0,(OFFSET('Base de dados'!$A$5,IF(O127&lt;20,1,IF(O127&gt;1000,10,MATCH(O127,Cargas,1))),Coluna_fih,1,1))*(1+0.13*0.25)*(PI()*(fi_h/1000)^2/4)*SQRT(2*9.81*(O127/100-fi_h/2/1000))*1000)),"",IF(O127&lt;fi_h/20,0,(OFFSET('Base de dados'!$A$5,IF(O127&lt;20,1,IF(O127&gt;1000,10,MATCH(O127,Cargas,1))),Coluna_fih,1,1))*(PI()*(fi_h/1000)^2/4)*SQRT(2*9.81*(O127/100-fi_h/2/1000))*1000))</f>
        <v>1.4691806821112228</v>
      </c>
      <c r="Q127" s="38">
        <f ca="1">IF(O127="","",IF(Tipo_Vertedor="Retangular",IF(O127&lt;=cota_s*100,0,IF(Tipo_Vertedor="Retangular",Cd_sr*Lef_sr*((O127/100-cota_s)^(3/2))*1000)),IF(O127&lt;=cota_s*100+fi_s/20,0,(OFFSET('Base de dados'!$A$4,IF(O127&lt;20,1,IF(O127&gt;1000,10,MATCH(O127,Cargas,1))),Coluna_fis,1,1))*(PI()*(fi_s/1000)^2/4)*(2*9.81*(O127/100-cota_s-fi_s/2/1000))^0.5*1000)))</f>
        <v>0</v>
      </c>
      <c r="R127" s="38">
        <f t="shared" ca="1" si="17"/>
        <v>1.4691806821112228</v>
      </c>
      <c r="S127" s="38">
        <f t="shared" ca="1" si="18"/>
        <v>39.375</v>
      </c>
      <c r="AD127" s="38" t="str">
        <f t="shared" si="28"/>
        <v/>
      </c>
      <c r="AE127" s="38" t="str">
        <f t="shared" si="29"/>
        <v/>
      </c>
      <c r="AF127" s="38" t="str">
        <f>IF(ISERROR(IF('Hidrograma afluente'!I134="",0,'Hidrograma afluente'!I134)+Simulação!G127),"",IF('Hidrograma afluente'!I134="",0,'Hidrograma afluente'!I134)+Simulação!G127)</f>
        <v/>
      </c>
      <c r="AG127" s="36" t="s">
        <v>182</v>
      </c>
      <c r="AH127" s="36" t="s">
        <v>182</v>
      </c>
      <c r="AI127" s="48" t="s">
        <v>182</v>
      </c>
      <c r="AJ127" s="36" t="s">
        <v>182</v>
      </c>
      <c r="AK127" s="38" t="str">
        <f>IF(A127="","",IF('Hidrograma afluente'!I134="",0,'Hidrograma afluente'!I134)+Simulação!B127)</f>
        <v/>
      </c>
    </row>
    <row r="128" spans="1:37" s="36" customFormat="1">
      <c r="A128" s="23" t="str">
        <f t="shared" si="19"/>
        <v/>
      </c>
      <c r="B128" s="24" t="str">
        <f>IF(A128="","",IF(A128&gt;tc_lot_i+tc,0,IF('Hidrograma afluente'!B135="","",'Hidrograma afluente'!B135)))</f>
        <v/>
      </c>
      <c r="C128" s="41" t="str">
        <f t="shared" si="20"/>
        <v/>
      </c>
      <c r="D128" s="41" t="str">
        <f t="shared" si="21"/>
        <v/>
      </c>
      <c r="E128" s="41" t="str">
        <f t="shared" si="22"/>
        <v/>
      </c>
      <c r="F128" s="41" t="str">
        <f t="shared" si="23"/>
        <v/>
      </c>
      <c r="G128" s="41" t="str">
        <f t="shared" si="24"/>
        <v/>
      </c>
      <c r="H128" s="43" t="str">
        <f t="shared" si="30"/>
        <v/>
      </c>
      <c r="I128" s="42" t="str">
        <f t="shared" si="25"/>
        <v/>
      </c>
      <c r="J128" s="18"/>
      <c r="K128" s="76"/>
      <c r="M128" s="132">
        <f t="shared" ca="1" si="16"/>
        <v>41.1628428628431</v>
      </c>
      <c r="N128" s="38">
        <f t="shared" si="26"/>
        <v>1.190625</v>
      </c>
      <c r="O128" s="36">
        <f t="shared" si="27"/>
        <v>31.75</v>
      </c>
      <c r="P128" s="38">
        <f ca="1">IF(ISERROR(IF(O128&lt;fi_h/20,0,(OFFSET('Base de dados'!$A$5,IF(O128&lt;20,1,IF(O128&gt;1000,10,MATCH(O128,Cargas,1))),Coluna_fih,1,1))*(1+0.13*0.25)*(PI()*(fi_h/1000)^2/4)*SQRT(2*9.81*(O128/100-fi_h/2/1000))*1000)),"",IF(O128&lt;fi_h/20,0,(OFFSET('Base de dados'!$A$5,IF(O128&lt;20,1,IF(O128&gt;1000,10,MATCH(O128,Cargas,1))),Coluna_fih,1,1))*(PI()*(fi_h/1000)^2/4)*SQRT(2*9.81*(O128/100-fi_h/2/1000))*1000))</f>
        <v>1.4753428628430976</v>
      </c>
      <c r="Q128" s="38">
        <f ca="1">IF(O128="","",IF(Tipo_Vertedor="Retangular",IF(O128&lt;=cota_s*100,0,IF(Tipo_Vertedor="Retangular",Cd_sr*Lef_sr*((O128/100-cota_s)^(3/2))*1000)),IF(O128&lt;=cota_s*100+fi_s/20,0,(OFFSET('Base de dados'!$A$4,IF(O128&lt;20,1,IF(O128&gt;1000,10,MATCH(O128,Cargas,1))),Coluna_fis,1,1))*(PI()*(fi_s/1000)^2/4)*(2*9.81*(O128/100-cota_s-fi_s/2/1000))^0.5*1000)))</f>
        <v>0</v>
      </c>
      <c r="R128" s="38">
        <f t="shared" ca="1" si="17"/>
        <v>1.4753428628430976</v>
      </c>
      <c r="S128" s="38">
        <f t="shared" ca="1" si="18"/>
        <v>39.6875</v>
      </c>
      <c r="AD128" s="38" t="str">
        <f t="shared" si="28"/>
        <v/>
      </c>
      <c r="AE128" s="38" t="str">
        <f t="shared" si="29"/>
        <v/>
      </c>
      <c r="AF128" s="38" t="str">
        <f>IF(ISERROR(IF('Hidrograma afluente'!I135="",0,'Hidrograma afluente'!I135)+Simulação!G128),"",IF('Hidrograma afluente'!I135="",0,'Hidrograma afluente'!I135)+Simulação!G128)</f>
        <v/>
      </c>
      <c r="AG128" s="36" t="s">
        <v>182</v>
      </c>
      <c r="AH128" s="36" t="s">
        <v>182</v>
      </c>
      <c r="AI128" s="48" t="s">
        <v>182</v>
      </c>
      <c r="AJ128" s="36" t="s">
        <v>182</v>
      </c>
      <c r="AK128" s="38" t="str">
        <f>IF(A128="","",IF('Hidrograma afluente'!I135="",0,'Hidrograma afluente'!I135)+Simulação!B128)</f>
        <v/>
      </c>
    </row>
    <row r="129" spans="1:37" s="36" customFormat="1">
      <c r="A129" s="23" t="str">
        <f t="shared" si="19"/>
        <v/>
      </c>
      <c r="B129" s="24" t="str">
        <f>IF(A129="","",IF(A129&gt;tc_lot_i+tc,0,IF('Hidrograma afluente'!B136="","",'Hidrograma afluente'!B136)))</f>
        <v/>
      </c>
      <c r="C129" s="41" t="str">
        <f t="shared" si="20"/>
        <v/>
      </c>
      <c r="D129" s="41" t="str">
        <f t="shared" si="21"/>
        <v/>
      </c>
      <c r="E129" s="41" t="str">
        <f t="shared" si="22"/>
        <v/>
      </c>
      <c r="F129" s="41" t="str">
        <f t="shared" si="23"/>
        <v/>
      </c>
      <c r="G129" s="41" t="str">
        <f t="shared" si="24"/>
        <v/>
      </c>
      <c r="H129" s="43" t="str">
        <f t="shared" si="30"/>
        <v/>
      </c>
      <c r="I129" s="42" t="str">
        <f t="shared" si="25"/>
        <v/>
      </c>
      <c r="J129" s="18"/>
      <c r="K129" s="76"/>
      <c r="M129" s="132">
        <f t="shared" ca="1" si="16"/>
        <v>41.481479412342722</v>
      </c>
      <c r="N129" s="38">
        <f t="shared" si="26"/>
        <v>1.2</v>
      </c>
      <c r="O129" s="36">
        <f t="shared" si="27"/>
        <v>32</v>
      </c>
      <c r="P129" s="38">
        <f ca="1">IF(ISERROR(IF(O129&lt;fi_h/20,0,(OFFSET('Base de dados'!$A$5,IF(O129&lt;20,1,IF(O129&gt;1000,10,MATCH(O129,Cargas,1))),Coluna_fih,1,1))*(1+0.13*0.25)*(PI()*(fi_h/1000)^2/4)*SQRT(2*9.81*(O129/100-fi_h/2/1000))*1000)),"",IF(O129&lt;fi_h/20,0,(OFFSET('Base de dados'!$A$5,IF(O129&lt;20,1,IF(O129&gt;1000,10,MATCH(O129,Cargas,1))),Coluna_fih,1,1))*(PI()*(fi_h/1000)^2/4)*SQRT(2*9.81*(O129/100-fi_h/2/1000))*1000))</f>
        <v>1.4814794123427215</v>
      </c>
      <c r="Q129" s="38">
        <f ca="1">IF(O129="","",IF(Tipo_Vertedor="Retangular",IF(O129&lt;=cota_s*100,0,IF(Tipo_Vertedor="Retangular",Cd_sr*Lef_sr*((O129/100-cota_s)^(3/2))*1000)),IF(O129&lt;=cota_s*100+fi_s/20,0,(OFFSET('Base de dados'!$A$4,IF(O129&lt;20,1,IF(O129&gt;1000,10,MATCH(O129,Cargas,1))),Coluna_fis,1,1))*(PI()*(fi_s/1000)^2/4)*(2*9.81*(O129/100-cota_s-fi_s/2/1000))^0.5*1000)))</f>
        <v>0</v>
      </c>
      <c r="R129" s="38">
        <f t="shared" ca="1" si="17"/>
        <v>1.4814794123427215</v>
      </c>
      <c r="S129" s="38">
        <f t="shared" ca="1" si="18"/>
        <v>40</v>
      </c>
      <c r="AD129" s="38" t="str">
        <f t="shared" si="28"/>
        <v/>
      </c>
      <c r="AE129" s="38" t="str">
        <f t="shared" si="29"/>
        <v/>
      </c>
      <c r="AF129" s="38" t="str">
        <f>IF(ISERROR(IF('Hidrograma afluente'!I136="",0,'Hidrograma afluente'!I136)+Simulação!G129),"",IF('Hidrograma afluente'!I136="",0,'Hidrograma afluente'!I136)+Simulação!G129)</f>
        <v/>
      </c>
      <c r="AG129" s="36" t="s">
        <v>182</v>
      </c>
      <c r="AH129" s="36" t="s">
        <v>182</v>
      </c>
      <c r="AI129" s="48" t="s">
        <v>182</v>
      </c>
      <c r="AJ129" s="36" t="s">
        <v>182</v>
      </c>
      <c r="AK129" s="38" t="str">
        <f>IF(A129="","",IF('Hidrograma afluente'!I136="",0,'Hidrograma afluente'!I136)+Simulação!B129)</f>
        <v/>
      </c>
    </row>
    <row r="130" spans="1:37" s="36" customFormat="1">
      <c r="A130" s="23" t="str">
        <f t="shared" si="19"/>
        <v/>
      </c>
      <c r="B130" s="24" t="str">
        <f>IF(A130="","",IF(A130&gt;tc_lot_i+tc,0,IF('Hidrograma afluente'!B137="","",'Hidrograma afluente'!B137)))</f>
        <v/>
      </c>
      <c r="C130" s="41" t="str">
        <f t="shared" si="20"/>
        <v/>
      </c>
      <c r="D130" s="41" t="str">
        <f t="shared" si="21"/>
        <v/>
      </c>
      <c r="E130" s="41" t="str">
        <f t="shared" si="22"/>
        <v/>
      </c>
      <c r="F130" s="41" t="str">
        <f t="shared" si="23"/>
        <v/>
      </c>
      <c r="G130" s="41" t="str">
        <f t="shared" si="24"/>
        <v/>
      </c>
      <c r="H130" s="43" t="str">
        <f t="shared" si="30"/>
        <v/>
      </c>
      <c r="I130" s="42" t="str">
        <f t="shared" si="25"/>
        <v/>
      </c>
      <c r="J130" s="18"/>
      <c r="K130" s="76"/>
      <c r="M130" s="132">
        <f t="shared" ca="1" si="16"/>
        <v>41.800090647808936</v>
      </c>
      <c r="N130" s="38">
        <f t="shared" si="26"/>
        <v>1.2093750000000001</v>
      </c>
      <c r="O130" s="36">
        <f t="shared" si="27"/>
        <v>32.25</v>
      </c>
      <c r="P130" s="38">
        <f ca="1">IF(ISERROR(IF(O130&lt;fi_h/20,0,(OFFSET('Base de dados'!$A$5,IF(O130&lt;20,1,IF(O130&gt;1000,10,MATCH(O130,Cargas,1))),Coluna_fih,1,1))*(1+0.13*0.25)*(PI()*(fi_h/1000)^2/4)*SQRT(2*9.81*(O130/100-fi_h/2/1000))*1000)),"",IF(O130&lt;fi_h/20,0,(OFFSET('Base de dados'!$A$5,IF(O130&lt;20,1,IF(O130&gt;1000,10,MATCH(O130,Cargas,1))),Coluna_fih,1,1))*(PI()*(fi_h/1000)^2/4)*SQRT(2*9.81*(O130/100-fi_h/2/1000))*1000))</f>
        <v>1.4875906478089336</v>
      </c>
      <c r="Q130" s="38">
        <f ca="1">IF(O130="","",IF(Tipo_Vertedor="Retangular",IF(O130&lt;=cota_s*100,0,IF(Tipo_Vertedor="Retangular",Cd_sr*Lef_sr*((O130/100-cota_s)^(3/2))*1000)),IF(O130&lt;=cota_s*100+fi_s/20,0,(OFFSET('Base de dados'!$A$4,IF(O130&lt;20,1,IF(O130&gt;1000,10,MATCH(O130,Cargas,1))),Coluna_fis,1,1))*(PI()*(fi_s/1000)^2/4)*(2*9.81*(O130/100-cota_s-fi_s/2/1000))^0.5*1000)))</f>
        <v>0</v>
      </c>
      <c r="R130" s="38">
        <f t="shared" ca="1" si="17"/>
        <v>1.4875906478089336</v>
      </c>
      <c r="S130" s="38">
        <f t="shared" ca="1" si="18"/>
        <v>40.3125</v>
      </c>
      <c r="AD130" s="38" t="str">
        <f t="shared" si="28"/>
        <v/>
      </c>
      <c r="AE130" s="38" t="str">
        <f t="shared" si="29"/>
        <v/>
      </c>
      <c r="AF130" s="38" t="str">
        <f>IF(ISERROR(IF('Hidrograma afluente'!I137="",0,'Hidrograma afluente'!I137)+Simulação!G130),"",IF('Hidrograma afluente'!I137="",0,'Hidrograma afluente'!I137)+Simulação!G130)</f>
        <v/>
      </c>
      <c r="AG130" s="36" t="s">
        <v>182</v>
      </c>
      <c r="AH130" s="36" t="s">
        <v>182</v>
      </c>
      <c r="AI130" s="48" t="s">
        <v>182</v>
      </c>
      <c r="AJ130" s="36" t="s">
        <v>182</v>
      </c>
      <c r="AK130" s="38" t="str">
        <f>IF(A130="","",IF('Hidrograma afluente'!I137="",0,'Hidrograma afluente'!I137)+Simulação!B130)</f>
        <v/>
      </c>
    </row>
    <row r="131" spans="1:37" s="36" customFormat="1">
      <c r="A131" s="23" t="str">
        <f t="shared" si="19"/>
        <v/>
      </c>
      <c r="B131" s="24" t="str">
        <f>IF(A131="","",IF(A131&gt;tc_lot_i+tc,0,IF('Hidrograma afluente'!B138="","",'Hidrograma afluente'!B138)))</f>
        <v/>
      </c>
      <c r="C131" s="41" t="str">
        <f t="shared" si="20"/>
        <v/>
      </c>
      <c r="D131" s="41" t="str">
        <f t="shared" si="21"/>
        <v/>
      </c>
      <c r="E131" s="41" t="str">
        <f t="shared" si="22"/>
        <v/>
      </c>
      <c r="F131" s="41" t="str">
        <f t="shared" si="23"/>
        <v/>
      </c>
      <c r="G131" s="41" t="str">
        <f t="shared" si="24"/>
        <v/>
      </c>
      <c r="H131" s="43" t="str">
        <f t="shared" si="30"/>
        <v/>
      </c>
      <c r="I131" s="42" t="str">
        <f t="shared" si="25"/>
        <v/>
      </c>
      <c r="J131" s="18"/>
      <c r="K131" s="76"/>
      <c r="M131" s="132">
        <f t="shared" ca="1" si="16"/>
        <v>42.118676879951572</v>
      </c>
      <c r="N131" s="38">
        <f t="shared" si="26"/>
        <v>1.21875</v>
      </c>
      <c r="O131" s="36">
        <f t="shared" si="27"/>
        <v>32.5</v>
      </c>
      <c r="P131" s="38">
        <f ca="1">IF(ISERROR(IF(O131&lt;fi_h/20,0,(OFFSET('Base de dados'!$A$5,IF(O131&lt;20,1,IF(O131&gt;1000,10,MATCH(O131,Cargas,1))),Coluna_fih,1,1))*(1+0.13*0.25)*(PI()*(fi_h/1000)^2/4)*SQRT(2*9.81*(O131/100-fi_h/2/1000))*1000)),"",IF(O131&lt;fi_h/20,0,(OFFSET('Base de dados'!$A$5,IF(O131&lt;20,1,IF(O131&gt;1000,10,MATCH(O131,Cargas,1))),Coluna_fih,1,1))*(PI()*(fi_h/1000)^2/4)*SQRT(2*9.81*(O131/100-fi_h/2/1000))*1000))</f>
        <v>1.4936768799515749</v>
      </c>
      <c r="Q131" s="38">
        <f ca="1">IF(O131="","",IF(Tipo_Vertedor="Retangular",IF(O131&lt;=cota_s*100,0,IF(Tipo_Vertedor="Retangular",Cd_sr*Lef_sr*((O131/100-cota_s)^(3/2))*1000)),IF(O131&lt;=cota_s*100+fi_s/20,0,(OFFSET('Base de dados'!$A$4,IF(O131&lt;20,1,IF(O131&gt;1000,10,MATCH(O131,Cargas,1))),Coluna_fis,1,1))*(PI()*(fi_s/1000)^2/4)*(2*9.81*(O131/100-cota_s-fi_s/2/1000))^0.5*1000)))</f>
        <v>0</v>
      </c>
      <c r="R131" s="38">
        <f t="shared" ca="1" si="17"/>
        <v>1.4936768799515749</v>
      </c>
      <c r="S131" s="38">
        <f t="shared" ca="1" si="18"/>
        <v>40.625</v>
      </c>
      <c r="AD131" s="38" t="str">
        <f t="shared" si="28"/>
        <v/>
      </c>
      <c r="AE131" s="38" t="str">
        <f t="shared" si="29"/>
        <v/>
      </c>
      <c r="AF131" s="38" t="str">
        <f>IF(ISERROR(IF('Hidrograma afluente'!I138="",0,'Hidrograma afluente'!I138)+Simulação!G131),"",IF('Hidrograma afluente'!I138="",0,'Hidrograma afluente'!I138)+Simulação!G131)</f>
        <v/>
      </c>
      <c r="AG131" s="36" t="s">
        <v>182</v>
      </c>
      <c r="AH131" s="36" t="s">
        <v>182</v>
      </c>
      <c r="AI131" s="48" t="s">
        <v>182</v>
      </c>
      <c r="AJ131" s="36" t="s">
        <v>182</v>
      </c>
      <c r="AK131" s="38" t="str">
        <f>IF(A131="","",IF('Hidrograma afluente'!I138="",0,'Hidrograma afluente'!I138)+Simulação!B131)</f>
        <v/>
      </c>
    </row>
    <row r="132" spans="1:37" s="36" customFormat="1">
      <c r="A132" s="23" t="str">
        <f t="shared" si="19"/>
        <v/>
      </c>
      <c r="B132" s="24" t="str">
        <f>IF(A132="","",IF(A132&gt;tc_lot_i+tc,0,IF('Hidrograma afluente'!B139="","",'Hidrograma afluente'!B139)))</f>
        <v/>
      </c>
      <c r="C132" s="41" t="str">
        <f t="shared" si="20"/>
        <v/>
      </c>
      <c r="D132" s="41" t="str">
        <f t="shared" si="21"/>
        <v/>
      </c>
      <c r="E132" s="41" t="str">
        <f t="shared" si="22"/>
        <v/>
      </c>
      <c r="F132" s="41" t="str">
        <f t="shared" si="23"/>
        <v/>
      </c>
      <c r="G132" s="41" t="str">
        <f t="shared" si="24"/>
        <v/>
      </c>
      <c r="H132" s="43" t="str">
        <f t="shared" si="30"/>
        <v/>
      </c>
      <c r="I132" s="42" t="str">
        <f t="shared" si="25"/>
        <v/>
      </c>
      <c r="J132" s="18"/>
      <c r="K132" s="76"/>
      <c r="M132" s="132">
        <f t="shared" ca="1" si="16"/>
        <v>42.437238413175834</v>
      </c>
      <c r="N132" s="38">
        <f t="shared" si="26"/>
        <v>1.2281250000000001</v>
      </c>
      <c r="O132" s="36">
        <f t="shared" si="27"/>
        <v>32.75</v>
      </c>
      <c r="P132" s="38">
        <f ca="1">IF(ISERROR(IF(O132&lt;fi_h/20,0,(OFFSET('Base de dados'!$A$5,IF(O132&lt;20,1,IF(O132&gt;1000,10,MATCH(O132,Cargas,1))),Coluna_fih,1,1))*(1+0.13*0.25)*(PI()*(fi_h/1000)^2/4)*SQRT(2*9.81*(O132/100-fi_h/2/1000))*1000)),"",IF(O132&lt;fi_h/20,0,(OFFSET('Base de dados'!$A$5,IF(O132&lt;20,1,IF(O132&gt;1000,10,MATCH(O132,Cargas,1))),Coluna_fih,1,1))*(PI()*(fi_h/1000)^2/4)*SQRT(2*9.81*(O132/100-fi_h/2/1000))*1000))</f>
        <v>1.4997384131758245</v>
      </c>
      <c r="Q132" s="38">
        <f ca="1">IF(O132="","",IF(Tipo_Vertedor="Retangular",IF(O132&lt;=cota_s*100,0,IF(Tipo_Vertedor="Retangular",Cd_sr*Lef_sr*((O132/100-cota_s)^(3/2))*1000)),IF(O132&lt;=cota_s*100+fi_s/20,0,(OFFSET('Base de dados'!$A$4,IF(O132&lt;20,1,IF(O132&gt;1000,10,MATCH(O132,Cargas,1))),Coluna_fis,1,1))*(PI()*(fi_s/1000)^2/4)*(2*9.81*(O132/100-cota_s-fi_s/2/1000))^0.5*1000)))</f>
        <v>0</v>
      </c>
      <c r="R132" s="38">
        <f t="shared" ca="1" si="17"/>
        <v>1.4997384131758245</v>
      </c>
      <c r="S132" s="38">
        <f t="shared" ca="1" si="18"/>
        <v>40.937500000000007</v>
      </c>
      <c r="AD132" s="38" t="str">
        <f t="shared" si="28"/>
        <v/>
      </c>
      <c r="AE132" s="38" t="str">
        <f t="shared" si="29"/>
        <v/>
      </c>
      <c r="AF132" s="38" t="str">
        <f>IF(ISERROR(IF('Hidrograma afluente'!I139="",0,'Hidrograma afluente'!I139)+Simulação!G132),"",IF('Hidrograma afluente'!I139="",0,'Hidrograma afluente'!I139)+Simulação!G132)</f>
        <v/>
      </c>
      <c r="AG132" s="36" t="s">
        <v>182</v>
      </c>
      <c r="AH132" s="36" t="s">
        <v>182</v>
      </c>
      <c r="AI132" s="48" t="s">
        <v>182</v>
      </c>
      <c r="AJ132" s="36" t="s">
        <v>182</v>
      </c>
      <c r="AK132" s="38" t="str">
        <f>IF(A132="","",IF('Hidrograma afluente'!I139="",0,'Hidrograma afluente'!I139)+Simulação!B132)</f>
        <v/>
      </c>
    </row>
    <row r="133" spans="1:37" s="36" customFormat="1">
      <c r="A133" s="23" t="str">
        <f t="shared" si="19"/>
        <v/>
      </c>
      <c r="B133" s="24" t="str">
        <f>IF(A133="","",IF(A133&gt;tc_lot_i+tc,0,IF('Hidrograma afluente'!B140="","",'Hidrograma afluente'!B140)))</f>
        <v/>
      </c>
      <c r="C133" s="41" t="str">
        <f t="shared" si="20"/>
        <v/>
      </c>
      <c r="D133" s="41" t="str">
        <f t="shared" si="21"/>
        <v/>
      </c>
      <c r="E133" s="41" t="str">
        <f t="shared" si="22"/>
        <v/>
      </c>
      <c r="F133" s="41" t="str">
        <f t="shared" si="23"/>
        <v/>
      </c>
      <c r="G133" s="41" t="str">
        <f t="shared" si="24"/>
        <v/>
      </c>
      <c r="H133" s="43" t="str">
        <f t="shared" si="30"/>
        <v/>
      </c>
      <c r="I133" s="42" t="str">
        <f t="shared" si="25"/>
        <v/>
      </c>
      <c r="J133" s="18"/>
      <c r="K133" s="76"/>
      <c r="M133" s="132">
        <f t="shared" ref="M133:M196" ca="1" si="31">IF(O133="","",2*N133*1000/(Passo*60)+R133)</f>
        <v>42.75577554575986</v>
      </c>
      <c r="N133" s="38">
        <f t="shared" si="26"/>
        <v>1.2375</v>
      </c>
      <c r="O133" s="36">
        <f t="shared" si="27"/>
        <v>33</v>
      </c>
      <c r="P133" s="38">
        <f ca="1">IF(ISERROR(IF(O133&lt;fi_h/20,0,(OFFSET('Base de dados'!$A$5,IF(O133&lt;20,1,IF(O133&gt;1000,10,MATCH(O133,Cargas,1))),Coluna_fih,1,1))*(1+0.13*0.25)*(PI()*(fi_h/1000)^2/4)*SQRT(2*9.81*(O133/100-fi_h/2/1000))*1000)),"",IF(O133&lt;fi_h/20,0,(OFFSET('Base de dados'!$A$5,IF(O133&lt;20,1,IF(O133&gt;1000,10,MATCH(O133,Cargas,1))),Coluna_fih,1,1))*(PI()*(fi_h/1000)^2/4)*SQRT(2*9.81*(O133/100-fi_h/2/1000))*1000))</f>
        <v>1.5057755457598614</v>
      </c>
      <c r="Q133" s="38">
        <f ca="1">IF(O133="","",IF(Tipo_Vertedor="Retangular",IF(O133&lt;=cota_s*100,0,IF(Tipo_Vertedor="Retangular",Cd_sr*Lef_sr*((O133/100-cota_s)^(3/2))*1000)),IF(O133&lt;=cota_s*100+fi_s/20,0,(OFFSET('Base de dados'!$A$4,IF(O133&lt;20,1,IF(O133&gt;1000,10,MATCH(O133,Cargas,1))),Coluna_fis,1,1))*(PI()*(fi_s/1000)^2/4)*(2*9.81*(O133/100-cota_s-fi_s/2/1000))^0.5*1000)))</f>
        <v>0</v>
      </c>
      <c r="R133" s="38">
        <f t="shared" ref="R133:R196" ca="1" si="32">IF(O133="","",Q133+P133)</f>
        <v>1.5057755457598614</v>
      </c>
      <c r="S133" s="38">
        <f t="shared" ref="S133:S196" ca="1" si="33">IF(M133="","",2*N133*1000/(Passo*60))</f>
        <v>41.25</v>
      </c>
      <c r="AD133" s="38" t="str">
        <f t="shared" si="28"/>
        <v/>
      </c>
      <c r="AE133" s="38" t="str">
        <f t="shared" si="29"/>
        <v/>
      </c>
      <c r="AF133" s="38" t="str">
        <f>IF(ISERROR(IF('Hidrograma afluente'!I140="",0,'Hidrograma afluente'!I140)+Simulação!G133),"",IF('Hidrograma afluente'!I140="",0,'Hidrograma afluente'!I140)+Simulação!G133)</f>
        <v/>
      </c>
      <c r="AG133" s="36" t="s">
        <v>182</v>
      </c>
      <c r="AH133" s="36" t="s">
        <v>182</v>
      </c>
      <c r="AI133" s="48" t="s">
        <v>182</v>
      </c>
      <c r="AJ133" s="36" t="s">
        <v>182</v>
      </c>
      <c r="AK133" s="38" t="str">
        <f>IF(A133="","",IF('Hidrograma afluente'!I140="",0,'Hidrograma afluente'!I140)+Simulação!B133)</f>
        <v/>
      </c>
    </row>
    <row r="134" spans="1:37" s="36" customFormat="1">
      <c r="A134" s="23" t="str">
        <f t="shared" ref="A134:A197" si="34">IF(ISERROR(IF(A133+Passo&lt;=tempo_simul,A133+Passo,"")),"",IF(A133+Passo&lt;=tempo_simul,A133+Passo,""))</f>
        <v/>
      </c>
      <c r="B134" s="24" t="str">
        <f>IF(A134="","",IF(A134&gt;tc_lot_i+tc,0,IF('Hidrograma afluente'!B141="","",'Hidrograma afluente'!B141)))</f>
        <v/>
      </c>
      <c r="C134" s="41" t="str">
        <f t="shared" ref="C134:C197" si="35">IF(B135=0,0,IF(B135="","",B135))</f>
        <v/>
      </c>
      <c r="D134" s="41" t="str">
        <f t="shared" ref="D134:D197" si="36">IF(A134="","",IF(ISERROR(VLOOKUP(H133,tabela_auxiliar,7,1)),0,VLOOKUP(H133,tabela_auxiliar,7,1)))</f>
        <v/>
      </c>
      <c r="E134" s="41" t="str">
        <f t="shared" ref="E134:E197" si="37">IF(A134="","",IF(ISERROR(VLOOKUP(H133,tabela_auxiliar,4,TRUE)),0,VLOOKUP(H133,tabela_auxiliar,4,TRUE)))</f>
        <v/>
      </c>
      <c r="F134" s="41" t="str">
        <f t="shared" ref="F134:F197" si="38">IF(A134="","",IF(ISERROR(VLOOKUP(H133,tabela_auxiliar,5,TRUE)),0,VLOOKUP(H133,tabela_auxiliar,5,TRUE)))</f>
        <v/>
      </c>
      <c r="G134" s="41" t="str">
        <f t="shared" ref="G134:G197" si="39">IF(A134="","",IF(ISERROR(VLOOKUP(H133,tabela_auxiliar,6,TRUE)),0,VLOOKUP(H133,tabela_auxiliar,6,TRUE)))</f>
        <v/>
      </c>
      <c r="H134" s="43" t="str">
        <f t="shared" si="30"/>
        <v/>
      </c>
      <c r="I134" s="42" t="str">
        <f t="shared" ref="I134:I197" si="40">IF(A134="","",IF(ISERROR(VLOOKUP(H133,tabela_auxiliar,3,TRUE)),0,VLOOKUP(H133,tabela_auxiliar,3,TRUE)))</f>
        <v/>
      </c>
      <c r="J134" s="18"/>
      <c r="K134" s="76"/>
      <c r="M134" s="132">
        <f t="shared" ca="1" si="31"/>
        <v>43.074288570026148</v>
      </c>
      <c r="N134" s="38">
        <f t="shared" ref="N134:N197" si="41">IF(O134="","",b_0*(O134/100)^c_0)</f>
        <v>1.2468750000000002</v>
      </c>
      <c r="O134" s="36">
        <f t="shared" ref="O134:O197" si="42">IF(ISERROR(IF(O133+passo_altura&gt;h_max_puls*100,"",O133+passo_altura)),"",IF(O133+passo_altura&gt;h_max_puls*100,"",O133+passo_altura))</f>
        <v>33.25</v>
      </c>
      <c r="P134" s="38">
        <f ca="1">IF(ISERROR(IF(O134&lt;fi_h/20,0,(OFFSET('Base de dados'!$A$5,IF(O134&lt;20,1,IF(O134&gt;1000,10,MATCH(O134,Cargas,1))),Coluna_fih,1,1))*(1+0.13*0.25)*(PI()*(fi_h/1000)^2/4)*SQRT(2*9.81*(O134/100-fi_h/2/1000))*1000)),"",IF(O134&lt;fi_h/20,0,(OFFSET('Base de dados'!$A$5,IF(O134&lt;20,1,IF(O134&gt;1000,10,MATCH(O134,Cargas,1))),Coluna_fih,1,1))*(PI()*(fi_h/1000)^2/4)*SQRT(2*9.81*(O134/100-fi_h/2/1000))*1000))</f>
        <v>1.5117885700261384</v>
      </c>
      <c r="Q134" s="38">
        <f ca="1">IF(O134="","",IF(Tipo_Vertedor="Retangular",IF(O134&lt;=cota_s*100,0,IF(Tipo_Vertedor="Retangular",Cd_sr*Lef_sr*((O134/100-cota_s)^(3/2))*1000)),IF(O134&lt;=cota_s*100+fi_s/20,0,(OFFSET('Base de dados'!$A$4,IF(O134&lt;20,1,IF(O134&gt;1000,10,MATCH(O134,Cargas,1))),Coluna_fis,1,1))*(PI()*(fi_s/1000)^2/4)*(2*9.81*(O134/100-cota_s-fi_s/2/1000))^0.5*1000)))</f>
        <v>0</v>
      </c>
      <c r="R134" s="38">
        <f t="shared" ca="1" si="32"/>
        <v>1.5117885700261384</v>
      </c>
      <c r="S134" s="38">
        <f t="shared" ca="1" si="33"/>
        <v>41.562500000000007</v>
      </c>
      <c r="AD134" s="38" t="str">
        <f t="shared" ref="AD134:AD197" si="43">IF(A134="","",AVERAGE(B134+B133)*Passo*60/1000+AD133)</f>
        <v/>
      </c>
      <c r="AE134" s="38" t="str">
        <f t="shared" ref="AE134:AE197" si="44">IF(A134="","",AE133+AVERAGE(G134+G133)*Passo*60/1000)</f>
        <v/>
      </c>
      <c r="AF134" s="38" t="str">
        <f>IF(ISERROR(IF('Hidrograma afluente'!I141="",0,'Hidrograma afluente'!I141)+Simulação!G134),"",IF('Hidrograma afluente'!I141="",0,'Hidrograma afluente'!I141)+Simulação!G134)</f>
        <v/>
      </c>
      <c r="AG134" s="36" t="s">
        <v>182</v>
      </c>
      <c r="AH134" s="36" t="s">
        <v>182</v>
      </c>
      <c r="AI134" s="48" t="s">
        <v>182</v>
      </c>
      <c r="AJ134" s="36" t="s">
        <v>182</v>
      </c>
      <c r="AK134" s="38" t="str">
        <f>IF(A134="","",IF('Hidrograma afluente'!I141="",0,'Hidrograma afluente'!I141)+Simulação!B134)</f>
        <v/>
      </c>
    </row>
    <row r="135" spans="1:37" s="36" customFormat="1">
      <c r="A135" s="23" t="str">
        <f t="shared" si="34"/>
        <v/>
      </c>
      <c r="B135" s="24" t="str">
        <f>IF(A135="","",IF(A135&gt;tc_lot_i+tc,0,IF('Hidrograma afluente'!B142="","",'Hidrograma afluente'!B142)))</f>
        <v/>
      </c>
      <c r="C135" s="41" t="str">
        <f t="shared" si="35"/>
        <v/>
      </c>
      <c r="D135" s="41" t="str">
        <f t="shared" si="36"/>
        <v/>
      </c>
      <c r="E135" s="41" t="str">
        <f t="shared" si="37"/>
        <v/>
      </c>
      <c r="F135" s="41" t="str">
        <f t="shared" si="38"/>
        <v/>
      </c>
      <c r="G135" s="41" t="str">
        <f t="shared" si="39"/>
        <v/>
      </c>
      <c r="H135" s="43" t="str">
        <f t="shared" si="30"/>
        <v/>
      </c>
      <c r="I135" s="42" t="str">
        <f t="shared" si="40"/>
        <v/>
      </c>
      <c r="J135" s="18"/>
      <c r="K135" s="76"/>
      <c r="M135" s="132">
        <f t="shared" ca="1" si="31"/>
        <v>43.392777772506548</v>
      </c>
      <c r="N135" s="38">
        <f t="shared" si="41"/>
        <v>1.2562500000000001</v>
      </c>
      <c r="O135" s="36">
        <f t="shared" si="42"/>
        <v>33.5</v>
      </c>
      <c r="P135" s="38">
        <f ca="1">IF(ISERROR(IF(O135&lt;fi_h/20,0,(OFFSET('Base de dados'!$A$5,IF(O135&lt;20,1,IF(O135&gt;1000,10,MATCH(O135,Cargas,1))),Coluna_fih,1,1))*(1+0.13*0.25)*(PI()*(fi_h/1000)^2/4)*SQRT(2*9.81*(O135/100-fi_h/2/1000))*1000)),"",IF(O135&lt;fi_h/20,0,(OFFSET('Base de dados'!$A$5,IF(O135&lt;20,1,IF(O135&gt;1000,10,MATCH(O135,Cargas,1))),Coluna_fih,1,1))*(PI()*(fi_h/1000)^2/4)*SQRT(2*9.81*(O135/100-fi_h/2/1000))*1000))</f>
        <v>1.5177777725065502</v>
      </c>
      <c r="Q135" s="38">
        <f ca="1">IF(O135="","",IF(Tipo_Vertedor="Retangular",IF(O135&lt;=cota_s*100,0,IF(Tipo_Vertedor="Retangular",Cd_sr*Lef_sr*((O135/100-cota_s)^(3/2))*1000)),IF(O135&lt;=cota_s*100+fi_s/20,0,(OFFSET('Base de dados'!$A$4,IF(O135&lt;20,1,IF(O135&gt;1000,10,MATCH(O135,Cargas,1))),Coluna_fis,1,1))*(PI()*(fi_s/1000)^2/4)*(2*9.81*(O135/100-cota_s-fi_s/2/1000))^0.5*1000)))</f>
        <v>0</v>
      </c>
      <c r="R135" s="38">
        <f t="shared" ca="1" si="32"/>
        <v>1.5177777725065502</v>
      </c>
      <c r="S135" s="38">
        <f t="shared" ca="1" si="33"/>
        <v>41.875</v>
      </c>
      <c r="AD135" s="38" t="str">
        <f t="shared" si="43"/>
        <v/>
      </c>
      <c r="AE135" s="38" t="str">
        <f t="shared" si="44"/>
        <v/>
      </c>
      <c r="AF135" s="38" t="str">
        <f>IF(ISERROR(IF('Hidrograma afluente'!I142="",0,'Hidrograma afluente'!I142)+Simulação!G135),"",IF('Hidrograma afluente'!I142="",0,'Hidrograma afluente'!I142)+Simulação!G135)</f>
        <v/>
      </c>
      <c r="AG135" s="36" t="s">
        <v>182</v>
      </c>
      <c r="AH135" s="36" t="s">
        <v>182</v>
      </c>
      <c r="AI135" s="48" t="s">
        <v>182</v>
      </c>
      <c r="AJ135" s="36" t="s">
        <v>182</v>
      </c>
      <c r="AK135" s="38" t="str">
        <f>IF(A135="","",IF('Hidrograma afluente'!I142="",0,'Hidrograma afluente'!I142)+Simulação!B135)</f>
        <v/>
      </c>
    </row>
    <row r="136" spans="1:37" s="36" customFormat="1">
      <c r="A136" s="23" t="str">
        <f t="shared" si="34"/>
        <v/>
      </c>
      <c r="B136" s="24" t="str">
        <f>IF(A136="","",IF(A136&gt;tc_lot_i+tc,0,IF('Hidrograma afluente'!B143="","",'Hidrograma afluente'!B143)))</f>
        <v/>
      </c>
      <c r="C136" s="41" t="str">
        <f t="shared" si="35"/>
        <v/>
      </c>
      <c r="D136" s="41" t="str">
        <f t="shared" si="36"/>
        <v/>
      </c>
      <c r="E136" s="41" t="str">
        <f t="shared" si="37"/>
        <v/>
      </c>
      <c r="F136" s="41" t="str">
        <f t="shared" si="38"/>
        <v/>
      </c>
      <c r="G136" s="41" t="str">
        <f t="shared" si="39"/>
        <v/>
      </c>
      <c r="H136" s="43" t="str">
        <f t="shared" si="30"/>
        <v/>
      </c>
      <c r="I136" s="42" t="str">
        <f t="shared" si="40"/>
        <v/>
      </c>
      <c r="J136" s="18"/>
      <c r="K136" s="76"/>
      <c r="M136" s="132">
        <f t="shared" ca="1" si="31"/>
        <v>43.711243434101753</v>
      </c>
      <c r="N136" s="38">
        <f t="shared" si="41"/>
        <v>1.265625</v>
      </c>
      <c r="O136" s="36">
        <f t="shared" si="42"/>
        <v>33.75</v>
      </c>
      <c r="P136" s="38">
        <f ca="1">IF(ISERROR(IF(O136&lt;fi_h/20,0,(OFFSET('Base de dados'!$A$5,IF(O136&lt;20,1,IF(O136&gt;1000,10,MATCH(O136,Cargas,1))),Coluna_fih,1,1))*(1+0.13*0.25)*(PI()*(fi_h/1000)^2/4)*SQRT(2*9.81*(O136/100-fi_h/2/1000))*1000)),"",IF(O136&lt;fi_h/20,0,(OFFSET('Base de dados'!$A$5,IF(O136&lt;20,1,IF(O136&gt;1000,10,MATCH(O136,Cargas,1))),Coluna_fih,1,1))*(PI()*(fi_h/1000)^2/4)*SQRT(2*9.81*(O136/100-fi_h/2/1000))*1000))</f>
        <v>1.5237434341017562</v>
      </c>
      <c r="Q136" s="38">
        <f ca="1">IF(O136="","",IF(Tipo_Vertedor="Retangular",IF(O136&lt;=cota_s*100,0,IF(Tipo_Vertedor="Retangular",Cd_sr*Lef_sr*((O136/100-cota_s)^(3/2))*1000)),IF(O136&lt;=cota_s*100+fi_s/20,0,(OFFSET('Base de dados'!$A$4,IF(O136&lt;20,1,IF(O136&gt;1000,10,MATCH(O136,Cargas,1))),Coluna_fis,1,1))*(PI()*(fi_s/1000)^2/4)*(2*9.81*(O136/100-cota_s-fi_s/2/1000))^0.5*1000)))</f>
        <v>0</v>
      </c>
      <c r="R136" s="38">
        <f t="shared" ca="1" si="32"/>
        <v>1.5237434341017562</v>
      </c>
      <c r="S136" s="38">
        <f t="shared" ca="1" si="33"/>
        <v>42.1875</v>
      </c>
      <c r="AD136" s="38" t="str">
        <f t="shared" si="43"/>
        <v/>
      </c>
      <c r="AE136" s="38" t="str">
        <f t="shared" si="44"/>
        <v/>
      </c>
      <c r="AF136" s="38" t="str">
        <f>IF(ISERROR(IF('Hidrograma afluente'!I143="",0,'Hidrograma afluente'!I143)+Simulação!G136),"",IF('Hidrograma afluente'!I143="",0,'Hidrograma afluente'!I143)+Simulação!G136)</f>
        <v/>
      </c>
      <c r="AG136" s="36" t="s">
        <v>182</v>
      </c>
      <c r="AH136" s="36" t="s">
        <v>182</v>
      </c>
      <c r="AI136" s="48" t="s">
        <v>182</v>
      </c>
      <c r="AJ136" s="36" t="s">
        <v>182</v>
      </c>
      <c r="AK136" s="38" t="str">
        <f>IF(A136="","",IF('Hidrograma afluente'!I143="",0,'Hidrograma afluente'!I143)+Simulação!B136)</f>
        <v/>
      </c>
    </row>
    <row r="137" spans="1:37" s="36" customFormat="1">
      <c r="A137" s="23" t="str">
        <f t="shared" si="34"/>
        <v/>
      </c>
      <c r="B137" s="24" t="str">
        <f>IF(A137="","",IF(A137&gt;tc_lot_i+tc,0,IF('Hidrograma afluente'!B144="","",'Hidrograma afluente'!B144)))</f>
        <v/>
      </c>
      <c r="C137" s="41" t="str">
        <f t="shared" si="35"/>
        <v/>
      </c>
      <c r="D137" s="41" t="str">
        <f t="shared" si="36"/>
        <v/>
      </c>
      <c r="E137" s="41" t="str">
        <f t="shared" si="37"/>
        <v/>
      </c>
      <c r="F137" s="41" t="str">
        <f t="shared" si="38"/>
        <v/>
      </c>
      <c r="G137" s="41" t="str">
        <f t="shared" si="39"/>
        <v/>
      </c>
      <c r="H137" s="43" t="str">
        <f t="shared" si="30"/>
        <v/>
      </c>
      <c r="I137" s="42" t="str">
        <f t="shared" si="40"/>
        <v/>
      </c>
      <c r="J137" s="18"/>
      <c r="K137" s="76"/>
      <c r="M137" s="132">
        <f t="shared" ca="1" si="31"/>
        <v>44.029685830234925</v>
      </c>
      <c r="N137" s="38">
        <f t="shared" si="41"/>
        <v>1.2750000000000001</v>
      </c>
      <c r="O137" s="36">
        <f t="shared" si="42"/>
        <v>34</v>
      </c>
      <c r="P137" s="38">
        <f ca="1">IF(ISERROR(IF(O137&lt;fi_h/20,0,(OFFSET('Base de dados'!$A$5,IF(O137&lt;20,1,IF(O137&gt;1000,10,MATCH(O137,Cargas,1))),Coluna_fih,1,1))*(1+0.13*0.25)*(PI()*(fi_h/1000)^2/4)*SQRT(2*9.81*(O137/100-fi_h/2/1000))*1000)),"",IF(O137&lt;fi_h/20,0,(OFFSET('Base de dados'!$A$5,IF(O137&lt;20,1,IF(O137&gt;1000,10,MATCH(O137,Cargas,1))),Coluna_fih,1,1))*(PI()*(fi_h/1000)^2/4)*SQRT(2*9.81*(O137/100-fi_h/2/1000))*1000))</f>
        <v>1.5296858302349152</v>
      </c>
      <c r="Q137" s="38">
        <f ca="1">IF(O137="","",IF(Tipo_Vertedor="Retangular",IF(O137&lt;=cota_s*100,0,IF(Tipo_Vertedor="Retangular",Cd_sr*Lef_sr*((O137/100-cota_s)^(3/2))*1000)),IF(O137&lt;=cota_s*100+fi_s/20,0,(OFFSET('Base de dados'!$A$4,IF(O137&lt;20,1,IF(O137&gt;1000,10,MATCH(O137,Cargas,1))),Coluna_fis,1,1))*(PI()*(fi_s/1000)^2/4)*(2*9.81*(O137/100-cota_s-fi_s/2/1000))^0.5*1000)))</f>
        <v>0</v>
      </c>
      <c r="R137" s="38">
        <f t="shared" ca="1" si="32"/>
        <v>1.5296858302349152</v>
      </c>
      <c r="S137" s="38">
        <f t="shared" ca="1" si="33"/>
        <v>42.500000000000007</v>
      </c>
      <c r="AD137" s="38" t="str">
        <f t="shared" si="43"/>
        <v/>
      </c>
      <c r="AE137" s="38" t="str">
        <f t="shared" si="44"/>
        <v/>
      </c>
      <c r="AF137" s="38" t="str">
        <f>IF(ISERROR(IF('Hidrograma afluente'!I144="",0,'Hidrograma afluente'!I144)+Simulação!G137),"",IF('Hidrograma afluente'!I144="",0,'Hidrograma afluente'!I144)+Simulação!G137)</f>
        <v/>
      </c>
      <c r="AG137" s="36" t="s">
        <v>182</v>
      </c>
      <c r="AH137" s="36" t="s">
        <v>182</v>
      </c>
      <c r="AI137" s="48" t="s">
        <v>182</v>
      </c>
      <c r="AJ137" s="36" t="s">
        <v>182</v>
      </c>
      <c r="AK137" s="38" t="str">
        <f>IF(A137="","",IF('Hidrograma afluente'!I144="",0,'Hidrograma afluente'!I144)+Simulação!B137)</f>
        <v/>
      </c>
    </row>
    <row r="138" spans="1:37" s="36" customFormat="1">
      <c r="A138" s="23" t="str">
        <f t="shared" si="34"/>
        <v/>
      </c>
      <c r="B138" s="24" t="str">
        <f>IF(A138="","",IF(A138&gt;tc_lot_i+tc,0,IF('Hidrograma afluente'!B145="","",'Hidrograma afluente'!B145)))</f>
        <v/>
      </c>
      <c r="C138" s="41" t="str">
        <f t="shared" si="35"/>
        <v/>
      </c>
      <c r="D138" s="41" t="str">
        <f t="shared" si="36"/>
        <v/>
      </c>
      <c r="E138" s="41" t="str">
        <f t="shared" si="37"/>
        <v/>
      </c>
      <c r="F138" s="41" t="str">
        <f t="shared" si="38"/>
        <v/>
      </c>
      <c r="G138" s="41" t="str">
        <f t="shared" si="39"/>
        <v/>
      </c>
      <c r="H138" s="43" t="str">
        <f t="shared" si="30"/>
        <v/>
      </c>
      <c r="I138" s="42" t="str">
        <f t="shared" si="40"/>
        <v/>
      </c>
      <c r="J138" s="18"/>
      <c r="K138" s="76"/>
      <c r="M138" s="132">
        <f t="shared" ca="1" si="31"/>
        <v>44.348105231000062</v>
      </c>
      <c r="N138" s="38">
        <f t="shared" si="41"/>
        <v>1.284375</v>
      </c>
      <c r="O138" s="36">
        <f t="shared" si="42"/>
        <v>34.25</v>
      </c>
      <c r="P138" s="38">
        <f ca="1">IF(ISERROR(IF(O138&lt;fi_h/20,0,(OFFSET('Base de dados'!$A$5,IF(O138&lt;20,1,IF(O138&gt;1000,10,MATCH(O138,Cargas,1))),Coluna_fih,1,1))*(1+0.13*0.25)*(PI()*(fi_h/1000)^2/4)*SQRT(2*9.81*(O138/100-fi_h/2/1000))*1000)),"",IF(O138&lt;fi_h/20,0,(OFFSET('Base de dados'!$A$5,IF(O138&lt;20,1,IF(O138&gt;1000,10,MATCH(O138,Cargas,1))),Coluna_fih,1,1))*(PI()*(fi_h/1000)^2/4)*SQRT(2*9.81*(O138/100-fi_h/2/1000))*1000))</f>
        <v>1.5356052310000607</v>
      </c>
      <c r="Q138" s="38">
        <f ca="1">IF(O138="","",IF(Tipo_Vertedor="Retangular",IF(O138&lt;=cota_s*100,0,IF(Tipo_Vertedor="Retangular",Cd_sr*Lef_sr*((O138/100-cota_s)^(3/2))*1000)),IF(O138&lt;=cota_s*100+fi_s/20,0,(OFFSET('Base de dados'!$A$4,IF(O138&lt;20,1,IF(O138&gt;1000,10,MATCH(O138,Cargas,1))),Coluna_fis,1,1))*(PI()*(fi_s/1000)^2/4)*(2*9.81*(O138/100-cota_s-fi_s/2/1000))^0.5*1000)))</f>
        <v>0</v>
      </c>
      <c r="R138" s="38">
        <f t="shared" ca="1" si="32"/>
        <v>1.5356052310000607</v>
      </c>
      <c r="S138" s="38">
        <f t="shared" ca="1" si="33"/>
        <v>42.8125</v>
      </c>
      <c r="AD138" s="38" t="str">
        <f t="shared" si="43"/>
        <v/>
      </c>
      <c r="AE138" s="38" t="str">
        <f t="shared" si="44"/>
        <v/>
      </c>
      <c r="AF138" s="38" t="str">
        <f>IF(ISERROR(IF('Hidrograma afluente'!I145="",0,'Hidrograma afluente'!I145)+Simulação!G138),"",IF('Hidrograma afluente'!I145="",0,'Hidrograma afluente'!I145)+Simulação!G138)</f>
        <v/>
      </c>
      <c r="AG138" s="36" t="s">
        <v>182</v>
      </c>
      <c r="AH138" s="36" t="s">
        <v>182</v>
      </c>
      <c r="AI138" s="48" t="s">
        <v>182</v>
      </c>
      <c r="AJ138" s="36" t="s">
        <v>182</v>
      </c>
      <c r="AK138" s="38" t="str">
        <f>IF(A138="","",IF('Hidrograma afluente'!I145="",0,'Hidrograma afluente'!I145)+Simulação!B138)</f>
        <v/>
      </c>
    </row>
    <row r="139" spans="1:37" s="36" customFormat="1">
      <c r="A139" s="23" t="str">
        <f t="shared" si="34"/>
        <v/>
      </c>
      <c r="B139" s="24" t="str">
        <f>IF(A139="","",IF(A139&gt;tc_lot_i+tc,0,IF('Hidrograma afluente'!B146="","",'Hidrograma afluente'!B146)))</f>
        <v/>
      </c>
      <c r="C139" s="41" t="str">
        <f t="shared" si="35"/>
        <v/>
      </c>
      <c r="D139" s="41" t="str">
        <f t="shared" si="36"/>
        <v/>
      </c>
      <c r="E139" s="41" t="str">
        <f t="shared" si="37"/>
        <v/>
      </c>
      <c r="F139" s="41" t="str">
        <f t="shared" si="38"/>
        <v/>
      </c>
      <c r="G139" s="41" t="str">
        <f t="shared" si="39"/>
        <v/>
      </c>
      <c r="H139" s="43" t="str">
        <f t="shared" si="30"/>
        <v/>
      </c>
      <c r="I139" s="42" t="str">
        <f t="shared" si="40"/>
        <v/>
      </c>
      <c r="J139" s="18"/>
      <c r="K139" s="76"/>
      <c r="M139" s="132">
        <f t="shared" ca="1" si="31"/>
        <v>44.666501901305352</v>
      </c>
      <c r="N139" s="38">
        <f t="shared" si="41"/>
        <v>1.29375</v>
      </c>
      <c r="O139" s="36">
        <f t="shared" si="42"/>
        <v>34.5</v>
      </c>
      <c r="P139" s="38">
        <f ca="1">IF(ISERROR(IF(O139&lt;fi_h/20,0,(OFFSET('Base de dados'!$A$5,IF(O139&lt;20,1,IF(O139&gt;1000,10,MATCH(O139,Cargas,1))),Coluna_fih,1,1))*(1+0.13*0.25)*(PI()*(fi_h/1000)^2/4)*SQRT(2*9.81*(O139/100-fi_h/2/1000))*1000)),"",IF(O139&lt;fi_h/20,0,(OFFSET('Base de dados'!$A$5,IF(O139&lt;20,1,IF(O139&gt;1000,10,MATCH(O139,Cargas,1))),Coluna_fih,1,1))*(PI()*(fi_h/1000)^2/4)*SQRT(2*9.81*(O139/100-fi_h/2/1000))*1000))</f>
        <v>1.5415019013053528</v>
      </c>
      <c r="Q139" s="38">
        <f ca="1">IF(O139="","",IF(Tipo_Vertedor="Retangular",IF(O139&lt;=cota_s*100,0,IF(Tipo_Vertedor="Retangular",Cd_sr*Lef_sr*((O139/100-cota_s)^(3/2))*1000)),IF(O139&lt;=cota_s*100+fi_s/20,0,(OFFSET('Base de dados'!$A$4,IF(O139&lt;20,1,IF(O139&gt;1000,10,MATCH(O139,Cargas,1))),Coluna_fis,1,1))*(PI()*(fi_s/1000)^2/4)*(2*9.81*(O139/100-cota_s-fi_s/2/1000))^0.5*1000)))</f>
        <v>0</v>
      </c>
      <c r="R139" s="38">
        <f t="shared" ca="1" si="32"/>
        <v>1.5415019013053528</v>
      </c>
      <c r="S139" s="38">
        <f t="shared" ca="1" si="33"/>
        <v>43.125</v>
      </c>
      <c r="AD139" s="38" t="str">
        <f t="shared" si="43"/>
        <v/>
      </c>
      <c r="AE139" s="38" t="str">
        <f t="shared" si="44"/>
        <v/>
      </c>
      <c r="AF139" s="38" t="str">
        <f>IF(ISERROR(IF('Hidrograma afluente'!I146="",0,'Hidrograma afluente'!I146)+Simulação!G139),"",IF('Hidrograma afluente'!I146="",0,'Hidrograma afluente'!I146)+Simulação!G139)</f>
        <v/>
      </c>
      <c r="AG139" s="36" t="s">
        <v>182</v>
      </c>
      <c r="AH139" s="36" t="s">
        <v>182</v>
      </c>
      <c r="AI139" s="48" t="s">
        <v>182</v>
      </c>
      <c r="AJ139" s="36" t="s">
        <v>182</v>
      </c>
      <c r="AK139" s="38" t="str">
        <f>IF(A139="","",IF('Hidrograma afluente'!I146="",0,'Hidrograma afluente'!I146)+Simulação!B139)</f>
        <v/>
      </c>
    </row>
    <row r="140" spans="1:37" s="36" customFormat="1">
      <c r="A140" s="23" t="str">
        <f t="shared" si="34"/>
        <v/>
      </c>
      <c r="B140" s="24" t="str">
        <f>IF(A140="","",IF(A140&gt;tc_lot_i+tc,0,IF('Hidrograma afluente'!B147="","",'Hidrograma afluente'!B147)))</f>
        <v/>
      </c>
      <c r="C140" s="41" t="str">
        <f t="shared" si="35"/>
        <v/>
      </c>
      <c r="D140" s="41" t="str">
        <f t="shared" si="36"/>
        <v/>
      </c>
      <c r="E140" s="41" t="str">
        <f t="shared" si="37"/>
        <v/>
      </c>
      <c r="F140" s="41" t="str">
        <f t="shared" si="38"/>
        <v/>
      </c>
      <c r="G140" s="41" t="str">
        <f t="shared" si="39"/>
        <v/>
      </c>
      <c r="H140" s="43" t="str">
        <f t="shared" si="30"/>
        <v/>
      </c>
      <c r="I140" s="42" t="str">
        <f t="shared" si="40"/>
        <v/>
      </c>
      <c r="J140" s="18"/>
      <c r="K140" s="76"/>
      <c r="M140" s="132">
        <f t="shared" ca="1" si="31"/>
        <v>44.984876101011409</v>
      </c>
      <c r="N140" s="38">
        <f t="shared" si="41"/>
        <v>1.3031249999999999</v>
      </c>
      <c r="O140" s="36">
        <f t="shared" si="42"/>
        <v>34.75</v>
      </c>
      <c r="P140" s="38">
        <f ca="1">IF(ISERROR(IF(O140&lt;fi_h/20,0,(OFFSET('Base de dados'!$A$5,IF(O140&lt;20,1,IF(O140&gt;1000,10,MATCH(O140,Cargas,1))),Coluna_fih,1,1))*(1+0.13*0.25)*(PI()*(fi_h/1000)^2/4)*SQRT(2*9.81*(O140/100-fi_h/2/1000))*1000)),"",IF(O140&lt;fi_h/20,0,(OFFSET('Base de dados'!$A$5,IF(O140&lt;20,1,IF(O140&gt;1000,10,MATCH(O140,Cargas,1))),Coluna_fih,1,1))*(PI()*(fi_h/1000)^2/4)*SQRT(2*9.81*(O140/100-fi_h/2/1000))*1000))</f>
        <v>1.5473761010114142</v>
      </c>
      <c r="Q140" s="38">
        <f ca="1">IF(O140="","",IF(Tipo_Vertedor="Retangular",IF(O140&lt;=cota_s*100,0,IF(Tipo_Vertedor="Retangular",Cd_sr*Lef_sr*((O140/100-cota_s)^(3/2))*1000)),IF(O140&lt;=cota_s*100+fi_s/20,0,(OFFSET('Base de dados'!$A$4,IF(O140&lt;20,1,IF(O140&gt;1000,10,MATCH(O140,Cargas,1))),Coluna_fis,1,1))*(PI()*(fi_s/1000)^2/4)*(2*9.81*(O140/100-cota_s-fi_s/2/1000))^0.5*1000)))</f>
        <v>0</v>
      </c>
      <c r="R140" s="38">
        <f t="shared" ca="1" si="32"/>
        <v>1.5473761010114142</v>
      </c>
      <c r="S140" s="38">
        <f t="shared" ca="1" si="33"/>
        <v>43.437499999999993</v>
      </c>
      <c r="AD140" s="38" t="str">
        <f t="shared" si="43"/>
        <v/>
      </c>
      <c r="AE140" s="38" t="str">
        <f t="shared" si="44"/>
        <v/>
      </c>
      <c r="AF140" s="38" t="str">
        <f>IF(ISERROR(IF('Hidrograma afluente'!I147="",0,'Hidrograma afluente'!I147)+Simulação!G140),"",IF('Hidrograma afluente'!I147="",0,'Hidrograma afluente'!I147)+Simulação!G140)</f>
        <v/>
      </c>
      <c r="AG140" s="36" t="s">
        <v>182</v>
      </c>
      <c r="AH140" s="36" t="s">
        <v>182</v>
      </c>
      <c r="AI140" s="48" t="s">
        <v>182</v>
      </c>
      <c r="AJ140" s="36" t="s">
        <v>182</v>
      </c>
      <c r="AK140" s="38" t="str">
        <f>IF(A140="","",IF('Hidrograma afluente'!I147="",0,'Hidrograma afluente'!I147)+Simulação!B140)</f>
        <v/>
      </c>
    </row>
    <row r="141" spans="1:37" s="36" customFormat="1">
      <c r="A141" s="23" t="str">
        <f t="shared" si="34"/>
        <v/>
      </c>
      <c r="B141" s="24" t="str">
        <f>IF(A141="","",IF(A141&gt;tc_lot_i+tc,0,IF('Hidrograma afluente'!B148="","",'Hidrograma afluente'!B148)))</f>
        <v/>
      </c>
      <c r="C141" s="41" t="str">
        <f t="shared" si="35"/>
        <v/>
      </c>
      <c r="D141" s="41" t="str">
        <f t="shared" si="36"/>
        <v/>
      </c>
      <c r="E141" s="41" t="str">
        <f t="shared" si="37"/>
        <v/>
      </c>
      <c r="F141" s="41" t="str">
        <f t="shared" si="38"/>
        <v/>
      </c>
      <c r="G141" s="41" t="str">
        <f t="shared" si="39"/>
        <v/>
      </c>
      <c r="H141" s="43" t="str">
        <f t="shared" si="30"/>
        <v/>
      </c>
      <c r="I141" s="42" t="str">
        <f t="shared" si="40"/>
        <v/>
      </c>
      <c r="J141" s="18"/>
      <c r="K141" s="76"/>
      <c r="M141" s="132">
        <f t="shared" ca="1" si="31"/>
        <v>45.303228085064958</v>
      </c>
      <c r="N141" s="38">
        <f t="shared" si="41"/>
        <v>1.3125</v>
      </c>
      <c r="O141" s="36">
        <f t="shared" si="42"/>
        <v>35</v>
      </c>
      <c r="P141" s="38">
        <f ca="1">IF(ISERROR(IF(O141&lt;fi_h/20,0,(OFFSET('Base de dados'!$A$5,IF(O141&lt;20,1,IF(O141&gt;1000,10,MATCH(O141,Cargas,1))),Coluna_fih,1,1))*(1+0.13*0.25)*(PI()*(fi_h/1000)^2/4)*SQRT(2*9.81*(O141/100-fi_h/2/1000))*1000)),"",IF(O141&lt;fi_h/20,0,(OFFSET('Base de dados'!$A$5,IF(O141&lt;20,1,IF(O141&gt;1000,10,MATCH(O141,Cargas,1))),Coluna_fih,1,1))*(PI()*(fi_h/1000)^2/4)*SQRT(2*9.81*(O141/100-fi_h/2/1000))*1000))</f>
        <v>1.5532280850649574</v>
      </c>
      <c r="Q141" s="38">
        <f ca="1">IF(O141="","",IF(Tipo_Vertedor="Retangular",IF(O141&lt;=cota_s*100,0,IF(Tipo_Vertedor="Retangular",Cd_sr*Lef_sr*((O141/100-cota_s)^(3/2))*1000)),IF(O141&lt;=cota_s*100+fi_s/20,0,(OFFSET('Base de dados'!$A$4,IF(O141&lt;20,1,IF(O141&gt;1000,10,MATCH(O141,Cargas,1))),Coluna_fis,1,1))*(PI()*(fi_s/1000)^2/4)*(2*9.81*(O141/100-cota_s-fi_s/2/1000))^0.5*1000)))</f>
        <v>0</v>
      </c>
      <c r="R141" s="38">
        <f t="shared" ca="1" si="32"/>
        <v>1.5532280850649574</v>
      </c>
      <c r="S141" s="38">
        <f t="shared" ca="1" si="33"/>
        <v>43.75</v>
      </c>
      <c r="AD141" s="38" t="str">
        <f t="shared" si="43"/>
        <v/>
      </c>
      <c r="AE141" s="38" t="str">
        <f t="shared" si="44"/>
        <v/>
      </c>
      <c r="AF141" s="38" t="str">
        <f>IF(ISERROR(IF('Hidrograma afluente'!I148="",0,'Hidrograma afluente'!I148)+Simulação!G141),"",IF('Hidrograma afluente'!I148="",0,'Hidrograma afluente'!I148)+Simulação!G141)</f>
        <v/>
      </c>
      <c r="AG141" s="36" t="s">
        <v>182</v>
      </c>
      <c r="AH141" s="36" t="s">
        <v>182</v>
      </c>
      <c r="AI141" s="48" t="s">
        <v>182</v>
      </c>
      <c r="AJ141" s="36" t="s">
        <v>182</v>
      </c>
      <c r="AK141" s="38" t="str">
        <f>IF(A141="","",IF('Hidrograma afluente'!I148="",0,'Hidrograma afluente'!I148)+Simulação!B141)</f>
        <v/>
      </c>
    </row>
    <row r="142" spans="1:37" s="36" customFormat="1">
      <c r="A142" s="23" t="str">
        <f t="shared" si="34"/>
        <v/>
      </c>
      <c r="B142" s="24" t="str">
        <f>IF(A142="","",IF(A142&gt;tc_lot_i+tc,0,IF('Hidrograma afluente'!B149="","",'Hidrograma afluente'!B149)))</f>
        <v/>
      </c>
      <c r="C142" s="41" t="str">
        <f t="shared" si="35"/>
        <v/>
      </c>
      <c r="D142" s="41" t="str">
        <f t="shared" si="36"/>
        <v/>
      </c>
      <c r="E142" s="41" t="str">
        <f t="shared" si="37"/>
        <v/>
      </c>
      <c r="F142" s="41" t="str">
        <f t="shared" si="38"/>
        <v/>
      </c>
      <c r="G142" s="41" t="str">
        <f t="shared" si="39"/>
        <v/>
      </c>
      <c r="H142" s="43" t="str">
        <f t="shared" si="30"/>
        <v/>
      </c>
      <c r="I142" s="42" t="str">
        <f t="shared" si="40"/>
        <v/>
      </c>
      <c r="J142" s="18"/>
      <c r="K142" s="76"/>
      <c r="M142" s="132">
        <f t="shared" ca="1" si="31"/>
        <v>45.621558103627898</v>
      </c>
      <c r="N142" s="38">
        <f t="shared" si="41"/>
        <v>1.3218749999999999</v>
      </c>
      <c r="O142" s="36">
        <f t="shared" si="42"/>
        <v>35.25</v>
      </c>
      <c r="P142" s="38">
        <f ca="1">IF(ISERROR(IF(O142&lt;fi_h/20,0,(OFFSET('Base de dados'!$A$5,IF(O142&lt;20,1,IF(O142&gt;1000,10,MATCH(O142,Cargas,1))),Coluna_fih,1,1))*(1+0.13*0.25)*(PI()*(fi_h/1000)^2/4)*SQRT(2*9.81*(O142/100-fi_h/2/1000))*1000)),"",IF(O142&lt;fi_h/20,0,(OFFSET('Base de dados'!$A$5,IF(O142&lt;20,1,IF(O142&gt;1000,10,MATCH(O142,Cargas,1))),Coluna_fih,1,1))*(PI()*(fi_h/1000)^2/4)*SQRT(2*9.81*(O142/100-fi_h/2/1000))*1000))</f>
        <v>1.5590581036278996</v>
      </c>
      <c r="Q142" s="38">
        <f ca="1">IF(O142="","",IF(Tipo_Vertedor="Retangular",IF(O142&lt;=cota_s*100,0,IF(Tipo_Vertedor="Retangular",Cd_sr*Lef_sr*((O142/100-cota_s)^(3/2))*1000)),IF(O142&lt;=cota_s*100+fi_s/20,0,(OFFSET('Base de dados'!$A$4,IF(O142&lt;20,1,IF(O142&gt;1000,10,MATCH(O142,Cargas,1))),Coluna_fis,1,1))*(PI()*(fi_s/1000)^2/4)*(2*9.81*(O142/100-cota_s-fi_s/2/1000))^0.5*1000)))</f>
        <v>0</v>
      </c>
      <c r="R142" s="38">
        <f t="shared" ca="1" si="32"/>
        <v>1.5590581036278996</v>
      </c>
      <c r="S142" s="38">
        <f t="shared" ca="1" si="33"/>
        <v>44.0625</v>
      </c>
      <c r="AD142" s="38" t="str">
        <f t="shared" si="43"/>
        <v/>
      </c>
      <c r="AE142" s="38" t="str">
        <f t="shared" si="44"/>
        <v/>
      </c>
      <c r="AF142" s="38" t="str">
        <f>IF(ISERROR(IF('Hidrograma afluente'!I149="",0,'Hidrograma afluente'!I149)+Simulação!G142),"",IF('Hidrograma afluente'!I149="",0,'Hidrograma afluente'!I149)+Simulação!G142)</f>
        <v/>
      </c>
      <c r="AG142" s="36" t="s">
        <v>182</v>
      </c>
      <c r="AH142" s="36" t="s">
        <v>182</v>
      </c>
      <c r="AI142" s="48" t="s">
        <v>182</v>
      </c>
      <c r="AJ142" s="36" t="s">
        <v>182</v>
      </c>
      <c r="AK142" s="38" t="str">
        <f>IF(A142="","",IF('Hidrograma afluente'!I149="",0,'Hidrograma afluente'!I149)+Simulação!B142)</f>
        <v/>
      </c>
    </row>
    <row r="143" spans="1:37" s="36" customFormat="1">
      <c r="A143" s="23" t="str">
        <f t="shared" si="34"/>
        <v/>
      </c>
      <c r="B143" s="24" t="str">
        <f>IF(A143="","",IF(A143&gt;tc_lot_i+tc,0,IF('Hidrograma afluente'!B150="","",'Hidrograma afluente'!B150)))</f>
        <v/>
      </c>
      <c r="C143" s="41" t="str">
        <f t="shared" si="35"/>
        <v/>
      </c>
      <c r="D143" s="41" t="str">
        <f t="shared" si="36"/>
        <v/>
      </c>
      <c r="E143" s="41" t="str">
        <f t="shared" si="37"/>
        <v/>
      </c>
      <c r="F143" s="41" t="str">
        <f t="shared" si="38"/>
        <v/>
      </c>
      <c r="G143" s="41" t="str">
        <f t="shared" si="39"/>
        <v/>
      </c>
      <c r="H143" s="43" t="str">
        <f t="shared" si="30"/>
        <v/>
      </c>
      <c r="I143" s="42" t="str">
        <f t="shared" si="40"/>
        <v/>
      </c>
      <c r="J143" s="18"/>
      <c r="K143" s="76"/>
      <c r="M143" s="132">
        <f t="shared" ca="1" si="31"/>
        <v>45.939866402202142</v>
      </c>
      <c r="N143" s="38">
        <f t="shared" si="41"/>
        <v>1.3312499999999998</v>
      </c>
      <c r="O143" s="36">
        <f t="shared" si="42"/>
        <v>35.5</v>
      </c>
      <c r="P143" s="38">
        <f ca="1">IF(ISERROR(IF(O143&lt;fi_h/20,0,(OFFSET('Base de dados'!$A$5,IF(O143&lt;20,1,IF(O143&gt;1000,10,MATCH(O143,Cargas,1))),Coluna_fih,1,1))*(1+0.13*0.25)*(PI()*(fi_h/1000)^2/4)*SQRT(2*9.81*(O143/100-fi_h/2/1000))*1000)),"",IF(O143&lt;fi_h/20,0,(OFFSET('Base de dados'!$A$5,IF(O143&lt;20,1,IF(O143&gt;1000,10,MATCH(O143,Cargas,1))),Coluna_fih,1,1))*(PI()*(fi_h/1000)^2/4)*SQRT(2*9.81*(O143/100-fi_h/2/1000))*1000))</f>
        <v>1.5648664022021466</v>
      </c>
      <c r="Q143" s="38">
        <f ca="1">IF(O143="","",IF(Tipo_Vertedor="Retangular",IF(O143&lt;=cota_s*100,0,IF(Tipo_Vertedor="Retangular",Cd_sr*Lef_sr*((O143/100-cota_s)^(3/2))*1000)),IF(O143&lt;=cota_s*100+fi_s/20,0,(OFFSET('Base de dados'!$A$4,IF(O143&lt;20,1,IF(O143&gt;1000,10,MATCH(O143,Cargas,1))),Coluna_fis,1,1))*(PI()*(fi_s/1000)^2/4)*(2*9.81*(O143/100-cota_s-fi_s/2/1000))^0.5*1000)))</f>
        <v>0</v>
      </c>
      <c r="R143" s="38">
        <f t="shared" ca="1" si="32"/>
        <v>1.5648664022021466</v>
      </c>
      <c r="S143" s="38">
        <f t="shared" ca="1" si="33"/>
        <v>44.374999999999993</v>
      </c>
      <c r="AD143" s="38" t="str">
        <f t="shared" si="43"/>
        <v/>
      </c>
      <c r="AE143" s="38" t="str">
        <f t="shared" si="44"/>
        <v/>
      </c>
      <c r="AF143" s="38" t="str">
        <f>IF(ISERROR(IF('Hidrograma afluente'!I150="",0,'Hidrograma afluente'!I150)+Simulação!G143),"",IF('Hidrograma afluente'!I150="",0,'Hidrograma afluente'!I150)+Simulação!G143)</f>
        <v/>
      </c>
      <c r="AG143" s="36" t="s">
        <v>182</v>
      </c>
      <c r="AH143" s="36" t="s">
        <v>182</v>
      </c>
      <c r="AI143" s="48" t="s">
        <v>182</v>
      </c>
      <c r="AJ143" s="36" t="s">
        <v>182</v>
      </c>
      <c r="AK143" s="38" t="str">
        <f>IF(A143="","",IF('Hidrograma afluente'!I150="",0,'Hidrograma afluente'!I150)+Simulação!B143)</f>
        <v/>
      </c>
    </row>
    <row r="144" spans="1:37" s="36" customFormat="1">
      <c r="A144" s="23" t="str">
        <f t="shared" si="34"/>
        <v/>
      </c>
      <c r="B144" s="24" t="str">
        <f>IF(A144="","",IF(A144&gt;tc_lot_i+tc,0,IF('Hidrograma afluente'!B151="","",'Hidrograma afluente'!B151)))</f>
        <v/>
      </c>
      <c r="C144" s="41" t="str">
        <f t="shared" si="35"/>
        <v/>
      </c>
      <c r="D144" s="41" t="str">
        <f t="shared" si="36"/>
        <v/>
      </c>
      <c r="E144" s="41" t="str">
        <f t="shared" si="37"/>
        <v/>
      </c>
      <c r="F144" s="41" t="str">
        <f t="shared" si="38"/>
        <v/>
      </c>
      <c r="G144" s="41" t="str">
        <f t="shared" si="39"/>
        <v/>
      </c>
      <c r="H144" s="43" t="str">
        <f t="shared" si="30"/>
        <v/>
      </c>
      <c r="I144" s="42" t="str">
        <f t="shared" si="40"/>
        <v/>
      </c>
      <c r="J144" s="18"/>
      <c r="K144" s="76"/>
      <c r="M144" s="132">
        <f t="shared" ca="1" si="31"/>
        <v>46.258153221750227</v>
      </c>
      <c r="N144" s="38">
        <f t="shared" si="41"/>
        <v>1.340625</v>
      </c>
      <c r="O144" s="36">
        <f t="shared" si="42"/>
        <v>35.75</v>
      </c>
      <c r="P144" s="38">
        <f ca="1">IF(ISERROR(IF(O144&lt;fi_h/20,0,(OFFSET('Base de dados'!$A$5,IF(O144&lt;20,1,IF(O144&gt;1000,10,MATCH(O144,Cargas,1))),Coluna_fih,1,1))*(1+0.13*0.25)*(PI()*(fi_h/1000)^2/4)*SQRT(2*9.81*(O144/100-fi_h/2/1000))*1000)),"",IF(O144&lt;fi_h/20,0,(OFFSET('Base de dados'!$A$5,IF(O144&lt;20,1,IF(O144&gt;1000,10,MATCH(O144,Cargas,1))),Coluna_fih,1,1))*(PI()*(fi_h/1000)^2/4)*SQRT(2*9.81*(O144/100-fi_h/2/1000))*1000))</f>
        <v>1.5706532217502243</v>
      </c>
      <c r="Q144" s="38">
        <f ca="1">IF(O144="","",IF(Tipo_Vertedor="Retangular",IF(O144&lt;=cota_s*100,0,IF(Tipo_Vertedor="Retangular",Cd_sr*Lef_sr*((O144/100-cota_s)^(3/2))*1000)),IF(O144&lt;=cota_s*100+fi_s/20,0,(OFFSET('Base de dados'!$A$4,IF(O144&lt;20,1,IF(O144&gt;1000,10,MATCH(O144,Cargas,1))),Coluna_fis,1,1))*(PI()*(fi_s/1000)^2/4)*(2*9.81*(O144/100-cota_s-fi_s/2/1000))^0.5*1000)))</f>
        <v>0</v>
      </c>
      <c r="R144" s="38">
        <f t="shared" ca="1" si="32"/>
        <v>1.5706532217502243</v>
      </c>
      <c r="S144" s="38">
        <f t="shared" ca="1" si="33"/>
        <v>44.6875</v>
      </c>
      <c r="AD144" s="38" t="str">
        <f t="shared" si="43"/>
        <v/>
      </c>
      <c r="AE144" s="38" t="str">
        <f t="shared" si="44"/>
        <v/>
      </c>
      <c r="AF144" s="38" t="str">
        <f>IF(ISERROR(IF('Hidrograma afluente'!I151="",0,'Hidrograma afluente'!I151)+Simulação!G144),"",IF('Hidrograma afluente'!I151="",0,'Hidrograma afluente'!I151)+Simulação!G144)</f>
        <v/>
      </c>
      <c r="AG144" s="36" t="s">
        <v>182</v>
      </c>
      <c r="AH144" s="36" t="s">
        <v>182</v>
      </c>
      <c r="AI144" s="48" t="s">
        <v>182</v>
      </c>
      <c r="AJ144" s="36" t="s">
        <v>182</v>
      </c>
      <c r="AK144" s="38" t="str">
        <f>IF(A144="","",IF('Hidrograma afluente'!I151="",0,'Hidrograma afluente'!I151)+Simulação!B144)</f>
        <v/>
      </c>
    </row>
    <row r="145" spans="1:37" s="36" customFormat="1">
      <c r="A145" s="23" t="str">
        <f t="shared" si="34"/>
        <v/>
      </c>
      <c r="B145" s="24" t="str">
        <f>IF(A145="","",IF(A145&gt;tc_lot_i+tc,0,IF('Hidrograma afluente'!B152="","",'Hidrograma afluente'!B152)))</f>
        <v/>
      </c>
      <c r="C145" s="41" t="str">
        <f t="shared" si="35"/>
        <v/>
      </c>
      <c r="D145" s="41" t="str">
        <f t="shared" si="36"/>
        <v/>
      </c>
      <c r="E145" s="41" t="str">
        <f t="shared" si="37"/>
        <v/>
      </c>
      <c r="F145" s="41" t="str">
        <f t="shared" si="38"/>
        <v/>
      </c>
      <c r="G145" s="41" t="str">
        <f t="shared" si="39"/>
        <v/>
      </c>
      <c r="H145" s="43" t="str">
        <f t="shared" si="30"/>
        <v/>
      </c>
      <c r="I145" s="42" t="str">
        <f t="shared" si="40"/>
        <v/>
      </c>
      <c r="J145" s="18"/>
      <c r="K145" s="76"/>
      <c r="M145" s="132">
        <f t="shared" ca="1" si="31"/>
        <v>46.576418798811915</v>
      </c>
      <c r="N145" s="38">
        <f t="shared" si="41"/>
        <v>1.3499999999999999</v>
      </c>
      <c r="O145" s="36">
        <f t="shared" si="42"/>
        <v>36</v>
      </c>
      <c r="P145" s="38">
        <f ca="1">IF(ISERROR(IF(O145&lt;fi_h/20,0,(OFFSET('Base de dados'!$A$5,IF(O145&lt;20,1,IF(O145&gt;1000,10,MATCH(O145,Cargas,1))),Coluna_fih,1,1))*(1+0.13*0.25)*(PI()*(fi_h/1000)^2/4)*SQRT(2*9.81*(O145/100-fi_h/2/1000))*1000)),"",IF(O145&lt;fi_h/20,0,(OFFSET('Base de dados'!$A$5,IF(O145&lt;20,1,IF(O145&gt;1000,10,MATCH(O145,Cargas,1))),Coluna_fih,1,1))*(PI()*(fi_h/1000)^2/4)*SQRT(2*9.81*(O145/100-fi_h/2/1000))*1000))</f>
        <v>1.5764187988119236</v>
      </c>
      <c r="Q145" s="38">
        <f ca="1">IF(O145="","",IF(Tipo_Vertedor="Retangular",IF(O145&lt;=cota_s*100,0,IF(Tipo_Vertedor="Retangular",Cd_sr*Lef_sr*((O145/100-cota_s)^(3/2))*1000)),IF(O145&lt;=cota_s*100+fi_s/20,0,(OFFSET('Base de dados'!$A$4,IF(O145&lt;20,1,IF(O145&gt;1000,10,MATCH(O145,Cargas,1))),Coluna_fis,1,1))*(PI()*(fi_s/1000)^2/4)*(2*9.81*(O145/100-cota_s-fi_s/2/1000))^0.5*1000)))</f>
        <v>0</v>
      </c>
      <c r="R145" s="38">
        <f t="shared" ca="1" si="32"/>
        <v>1.5764187988119236</v>
      </c>
      <c r="S145" s="38">
        <f t="shared" ca="1" si="33"/>
        <v>44.999999999999993</v>
      </c>
      <c r="AD145" s="38" t="str">
        <f t="shared" si="43"/>
        <v/>
      </c>
      <c r="AE145" s="38" t="str">
        <f t="shared" si="44"/>
        <v/>
      </c>
      <c r="AF145" s="38" t="str">
        <f>IF(ISERROR(IF('Hidrograma afluente'!I152="",0,'Hidrograma afluente'!I152)+Simulação!G145),"",IF('Hidrograma afluente'!I152="",0,'Hidrograma afluente'!I152)+Simulação!G145)</f>
        <v/>
      </c>
      <c r="AG145" s="36" t="s">
        <v>182</v>
      </c>
      <c r="AH145" s="36" t="s">
        <v>182</v>
      </c>
      <c r="AI145" s="48" t="s">
        <v>182</v>
      </c>
      <c r="AJ145" s="36" t="s">
        <v>182</v>
      </c>
      <c r="AK145" s="38" t="str">
        <f>IF(A145="","",IF('Hidrograma afluente'!I152="",0,'Hidrograma afluente'!I152)+Simulação!B145)</f>
        <v/>
      </c>
    </row>
    <row r="146" spans="1:37" s="36" customFormat="1">
      <c r="A146" s="23" t="str">
        <f t="shared" si="34"/>
        <v/>
      </c>
      <c r="B146" s="24" t="str">
        <f>IF(A146="","",IF(A146&gt;tc_lot_i+tc,0,IF('Hidrograma afluente'!B153="","",'Hidrograma afluente'!B153)))</f>
        <v/>
      </c>
      <c r="C146" s="41" t="str">
        <f t="shared" si="35"/>
        <v/>
      </c>
      <c r="D146" s="41" t="str">
        <f t="shared" si="36"/>
        <v/>
      </c>
      <c r="E146" s="41" t="str">
        <f t="shared" si="37"/>
        <v/>
      </c>
      <c r="F146" s="41" t="str">
        <f t="shared" si="38"/>
        <v/>
      </c>
      <c r="G146" s="41" t="str">
        <f t="shared" si="39"/>
        <v/>
      </c>
      <c r="H146" s="43" t="str">
        <f t="shared" si="30"/>
        <v/>
      </c>
      <c r="I146" s="42" t="str">
        <f t="shared" si="40"/>
        <v/>
      </c>
      <c r="J146" s="18"/>
      <c r="K146" s="76"/>
      <c r="M146" s="132">
        <f t="shared" ca="1" si="31"/>
        <v>46.89466336561712</v>
      </c>
      <c r="N146" s="38">
        <f t="shared" si="41"/>
        <v>1.359375</v>
      </c>
      <c r="O146" s="36">
        <f t="shared" si="42"/>
        <v>36.25</v>
      </c>
      <c r="P146" s="38">
        <f ca="1">IF(ISERROR(IF(O146&lt;fi_h/20,0,(OFFSET('Base de dados'!$A$5,IF(O146&lt;20,1,IF(O146&gt;1000,10,MATCH(O146,Cargas,1))),Coluna_fih,1,1))*(1+0.13*0.25)*(PI()*(fi_h/1000)^2/4)*SQRT(2*9.81*(O146/100-fi_h/2/1000))*1000)),"",IF(O146&lt;fi_h/20,0,(OFFSET('Base de dados'!$A$5,IF(O146&lt;20,1,IF(O146&gt;1000,10,MATCH(O146,Cargas,1))),Coluna_fih,1,1))*(PI()*(fi_h/1000)^2/4)*SQRT(2*9.81*(O146/100-fi_h/2/1000))*1000))</f>
        <v>1.582163365617121</v>
      </c>
      <c r="Q146" s="38">
        <f ca="1">IF(O146="","",IF(Tipo_Vertedor="Retangular",IF(O146&lt;=cota_s*100,0,IF(Tipo_Vertedor="Retangular",Cd_sr*Lef_sr*((O146/100-cota_s)^(3/2))*1000)),IF(O146&lt;=cota_s*100+fi_s/20,0,(OFFSET('Base de dados'!$A$4,IF(O146&lt;20,1,IF(O146&gt;1000,10,MATCH(O146,Cargas,1))),Coluna_fis,1,1))*(PI()*(fi_s/1000)^2/4)*(2*9.81*(O146/100-cota_s-fi_s/2/1000))^0.5*1000)))</f>
        <v>0</v>
      </c>
      <c r="R146" s="38">
        <f t="shared" ca="1" si="32"/>
        <v>1.582163365617121</v>
      </c>
      <c r="S146" s="38">
        <f t="shared" ca="1" si="33"/>
        <v>45.3125</v>
      </c>
      <c r="AD146" s="38" t="str">
        <f t="shared" si="43"/>
        <v/>
      </c>
      <c r="AE146" s="38" t="str">
        <f t="shared" si="44"/>
        <v/>
      </c>
      <c r="AF146" s="38" t="str">
        <f>IF(ISERROR(IF('Hidrograma afluente'!I153="",0,'Hidrograma afluente'!I153)+Simulação!G146),"",IF('Hidrograma afluente'!I153="",0,'Hidrograma afluente'!I153)+Simulação!G146)</f>
        <v/>
      </c>
      <c r="AG146" s="36" t="s">
        <v>182</v>
      </c>
      <c r="AH146" s="36" t="s">
        <v>182</v>
      </c>
      <c r="AI146" s="48" t="s">
        <v>182</v>
      </c>
      <c r="AJ146" s="36" t="s">
        <v>182</v>
      </c>
      <c r="AK146" s="38" t="str">
        <f>IF(A146="","",IF('Hidrograma afluente'!I153="",0,'Hidrograma afluente'!I153)+Simulação!B146)</f>
        <v/>
      </c>
    </row>
    <row r="147" spans="1:37" s="36" customFormat="1">
      <c r="A147" s="23" t="str">
        <f t="shared" si="34"/>
        <v/>
      </c>
      <c r="B147" s="24" t="str">
        <f>IF(A147="","",IF(A147&gt;tc_lot_i+tc,0,IF('Hidrograma afluente'!B154="","",'Hidrograma afluente'!B154)))</f>
        <v/>
      </c>
      <c r="C147" s="41" t="str">
        <f t="shared" si="35"/>
        <v/>
      </c>
      <c r="D147" s="41" t="str">
        <f t="shared" si="36"/>
        <v/>
      </c>
      <c r="E147" s="41" t="str">
        <f t="shared" si="37"/>
        <v/>
      </c>
      <c r="F147" s="41" t="str">
        <f t="shared" si="38"/>
        <v/>
      </c>
      <c r="G147" s="41" t="str">
        <f t="shared" si="39"/>
        <v/>
      </c>
      <c r="H147" s="43" t="str">
        <f t="shared" si="30"/>
        <v/>
      </c>
      <c r="I147" s="42" t="str">
        <f t="shared" si="40"/>
        <v/>
      </c>
      <c r="J147" s="18"/>
      <c r="K147" s="76"/>
      <c r="M147" s="132">
        <f t="shared" ca="1" si="31"/>
        <v>47.212887150194923</v>
      </c>
      <c r="N147" s="38">
        <f t="shared" si="41"/>
        <v>1.3687499999999999</v>
      </c>
      <c r="O147" s="36">
        <f t="shared" si="42"/>
        <v>36.5</v>
      </c>
      <c r="P147" s="38">
        <f ca="1">IF(ISERROR(IF(O147&lt;fi_h/20,0,(OFFSET('Base de dados'!$A$5,IF(O147&lt;20,1,IF(O147&gt;1000,10,MATCH(O147,Cargas,1))),Coluna_fih,1,1))*(1+0.13*0.25)*(PI()*(fi_h/1000)^2/4)*SQRT(2*9.81*(O147/100-fi_h/2/1000))*1000)),"",IF(O147&lt;fi_h/20,0,(OFFSET('Base de dados'!$A$5,IF(O147&lt;20,1,IF(O147&gt;1000,10,MATCH(O147,Cargas,1))),Coluna_fih,1,1))*(PI()*(fi_h/1000)^2/4)*SQRT(2*9.81*(O147/100-fi_h/2/1000))*1000))</f>
        <v>1.5878871501949263</v>
      </c>
      <c r="Q147" s="38">
        <f ca="1">IF(O147="","",IF(Tipo_Vertedor="Retangular",IF(O147&lt;=cota_s*100,0,IF(Tipo_Vertedor="Retangular",Cd_sr*Lef_sr*((O147/100-cota_s)^(3/2))*1000)),IF(O147&lt;=cota_s*100+fi_s/20,0,(OFFSET('Base de dados'!$A$4,IF(O147&lt;20,1,IF(O147&gt;1000,10,MATCH(O147,Cargas,1))),Coluna_fis,1,1))*(PI()*(fi_s/1000)^2/4)*(2*9.81*(O147/100-cota_s-fi_s/2/1000))^0.5*1000)))</f>
        <v>0</v>
      </c>
      <c r="R147" s="38">
        <f t="shared" ca="1" si="32"/>
        <v>1.5878871501949263</v>
      </c>
      <c r="S147" s="38">
        <f t="shared" ca="1" si="33"/>
        <v>45.625</v>
      </c>
      <c r="AD147" s="38" t="str">
        <f t="shared" si="43"/>
        <v/>
      </c>
      <c r="AE147" s="38" t="str">
        <f t="shared" si="44"/>
        <v/>
      </c>
      <c r="AF147" s="38" t="str">
        <f>IF(ISERROR(IF('Hidrograma afluente'!I154="",0,'Hidrograma afluente'!I154)+Simulação!G147),"",IF('Hidrograma afluente'!I154="",0,'Hidrograma afluente'!I154)+Simulação!G147)</f>
        <v/>
      </c>
      <c r="AG147" s="36" t="s">
        <v>182</v>
      </c>
      <c r="AH147" s="36" t="s">
        <v>182</v>
      </c>
      <c r="AI147" s="48" t="s">
        <v>182</v>
      </c>
      <c r="AJ147" s="36" t="s">
        <v>182</v>
      </c>
      <c r="AK147" s="38" t="str">
        <f>IF(A147="","",IF('Hidrograma afluente'!I154="",0,'Hidrograma afluente'!I154)+Simulação!B147)</f>
        <v/>
      </c>
    </row>
    <row r="148" spans="1:37" s="36" customFormat="1">
      <c r="A148" s="23" t="str">
        <f t="shared" si="34"/>
        <v/>
      </c>
      <c r="B148" s="24" t="str">
        <f>IF(A148="","",IF(A148&gt;tc_lot_i+tc,0,IF('Hidrograma afluente'!B155="","",'Hidrograma afluente'!B155)))</f>
        <v/>
      </c>
      <c r="C148" s="41" t="str">
        <f t="shared" si="35"/>
        <v/>
      </c>
      <c r="D148" s="41" t="str">
        <f t="shared" si="36"/>
        <v/>
      </c>
      <c r="E148" s="41" t="str">
        <f t="shared" si="37"/>
        <v/>
      </c>
      <c r="F148" s="41" t="str">
        <f t="shared" si="38"/>
        <v/>
      </c>
      <c r="G148" s="41" t="str">
        <f t="shared" si="39"/>
        <v/>
      </c>
      <c r="H148" s="43" t="str">
        <f t="shared" si="30"/>
        <v/>
      </c>
      <c r="I148" s="42" t="str">
        <f t="shared" si="40"/>
        <v/>
      </c>
      <c r="J148" s="18"/>
      <c r="K148" s="76"/>
      <c r="M148" s="132">
        <f t="shared" ca="1" si="31"/>
        <v>47.531090376479298</v>
      </c>
      <c r="N148" s="38">
        <f t="shared" si="41"/>
        <v>1.378125</v>
      </c>
      <c r="O148" s="36">
        <f t="shared" si="42"/>
        <v>36.75</v>
      </c>
      <c r="P148" s="38">
        <f ca="1">IF(ISERROR(IF(O148&lt;fi_h/20,0,(OFFSET('Base de dados'!$A$5,IF(O148&lt;20,1,IF(O148&gt;1000,10,MATCH(O148,Cargas,1))),Coluna_fih,1,1))*(1+0.13*0.25)*(PI()*(fi_h/1000)^2/4)*SQRT(2*9.81*(O148/100-fi_h/2/1000))*1000)),"",IF(O148&lt;fi_h/20,0,(OFFSET('Base de dados'!$A$5,IF(O148&lt;20,1,IF(O148&gt;1000,10,MATCH(O148,Cargas,1))),Coluna_fih,1,1))*(PI()*(fi_h/1000)^2/4)*SQRT(2*9.81*(O148/100-fi_h/2/1000))*1000))</f>
        <v>1.5935903764792987</v>
      </c>
      <c r="Q148" s="38">
        <f ca="1">IF(O148="","",IF(Tipo_Vertedor="Retangular",IF(O148&lt;=cota_s*100,0,IF(Tipo_Vertedor="Retangular",Cd_sr*Lef_sr*((O148/100-cota_s)^(3/2))*1000)),IF(O148&lt;=cota_s*100+fi_s/20,0,(OFFSET('Base de dados'!$A$4,IF(O148&lt;20,1,IF(O148&gt;1000,10,MATCH(O148,Cargas,1))),Coluna_fis,1,1))*(PI()*(fi_s/1000)^2/4)*(2*9.81*(O148/100-cota_s-fi_s/2/1000))^0.5*1000)))</f>
        <v>0</v>
      </c>
      <c r="R148" s="38">
        <f t="shared" ca="1" si="32"/>
        <v>1.5935903764792987</v>
      </c>
      <c r="S148" s="38">
        <f t="shared" ca="1" si="33"/>
        <v>45.9375</v>
      </c>
      <c r="AD148" s="38" t="str">
        <f t="shared" si="43"/>
        <v/>
      </c>
      <c r="AE148" s="38" t="str">
        <f t="shared" si="44"/>
        <v/>
      </c>
      <c r="AF148" s="38" t="str">
        <f>IF(ISERROR(IF('Hidrograma afluente'!I155="",0,'Hidrograma afluente'!I155)+Simulação!G148),"",IF('Hidrograma afluente'!I155="",0,'Hidrograma afluente'!I155)+Simulação!G148)</f>
        <v/>
      </c>
      <c r="AG148" s="36" t="s">
        <v>182</v>
      </c>
      <c r="AH148" s="36" t="s">
        <v>182</v>
      </c>
      <c r="AI148" s="48" t="s">
        <v>182</v>
      </c>
      <c r="AJ148" s="36" t="s">
        <v>182</v>
      </c>
      <c r="AK148" s="38" t="str">
        <f>IF(A148="","",IF('Hidrograma afluente'!I155="",0,'Hidrograma afluente'!I155)+Simulação!B148)</f>
        <v/>
      </c>
    </row>
    <row r="149" spans="1:37" s="36" customFormat="1">
      <c r="A149" s="23" t="str">
        <f t="shared" si="34"/>
        <v/>
      </c>
      <c r="B149" s="24" t="str">
        <f>IF(A149="","",IF(A149&gt;tc_lot_i+tc,0,IF('Hidrograma afluente'!B156="","",'Hidrograma afluente'!B156)))</f>
        <v/>
      </c>
      <c r="C149" s="41" t="str">
        <f t="shared" si="35"/>
        <v/>
      </c>
      <c r="D149" s="41" t="str">
        <f t="shared" si="36"/>
        <v/>
      </c>
      <c r="E149" s="41" t="str">
        <f t="shared" si="37"/>
        <v/>
      </c>
      <c r="F149" s="41" t="str">
        <f t="shared" si="38"/>
        <v/>
      </c>
      <c r="G149" s="41" t="str">
        <f t="shared" si="39"/>
        <v/>
      </c>
      <c r="H149" s="43" t="str">
        <f t="shared" si="30"/>
        <v/>
      </c>
      <c r="I149" s="42" t="str">
        <f t="shared" si="40"/>
        <v/>
      </c>
      <c r="J149" s="18"/>
      <c r="K149" s="76"/>
      <c r="M149" s="132">
        <f t="shared" ca="1" si="31"/>
        <v>47.849273264411273</v>
      </c>
      <c r="N149" s="38">
        <f t="shared" si="41"/>
        <v>1.3875</v>
      </c>
      <c r="O149" s="36">
        <f t="shared" si="42"/>
        <v>37</v>
      </c>
      <c r="P149" s="38">
        <f ca="1">IF(ISERROR(IF(O149&lt;fi_h/20,0,(OFFSET('Base de dados'!$A$5,IF(O149&lt;20,1,IF(O149&gt;1000,10,MATCH(O149,Cargas,1))),Coluna_fih,1,1))*(1+0.13*0.25)*(PI()*(fi_h/1000)^2/4)*SQRT(2*9.81*(O149/100-fi_h/2/1000))*1000)),"",IF(O149&lt;fi_h/20,0,(OFFSET('Base de dados'!$A$5,IF(O149&lt;20,1,IF(O149&gt;1000,10,MATCH(O149,Cargas,1))),Coluna_fih,1,1))*(PI()*(fi_h/1000)^2/4)*SQRT(2*9.81*(O149/100-fi_h/2/1000))*1000))</f>
        <v>1.5992732644112766</v>
      </c>
      <c r="Q149" s="38">
        <f ca="1">IF(O149="","",IF(Tipo_Vertedor="Retangular",IF(O149&lt;=cota_s*100,0,IF(Tipo_Vertedor="Retangular",Cd_sr*Lef_sr*((O149/100-cota_s)^(3/2))*1000)),IF(O149&lt;=cota_s*100+fi_s/20,0,(OFFSET('Base de dados'!$A$4,IF(O149&lt;20,1,IF(O149&gt;1000,10,MATCH(O149,Cargas,1))),Coluna_fis,1,1))*(PI()*(fi_s/1000)^2/4)*(2*9.81*(O149/100-cota_s-fi_s/2/1000))^0.5*1000)))</f>
        <v>0</v>
      </c>
      <c r="R149" s="38">
        <f t="shared" ca="1" si="32"/>
        <v>1.5992732644112766</v>
      </c>
      <c r="S149" s="38">
        <f t="shared" ca="1" si="33"/>
        <v>46.25</v>
      </c>
      <c r="AD149" s="38" t="str">
        <f t="shared" si="43"/>
        <v/>
      </c>
      <c r="AE149" s="38" t="str">
        <f t="shared" si="44"/>
        <v/>
      </c>
      <c r="AF149" s="38" t="str">
        <f>IF(ISERROR(IF('Hidrograma afluente'!I156="",0,'Hidrograma afluente'!I156)+Simulação!G149),"",IF('Hidrograma afluente'!I156="",0,'Hidrograma afluente'!I156)+Simulação!G149)</f>
        <v/>
      </c>
      <c r="AG149" s="36" t="s">
        <v>182</v>
      </c>
      <c r="AH149" s="36" t="s">
        <v>182</v>
      </c>
      <c r="AI149" s="48" t="s">
        <v>182</v>
      </c>
      <c r="AJ149" s="36" t="s">
        <v>182</v>
      </c>
      <c r="AK149" s="38" t="str">
        <f>IF(A149="","",IF('Hidrograma afluente'!I156="",0,'Hidrograma afluente'!I156)+Simulação!B149)</f>
        <v/>
      </c>
    </row>
    <row r="150" spans="1:37" s="36" customFormat="1">
      <c r="A150" s="23" t="str">
        <f t="shared" si="34"/>
        <v/>
      </c>
      <c r="B150" s="24" t="str">
        <f>IF(A150="","",IF(A150&gt;tc_lot_i+tc,0,IF('Hidrograma afluente'!B157="","",'Hidrograma afluente'!B157)))</f>
        <v/>
      </c>
      <c r="C150" s="41" t="str">
        <f t="shared" si="35"/>
        <v/>
      </c>
      <c r="D150" s="41" t="str">
        <f t="shared" si="36"/>
        <v/>
      </c>
      <c r="E150" s="41" t="str">
        <f t="shared" si="37"/>
        <v/>
      </c>
      <c r="F150" s="41" t="str">
        <f t="shared" si="38"/>
        <v/>
      </c>
      <c r="G150" s="41" t="str">
        <f t="shared" si="39"/>
        <v/>
      </c>
      <c r="H150" s="43" t="str">
        <f t="shared" si="30"/>
        <v/>
      </c>
      <c r="I150" s="42" t="str">
        <f t="shared" si="40"/>
        <v/>
      </c>
      <c r="J150" s="18"/>
      <c r="K150" s="76"/>
      <c r="M150" s="132">
        <f t="shared" ca="1" si="31"/>
        <v>48.167436030037948</v>
      </c>
      <c r="N150" s="38">
        <f t="shared" si="41"/>
        <v>1.3968750000000001</v>
      </c>
      <c r="O150" s="36">
        <f t="shared" si="42"/>
        <v>37.25</v>
      </c>
      <c r="P150" s="38">
        <f ca="1">IF(ISERROR(IF(O150&lt;fi_h/20,0,(OFFSET('Base de dados'!$A$5,IF(O150&lt;20,1,IF(O150&gt;1000,10,MATCH(O150,Cargas,1))),Coluna_fih,1,1))*(1+0.13*0.25)*(PI()*(fi_h/1000)^2/4)*SQRT(2*9.81*(O150/100-fi_h/2/1000))*1000)),"",IF(O150&lt;fi_h/20,0,(OFFSET('Base de dados'!$A$5,IF(O150&lt;20,1,IF(O150&gt;1000,10,MATCH(O150,Cargas,1))),Coluna_fih,1,1))*(PI()*(fi_h/1000)^2/4)*SQRT(2*9.81*(O150/100-fi_h/2/1000))*1000))</f>
        <v>1.6049360300379483</v>
      </c>
      <c r="Q150" s="38">
        <f ca="1">IF(O150="","",IF(Tipo_Vertedor="Retangular",IF(O150&lt;=cota_s*100,0,IF(Tipo_Vertedor="Retangular",Cd_sr*Lef_sr*((O150/100-cota_s)^(3/2))*1000)),IF(O150&lt;=cota_s*100+fi_s/20,0,(OFFSET('Base de dados'!$A$4,IF(O150&lt;20,1,IF(O150&gt;1000,10,MATCH(O150,Cargas,1))),Coluna_fis,1,1))*(PI()*(fi_s/1000)^2/4)*(2*9.81*(O150/100-cota_s-fi_s/2/1000))^0.5*1000)))</f>
        <v>0</v>
      </c>
      <c r="R150" s="38">
        <f t="shared" ca="1" si="32"/>
        <v>1.6049360300379483</v>
      </c>
      <c r="S150" s="38">
        <f t="shared" ca="1" si="33"/>
        <v>46.5625</v>
      </c>
      <c r="AD150" s="38" t="str">
        <f t="shared" si="43"/>
        <v/>
      </c>
      <c r="AE150" s="38" t="str">
        <f t="shared" si="44"/>
        <v/>
      </c>
      <c r="AF150" s="38" t="str">
        <f>IF(ISERROR(IF('Hidrograma afluente'!I157="",0,'Hidrograma afluente'!I157)+Simulação!G150),"",IF('Hidrograma afluente'!I157="",0,'Hidrograma afluente'!I157)+Simulação!G150)</f>
        <v/>
      </c>
      <c r="AG150" s="36" t="s">
        <v>182</v>
      </c>
      <c r="AH150" s="36" t="s">
        <v>182</v>
      </c>
      <c r="AI150" s="48" t="s">
        <v>182</v>
      </c>
      <c r="AJ150" s="36" t="s">
        <v>182</v>
      </c>
      <c r="AK150" s="38" t="str">
        <f>IF(A150="","",IF('Hidrograma afluente'!I157="",0,'Hidrograma afluente'!I157)+Simulação!B150)</f>
        <v/>
      </c>
    </row>
    <row r="151" spans="1:37" s="36" customFormat="1">
      <c r="A151" s="23" t="str">
        <f t="shared" si="34"/>
        <v/>
      </c>
      <c r="B151" s="24" t="str">
        <f>IF(A151="","",IF(A151&gt;tc_lot_i+tc,0,IF('Hidrograma afluente'!B158="","",'Hidrograma afluente'!B158)))</f>
        <v/>
      </c>
      <c r="C151" s="41" t="str">
        <f t="shared" si="35"/>
        <v/>
      </c>
      <c r="D151" s="41" t="str">
        <f t="shared" si="36"/>
        <v/>
      </c>
      <c r="E151" s="41" t="str">
        <f t="shared" si="37"/>
        <v/>
      </c>
      <c r="F151" s="41" t="str">
        <f t="shared" si="38"/>
        <v/>
      </c>
      <c r="G151" s="41" t="str">
        <f t="shared" si="39"/>
        <v/>
      </c>
      <c r="H151" s="43" t="str">
        <f t="shared" si="30"/>
        <v/>
      </c>
      <c r="I151" s="42" t="str">
        <f t="shared" si="40"/>
        <v/>
      </c>
      <c r="J151" s="18"/>
      <c r="K151" s="76"/>
      <c r="M151" s="132">
        <f t="shared" ca="1" si="31"/>
        <v>48.485578885608291</v>
      </c>
      <c r="N151" s="38">
        <f t="shared" si="41"/>
        <v>1.40625</v>
      </c>
      <c r="O151" s="36">
        <f t="shared" si="42"/>
        <v>37.5</v>
      </c>
      <c r="P151" s="38">
        <f ca="1">IF(ISERROR(IF(O151&lt;fi_h/20,0,(OFFSET('Base de dados'!$A$5,IF(O151&lt;20,1,IF(O151&gt;1000,10,MATCH(O151,Cargas,1))),Coluna_fih,1,1))*(1+0.13*0.25)*(PI()*(fi_h/1000)^2/4)*SQRT(2*9.81*(O151/100-fi_h/2/1000))*1000)),"",IF(O151&lt;fi_h/20,0,(OFFSET('Base de dados'!$A$5,IF(O151&lt;20,1,IF(O151&gt;1000,10,MATCH(O151,Cargas,1))),Coluna_fih,1,1))*(PI()*(fi_h/1000)^2/4)*SQRT(2*9.81*(O151/100-fi_h/2/1000))*1000))</f>
        <v>1.610578885608289</v>
      </c>
      <c r="Q151" s="38">
        <f ca="1">IF(O151="","",IF(Tipo_Vertedor="Retangular",IF(O151&lt;=cota_s*100,0,IF(Tipo_Vertedor="Retangular",Cd_sr*Lef_sr*((O151/100-cota_s)^(3/2))*1000)),IF(O151&lt;=cota_s*100+fi_s/20,0,(OFFSET('Base de dados'!$A$4,IF(O151&lt;20,1,IF(O151&gt;1000,10,MATCH(O151,Cargas,1))),Coluna_fis,1,1))*(PI()*(fi_s/1000)^2/4)*(2*9.81*(O151/100-cota_s-fi_s/2/1000))^0.5*1000)))</f>
        <v>0</v>
      </c>
      <c r="R151" s="38">
        <f t="shared" ca="1" si="32"/>
        <v>1.610578885608289</v>
      </c>
      <c r="S151" s="38">
        <f t="shared" ca="1" si="33"/>
        <v>46.875</v>
      </c>
      <c r="AD151" s="38" t="str">
        <f t="shared" si="43"/>
        <v/>
      </c>
      <c r="AE151" s="38" t="str">
        <f t="shared" si="44"/>
        <v/>
      </c>
      <c r="AF151" s="38" t="str">
        <f>IF(ISERROR(IF('Hidrograma afluente'!I158="",0,'Hidrograma afluente'!I158)+Simulação!G151),"",IF('Hidrograma afluente'!I158="",0,'Hidrograma afluente'!I158)+Simulação!G151)</f>
        <v/>
      </c>
      <c r="AG151" s="36" t="s">
        <v>182</v>
      </c>
      <c r="AH151" s="36" t="s">
        <v>182</v>
      </c>
      <c r="AI151" s="48" t="s">
        <v>182</v>
      </c>
      <c r="AJ151" s="36" t="s">
        <v>182</v>
      </c>
      <c r="AK151" s="38" t="str">
        <f>IF(A151="","",IF('Hidrograma afluente'!I158="",0,'Hidrograma afluente'!I158)+Simulação!B151)</f>
        <v/>
      </c>
    </row>
    <row r="152" spans="1:37" s="36" customFormat="1">
      <c r="A152" s="23" t="str">
        <f t="shared" si="34"/>
        <v/>
      </c>
      <c r="B152" s="24" t="str">
        <f>IF(A152="","",IF(A152&gt;tc_lot_i+tc,0,IF('Hidrograma afluente'!B159="","",'Hidrograma afluente'!B159)))</f>
        <v/>
      </c>
      <c r="C152" s="41" t="str">
        <f t="shared" si="35"/>
        <v/>
      </c>
      <c r="D152" s="41" t="str">
        <f t="shared" si="36"/>
        <v/>
      </c>
      <c r="E152" s="41" t="str">
        <f t="shared" si="37"/>
        <v/>
      </c>
      <c r="F152" s="41" t="str">
        <f t="shared" si="38"/>
        <v/>
      </c>
      <c r="G152" s="41" t="str">
        <f t="shared" si="39"/>
        <v/>
      </c>
      <c r="H152" s="43" t="str">
        <f t="shared" si="30"/>
        <v/>
      </c>
      <c r="I152" s="42" t="str">
        <f t="shared" si="40"/>
        <v/>
      </c>
      <c r="J152" s="18"/>
      <c r="K152" s="76"/>
      <c r="M152" s="132">
        <f t="shared" ca="1" si="31"/>
        <v>48.803702039665993</v>
      </c>
      <c r="N152" s="38">
        <f t="shared" si="41"/>
        <v>1.4156249999999999</v>
      </c>
      <c r="O152" s="36">
        <f t="shared" si="42"/>
        <v>37.75</v>
      </c>
      <c r="P152" s="38">
        <f ca="1">IF(ISERROR(IF(O152&lt;fi_h/20,0,(OFFSET('Base de dados'!$A$5,IF(O152&lt;20,1,IF(O152&gt;1000,10,MATCH(O152,Cargas,1))),Coluna_fih,1,1))*(1+0.13*0.25)*(PI()*(fi_h/1000)^2/4)*SQRT(2*9.81*(O152/100-fi_h/2/1000))*1000)),"",IF(O152&lt;fi_h/20,0,(OFFSET('Base de dados'!$A$5,IF(O152&lt;20,1,IF(O152&gt;1000,10,MATCH(O152,Cargas,1))),Coluna_fih,1,1))*(PI()*(fi_h/1000)^2/4)*SQRT(2*9.81*(O152/100-fi_h/2/1000))*1000))</f>
        <v>1.61620203966599</v>
      </c>
      <c r="Q152" s="38">
        <f ca="1">IF(O152="","",IF(Tipo_Vertedor="Retangular",IF(O152&lt;=cota_s*100,0,IF(Tipo_Vertedor="Retangular",Cd_sr*Lef_sr*((O152/100-cota_s)^(3/2))*1000)),IF(O152&lt;=cota_s*100+fi_s/20,0,(OFFSET('Base de dados'!$A$4,IF(O152&lt;20,1,IF(O152&gt;1000,10,MATCH(O152,Cargas,1))),Coluna_fis,1,1))*(PI()*(fi_s/1000)^2/4)*(2*9.81*(O152/100-cota_s-fi_s/2/1000))^0.5*1000)))</f>
        <v>0</v>
      </c>
      <c r="R152" s="38">
        <f t="shared" ca="1" si="32"/>
        <v>1.61620203966599</v>
      </c>
      <c r="S152" s="38">
        <f t="shared" ca="1" si="33"/>
        <v>47.1875</v>
      </c>
      <c r="AD152" s="38" t="str">
        <f t="shared" si="43"/>
        <v/>
      </c>
      <c r="AE152" s="38" t="str">
        <f t="shared" si="44"/>
        <v/>
      </c>
      <c r="AF152" s="38" t="str">
        <f>IF(ISERROR(IF('Hidrograma afluente'!I159="",0,'Hidrograma afluente'!I159)+Simulação!G152),"",IF('Hidrograma afluente'!I159="",0,'Hidrograma afluente'!I159)+Simulação!G152)</f>
        <v/>
      </c>
      <c r="AG152" s="36" t="s">
        <v>182</v>
      </c>
      <c r="AH152" s="36" t="s">
        <v>182</v>
      </c>
      <c r="AI152" s="48" t="s">
        <v>182</v>
      </c>
      <c r="AJ152" s="36" t="s">
        <v>182</v>
      </c>
      <c r="AK152" s="38" t="str">
        <f>IF(A152="","",IF('Hidrograma afluente'!I159="",0,'Hidrograma afluente'!I159)+Simulação!B152)</f>
        <v/>
      </c>
    </row>
    <row r="153" spans="1:37" s="36" customFormat="1">
      <c r="A153" s="23" t="str">
        <f t="shared" si="34"/>
        <v/>
      </c>
      <c r="B153" s="24" t="str">
        <f>IF(A153="","",IF(A153&gt;tc_lot_i+tc,0,IF('Hidrograma afluente'!B160="","",'Hidrograma afluente'!B160)))</f>
        <v/>
      </c>
      <c r="C153" s="41" t="str">
        <f t="shared" si="35"/>
        <v/>
      </c>
      <c r="D153" s="41" t="str">
        <f t="shared" si="36"/>
        <v/>
      </c>
      <c r="E153" s="41" t="str">
        <f t="shared" si="37"/>
        <v/>
      </c>
      <c r="F153" s="41" t="str">
        <f t="shared" si="38"/>
        <v/>
      </c>
      <c r="G153" s="41" t="str">
        <f t="shared" si="39"/>
        <v/>
      </c>
      <c r="H153" s="43" t="str">
        <f t="shared" si="30"/>
        <v/>
      </c>
      <c r="I153" s="42" t="str">
        <f t="shared" si="40"/>
        <v/>
      </c>
      <c r="J153" s="18"/>
      <c r="K153" s="76"/>
      <c r="M153" s="132">
        <f t="shared" ca="1" si="31"/>
        <v>49.121805697139386</v>
      </c>
      <c r="N153" s="38">
        <f t="shared" si="41"/>
        <v>1.425</v>
      </c>
      <c r="O153" s="36">
        <f t="shared" si="42"/>
        <v>38</v>
      </c>
      <c r="P153" s="38">
        <f ca="1">IF(ISERROR(IF(O153&lt;fi_h/20,0,(OFFSET('Base de dados'!$A$5,IF(O153&lt;20,1,IF(O153&gt;1000,10,MATCH(O153,Cargas,1))),Coluna_fih,1,1))*(1+0.13*0.25)*(PI()*(fi_h/1000)^2/4)*SQRT(2*9.81*(O153/100-fi_h/2/1000))*1000)),"",IF(O153&lt;fi_h/20,0,(OFFSET('Base de dados'!$A$5,IF(O153&lt;20,1,IF(O153&gt;1000,10,MATCH(O153,Cargas,1))),Coluna_fih,1,1))*(PI()*(fi_h/1000)^2/4)*SQRT(2*9.81*(O153/100-fi_h/2/1000))*1000))</f>
        <v>1.6218056971393873</v>
      </c>
      <c r="Q153" s="38">
        <f ca="1">IF(O153="","",IF(Tipo_Vertedor="Retangular",IF(O153&lt;=cota_s*100,0,IF(Tipo_Vertedor="Retangular",Cd_sr*Lef_sr*((O153/100-cota_s)^(3/2))*1000)),IF(O153&lt;=cota_s*100+fi_s/20,0,(OFFSET('Base de dados'!$A$4,IF(O153&lt;20,1,IF(O153&gt;1000,10,MATCH(O153,Cargas,1))),Coluna_fis,1,1))*(PI()*(fi_s/1000)^2/4)*(2*9.81*(O153/100-cota_s-fi_s/2/1000))^0.5*1000)))</f>
        <v>0</v>
      </c>
      <c r="R153" s="38">
        <f t="shared" ca="1" si="32"/>
        <v>1.6218056971393873</v>
      </c>
      <c r="S153" s="38">
        <f t="shared" ca="1" si="33"/>
        <v>47.5</v>
      </c>
      <c r="AD153" s="38" t="str">
        <f t="shared" si="43"/>
        <v/>
      </c>
      <c r="AE153" s="38" t="str">
        <f t="shared" si="44"/>
        <v/>
      </c>
      <c r="AF153" s="38" t="str">
        <f>IF(ISERROR(IF('Hidrograma afluente'!I160="",0,'Hidrograma afluente'!I160)+Simulação!G153),"",IF('Hidrograma afluente'!I160="",0,'Hidrograma afluente'!I160)+Simulação!G153)</f>
        <v/>
      </c>
      <c r="AG153" s="36" t="s">
        <v>182</v>
      </c>
      <c r="AH153" s="36" t="s">
        <v>182</v>
      </c>
      <c r="AI153" s="48" t="s">
        <v>182</v>
      </c>
      <c r="AJ153" s="36" t="s">
        <v>182</v>
      </c>
      <c r="AK153" s="38" t="str">
        <f>IF(A153="","",IF('Hidrograma afluente'!I160="",0,'Hidrograma afluente'!I160)+Simulação!B153)</f>
        <v/>
      </c>
    </row>
    <row r="154" spans="1:37" s="36" customFormat="1">
      <c r="A154" s="23" t="str">
        <f t="shared" si="34"/>
        <v/>
      </c>
      <c r="B154" s="24" t="str">
        <f>IF(A154="","",IF(A154&gt;tc_lot_i+tc,0,IF('Hidrograma afluente'!B161="","",'Hidrograma afluente'!B161)))</f>
        <v/>
      </c>
      <c r="C154" s="41" t="str">
        <f t="shared" si="35"/>
        <v/>
      </c>
      <c r="D154" s="41" t="str">
        <f t="shared" si="36"/>
        <v/>
      </c>
      <c r="E154" s="41" t="str">
        <f t="shared" si="37"/>
        <v/>
      </c>
      <c r="F154" s="41" t="str">
        <f t="shared" si="38"/>
        <v/>
      </c>
      <c r="G154" s="41" t="str">
        <f t="shared" si="39"/>
        <v/>
      </c>
      <c r="H154" s="43" t="str">
        <f t="shared" si="30"/>
        <v/>
      </c>
      <c r="I154" s="42" t="str">
        <f t="shared" si="40"/>
        <v/>
      </c>
      <c r="J154" s="18"/>
      <c r="K154" s="76"/>
      <c r="M154" s="132">
        <f t="shared" ca="1" si="31"/>
        <v>49.439890059428606</v>
      </c>
      <c r="N154" s="38">
        <f t="shared" si="41"/>
        <v>1.434375</v>
      </c>
      <c r="O154" s="36">
        <f t="shared" si="42"/>
        <v>38.25</v>
      </c>
      <c r="P154" s="38">
        <f ca="1">IF(ISERROR(IF(O154&lt;fi_h/20,0,(OFFSET('Base de dados'!$A$5,IF(O154&lt;20,1,IF(O154&gt;1000,10,MATCH(O154,Cargas,1))),Coluna_fih,1,1))*(1+0.13*0.25)*(PI()*(fi_h/1000)^2/4)*SQRT(2*9.81*(O154/100-fi_h/2/1000))*1000)),"",IF(O154&lt;fi_h/20,0,(OFFSET('Base de dados'!$A$5,IF(O154&lt;20,1,IF(O154&gt;1000,10,MATCH(O154,Cargas,1))),Coluna_fih,1,1))*(PI()*(fi_h/1000)^2/4)*SQRT(2*9.81*(O154/100-fi_h/2/1000))*1000))</f>
        <v>1.6273900594286064</v>
      </c>
      <c r="Q154" s="38">
        <f ca="1">IF(O154="","",IF(Tipo_Vertedor="Retangular",IF(O154&lt;=cota_s*100,0,IF(Tipo_Vertedor="Retangular",Cd_sr*Lef_sr*((O154/100-cota_s)^(3/2))*1000)),IF(O154&lt;=cota_s*100+fi_s/20,0,(OFFSET('Base de dados'!$A$4,IF(O154&lt;20,1,IF(O154&gt;1000,10,MATCH(O154,Cargas,1))),Coluna_fis,1,1))*(PI()*(fi_s/1000)^2/4)*(2*9.81*(O154/100-cota_s-fi_s/2/1000))^0.5*1000)))</f>
        <v>0</v>
      </c>
      <c r="R154" s="38">
        <f t="shared" ca="1" si="32"/>
        <v>1.6273900594286064</v>
      </c>
      <c r="S154" s="38">
        <f t="shared" ca="1" si="33"/>
        <v>47.8125</v>
      </c>
      <c r="AD154" s="38" t="str">
        <f t="shared" si="43"/>
        <v/>
      </c>
      <c r="AE154" s="38" t="str">
        <f t="shared" si="44"/>
        <v/>
      </c>
      <c r="AF154" s="38" t="str">
        <f>IF(ISERROR(IF('Hidrograma afluente'!I161="",0,'Hidrograma afluente'!I161)+Simulação!G154),"",IF('Hidrograma afluente'!I161="",0,'Hidrograma afluente'!I161)+Simulação!G154)</f>
        <v/>
      </c>
      <c r="AG154" s="36" t="s">
        <v>182</v>
      </c>
      <c r="AH154" s="36" t="s">
        <v>182</v>
      </c>
      <c r="AI154" s="48" t="s">
        <v>182</v>
      </c>
      <c r="AJ154" s="36" t="s">
        <v>182</v>
      </c>
      <c r="AK154" s="38" t="str">
        <f>IF(A154="","",IF('Hidrograma afluente'!I161="",0,'Hidrograma afluente'!I161)+Simulação!B154)</f>
        <v/>
      </c>
    </row>
    <row r="155" spans="1:37" s="36" customFormat="1">
      <c r="A155" s="23" t="str">
        <f t="shared" si="34"/>
        <v/>
      </c>
      <c r="B155" s="24" t="str">
        <f>IF(A155="","",IF(A155&gt;tc_lot_i+tc,0,IF('Hidrograma afluente'!B162="","",'Hidrograma afluente'!B162)))</f>
        <v/>
      </c>
      <c r="C155" s="41" t="str">
        <f t="shared" si="35"/>
        <v/>
      </c>
      <c r="D155" s="41" t="str">
        <f t="shared" si="36"/>
        <v/>
      </c>
      <c r="E155" s="41" t="str">
        <f t="shared" si="37"/>
        <v/>
      </c>
      <c r="F155" s="41" t="str">
        <f t="shared" si="38"/>
        <v/>
      </c>
      <c r="G155" s="41" t="str">
        <f t="shared" si="39"/>
        <v/>
      </c>
      <c r="H155" s="43" t="str">
        <f t="shared" ref="H155:H218" si="45">IF(A155="","",IF(ISERROR(B155+C155+D155-G155),0,B155+C155+D155-G155))</f>
        <v/>
      </c>
      <c r="I155" s="42" t="str">
        <f t="shared" si="40"/>
        <v/>
      </c>
      <c r="J155" s="18"/>
      <c r="K155" s="76"/>
      <c r="M155" s="132">
        <f t="shared" ca="1" si="31"/>
        <v>49.75795532449002</v>
      </c>
      <c r="N155" s="38">
        <f t="shared" si="41"/>
        <v>1.4437500000000001</v>
      </c>
      <c r="O155" s="36">
        <f t="shared" si="42"/>
        <v>38.5</v>
      </c>
      <c r="P155" s="38">
        <f ca="1">IF(ISERROR(IF(O155&lt;fi_h/20,0,(OFFSET('Base de dados'!$A$5,IF(O155&lt;20,1,IF(O155&gt;1000,10,MATCH(O155,Cargas,1))),Coluna_fih,1,1))*(1+0.13*0.25)*(PI()*(fi_h/1000)^2/4)*SQRT(2*9.81*(O155/100-fi_h/2/1000))*1000)),"",IF(O155&lt;fi_h/20,0,(OFFSET('Base de dados'!$A$5,IF(O155&lt;20,1,IF(O155&gt;1000,10,MATCH(O155,Cargas,1))),Coluna_fih,1,1))*(PI()*(fi_h/1000)^2/4)*SQRT(2*9.81*(O155/100-fi_h/2/1000))*1000))</f>
        <v>1.6329553244900215</v>
      </c>
      <c r="Q155" s="38">
        <f ca="1">IF(O155="","",IF(Tipo_Vertedor="Retangular",IF(O155&lt;=cota_s*100,0,IF(Tipo_Vertedor="Retangular",Cd_sr*Lef_sr*((O155/100-cota_s)^(3/2))*1000)),IF(O155&lt;=cota_s*100+fi_s/20,0,(OFFSET('Base de dados'!$A$4,IF(O155&lt;20,1,IF(O155&gt;1000,10,MATCH(O155,Cargas,1))),Coluna_fis,1,1))*(PI()*(fi_s/1000)^2/4)*(2*9.81*(O155/100-cota_s-fi_s/2/1000))^0.5*1000)))</f>
        <v>0</v>
      </c>
      <c r="R155" s="38">
        <f t="shared" ca="1" si="32"/>
        <v>1.6329553244900215</v>
      </c>
      <c r="S155" s="38">
        <f t="shared" ca="1" si="33"/>
        <v>48.125</v>
      </c>
      <c r="AD155" s="38" t="str">
        <f t="shared" si="43"/>
        <v/>
      </c>
      <c r="AE155" s="38" t="str">
        <f t="shared" si="44"/>
        <v/>
      </c>
      <c r="AF155" s="38" t="str">
        <f>IF(ISERROR(IF('Hidrograma afluente'!I162="",0,'Hidrograma afluente'!I162)+Simulação!G155),"",IF('Hidrograma afluente'!I162="",0,'Hidrograma afluente'!I162)+Simulação!G155)</f>
        <v/>
      </c>
      <c r="AG155" s="36" t="s">
        <v>182</v>
      </c>
      <c r="AH155" s="36" t="s">
        <v>182</v>
      </c>
      <c r="AI155" s="48" t="s">
        <v>182</v>
      </c>
      <c r="AJ155" s="36" t="s">
        <v>182</v>
      </c>
      <c r="AK155" s="38" t="str">
        <f>IF(A155="","",IF('Hidrograma afluente'!I162="",0,'Hidrograma afluente'!I162)+Simulação!B155)</f>
        <v/>
      </c>
    </row>
    <row r="156" spans="1:37" s="36" customFormat="1">
      <c r="A156" s="23" t="str">
        <f t="shared" si="34"/>
        <v/>
      </c>
      <c r="B156" s="24" t="str">
        <f>IF(A156="","",IF(A156&gt;tc_lot_i+tc,0,IF('Hidrograma afluente'!B163="","",'Hidrograma afluente'!B163)))</f>
        <v/>
      </c>
      <c r="C156" s="41" t="str">
        <f t="shared" si="35"/>
        <v/>
      </c>
      <c r="D156" s="41" t="str">
        <f t="shared" si="36"/>
        <v/>
      </c>
      <c r="E156" s="41" t="str">
        <f t="shared" si="37"/>
        <v/>
      </c>
      <c r="F156" s="41" t="str">
        <f t="shared" si="38"/>
        <v/>
      </c>
      <c r="G156" s="41" t="str">
        <f t="shared" si="39"/>
        <v/>
      </c>
      <c r="H156" s="43" t="str">
        <f t="shared" si="45"/>
        <v/>
      </c>
      <c r="I156" s="42" t="str">
        <f t="shared" si="40"/>
        <v/>
      </c>
      <c r="J156" s="18"/>
      <c r="K156" s="76"/>
      <c r="M156" s="132">
        <f t="shared" ca="1" si="31"/>
        <v>50.076001686918133</v>
      </c>
      <c r="N156" s="38">
        <f t="shared" si="41"/>
        <v>1.453125</v>
      </c>
      <c r="O156" s="36">
        <f t="shared" si="42"/>
        <v>38.75</v>
      </c>
      <c r="P156" s="38">
        <f ca="1">IF(ISERROR(IF(O156&lt;fi_h/20,0,(OFFSET('Base de dados'!$A$5,IF(O156&lt;20,1,IF(O156&gt;1000,10,MATCH(O156,Cargas,1))),Coluna_fih,1,1))*(1+0.13*0.25)*(PI()*(fi_h/1000)^2/4)*SQRT(2*9.81*(O156/100-fi_h/2/1000))*1000)),"",IF(O156&lt;fi_h/20,0,(OFFSET('Base de dados'!$A$5,IF(O156&lt;20,1,IF(O156&gt;1000,10,MATCH(O156,Cargas,1))),Coluna_fih,1,1))*(PI()*(fi_h/1000)^2/4)*SQRT(2*9.81*(O156/100-fi_h/2/1000))*1000))</f>
        <v>1.6385016869181364</v>
      </c>
      <c r="Q156" s="38">
        <f ca="1">IF(O156="","",IF(Tipo_Vertedor="Retangular",IF(O156&lt;=cota_s*100,0,IF(Tipo_Vertedor="Retangular",Cd_sr*Lef_sr*((O156/100-cota_s)^(3/2))*1000)),IF(O156&lt;=cota_s*100+fi_s/20,0,(OFFSET('Base de dados'!$A$4,IF(O156&lt;20,1,IF(O156&gt;1000,10,MATCH(O156,Cargas,1))),Coluna_fis,1,1))*(PI()*(fi_s/1000)^2/4)*(2*9.81*(O156/100-cota_s-fi_s/2/1000))^0.5*1000)))</f>
        <v>0</v>
      </c>
      <c r="R156" s="38">
        <f t="shared" ca="1" si="32"/>
        <v>1.6385016869181364</v>
      </c>
      <c r="S156" s="38">
        <f t="shared" ca="1" si="33"/>
        <v>48.4375</v>
      </c>
      <c r="AD156" s="38" t="str">
        <f t="shared" si="43"/>
        <v/>
      </c>
      <c r="AE156" s="38" t="str">
        <f t="shared" si="44"/>
        <v/>
      </c>
      <c r="AF156" s="38" t="str">
        <f>IF(ISERROR(IF('Hidrograma afluente'!I163="",0,'Hidrograma afluente'!I163)+Simulação!G156),"",IF('Hidrograma afluente'!I163="",0,'Hidrograma afluente'!I163)+Simulação!G156)</f>
        <v/>
      </c>
      <c r="AG156" s="36" t="s">
        <v>182</v>
      </c>
      <c r="AH156" s="36" t="s">
        <v>182</v>
      </c>
      <c r="AI156" s="48" t="s">
        <v>182</v>
      </c>
      <c r="AJ156" s="36" t="s">
        <v>182</v>
      </c>
      <c r="AK156" s="38" t="str">
        <f>IF(A156="","",IF('Hidrograma afluente'!I163="",0,'Hidrograma afluente'!I163)+Simulação!B156)</f>
        <v/>
      </c>
    </row>
    <row r="157" spans="1:37" s="36" customFormat="1">
      <c r="A157" s="23" t="str">
        <f t="shared" si="34"/>
        <v/>
      </c>
      <c r="B157" s="24" t="str">
        <f>IF(A157="","",IF(A157&gt;tc_lot_i+tc,0,IF('Hidrograma afluente'!B164="","",'Hidrograma afluente'!B164)))</f>
        <v/>
      </c>
      <c r="C157" s="41" t="str">
        <f t="shared" si="35"/>
        <v/>
      </c>
      <c r="D157" s="41" t="str">
        <f t="shared" si="36"/>
        <v/>
      </c>
      <c r="E157" s="41" t="str">
        <f t="shared" si="37"/>
        <v/>
      </c>
      <c r="F157" s="41" t="str">
        <f t="shared" si="38"/>
        <v/>
      </c>
      <c r="G157" s="41" t="str">
        <f t="shared" si="39"/>
        <v/>
      </c>
      <c r="H157" s="43" t="str">
        <f t="shared" si="45"/>
        <v/>
      </c>
      <c r="I157" s="42" t="str">
        <f t="shared" si="40"/>
        <v/>
      </c>
      <c r="J157" s="18"/>
      <c r="K157" s="76"/>
      <c r="M157" s="132">
        <f t="shared" ca="1" si="31"/>
        <v>50.394029338024986</v>
      </c>
      <c r="N157" s="38">
        <f t="shared" si="41"/>
        <v>1.4625000000000001</v>
      </c>
      <c r="O157" s="36">
        <f t="shared" si="42"/>
        <v>39</v>
      </c>
      <c r="P157" s="38">
        <f ca="1">IF(ISERROR(IF(O157&lt;fi_h/20,0,(OFFSET('Base de dados'!$A$5,IF(O157&lt;20,1,IF(O157&gt;1000,10,MATCH(O157,Cargas,1))),Coluna_fih,1,1))*(1+0.13*0.25)*(PI()*(fi_h/1000)^2/4)*SQRT(2*9.81*(O157/100-fi_h/2/1000))*1000)),"",IF(O157&lt;fi_h/20,0,(OFFSET('Base de dados'!$A$5,IF(O157&lt;20,1,IF(O157&gt;1000,10,MATCH(O157,Cargas,1))),Coluna_fih,1,1))*(PI()*(fi_h/1000)^2/4)*SQRT(2*9.81*(O157/100-fi_h/2/1000))*1000))</f>
        <v>1.644029338024978</v>
      </c>
      <c r="Q157" s="38">
        <f ca="1">IF(O157="","",IF(Tipo_Vertedor="Retangular",IF(O157&lt;=cota_s*100,0,IF(Tipo_Vertedor="Retangular",Cd_sr*Lef_sr*((O157/100-cota_s)^(3/2))*1000)),IF(O157&lt;=cota_s*100+fi_s/20,0,(OFFSET('Base de dados'!$A$4,IF(O157&lt;20,1,IF(O157&gt;1000,10,MATCH(O157,Cargas,1))),Coluna_fis,1,1))*(PI()*(fi_s/1000)^2/4)*(2*9.81*(O157/100-cota_s-fi_s/2/1000))^0.5*1000)))</f>
        <v>0</v>
      </c>
      <c r="R157" s="38">
        <f t="shared" ca="1" si="32"/>
        <v>1.644029338024978</v>
      </c>
      <c r="S157" s="38">
        <f t="shared" ca="1" si="33"/>
        <v>48.750000000000007</v>
      </c>
      <c r="AD157" s="38" t="str">
        <f t="shared" si="43"/>
        <v/>
      </c>
      <c r="AE157" s="38" t="str">
        <f t="shared" si="44"/>
        <v/>
      </c>
      <c r="AF157" s="38" t="str">
        <f>IF(ISERROR(IF('Hidrograma afluente'!I164="",0,'Hidrograma afluente'!I164)+Simulação!G157),"",IF('Hidrograma afluente'!I164="",0,'Hidrograma afluente'!I164)+Simulação!G157)</f>
        <v/>
      </c>
      <c r="AG157" s="36" t="s">
        <v>182</v>
      </c>
      <c r="AH157" s="36" t="s">
        <v>182</v>
      </c>
      <c r="AI157" s="48" t="s">
        <v>182</v>
      </c>
      <c r="AJ157" s="36" t="s">
        <v>182</v>
      </c>
      <c r="AK157" s="38" t="str">
        <f>IF(A157="","",IF('Hidrograma afluente'!I164="",0,'Hidrograma afluente'!I164)+Simulação!B157)</f>
        <v/>
      </c>
    </row>
    <row r="158" spans="1:37" s="36" customFormat="1">
      <c r="A158" s="23" t="str">
        <f t="shared" si="34"/>
        <v/>
      </c>
      <c r="B158" s="24" t="str">
        <f>IF(A158="","",IF(A158&gt;tc_lot_i+tc,0,IF('Hidrograma afluente'!B165="","",'Hidrograma afluente'!B165)))</f>
        <v/>
      </c>
      <c r="C158" s="41" t="str">
        <f t="shared" si="35"/>
        <v/>
      </c>
      <c r="D158" s="41" t="str">
        <f t="shared" si="36"/>
        <v/>
      </c>
      <c r="E158" s="41" t="str">
        <f t="shared" si="37"/>
        <v/>
      </c>
      <c r="F158" s="41" t="str">
        <f t="shared" si="38"/>
        <v/>
      </c>
      <c r="G158" s="41" t="str">
        <f t="shared" si="39"/>
        <v/>
      </c>
      <c r="H158" s="43" t="str">
        <f t="shared" si="45"/>
        <v/>
      </c>
      <c r="I158" s="42" t="str">
        <f t="shared" si="40"/>
        <v/>
      </c>
      <c r="J158" s="18"/>
      <c r="K158" s="76"/>
      <c r="M158" s="132">
        <f t="shared" ca="1" si="31"/>
        <v>50.71203846591709</v>
      </c>
      <c r="N158" s="38">
        <f t="shared" si="41"/>
        <v>1.471875</v>
      </c>
      <c r="O158" s="36">
        <f t="shared" si="42"/>
        <v>39.25</v>
      </c>
      <c r="P158" s="38">
        <f ca="1">IF(ISERROR(IF(O158&lt;fi_h/20,0,(OFFSET('Base de dados'!$A$5,IF(O158&lt;20,1,IF(O158&gt;1000,10,MATCH(O158,Cargas,1))),Coluna_fih,1,1))*(1+0.13*0.25)*(PI()*(fi_h/1000)^2/4)*SQRT(2*9.81*(O158/100-fi_h/2/1000))*1000)),"",IF(O158&lt;fi_h/20,0,(OFFSET('Base de dados'!$A$5,IF(O158&lt;20,1,IF(O158&gt;1000,10,MATCH(O158,Cargas,1))),Coluna_fih,1,1))*(PI()*(fi_h/1000)^2/4)*SQRT(2*9.81*(O158/100-fi_h/2/1000))*1000))</f>
        <v>1.6495384659170929</v>
      </c>
      <c r="Q158" s="38">
        <f ca="1">IF(O158="","",IF(Tipo_Vertedor="Retangular",IF(O158&lt;=cota_s*100,0,IF(Tipo_Vertedor="Retangular",Cd_sr*Lef_sr*((O158/100-cota_s)^(3/2))*1000)),IF(O158&lt;=cota_s*100+fi_s/20,0,(OFFSET('Base de dados'!$A$4,IF(O158&lt;20,1,IF(O158&gt;1000,10,MATCH(O158,Cargas,1))),Coluna_fis,1,1))*(PI()*(fi_s/1000)^2/4)*(2*9.81*(O158/100-cota_s-fi_s/2/1000))^0.5*1000)))</f>
        <v>0</v>
      </c>
      <c r="R158" s="38">
        <f t="shared" ca="1" si="32"/>
        <v>1.6495384659170929</v>
      </c>
      <c r="S158" s="38">
        <f t="shared" ca="1" si="33"/>
        <v>49.0625</v>
      </c>
      <c r="AD158" s="38" t="str">
        <f t="shared" si="43"/>
        <v/>
      </c>
      <c r="AE158" s="38" t="str">
        <f t="shared" si="44"/>
        <v/>
      </c>
      <c r="AF158" s="38" t="str">
        <f>IF(ISERROR(IF('Hidrograma afluente'!I165="",0,'Hidrograma afluente'!I165)+Simulação!G158),"",IF('Hidrograma afluente'!I165="",0,'Hidrograma afluente'!I165)+Simulação!G158)</f>
        <v/>
      </c>
      <c r="AG158" s="36" t="s">
        <v>182</v>
      </c>
      <c r="AH158" s="36" t="s">
        <v>182</v>
      </c>
      <c r="AI158" s="48" t="s">
        <v>182</v>
      </c>
      <c r="AJ158" s="36" t="s">
        <v>182</v>
      </c>
      <c r="AK158" s="38" t="str">
        <f>IF(A158="","",IF('Hidrograma afluente'!I165="",0,'Hidrograma afluente'!I165)+Simulação!B158)</f>
        <v/>
      </c>
    </row>
    <row r="159" spans="1:37" s="36" customFormat="1">
      <c r="A159" s="23" t="str">
        <f t="shared" si="34"/>
        <v/>
      </c>
      <c r="B159" s="24" t="str">
        <f>IF(A159="","",IF(A159&gt;tc_lot_i+tc,0,IF('Hidrograma afluente'!B166="","",'Hidrograma afluente'!B166)))</f>
        <v/>
      </c>
      <c r="C159" s="41" t="str">
        <f t="shared" si="35"/>
        <v/>
      </c>
      <c r="D159" s="41" t="str">
        <f t="shared" si="36"/>
        <v/>
      </c>
      <c r="E159" s="41" t="str">
        <f t="shared" si="37"/>
        <v/>
      </c>
      <c r="F159" s="41" t="str">
        <f t="shared" si="38"/>
        <v/>
      </c>
      <c r="G159" s="41" t="str">
        <f t="shared" si="39"/>
        <v/>
      </c>
      <c r="H159" s="43" t="str">
        <f t="shared" si="45"/>
        <v/>
      </c>
      <c r="I159" s="42" t="str">
        <f t="shared" si="40"/>
        <v/>
      </c>
      <c r="J159" s="18"/>
      <c r="K159" s="76"/>
      <c r="M159" s="132">
        <f t="shared" ca="1" si="31"/>
        <v>51.030029255570248</v>
      </c>
      <c r="N159" s="38">
        <f t="shared" si="41"/>
        <v>1.4812500000000002</v>
      </c>
      <c r="O159" s="36">
        <f t="shared" si="42"/>
        <v>39.5</v>
      </c>
      <c r="P159" s="38">
        <f ca="1">IF(ISERROR(IF(O159&lt;fi_h/20,0,(OFFSET('Base de dados'!$A$5,IF(O159&lt;20,1,IF(O159&gt;1000,10,MATCH(O159,Cargas,1))),Coluna_fih,1,1))*(1+0.13*0.25)*(PI()*(fi_h/1000)^2/4)*SQRT(2*9.81*(O159/100-fi_h/2/1000))*1000)),"",IF(O159&lt;fi_h/20,0,(OFFSET('Base de dados'!$A$5,IF(O159&lt;20,1,IF(O159&gt;1000,10,MATCH(O159,Cargas,1))),Coluna_fih,1,1))*(PI()*(fi_h/1000)^2/4)*SQRT(2*9.81*(O159/100-fi_h/2/1000))*1000))</f>
        <v>1.6550292555702402</v>
      </c>
      <c r="Q159" s="38">
        <f ca="1">IF(O159="","",IF(Tipo_Vertedor="Retangular",IF(O159&lt;=cota_s*100,0,IF(Tipo_Vertedor="Retangular",Cd_sr*Lef_sr*((O159/100-cota_s)^(3/2))*1000)),IF(O159&lt;=cota_s*100+fi_s/20,0,(OFFSET('Base de dados'!$A$4,IF(O159&lt;20,1,IF(O159&gt;1000,10,MATCH(O159,Cargas,1))),Coluna_fis,1,1))*(PI()*(fi_s/1000)^2/4)*(2*9.81*(O159/100-cota_s-fi_s/2/1000))^0.5*1000)))</f>
        <v>0</v>
      </c>
      <c r="R159" s="38">
        <f t="shared" ca="1" si="32"/>
        <v>1.6550292555702402</v>
      </c>
      <c r="S159" s="38">
        <f t="shared" ca="1" si="33"/>
        <v>49.375000000000007</v>
      </c>
      <c r="AD159" s="38" t="str">
        <f t="shared" si="43"/>
        <v/>
      </c>
      <c r="AE159" s="38" t="str">
        <f t="shared" si="44"/>
        <v/>
      </c>
      <c r="AF159" s="38" t="str">
        <f>IF(ISERROR(IF('Hidrograma afluente'!I166="",0,'Hidrograma afluente'!I166)+Simulação!G159),"",IF('Hidrograma afluente'!I166="",0,'Hidrograma afluente'!I166)+Simulação!G159)</f>
        <v/>
      </c>
      <c r="AG159" s="36" t="s">
        <v>182</v>
      </c>
      <c r="AH159" s="36" t="s">
        <v>182</v>
      </c>
      <c r="AI159" s="48" t="s">
        <v>182</v>
      </c>
      <c r="AJ159" s="36" t="s">
        <v>182</v>
      </c>
      <c r="AK159" s="38" t="str">
        <f>IF(A159="","",IF('Hidrograma afluente'!I166="",0,'Hidrograma afluente'!I166)+Simulação!B159)</f>
        <v/>
      </c>
    </row>
    <row r="160" spans="1:37" s="36" customFormat="1">
      <c r="A160" s="23" t="str">
        <f t="shared" si="34"/>
        <v/>
      </c>
      <c r="B160" s="24" t="str">
        <f>IF(A160="","",IF(A160&gt;tc_lot_i+tc,0,IF('Hidrograma afluente'!B167="","",'Hidrograma afluente'!B167)))</f>
        <v/>
      </c>
      <c r="C160" s="41" t="str">
        <f t="shared" si="35"/>
        <v/>
      </c>
      <c r="D160" s="41" t="str">
        <f t="shared" si="36"/>
        <v/>
      </c>
      <c r="E160" s="41" t="str">
        <f t="shared" si="37"/>
        <v/>
      </c>
      <c r="F160" s="41" t="str">
        <f t="shared" si="38"/>
        <v/>
      </c>
      <c r="G160" s="41" t="str">
        <f t="shared" si="39"/>
        <v/>
      </c>
      <c r="H160" s="43" t="str">
        <f t="shared" si="45"/>
        <v/>
      </c>
      <c r="I160" s="42" t="str">
        <f t="shared" si="40"/>
        <v/>
      </c>
      <c r="J160" s="18"/>
      <c r="K160" s="76"/>
      <c r="M160" s="132">
        <f t="shared" ca="1" si="31"/>
        <v>51.348001888901862</v>
      </c>
      <c r="N160" s="38">
        <f t="shared" si="41"/>
        <v>1.4906250000000001</v>
      </c>
      <c r="O160" s="36">
        <f t="shared" si="42"/>
        <v>39.75</v>
      </c>
      <c r="P160" s="38">
        <f ca="1">IF(ISERROR(IF(O160&lt;fi_h/20,0,(OFFSET('Base de dados'!$A$5,IF(O160&lt;20,1,IF(O160&gt;1000,10,MATCH(O160,Cargas,1))),Coluna_fih,1,1))*(1+0.13*0.25)*(PI()*(fi_h/1000)^2/4)*SQRT(2*9.81*(O160/100-fi_h/2/1000))*1000)),"",IF(O160&lt;fi_h/20,0,(OFFSET('Base de dados'!$A$5,IF(O160&lt;20,1,IF(O160&gt;1000,10,MATCH(O160,Cargas,1))),Coluna_fih,1,1))*(PI()*(fi_h/1000)^2/4)*SQRT(2*9.81*(O160/100-fi_h/2/1000))*1000))</f>
        <v>1.6605018889018621</v>
      </c>
      <c r="Q160" s="38">
        <f ca="1">IF(O160="","",IF(Tipo_Vertedor="Retangular",IF(O160&lt;=cota_s*100,0,IF(Tipo_Vertedor="Retangular",Cd_sr*Lef_sr*((O160/100-cota_s)^(3/2))*1000)),IF(O160&lt;=cota_s*100+fi_s/20,0,(OFFSET('Base de dados'!$A$4,IF(O160&lt;20,1,IF(O160&gt;1000,10,MATCH(O160,Cargas,1))),Coluna_fis,1,1))*(PI()*(fi_s/1000)^2/4)*(2*9.81*(O160/100-cota_s-fi_s/2/1000))^0.5*1000)))</f>
        <v>0</v>
      </c>
      <c r="R160" s="38">
        <f t="shared" ca="1" si="32"/>
        <v>1.6605018889018621</v>
      </c>
      <c r="S160" s="38">
        <f t="shared" ca="1" si="33"/>
        <v>49.6875</v>
      </c>
      <c r="AD160" s="38" t="str">
        <f t="shared" si="43"/>
        <v/>
      </c>
      <c r="AE160" s="38" t="str">
        <f t="shared" si="44"/>
        <v/>
      </c>
      <c r="AF160" s="38" t="str">
        <f>IF(ISERROR(IF('Hidrograma afluente'!I167="",0,'Hidrograma afluente'!I167)+Simulação!G160),"",IF('Hidrograma afluente'!I167="",0,'Hidrograma afluente'!I167)+Simulação!G160)</f>
        <v/>
      </c>
      <c r="AG160" s="36" t="s">
        <v>182</v>
      </c>
      <c r="AH160" s="36" t="s">
        <v>182</v>
      </c>
      <c r="AI160" s="48" t="s">
        <v>182</v>
      </c>
      <c r="AJ160" s="36" t="s">
        <v>182</v>
      </c>
      <c r="AK160" s="38" t="str">
        <f>IF(A160="","",IF('Hidrograma afluente'!I167="",0,'Hidrograma afluente'!I167)+Simulação!B160)</f>
        <v/>
      </c>
    </row>
    <row r="161" spans="1:37" s="36" customFormat="1">
      <c r="A161" s="23" t="str">
        <f t="shared" si="34"/>
        <v/>
      </c>
      <c r="B161" s="24" t="str">
        <f>IF(A161="","",IF(A161&gt;tc_lot_i+tc,0,IF('Hidrograma afluente'!B168="","",'Hidrograma afluente'!B168)))</f>
        <v/>
      </c>
      <c r="C161" s="41" t="str">
        <f t="shared" si="35"/>
        <v/>
      </c>
      <c r="D161" s="41" t="str">
        <f t="shared" si="36"/>
        <v/>
      </c>
      <c r="E161" s="41" t="str">
        <f t="shared" si="37"/>
        <v/>
      </c>
      <c r="F161" s="41" t="str">
        <f t="shared" si="38"/>
        <v/>
      </c>
      <c r="G161" s="41" t="str">
        <f t="shared" si="39"/>
        <v/>
      </c>
      <c r="H161" s="43" t="str">
        <f t="shared" si="45"/>
        <v/>
      </c>
      <c r="I161" s="42" t="str">
        <f t="shared" si="40"/>
        <v/>
      </c>
      <c r="J161" s="18"/>
      <c r="K161" s="76"/>
      <c r="M161" s="132">
        <f t="shared" ca="1" si="31"/>
        <v>51.665956544841407</v>
      </c>
      <c r="N161" s="38">
        <f t="shared" si="41"/>
        <v>1.5</v>
      </c>
      <c r="O161" s="36">
        <f t="shared" si="42"/>
        <v>40</v>
      </c>
      <c r="P161" s="38">
        <f ca="1">IF(ISERROR(IF(O161&lt;fi_h/20,0,(OFFSET('Base de dados'!$A$5,IF(O161&lt;20,1,IF(O161&gt;1000,10,MATCH(O161,Cargas,1))),Coluna_fih,1,1))*(1+0.13*0.25)*(PI()*(fi_h/1000)^2/4)*SQRT(2*9.81*(O161/100-fi_h/2/1000))*1000)),"",IF(O161&lt;fi_h/20,0,(OFFSET('Base de dados'!$A$5,IF(O161&lt;20,1,IF(O161&gt;1000,10,MATCH(O161,Cargas,1))),Coluna_fih,1,1))*(PI()*(fi_h/1000)^2/4)*SQRT(2*9.81*(O161/100-fi_h/2/1000))*1000))</f>
        <v>1.6659565448414078</v>
      </c>
      <c r="Q161" s="38">
        <f ca="1">IF(O161="","",IF(Tipo_Vertedor="Retangular",IF(O161&lt;=cota_s*100,0,IF(Tipo_Vertedor="Retangular",Cd_sr*Lef_sr*((O161/100-cota_s)^(3/2))*1000)),IF(O161&lt;=cota_s*100+fi_s/20,0,(OFFSET('Base de dados'!$A$4,IF(O161&lt;20,1,IF(O161&gt;1000,10,MATCH(O161,Cargas,1))),Coluna_fis,1,1))*(PI()*(fi_s/1000)^2/4)*(2*9.81*(O161/100-cota_s-fi_s/2/1000))^0.5*1000)))</f>
        <v>0</v>
      </c>
      <c r="R161" s="38">
        <f t="shared" ca="1" si="32"/>
        <v>1.6659565448414078</v>
      </c>
      <c r="S161" s="38">
        <f t="shared" ca="1" si="33"/>
        <v>50</v>
      </c>
      <c r="AD161" s="38" t="str">
        <f t="shared" si="43"/>
        <v/>
      </c>
      <c r="AE161" s="38" t="str">
        <f t="shared" si="44"/>
        <v/>
      </c>
      <c r="AF161" s="38" t="str">
        <f>IF(ISERROR(IF('Hidrograma afluente'!I168="",0,'Hidrograma afluente'!I168)+Simulação!G161),"",IF('Hidrograma afluente'!I168="",0,'Hidrograma afluente'!I168)+Simulação!G161)</f>
        <v/>
      </c>
      <c r="AG161" s="36" t="s">
        <v>182</v>
      </c>
      <c r="AH161" s="36" t="s">
        <v>182</v>
      </c>
      <c r="AI161" s="48" t="s">
        <v>182</v>
      </c>
      <c r="AJ161" s="36" t="s">
        <v>182</v>
      </c>
      <c r="AK161" s="38" t="str">
        <f>IF(A161="","",IF('Hidrograma afluente'!I168="",0,'Hidrograma afluente'!I168)+Simulação!B161)</f>
        <v/>
      </c>
    </row>
    <row r="162" spans="1:37" s="36" customFormat="1">
      <c r="A162" s="23" t="str">
        <f t="shared" si="34"/>
        <v/>
      </c>
      <c r="B162" s="24" t="str">
        <f>IF(A162="","",IF(A162&gt;tc_lot_i+tc,0,IF('Hidrograma afluente'!B169="","",'Hidrograma afluente'!B169)))</f>
        <v/>
      </c>
      <c r="C162" s="41" t="str">
        <f t="shared" si="35"/>
        <v/>
      </c>
      <c r="D162" s="41" t="str">
        <f t="shared" si="36"/>
        <v/>
      </c>
      <c r="E162" s="41" t="str">
        <f t="shared" si="37"/>
        <v/>
      </c>
      <c r="F162" s="41" t="str">
        <f t="shared" si="38"/>
        <v/>
      </c>
      <c r="G162" s="41" t="str">
        <f t="shared" si="39"/>
        <v/>
      </c>
      <c r="H162" s="43" t="str">
        <f t="shared" si="45"/>
        <v/>
      </c>
      <c r="I162" s="42" t="str">
        <f t="shared" si="40"/>
        <v/>
      </c>
      <c r="J162" s="18"/>
      <c r="K162" s="76"/>
      <c r="M162" s="132">
        <f t="shared" ca="1" si="31"/>
        <v>51.983893399398603</v>
      </c>
      <c r="N162" s="38">
        <f t="shared" si="41"/>
        <v>1.5093750000000001</v>
      </c>
      <c r="O162" s="36">
        <f t="shared" si="42"/>
        <v>40.25</v>
      </c>
      <c r="P162" s="38">
        <f ca="1">IF(ISERROR(IF(O162&lt;fi_h/20,0,(OFFSET('Base de dados'!$A$5,IF(O162&lt;20,1,IF(O162&gt;1000,10,MATCH(O162,Cargas,1))),Coluna_fih,1,1))*(1+0.13*0.25)*(PI()*(fi_h/1000)^2/4)*SQRT(2*9.81*(O162/100-fi_h/2/1000))*1000)),"",IF(O162&lt;fi_h/20,0,(OFFSET('Base de dados'!$A$5,IF(O162&lt;20,1,IF(O162&gt;1000,10,MATCH(O162,Cargas,1))),Coluna_fih,1,1))*(PI()*(fi_h/1000)^2/4)*SQRT(2*9.81*(O162/100-fi_h/2/1000))*1000))</f>
        <v>1.6713933993985943</v>
      </c>
      <c r="Q162" s="38">
        <f ca="1">IF(O162="","",IF(Tipo_Vertedor="Retangular",IF(O162&lt;=cota_s*100,0,IF(Tipo_Vertedor="Retangular",Cd_sr*Lef_sr*((O162/100-cota_s)^(3/2))*1000)),IF(O162&lt;=cota_s*100+fi_s/20,0,(OFFSET('Base de dados'!$A$4,IF(O162&lt;20,1,IF(O162&gt;1000,10,MATCH(O162,Cargas,1))),Coluna_fis,1,1))*(PI()*(fi_s/1000)^2/4)*(2*9.81*(O162/100-cota_s-fi_s/2/1000))^0.5*1000)))</f>
        <v>0</v>
      </c>
      <c r="R162" s="38">
        <f t="shared" ca="1" si="32"/>
        <v>1.6713933993985943</v>
      </c>
      <c r="S162" s="38">
        <f t="shared" ca="1" si="33"/>
        <v>50.312500000000007</v>
      </c>
      <c r="AD162" s="38" t="str">
        <f t="shared" si="43"/>
        <v/>
      </c>
      <c r="AE162" s="38" t="str">
        <f t="shared" si="44"/>
        <v/>
      </c>
      <c r="AF162" s="38" t="str">
        <f>IF(ISERROR(IF('Hidrograma afluente'!I169="",0,'Hidrograma afluente'!I169)+Simulação!G162),"",IF('Hidrograma afluente'!I169="",0,'Hidrograma afluente'!I169)+Simulação!G162)</f>
        <v/>
      </c>
      <c r="AG162" s="36" t="s">
        <v>182</v>
      </c>
      <c r="AH162" s="36" t="s">
        <v>182</v>
      </c>
      <c r="AI162" s="48" t="s">
        <v>182</v>
      </c>
      <c r="AJ162" s="36" t="s">
        <v>182</v>
      </c>
      <c r="AK162" s="38" t="str">
        <f>IF(A162="","",IF('Hidrograma afluente'!I169="",0,'Hidrograma afluente'!I169)+Simulação!B162)</f>
        <v/>
      </c>
    </row>
    <row r="163" spans="1:37" s="36" customFormat="1">
      <c r="A163" s="23" t="str">
        <f t="shared" si="34"/>
        <v/>
      </c>
      <c r="B163" s="24" t="str">
        <f>IF(A163="","",IF(A163&gt;tc_lot_i+tc,0,IF('Hidrograma afluente'!B170="","",'Hidrograma afluente'!B170)))</f>
        <v/>
      </c>
      <c r="C163" s="41" t="str">
        <f t="shared" si="35"/>
        <v/>
      </c>
      <c r="D163" s="41" t="str">
        <f t="shared" si="36"/>
        <v/>
      </c>
      <c r="E163" s="41" t="str">
        <f t="shared" si="37"/>
        <v/>
      </c>
      <c r="F163" s="41" t="str">
        <f t="shared" si="38"/>
        <v/>
      </c>
      <c r="G163" s="41" t="str">
        <f t="shared" si="39"/>
        <v/>
      </c>
      <c r="H163" s="43" t="str">
        <f t="shared" si="45"/>
        <v/>
      </c>
      <c r="I163" s="42" t="str">
        <f t="shared" si="40"/>
        <v/>
      </c>
      <c r="J163" s="18"/>
      <c r="K163" s="76"/>
      <c r="M163" s="132">
        <f t="shared" ca="1" si="31"/>
        <v>52.301812625729681</v>
      </c>
      <c r="N163" s="38">
        <f t="shared" si="41"/>
        <v>1.51875</v>
      </c>
      <c r="O163" s="36">
        <f t="shared" si="42"/>
        <v>40.5</v>
      </c>
      <c r="P163" s="38">
        <f ca="1">IF(ISERROR(IF(O163&lt;fi_h/20,0,(OFFSET('Base de dados'!$A$5,IF(O163&lt;20,1,IF(O163&gt;1000,10,MATCH(O163,Cargas,1))),Coluna_fih,1,1))*(1+0.13*0.25)*(PI()*(fi_h/1000)^2/4)*SQRT(2*9.81*(O163/100-fi_h/2/1000))*1000)),"",IF(O163&lt;fi_h/20,0,(OFFSET('Base de dados'!$A$5,IF(O163&lt;20,1,IF(O163&gt;1000,10,MATCH(O163,Cargas,1))),Coluna_fih,1,1))*(PI()*(fi_h/1000)^2/4)*SQRT(2*9.81*(O163/100-fi_h/2/1000))*1000))</f>
        <v>1.676812625729678</v>
      </c>
      <c r="Q163" s="38">
        <f ca="1">IF(O163="","",IF(Tipo_Vertedor="Retangular",IF(O163&lt;=cota_s*100,0,IF(Tipo_Vertedor="Retangular",Cd_sr*Lef_sr*((O163/100-cota_s)^(3/2))*1000)),IF(O163&lt;=cota_s*100+fi_s/20,0,(OFFSET('Base de dados'!$A$4,IF(O163&lt;20,1,IF(O163&gt;1000,10,MATCH(O163,Cargas,1))),Coluna_fis,1,1))*(PI()*(fi_s/1000)^2/4)*(2*9.81*(O163/100-cota_s-fi_s/2/1000))^0.5*1000)))</f>
        <v>0</v>
      </c>
      <c r="R163" s="38">
        <f t="shared" ca="1" si="32"/>
        <v>1.676812625729678</v>
      </c>
      <c r="S163" s="38">
        <f t="shared" ca="1" si="33"/>
        <v>50.625</v>
      </c>
      <c r="AD163" s="38" t="str">
        <f t="shared" si="43"/>
        <v/>
      </c>
      <c r="AE163" s="38" t="str">
        <f t="shared" si="44"/>
        <v/>
      </c>
      <c r="AF163" s="38" t="str">
        <f>IF(ISERROR(IF('Hidrograma afluente'!I170="",0,'Hidrograma afluente'!I170)+Simulação!G163),"",IF('Hidrograma afluente'!I170="",0,'Hidrograma afluente'!I170)+Simulação!G163)</f>
        <v/>
      </c>
      <c r="AG163" s="36" t="s">
        <v>182</v>
      </c>
      <c r="AH163" s="36" t="s">
        <v>182</v>
      </c>
      <c r="AI163" s="48" t="s">
        <v>182</v>
      </c>
      <c r="AJ163" s="36" t="s">
        <v>182</v>
      </c>
      <c r="AK163" s="38" t="str">
        <f>IF(A163="","",IF('Hidrograma afluente'!I170="",0,'Hidrograma afluente'!I170)+Simulação!B163)</f>
        <v/>
      </c>
    </row>
    <row r="164" spans="1:37" s="36" customFormat="1">
      <c r="A164" s="23" t="str">
        <f t="shared" si="34"/>
        <v/>
      </c>
      <c r="B164" s="24" t="str">
        <f>IF(A164="","",IF(A164&gt;tc_lot_i+tc,0,IF('Hidrograma afluente'!B171="","",'Hidrograma afluente'!B171)))</f>
        <v/>
      </c>
      <c r="C164" s="41" t="str">
        <f t="shared" si="35"/>
        <v/>
      </c>
      <c r="D164" s="41" t="str">
        <f t="shared" si="36"/>
        <v/>
      </c>
      <c r="E164" s="41" t="str">
        <f t="shared" si="37"/>
        <v/>
      </c>
      <c r="F164" s="41" t="str">
        <f t="shared" si="38"/>
        <v/>
      </c>
      <c r="G164" s="41" t="str">
        <f t="shared" si="39"/>
        <v/>
      </c>
      <c r="H164" s="43" t="str">
        <f t="shared" si="45"/>
        <v/>
      </c>
      <c r="I164" s="42" t="str">
        <f t="shared" si="40"/>
        <v/>
      </c>
      <c r="J164" s="18"/>
      <c r="K164" s="76"/>
      <c r="M164" s="132">
        <f t="shared" ca="1" si="31"/>
        <v>52.6197143942018</v>
      </c>
      <c r="N164" s="38">
        <f t="shared" si="41"/>
        <v>1.528125</v>
      </c>
      <c r="O164" s="36">
        <f t="shared" si="42"/>
        <v>40.75</v>
      </c>
      <c r="P164" s="38">
        <f ca="1">IF(ISERROR(IF(O164&lt;fi_h/20,0,(OFFSET('Base de dados'!$A$5,IF(O164&lt;20,1,IF(O164&gt;1000,10,MATCH(O164,Cargas,1))),Coluna_fih,1,1))*(1+0.13*0.25)*(PI()*(fi_h/1000)^2/4)*SQRT(2*9.81*(O164/100-fi_h/2/1000))*1000)),"",IF(O164&lt;fi_h/20,0,(OFFSET('Base de dados'!$A$5,IF(O164&lt;20,1,IF(O164&gt;1000,10,MATCH(O164,Cargas,1))),Coluna_fih,1,1))*(PI()*(fi_h/1000)^2/4)*SQRT(2*9.81*(O164/100-fi_h/2/1000))*1000))</f>
        <v>1.6822143942017991</v>
      </c>
      <c r="Q164" s="38">
        <f ca="1">IF(O164="","",IF(Tipo_Vertedor="Retangular",IF(O164&lt;=cota_s*100,0,IF(Tipo_Vertedor="Retangular",Cd_sr*Lef_sr*((O164/100-cota_s)^(3/2))*1000)),IF(O164&lt;=cota_s*100+fi_s/20,0,(OFFSET('Base de dados'!$A$4,IF(O164&lt;20,1,IF(O164&gt;1000,10,MATCH(O164,Cargas,1))),Coluna_fis,1,1))*(PI()*(fi_s/1000)^2/4)*(2*9.81*(O164/100-cota_s-fi_s/2/1000))^0.5*1000)))</f>
        <v>0</v>
      </c>
      <c r="R164" s="38">
        <f t="shared" ca="1" si="32"/>
        <v>1.6822143942017991</v>
      </c>
      <c r="S164" s="38">
        <f t="shared" ca="1" si="33"/>
        <v>50.9375</v>
      </c>
      <c r="AD164" s="38" t="str">
        <f t="shared" si="43"/>
        <v/>
      </c>
      <c r="AE164" s="38" t="str">
        <f t="shared" si="44"/>
        <v/>
      </c>
      <c r="AF164" s="38" t="str">
        <f>IF(ISERROR(IF('Hidrograma afluente'!I171="",0,'Hidrograma afluente'!I171)+Simulação!G164),"",IF('Hidrograma afluente'!I171="",0,'Hidrograma afluente'!I171)+Simulação!G164)</f>
        <v/>
      </c>
      <c r="AG164" s="36" t="s">
        <v>182</v>
      </c>
      <c r="AH164" s="36" t="s">
        <v>182</v>
      </c>
      <c r="AI164" s="48" t="s">
        <v>182</v>
      </c>
      <c r="AJ164" s="36" t="s">
        <v>182</v>
      </c>
      <c r="AK164" s="38" t="str">
        <f>IF(A164="","",IF('Hidrograma afluente'!I171="",0,'Hidrograma afluente'!I171)+Simulação!B164)</f>
        <v/>
      </c>
    </row>
    <row r="165" spans="1:37" s="36" customFormat="1">
      <c r="A165" s="23" t="str">
        <f t="shared" si="34"/>
        <v/>
      </c>
      <c r="B165" s="24" t="str">
        <f>IF(A165="","",IF(A165&gt;tc_lot_i+tc,0,IF('Hidrograma afluente'!B172="","",'Hidrograma afluente'!B172)))</f>
        <v/>
      </c>
      <c r="C165" s="41" t="str">
        <f t="shared" si="35"/>
        <v/>
      </c>
      <c r="D165" s="41" t="str">
        <f t="shared" si="36"/>
        <v/>
      </c>
      <c r="E165" s="41" t="str">
        <f t="shared" si="37"/>
        <v/>
      </c>
      <c r="F165" s="41" t="str">
        <f t="shared" si="38"/>
        <v/>
      </c>
      <c r="G165" s="41" t="str">
        <f t="shared" si="39"/>
        <v/>
      </c>
      <c r="H165" s="43" t="str">
        <f t="shared" si="45"/>
        <v/>
      </c>
      <c r="I165" s="42" t="str">
        <f t="shared" si="40"/>
        <v/>
      </c>
      <c r="J165" s="18"/>
      <c r="K165" s="76"/>
      <c r="M165" s="132">
        <f t="shared" ca="1" si="31"/>
        <v>52.937598872455467</v>
      </c>
      <c r="N165" s="38">
        <f t="shared" si="41"/>
        <v>1.5374999999999999</v>
      </c>
      <c r="O165" s="36">
        <f t="shared" si="42"/>
        <v>41</v>
      </c>
      <c r="P165" s="38">
        <f ca="1">IF(ISERROR(IF(O165&lt;fi_h/20,0,(OFFSET('Base de dados'!$A$5,IF(O165&lt;20,1,IF(O165&gt;1000,10,MATCH(O165,Cargas,1))),Coluna_fih,1,1))*(1+0.13*0.25)*(PI()*(fi_h/1000)^2/4)*SQRT(2*9.81*(O165/100-fi_h/2/1000))*1000)),"",IF(O165&lt;fi_h/20,0,(OFFSET('Base de dados'!$A$5,IF(O165&lt;20,1,IF(O165&gt;1000,10,MATCH(O165,Cargas,1))),Coluna_fih,1,1))*(PI()*(fi_h/1000)^2/4)*SQRT(2*9.81*(O165/100-fi_h/2/1000))*1000))</f>
        <v>1.687598872455476</v>
      </c>
      <c r="Q165" s="38">
        <f ca="1">IF(O165="","",IF(Tipo_Vertedor="Retangular",IF(O165&lt;=cota_s*100,0,IF(Tipo_Vertedor="Retangular",Cd_sr*Lef_sr*((O165/100-cota_s)^(3/2))*1000)),IF(O165&lt;=cota_s*100+fi_s/20,0,(OFFSET('Base de dados'!$A$4,IF(O165&lt;20,1,IF(O165&gt;1000,10,MATCH(O165,Cargas,1))),Coluna_fis,1,1))*(PI()*(fi_s/1000)^2/4)*(2*9.81*(O165/100-cota_s-fi_s/2/1000))^0.5*1000)))</f>
        <v>0</v>
      </c>
      <c r="R165" s="38">
        <f t="shared" ca="1" si="32"/>
        <v>1.687598872455476</v>
      </c>
      <c r="S165" s="38">
        <f t="shared" ca="1" si="33"/>
        <v>51.249999999999993</v>
      </c>
      <c r="AD165" s="38" t="str">
        <f t="shared" si="43"/>
        <v/>
      </c>
      <c r="AE165" s="38" t="str">
        <f t="shared" si="44"/>
        <v/>
      </c>
      <c r="AF165" s="38" t="str">
        <f>IF(ISERROR(IF('Hidrograma afluente'!I172="",0,'Hidrograma afluente'!I172)+Simulação!G165),"",IF('Hidrograma afluente'!I172="",0,'Hidrograma afluente'!I172)+Simulação!G165)</f>
        <v/>
      </c>
      <c r="AG165" s="36" t="s">
        <v>182</v>
      </c>
      <c r="AH165" s="36" t="s">
        <v>182</v>
      </c>
      <c r="AI165" s="48" t="s">
        <v>182</v>
      </c>
      <c r="AJ165" s="36" t="s">
        <v>182</v>
      </c>
      <c r="AK165" s="38" t="str">
        <f>IF(A165="","",IF('Hidrograma afluente'!I172="",0,'Hidrograma afluente'!I172)+Simulação!B165)</f>
        <v/>
      </c>
    </row>
    <row r="166" spans="1:37" s="36" customFormat="1">
      <c r="A166" s="23" t="str">
        <f t="shared" si="34"/>
        <v/>
      </c>
      <c r="B166" s="24" t="str">
        <f>IF(A166="","",IF(A166&gt;tc_lot_i+tc,0,IF('Hidrograma afluente'!B173="","",'Hidrograma afluente'!B173)))</f>
        <v/>
      </c>
      <c r="C166" s="41" t="str">
        <f t="shared" si="35"/>
        <v/>
      </c>
      <c r="D166" s="41" t="str">
        <f t="shared" si="36"/>
        <v/>
      </c>
      <c r="E166" s="41" t="str">
        <f t="shared" si="37"/>
        <v/>
      </c>
      <c r="F166" s="41" t="str">
        <f t="shared" si="38"/>
        <v/>
      </c>
      <c r="G166" s="41" t="str">
        <f t="shared" si="39"/>
        <v/>
      </c>
      <c r="H166" s="43" t="str">
        <f t="shared" si="45"/>
        <v/>
      </c>
      <c r="I166" s="42" t="str">
        <f t="shared" si="40"/>
        <v/>
      </c>
      <c r="J166" s="18"/>
      <c r="K166" s="76"/>
      <c r="M166" s="132">
        <f t="shared" ca="1" si="31"/>
        <v>53.255466225465312</v>
      </c>
      <c r="N166" s="38">
        <f t="shared" si="41"/>
        <v>1.546875</v>
      </c>
      <c r="O166" s="36">
        <f t="shared" si="42"/>
        <v>41.25</v>
      </c>
      <c r="P166" s="38">
        <f ca="1">IF(ISERROR(IF(O166&lt;fi_h/20,0,(OFFSET('Base de dados'!$A$5,IF(O166&lt;20,1,IF(O166&gt;1000,10,MATCH(O166,Cargas,1))),Coluna_fih,1,1))*(1+0.13*0.25)*(PI()*(fi_h/1000)^2/4)*SQRT(2*9.81*(O166/100-fi_h/2/1000))*1000)),"",IF(O166&lt;fi_h/20,0,(OFFSET('Base de dados'!$A$5,IF(O166&lt;20,1,IF(O166&gt;1000,10,MATCH(O166,Cargas,1))),Coluna_fih,1,1))*(PI()*(fi_h/1000)^2/4)*SQRT(2*9.81*(O166/100-fi_h/2/1000))*1000))</f>
        <v>1.6929662254653111</v>
      </c>
      <c r="Q166" s="38">
        <f ca="1">IF(O166="","",IF(Tipo_Vertedor="Retangular",IF(O166&lt;=cota_s*100,0,IF(Tipo_Vertedor="Retangular",Cd_sr*Lef_sr*((O166/100-cota_s)^(3/2))*1000)),IF(O166&lt;=cota_s*100+fi_s/20,0,(OFFSET('Base de dados'!$A$4,IF(O166&lt;20,1,IF(O166&gt;1000,10,MATCH(O166,Cargas,1))),Coluna_fis,1,1))*(PI()*(fi_s/1000)^2/4)*(2*9.81*(O166/100-cota_s-fi_s/2/1000))^0.5*1000)))</f>
        <v>0</v>
      </c>
      <c r="R166" s="38">
        <f t="shared" ca="1" si="32"/>
        <v>1.6929662254653111</v>
      </c>
      <c r="S166" s="38">
        <f t="shared" ca="1" si="33"/>
        <v>51.5625</v>
      </c>
      <c r="AD166" s="38" t="str">
        <f t="shared" si="43"/>
        <v/>
      </c>
      <c r="AE166" s="38" t="str">
        <f t="shared" si="44"/>
        <v/>
      </c>
      <c r="AF166" s="38" t="str">
        <f>IF(ISERROR(IF('Hidrograma afluente'!I173="",0,'Hidrograma afluente'!I173)+Simulação!G166),"",IF('Hidrograma afluente'!I173="",0,'Hidrograma afluente'!I173)+Simulação!G166)</f>
        <v/>
      </c>
      <c r="AG166" s="36" t="s">
        <v>182</v>
      </c>
      <c r="AH166" s="36" t="s">
        <v>182</v>
      </c>
      <c r="AI166" s="48" t="s">
        <v>182</v>
      </c>
      <c r="AJ166" s="36" t="s">
        <v>182</v>
      </c>
      <c r="AK166" s="38" t="str">
        <f>IF(A166="","",IF('Hidrograma afluente'!I173="",0,'Hidrograma afluente'!I173)+Simulação!B166)</f>
        <v/>
      </c>
    </row>
    <row r="167" spans="1:37" s="36" customFormat="1">
      <c r="A167" s="23" t="str">
        <f t="shared" si="34"/>
        <v/>
      </c>
      <c r="B167" s="24" t="str">
        <f>IF(A167="","",IF(A167&gt;tc_lot_i+tc,0,IF('Hidrograma afluente'!B174="","",'Hidrograma afluente'!B174)))</f>
        <v/>
      </c>
      <c r="C167" s="41" t="str">
        <f t="shared" si="35"/>
        <v/>
      </c>
      <c r="D167" s="41" t="str">
        <f t="shared" si="36"/>
        <v/>
      </c>
      <c r="E167" s="41" t="str">
        <f t="shared" si="37"/>
        <v/>
      </c>
      <c r="F167" s="41" t="str">
        <f t="shared" si="38"/>
        <v/>
      </c>
      <c r="G167" s="41" t="str">
        <f t="shared" si="39"/>
        <v/>
      </c>
      <c r="H167" s="43" t="str">
        <f t="shared" si="45"/>
        <v/>
      </c>
      <c r="I167" s="42" t="str">
        <f t="shared" si="40"/>
        <v/>
      </c>
      <c r="J167" s="18"/>
      <c r="K167" s="76"/>
      <c r="M167" s="132">
        <f t="shared" ca="1" si="31"/>
        <v>53.573316615598969</v>
      </c>
      <c r="N167" s="38">
        <f t="shared" si="41"/>
        <v>1.5562499999999999</v>
      </c>
      <c r="O167" s="36">
        <f t="shared" si="42"/>
        <v>41.5</v>
      </c>
      <c r="P167" s="38">
        <f ca="1">IF(ISERROR(IF(O167&lt;fi_h/20,0,(OFFSET('Base de dados'!$A$5,IF(O167&lt;20,1,IF(O167&gt;1000,10,MATCH(O167,Cargas,1))),Coluna_fih,1,1))*(1+0.13*0.25)*(PI()*(fi_h/1000)^2/4)*SQRT(2*9.81*(O167/100-fi_h/2/1000))*1000)),"",IF(O167&lt;fi_h/20,0,(OFFSET('Base de dados'!$A$5,IF(O167&lt;20,1,IF(O167&gt;1000,10,MATCH(O167,Cargas,1))),Coluna_fih,1,1))*(PI()*(fi_h/1000)^2/4)*SQRT(2*9.81*(O167/100-fi_h/2/1000))*1000))</f>
        <v>1.6983166155989675</v>
      </c>
      <c r="Q167" s="38">
        <f ca="1">IF(O167="","",IF(Tipo_Vertedor="Retangular",IF(O167&lt;=cota_s*100,0,IF(Tipo_Vertedor="Retangular",Cd_sr*Lef_sr*((O167/100-cota_s)^(3/2))*1000)),IF(O167&lt;=cota_s*100+fi_s/20,0,(OFFSET('Base de dados'!$A$4,IF(O167&lt;20,1,IF(O167&gt;1000,10,MATCH(O167,Cargas,1))),Coluna_fis,1,1))*(PI()*(fi_s/1000)^2/4)*(2*9.81*(O167/100-cota_s-fi_s/2/1000))^0.5*1000)))</f>
        <v>0</v>
      </c>
      <c r="R167" s="38">
        <f t="shared" ca="1" si="32"/>
        <v>1.6983166155989675</v>
      </c>
      <c r="S167" s="38">
        <f t="shared" ca="1" si="33"/>
        <v>51.875</v>
      </c>
      <c r="AD167" s="38" t="str">
        <f t="shared" si="43"/>
        <v/>
      </c>
      <c r="AE167" s="38" t="str">
        <f t="shared" si="44"/>
        <v/>
      </c>
      <c r="AF167" s="38" t="str">
        <f>IF(ISERROR(IF('Hidrograma afluente'!I174="",0,'Hidrograma afluente'!I174)+Simulação!G167),"",IF('Hidrograma afluente'!I174="",0,'Hidrograma afluente'!I174)+Simulação!G167)</f>
        <v/>
      </c>
      <c r="AG167" s="36" t="s">
        <v>182</v>
      </c>
      <c r="AH167" s="36" t="s">
        <v>182</v>
      </c>
      <c r="AI167" s="48" t="s">
        <v>182</v>
      </c>
      <c r="AJ167" s="36" t="s">
        <v>182</v>
      </c>
      <c r="AK167" s="38" t="str">
        <f>IF(A167="","",IF('Hidrograma afluente'!I174="",0,'Hidrograma afluente'!I174)+Simulação!B167)</f>
        <v/>
      </c>
    </row>
    <row r="168" spans="1:37" s="36" customFormat="1">
      <c r="A168" s="23" t="str">
        <f t="shared" si="34"/>
        <v/>
      </c>
      <c r="B168" s="24" t="str">
        <f>IF(A168="","",IF(A168&gt;tc_lot_i+tc,0,IF('Hidrograma afluente'!B175="","",'Hidrograma afluente'!B175)))</f>
        <v/>
      </c>
      <c r="C168" s="41" t="str">
        <f t="shared" si="35"/>
        <v/>
      </c>
      <c r="D168" s="41" t="str">
        <f t="shared" si="36"/>
        <v/>
      </c>
      <c r="E168" s="41" t="str">
        <f t="shared" si="37"/>
        <v/>
      </c>
      <c r="F168" s="41" t="str">
        <f t="shared" si="38"/>
        <v/>
      </c>
      <c r="G168" s="41" t="str">
        <f t="shared" si="39"/>
        <v/>
      </c>
      <c r="H168" s="43" t="str">
        <f t="shared" si="45"/>
        <v/>
      </c>
      <c r="I168" s="42" t="str">
        <f t="shared" si="40"/>
        <v/>
      </c>
      <c r="J168" s="18"/>
      <c r="K168" s="76"/>
      <c r="M168" s="132">
        <f t="shared" ca="1" si="31"/>
        <v>53.891150202674474</v>
      </c>
      <c r="N168" s="38">
        <f t="shared" si="41"/>
        <v>1.5656249999999998</v>
      </c>
      <c r="O168" s="36">
        <f t="shared" si="42"/>
        <v>41.75</v>
      </c>
      <c r="P168" s="38">
        <f ca="1">IF(ISERROR(IF(O168&lt;fi_h/20,0,(OFFSET('Base de dados'!$A$5,IF(O168&lt;20,1,IF(O168&gt;1000,10,MATCH(O168,Cargas,1))),Coluna_fih,1,1))*(1+0.13*0.25)*(PI()*(fi_h/1000)^2/4)*SQRT(2*9.81*(O168/100-fi_h/2/1000))*1000)),"",IF(O168&lt;fi_h/20,0,(OFFSET('Base de dados'!$A$5,IF(O168&lt;20,1,IF(O168&gt;1000,10,MATCH(O168,Cargas,1))),Coluna_fih,1,1))*(PI()*(fi_h/1000)^2/4)*SQRT(2*9.81*(O168/100-fi_h/2/1000))*1000))</f>
        <v>1.7036502026744806</v>
      </c>
      <c r="Q168" s="38">
        <f ca="1">IF(O168="","",IF(Tipo_Vertedor="Retangular",IF(O168&lt;=cota_s*100,0,IF(Tipo_Vertedor="Retangular",Cd_sr*Lef_sr*((O168/100-cota_s)^(3/2))*1000)),IF(O168&lt;=cota_s*100+fi_s/20,0,(OFFSET('Base de dados'!$A$4,IF(O168&lt;20,1,IF(O168&gt;1000,10,MATCH(O168,Cargas,1))),Coluna_fis,1,1))*(PI()*(fi_s/1000)^2/4)*(2*9.81*(O168/100-cota_s-fi_s/2/1000))^0.5*1000)))</f>
        <v>0</v>
      </c>
      <c r="R168" s="38">
        <f t="shared" ca="1" si="32"/>
        <v>1.7036502026744806</v>
      </c>
      <c r="S168" s="38">
        <f t="shared" ca="1" si="33"/>
        <v>52.187499999999993</v>
      </c>
      <c r="V168" s="36" t="e">
        <f ca="1">Cd_sr*Lef_sr*((O168/100-cota_s-fi_s/2/1000)^(3/2))*1000</f>
        <v>#NUM!</v>
      </c>
      <c r="AD168" s="38" t="str">
        <f t="shared" si="43"/>
        <v/>
      </c>
      <c r="AE168" s="38" t="str">
        <f t="shared" si="44"/>
        <v/>
      </c>
      <c r="AF168" s="38" t="str">
        <f>IF(ISERROR(IF('Hidrograma afluente'!I175="",0,'Hidrograma afluente'!I175)+Simulação!G168),"",IF('Hidrograma afluente'!I175="",0,'Hidrograma afluente'!I175)+Simulação!G168)</f>
        <v/>
      </c>
      <c r="AG168" s="36" t="s">
        <v>182</v>
      </c>
      <c r="AH168" s="36" t="s">
        <v>182</v>
      </c>
      <c r="AI168" s="48" t="s">
        <v>182</v>
      </c>
      <c r="AJ168" s="36" t="s">
        <v>182</v>
      </c>
      <c r="AK168" s="38" t="str">
        <f>IF(A168="","",IF('Hidrograma afluente'!I175="",0,'Hidrograma afluente'!I175)+Simulação!B168)</f>
        <v/>
      </c>
    </row>
    <row r="169" spans="1:37" s="36" customFormat="1">
      <c r="A169" s="23" t="str">
        <f t="shared" si="34"/>
        <v/>
      </c>
      <c r="B169" s="24" t="str">
        <f>IF(A169="","",IF(A169&gt;tc_lot_i+tc,0,IF('Hidrograma afluente'!B176="","",'Hidrograma afluente'!B176)))</f>
        <v/>
      </c>
      <c r="C169" s="41" t="str">
        <f t="shared" si="35"/>
        <v/>
      </c>
      <c r="D169" s="41" t="str">
        <f t="shared" si="36"/>
        <v/>
      </c>
      <c r="E169" s="41" t="str">
        <f t="shared" si="37"/>
        <v/>
      </c>
      <c r="F169" s="41" t="str">
        <f t="shared" si="38"/>
        <v/>
      </c>
      <c r="G169" s="41" t="str">
        <f t="shared" si="39"/>
        <v/>
      </c>
      <c r="H169" s="43" t="str">
        <f t="shared" si="45"/>
        <v/>
      </c>
      <c r="I169" s="42" t="str">
        <f t="shared" si="40"/>
        <v/>
      </c>
      <c r="J169" s="18"/>
      <c r="K169" s="76"/>
      <c r="M169" s="132">
        <f t="shared" ca="1" si="31"/>
        <v>54.208967144015958</v>
      </c>
      <c r="N169" s="38">
        <f t="shared" si="41"/>
        <v>1.575</v>
      </c>
      <c r="O169" s="36">
        <f t="shared" si="42"/>
        <v>42</v>
      </c>
      <c r="P169" s="38">
        <f ca="1">IF(ISERROR(IF(O169&lt;fi_h/20,0,(OFFSET('Base de dados'!$A$5,IF(O169&lt;20,1,IF(O169&gt;1000,10,MATCH(O169,Cargas,1))),Coluna_fih,1,1))*(1+0.13*0.25)*(PI()*(fi_h/1000)^2/4)*SQRT(2*9.81*(O169/100-fi_h/2/1000))*1000)),"",IF(O169&lt;fi_h/20,0,(OFFSET('Base de dados'!$A$5,IF(O169&lt;20,1,IF(O169&gt;1000,10,MATCH(O169,Cargas,1))),Coluna_fih,1,1))*(PI()*(fi_h/1000)^2/4)*SQRT(2*9.81*(O169/100-fi_h/2/1000))*1000))</f>
        <v>1.7089671440159602</v>
      </c>
      <c r="Q169" s="38">
        <f ca="1">IF(O169="","",IF(Tipo_Vertedor="Retangular",IF(O169&lt;=cota_s*100,0,IF(Tipo_Vertedor="Retangular",Cd_sr*Lef_sr*((O169/100-cota_s)^(3/2))*1000)),IF(O169&lt;=cota_s*100+fi_s/20,0,(OFFSET('Base de dados'!$A$4,IF(O169&lt;20,1,IF(O169&gt;1000,10,MATCH(O169,Cargas,1))),Coluna_fis,1,1))*(PI()*(fi_s/1000)^2/4)*(2*9.81*(O169/100-cota_s-fi_s/2/1000))^0.5*1000)))</f>
        <v>0</v>
      </c>
      <c r="R169" s="38">
        <f t="shared" ca="1" si="32"/>
        <v>1.7089671440159602</v>
      </c>
      <c r="S169" s="38">
        <f t="shared" ca="1" si="33"/>
        <v>52.5</v>
      </c>
      <c r="AD169" s="38" t="str">
        <f t="shared" si="43"/>
        <v/>
      </c>
      <c r="AE169" s="38" t="str">
        <f t="shared" si="44"/>
        <v/>
      </c>
      <c r="AF169" s="38" t="str">
        <f>IF(ISERROR(IF('Hidrograma afluente'!I176="",0,'Hidrograma afluente'!I176)+Simulação!G169),"",IF('Hidrograma afluente'!I176="",0,'Hidrograma afluente'!I176)+Simulação!G169)</f>
        <v/>
      </c>
      <c r="AG169" s="36" t="s">
        <v>182</v>
      </c>
      <c r="AH169" s="36" t="s">
        <v>182</v>
      </c>
      <c r="AI169" s="48" t="s">
        <v>182</v>
      </c>
      <c r="AJ169" s="36" t="s">
        <v>182</v>
      </c>
      <c r="AK169" s="38" t="str">
        <f>IF(A169="","",IF('Hidrograma afluente'!I176="",0,'Hidrograma afluente'!I176)+Simulação!B169)</f>
        <v/>
      </c>
    </row>
    <row r="170" spans="1:37" s="36" customFormat="1">
      <c r="A170" s="23" t="str">
        <f t="shared" si="34"/>
        <v/>
      </c>
      <c r="B170" s="24" t="str">
        <f>IF(A170="","",IF(A170&gt;tc_lot_i+tc,0,IF('Hidrograma afluente'!B177="","",'Hidrograma afluente'!B177)))</f>
        <v/>
      </c>
      <c r="C170" s="41" t="str">
        <f t="shared" si="35"/>
        <v/>
      </c>
      <c r="D170" s="41" t="str">
        <f t="shared" si="36"/>
        <v/>
      </c>
      <c r="E170" s="41" t="str">
        <f t="shared" si="37"/>
        <v/>
      </c>
      <c r="F170" s="41" t="str">
        <f t="shared" si="38"/>
        <v/>
      </c>
      <c r="G170" s="41" t="str">
        <f t="shared" si="39"/>
        <v/>
      </c>
      <c r="H170" s="43" t="str">
        <f t="shared" si="45"/>
        <v/>
      </c>
      <c r="I170" s="42" t="str">
        <f t="shared" si="40"/>
        <v/>
      </c>
      <c r="J170" s="18"/>
      <c r="K170" s="76"/>
      <c r="M170" s="132">
        <f t="shared" ca="1" si="31"/>
        <v>54.526767594507724</v>
      </c>
      <c r="N170" s="38">
        <f t="shared" si="41"/>
        <v>1.5843749999999999</v>
      </c>
      <c r="O170" s="36">
        <f t="shared" si="42"/>
        <v>42.25</v>
      </c>
      <c r="P170" s="38">
        <f ca="1">IF(ISERROR(IF(O170&lt;fi_h/20,0,(OFFSET('Base de dados'!$A$5,IF(O170&lt;20,1,IF(O170&gt;1000,10,MATCH(O170,Cargas,1))),Coluna_fih,1,1))*(1+0.13*0.25)*(PI()*(fi_h/1000)^2/4)*SQRT(2*9.81*(O170/100-fi_h/2/1000))*1000)),"",IF(O170&lt;fi_h/20,0,(OFFSET('Base de dados'!$A$5,IF(O170&lt;20,1,IF(O170&gt;1000,10,MATCH(O170,Cargas,1))),Coluna_fih,1,1))*(PI()*(fi_h/1000)^2/4)*SQRT(2*9.81*(O170/100-fi_h/2/1000))*1000))</f>
        <v>1.7142675945077348</v>
      </c>
      <c r="Q170" s="38">
        <f ca="1">IF(O170="","",IF(Tipo_Vertedor="Retangular",IF(O170&lt;=cota_s*100,0,IF(Tipo_Vertedor="Retangular",Cd_sr*Lef_sr*((O170/100-cota_s)^(3/2))*1000)),IF(O170&lt;=cota_s*100+fi_s/20,0,(OFFSET('Base de dados'!$A$4,IF(O170&lt;20,1,IF(O170&gt;1000,10,MATCH(O170,Cargas,1))),Coluna_fis,1,1))*(PI()*(fi_s/1000)^2/4)*(2*9.81*(O170/100-cota_s-fi_s/2/1000))^0.5*1000)))</f>
        <v>0</v>
      </c>
      <c r="R170" s="38">
        <f t="shared" ca="1" si="32"/>
        <v>1.7142675945077348</v>
      </c>
      <c r="S170" s="38">
        <f t="shared" ca="1" si="33"/>
        <v>52.812499999999993</v>
      </c>
      <c r="AD170" s="38" t="str">
        <f t="shared" si="43"/>
        <v/>
      </c>
      <c r="AE170" s="38" t="str">
        <f t="shared" si="44"/>
        <v/>
      </c>
      <c r="AF170" s="38" t="str">
        <f>IF(ISERROR(IF('Hidrograma afluente'!I177="",0,'Hidrograma afluente'!I177)+Simulação!G170),"",IF('Hidrograma afluente'!I177="",0,'Hidrograma afluente'!I177)+Simulação!G170)</f>
        <v/>
      </c>
      <c r="AG170" s="36" t="s">
        <v>182</v>
      </c>
      <c r="AH170" s="36" t="s">
        <v>182</v>
      </c>
      <c r="AI170" s="48" t="s">
        <v>182</v>
      </c>
      <c r="AJ170" s="36" t="s">
        <v>182</v>
      </c>
      <c r="AK170" s="38" t="str">
        <f>IF(A170="","",IF('Hidrograma afluente'!I177="",0,'Hidrograma afluente'!I177)+Simulação!B170)</f>
        <v/>
      </c>
    </row>
    <row r="171" spans="1:37" s="36" customFormat="1">
      <c r="A171" s="23" t="str">
        <f t="shared" si="34"/>
        <v/>
      </c>
      <c r="B171" s="24" t="str">
        <f>IF(A171="","",IF(A171&gt;tc_lot_i+tc,0,IF('Hidrograma afluente'!B178="","",'Hidrograma afluente'!B178)))</f>
        <v/>
      </c>
      <c r="C171" s="41" t="str">
        <f t="shared" si="35"/>
        <v/>
      </c>
      <c r="D171" s="41" t="str">
        <f t="shared" si="36"/>
        <v/>
      </c>
      <c r="E171" s="41" t="str">
        <f t="shared" si="37"/>
        <v/>
      </c>
      <c r="F171" s="41" t="str">
        <f t="shared" si="38"/>
        <v/>
      </c>
      <c r="G171" s="41" t="str">
        <f t="shared" si="39"/>
        <v/>
      </c>
      <c r="H171" s="43" t="str">
        <f t="shared" si="45"/>
        <v/>
      </c>
      <c r="I171" s="42" t="str">
        <f t="shared" si="40"/>
        <v/>
      </c>
      <c r="J171" s="18"/>
      <c r="K171" s="76"/>
      <c r="M171" s="132">
        <f t="shared" ca="1" si="31"/>
        <v>54.844551706646996</v>
      </c>
      <c r="N171" s="38">
        <f t="shared" si="41"/>
        <v>1.59375</v>
      </c>
      <c r="O171" s="36">
        <f t="shared" si="42"/>
        <v>42.5</v>
      </c>
      <c r="P171" s="38">
        <f ca="1">IF(ISERROR(IF(O171&lt;fi_h/20,0,(OFFSET('Base de dados'!$A$5,IF(O171&lt;20,1,IF(O171&gt;1000,10,MATCH(O171,Cargas,1))),Coluna_fih,1,1))*(1+0.13*0.25)*(PI()*(fi_h/1000)^2/4)*SQRT(2*9.81*(O171/100-fi_h/2/1000))*1000)),"",IF(O171&lt;fi_h/20,0,(OFFSET('Base de dados'!$A$5,IF(O171&lt;20,1,IF(O171&gt;1000,10,MATCH(O171,Cargas,1))),Coluna_fih,1,1))*(PI()*(fi_h/1000)^2/4)*SQRT(2*9.81*(O171/100-fi_h/2/1000))*1000))</f>
        <v>1.7195517066469983</v>
      </c>
      <c r="Q171" s="38">
        <f ca="1">IF(O171="","",IF(Tipo_Vertedor="Retangular",IF(O171&lt;=cota_s*100,0,IF(Tipo_Vertedor="Retangular",Cd_sr*Lef_sr*((O171/100-cota_s)^(3/2))*1000)),IF(O171&lt;=cota_s*100+fi_s/20,0,(OFFSET('Base de dados'!$A$4,IF(O171&lt;20,1,IF(O171&gt;1000,10,MATCH(O171,Cargas,1))),Coluna_fis,1,1))*(PI()*(fi_s/1000)^2/4)*(2*9.81*(O171/100-cota_s-fi_s/2/1000))^0.5*1000)))</f>
        <v>0</v>
      </c>
      <c r="R171" s="38">
        <f t="shared" ca="1" si="32"/>
        <v>1.7195517066469983</v>
      </c>
      <c r="S171" s="38">
        <f t="shared" ca="1" si="33"/>
        <v>53.125</v>
      </c>
      <c r="AD171" s="38" t="str">
        <f t="shared" si="43"/>
        <v/>
      </c>
      <c r="AE171" s="38" t="str">
        <f t="shared" si="44"/>
        <v/>
      </c>
      <c r="AF171" s="38" t="str">
        <f>IF(ISERROR(IF('Hidrograma afluente'!I178="",0,'Hidrograma afluente'!I178)+Simulação!G171),"",IF('Hidrograma afluente'!I178="",0,'Hidrograma afluente'!I178)+Simulação!G171)</f>
        <v/>
      </c>
      <c r="AG171" s="36" t="s">
        <v>182</v>
      </c>
      <c r="AH171" s="36" t="s">
        <v>182</v>
      </c>
      <c r="AI171" s="48" t="s">
        <v>182</v>
      </c>
      <c r="AJ171" s="36" t="s">
        <v>182</v>
      </c>
      <c r="AK171" s="38" t="str">
        <f>IF(A171="","",IF('Hidrograma afluente'!I178="",0,'Hidrograma afluente'!I178)+Simulação!B171)</f>
        <v/>
      </c>
    </row>
    <row r="172" spans="1:37" s="36" customFormat="1">
      <c r="A172" s="23" t="str">
        <f t="shared" si="34"/>
        <v/>
      </c>
      <c r="B172" s="24" t="str">
        <f>IF(A172="","",IF(A172&gt;tc_lot_i+tc,0,IF('Hidrograma afluente'!B179="","",'Hidrograma afluente'!B179)))</f>
        <v/>
      </c>
      <c r="C172" s="41" t="str">
        <f t="shared" si="35"/>
        <v/>
      </c>
      <c r="D172" s="41" t="str">
        <f t="shared" si="36"/>
        <v/>
      </c>
      <c r="E172" s="41" t="str">
        <f t="shared" si="37"/>
        <v/>
      </c>
      <c r="F172" s="41" t="str">
        <f t="shared" si="38"/>
        <v/>
      </c>
      <c r="G172" s="41" t="str">
        <f t="shared" si="39"/>
        <v/>
      </c>
      <c r="H172" s="43" t="str">
        <f t="shared" si="45"/>
        <v/>
      </c>
      <c r="I172" s="42" t="str">
        <f t="shared" si="40"/>
        <v/>
      </c>
      <c r="J172" s="18"/>
      <c r="K172" s="76"/>
      <c r="M172" s="132">
        <f t="shared" ca="1" si="31"/>
        <v>55.162319630595</v>
      </c>
      <c r="N172" s="38">
        <f t="shared" si="41"/>
        <v>1.6031249999999999</v>
      </c>
      <c r="O172" s="36">
        <f t="shared" si="42"/>
        <v>42.75</v>
      </c>
      <c r="P172" s="38">
        <f ca="1">IF(ISERROR(IF(O172&lt;fi_h/20,0,(OFFSET('Base de dados'!$A$5,IF(O172&lt;20,1,IF(O172&gt;1000,10,MATCH(O172,Cargas,1))),Coluna_fih,1,1))*(1+0.13*0.25)*(PI()*(fi_h/1000)^2/4)*SQRT(2*9.81*(O172/100-fi_h/2/1000))*1000)),"",IF(O172&lt;fi_h/20,0,(OFFSET('Base de dados'!$A$5,IF(O172&lt;20,1,IF(O172&gt;1000,10,MATCH(O172,Cargas,1))),Coluna_fih,1,1))*(PI()*(fi_h/1000)^2/4)*SQRT(2*9.81*(O172/100-fi_h/2/1000))*1000))</f>
        <v>1.7248196305949999</v>
      </c>
      <c r="Q172" s="38">
        <f ca="1">IF(O172="","",IF(Tipo_Vertedor="Retangular",IF(O172&lt;=cota_s*100,0,IF(Tipo_Vertedor="Retangular",Cd_sr*Lef_sr*((O172/100-cota_s)^(3/2))*1000)),IF(O172&lt;=cota_s*100+fi_s/20,0,(OFFSET('Base de dados'!$A$4,IF(O172&lt;20,1,IF(O172&gt;1000,10,MATCH(O172,Cargas,1))),Coluna_fis,1,1))*(PI()*(fi_s/1000)^2/4)*(2*9.81*(O172/100-cota_s-fi_s/2/1000))^0.5*1000)))</f>
        <v>0</v>
      </c>
      <c r="R172" s="38">
        <f t="shared" ca="1" si="32"/>
        <v>1.7248196305949999</v>
      </c>
      <c r="S172" s="38">
        <f t="shared" ca="1" si="33"/>
        <v>53.4375</v>
      </c>
      <c r="AD172" s="38" t="str">
        <f t="shared" si="43"/>
        <v/>
      </c>
      <c r="AE172" s="38" t="str">
        <f t="shared" si="44"/>
        <v/>
      </c>
      <c r="AF172" s="38" t="str">
        <f>IF(ISERROR(IF('Hidrograma afluente'!I179="",0,'Hidrograma afluente'!I179)+Simulação!G172),"",IF('Hidrograma afluente'!I179="",0,'Hidrograma afluente'!I179)+Simulação!G172)</f>
        <v/>
      </c>
      <c r="AG172" s="36" t="s">
        <v>182</v>
      </c>
      <c r="AH172" s="36" t="s">
        <v>182</v>
      </c>
      <c r="AI172" s="48" t="s">
        <v>182</v>
      </c>
      <c r="AJ172" s="36" t="s">
        <v>182</v>
      </c>
      <c r="AK172" s="38" t="str">
        <f>IF(A172="","",IF('Hidrograma afluente'!I179="",0,'Hidrograma afluente'!I179)+Simulação!B172)</f>
        <v/>
      </c>
    </row>
    <row r="173" spans="1:37" s="36" customFormat="1">
      <c r="A173" s="23" t="str">
        <f t="shared" si="34"/>
        <v/>
      </c>
      <c r="B173" s="24" t="str">
        <f>IF(A173="","",IF(A173&gt;tc_lot_i+tc,0,IF('Hidrograma afluente'!B180="","",'Hidrograma afluente'!B180)))</f>
        <v/>
      </c>
      <c r="C173" s="41" t="str">
        <f t="shared" si="35"/>
        <v/>
      </c>
      <c r="D173" s="41" t="str">
        <f t="shared" si="36"/>
        <v/>
      </c>
      <c r="E173" s="41" t="str">
        <f t="shared" si="37"/>
        <v/>
      </c>
      <c r="F173" s="41" t="str">
        <f t="shared" si="38"/>
        <v/>
      </c>
      <c r="G173" s="41" t="str">
        <f t="shared" si="39"/>
        <v/>
      </c>
      <c r="H173" s="43" t="str">
        <f t="shared" si="45"/>
        <v/>
      </c>
      <c r="I173" s="42" t="str">
        <f t="shared" si="40"/>
        <v/>
      </c>
      <c r="J173" s="18"/>
      <c r="K173" s="76"/>
      <c r="M173" s="132">
        <f t="shared" ca="1" si="31"/>
        <v>55.480071514226836</v>
      </c>
      <c r="N173" s="38">
        <f t="shared" si="41"/>
        <v>1.6125</v>
      </c>
      <c r="O173" s="36">
        <f t="shared" si="42"/>
        <v>43</v>
      </c>
      <c r="P173" s="38">
        <f ca="1">IF(ISERROR(IF(O173&lt;fi_h/20,0,(OFFSET('Base de dados'!$A$5,IF(O173&lt;20,1,IF(O173&gt;1000,10,MATCH(O173,Cargas,1))),Coluna_fih,1,1))*(1+0.13*0.25)*(PI()*(fi_h/1000)^2/4)*SQRT(2*9.81*(O173/100-fi_h/2/1000))*1000)),"",IF(O173&lt;fi_h/20,0,(OFFSET('Base de dados'!$A$5,IF(O173&lt;20,1,IF(O173&gt;1000,10,MATCH(O173,Cargas,1))),Coluna_fih,1,1))*(PI()*(fi_h/1000)^2/4)*SQRT(2*9.81*(O173/100-fi_h/2/1000))*1000))</f>
        <v>1.7300715142268368</v>
      </c>
      <c r="Q173" s="38">
        <f ca="1">IF(O173="","",IF(Tipo_Vertedor="Retangular",IF(O173&lt;=cota_s*100,0,IF(Tipo_Vertedor="Retangular",Cd_sr*Lef_sr*((O173/100-cota_s)^(3/2))*1000)),IF(O173&lt;=cota_s*100+fi_s/20,0,(OFFSET('Base de dados'!$A$4,IF(O173&lt;20,1,IF(O173&gt;1000,10,MATCH(O173,Cargas,1))),Coluna_fis,1,1))*(PI()*(fi_s/1000)^2/4)*(2*9.81*(O173/100-cota_s-fi_s/2/1000))^0.5*1000)))</f>
        <v>0</v>
      </c>
      <c r="R173" s="38">
        <f t="shared" ca="1" si="32"/>
        <v>1.7300715142268368</v>
      </c>
      <c r="S173" s="38">
        <f t="shared" ca="1" si="33"/>
        <v>53.75</v>
      </c>
      <c r="AD173" s="38" t="str">
        <f t="shared" si="43"/>
        <v/>
      </c>
      <c r="AE173" s="38" t="str">
        <f t="shared" si="44"/>
        <v/>
      </c>
      <c r="AF173" s="38" t="str">
        <f>IF(ISERROR(IF('Hidrograma afluente'!I180="",0,'Hidrograma afluente'!I180)+Simulação!G173),"",IF('Hidrograma afluente'!I180="",0,'Hidrograma afluente'!I180)+Simulação!G173)</f>
        <v/>
      </c>
      <c r="AG173" s="36" t="s">
        <v>182</v>
      </c>
      <c r="AH173" s="36" t="s">
        <v>182</v>
      </c>
      <c r="AI173" s="48" t="s">
        <v>182</v>
      </c>
      <c r="AJ173" s="36" t="s">
        <v>182</v>
      </c>
      <c r="AK173" s="38" t="str">
        <f>IF(A173="","",IF('Hidrograma afluente'!I180="",0,'Hidrograma afluente'!I180)+Simulação!B173)</f>
        <v/>
      </c>
    </row>
    <row r="174" spans="1:37" s="36" customFormat="1">
      <c r="A174" s="23" t="str">
        <f t="shared" si="34"/>
        <v/>
      </c>
      <c r="B174" s="24" t="str">
        <f>IF(A174="","",IF(A174&gt;tc_lot_i+tc,0,IF('Hidrograma afluente'!B181="","",'Hidrograma afluente'!B181)))</f>
        <v/>
      </c>
      <c r="C174" s="41" t="str">
        <f t="shared" si="35"/>
        <v/>
      </c>
      <c r="D174" s="41" t="str">
        <f t="shared" si="36"/>
        <v/>
      </c>
      <c r="E174" s="41" t="str">
        <f t="shared" si="37"/>
        <v/>
      </c>
      <c r="F174" s="41" t="str">
        <f t="shared" si="38"/>
        <v/>
      </c>
      <c r="G174" s="41" t="str">
        <f t="shared" si="39"/>
        <v/>
      </c>
      <c r="H174" s="43" t="str">
        <f t="shared" si="45"/>
        <v/>
      </c>
      <c r="I174" s="42" t="str">
        <f t="shared" si="40"/>
        <v/>
      </c>
      <c r="J174" s="18"/>
      <c r="K174" s="76"/>
      <c r="M174" s="132">
        <f t="shared" ca="1" si="31"/>
        <v>55.797807503179882</v>
      </c>
      <c r="N174" s="38">
        <f t="shared" si="41"/>
        <v>1.621875</v>
      </c>
      <c r="O174" s="36">
        <f t="shared" si="42"/>
        <v>43.25</v>
      </c>
      <c r="P174" s="38">
        <f ca="1">IF(ISERROR(IF(O174&lt;fi_h/20,0,(OFFSET('Base de dados'!$A$5,IF(O174&lt;20,1,IF(O174&gt;1000,10,MATCH(O174,Cargas,1))),Coluna_fih,1,1))*(1+0.13*0.25)*(PI()*(fi_h/1000)^2/4)*SQRT(2*9.81*(O174/100-fi_h/2/1000))*1000)),"",IF(O174&lt;fi_h/20,0,(OFFSET('Base de dados'!$A$5,IF(O174&lt;20,1,IF(O174&gt;1000,10,MATCH(O174,Cargas,1))),Coluna_fih,1,1))*(PI()*(fi_h/1000)^2/4)*SQRT(2*9.81*(O174/100-fi_h/2/1000))*1000))</f>
        <v>1.7353075031798855</v>
      </c>
      <c r="Q174" s="38">
        <f ca="1">IF(O174="","",IF(Tipo_Vertedor="Retangular",IF(O174&lt;=cota_s*100,0,IF(Tipo_Vertedor="Retangular",Cd_sr*Lef_sr*((O174/100-cota_s)^(3/2))*1000)),IF(O174&lt;=cota_s*100+fi_s/20,0,(OFFSET('Base de dados'!$A$4,IF(O174&lt;20,1,IF(O174&gt;1000,10,MATCH(O174,Cargas,1))),Coluna_fis,1,1))*(PI()*(fi_s/1000)^2/4)*(2*9.81*(O174/100-cota_s-fi_s/2/1000))^0.5*1000)))</f>
        <v>0</v>
      </c>
      <c r="R174" s="38">
        <f t="shared" ca="1" si="32"/>
        <v>1.7353075031798855</v>
      </c>
      <c r="S174" s="38">
        <f t="shared" ca="1" si="33"/>
        <v>54.0625</v>
      </c>
      <c r="AD174" s="38" t="str">
        <f t="shared" si="43"/>
        <v/>
      </c>
      <c r="AE174" s="38" t="str">
        <f t="shared" si="44"/>
        <v/>
      </c>
      <c r="AF174" s="38" t="str">
        <f>IF(ISERROR(IF('Hidrograma afluente'!I181="",0,'Hidrograma afluente'!I181)+Simulação!G174),"",IF('Hidrograma afluente'!I181="",0,'Hidrograma afluente'!I181)+Simulação!G174)</f>
        <v/>
      </c>
      <c r="AG174" s="36" t="s">
        <v>182</v>
      </c>
      <c r="AH174" s="36" t="s">
        <v>182</v>
      </c>
      <c r="AI174" s="48" t="s">
        <v>182</v>
      </c>
      <c r="AJ174" s="36" t="s">
        <v>182</v>
      </c>
      <c r="AK174" s="38" t="str">
        <f>IF(A174="","",IF('Hidrograma afluente'!I181="",0,'Hidrograma afluente'!I181)+Simulação!B174)</f>
        <v/>
      </c>
    </row>
    <row r="175" spans="1:37" s="36" customFormat="1">
      <c r="A175" s="23" t="str">
        <f t="shared" si="34"/>
        <v/>
      </c>
      <c r="B175" s="24" t="str">
        <f>IF(A175="","",IF(A175&gt;tc_lot_i+tc,0,IF('Hidrograma afluente'!B182="","",'Hidrograma afluente'!B182)))</f>
        <v/>
      </c>
      <c r="C175" s="41" t="str">
        <f t="shared" si="35"/>
        <v/>
      </c>
      <c r="D175" s="41" t="str">
        <f t="shared" si="36"/>
        <v/>
      </c>
      <c r="E175" s="41" t="str">
        <f t="shared" si="37"/>
        <v/>
      </c>
      <c r="F175" s="41" t="str">
        <f t="shared" si="38"/>
        <v/>
      </c>
      <c r="G175" s="41" t="str">
        <f t="shared" si="39"/>
        <v/>
      </c>
      <c r="H175" s="43" t="str">
        <f t="shared" si="45"/>
        <v/>
      </c>
      <c r="I175" s="42" t="str">
        <f t="shared" si="40"/>
        <v/>
      </c>
      <c r="J175" s="18"/>
      <c r="K175" s="76"/>
      <c r="M175" s="132">
        <f t="shared" ca="1" si="31"/>
        <v>56.115527740900923</v>
      </c>
      <c r="N175" s="38">
        <f t="shared" si="41"/>
        <v>1.6312500000000001</v>
      </c>
      <c r="O175" s="36">
        <f t="shared" si="42"/>
        <v>43.5</v>
      </c>
      <c r="P175" s="38">
        <f ca="1">IF(ISERROR(IF(O175&lt;fi_h/20,0,(OFFSET('Base de dados'!$A$5,IF(O175&lt;20,1,IF(O175&gt;1000,10,MATCH(O175,Cargas,1))),Coluna_fih,1,1))*(1+0.13*0.25)*(PI()*(fi_h/1000)^2/4)*SQRT(2*9.81*(O175/100-fi_h/2/1000))*1000)),"",IF(O175&lt;fi_h/20,0,(OFFSET('Base de dados'!$A$5,IF(O175&lt;20,1,IF(O175&gt;1000,10,MATCH(O175,Cargas,1))),Coluna_fih,1,1))*(PI()*(fi_h/1000)^2/4)*SQRT(2*9.81*(O175/100-fi_h/2/1000))*1000))</f>
        <v>1.7405277409009248</v>
      </c>
      <c r="Q175" s="38">
        <f ca="1">IF(O175="","",IF(Tipo_Vertedor="Retangular",IF(O175&lt;=cota_s*100,0,IF(Tipo_Vertedor="Retangular",Cd_sr*Lef_sr*((O175/100-cota_s)^(3/2))*1000)),IF(O175&lt;=cota_s*100+fi_s/20,0,(OFFSET('Base de dados'!$A$4,IF(O175&lt;20,1,IF(O175&gt;1000,10,MATCH(O175,Cargas,1))),Coluna_fis,1,1))*(PI()*(fi_s/1000)^2/4)*(2*9.81*(O175/100-cota_s-fi_s/2/1000))^0.5*1000)))</f>
        <v>0</v>
      </c>
      <c r="R175" s="38">
        <f t="shared" ca="1" si="32"/>
        <v>1.7405277409009248</v>
      </c>
      <c r="S175" s="38">
        <f t="shared" ca="1" si="33"/>
        <v>54.375</v>
      </c>
      <c r="AD175" s="38" t="str">
        <f t="shared" si="43"/>
        <v/>
      </c>
      <c r="AE175" s="38" t="str">
        <f t="shared" si="44"/>
        <v/>
      </c>
      <c r="AF175" s="38" t="str">
        <f>IF(ISERROR(IF('Hidrograma afluente'!I182="",0,'Hidrograma afluente'!I182)+Simulação!G175),"",IF('Hidrograma afluente'!I182="",0,'Hidrograma afluente'!I182)+Simulação!G175)</f>
        <v/>
      </c>
      <c r="AG175" s="36" t="s">
        <v>182</v>
      </c>
      <c r="AH175" s="36" t="s">
        <v>182</v>
      </c>
      <c r="AI175" s="48" t="s">
        <v>182</v>
      </c>
      <c r="AJ175" s="36" t="s">
        <v>182</v>
      </c>
      <c r="AK175" s="38" t="str">
        <f>IF(A175="","",IF('Hidrograma afluente'!I182="",0,'Hidrograma afluente'!I182)+Simulação!B175)</f>
        <v/>
      </c>
    </row>
    <row r="176" spans="1:37" s="36" customFormat="1">
      <c r="A176" s="23" t="str">
        <f t="shared" si="34"/>
        <v/>
      </c>
      <c r="B176" s="24" t="str">
        <f>IF(A176="","",IF(A176&gt;tc_lot_i+tc,0,IF('Hidrograma afluente'!B183="","",'Hidrograma afluente'!B183)))</f>
        <v/>
      </c>
      <c r="C176" s="41" t="str">
        <f t="shared" si="35"/>
        <v/>
      </c>
      <c r="D176" s="41" t="str">
        <f t="shared" si="36"/>
        <v/>
      </c>
      <c r="E176" s="41" t="str">
        <f t="shared" si="37"/>
        <v/>
      </c>
      <c r="F176" s="41" t="str">
        <f t="shared" si="38"/>
        <v/>
      </c>
      <c r="G176" s="41" t="str">
        <f t="shared" si="39"/>
        <v/>
      </c>
      <c r="H176" s="43" t="str">
        <f t="shared" si="45"/>
        <v/>
      </c>
      <c r="I176" s="42" t="str">
        <f t="shared" si="40"/>
        <v/>
      </c>
      <c r="J176" s="18"/>
      <c r="K176" s="76"/>
      <c r="M176" s="132">
        <f t="shared" ca="1" si="31"/>
        <v>56.433232368691989</v>
      </c>
      <c r="N176" s="38">
        <f t="shared" si="41"/>
        <v>1.640625</v>
      </c>
      <c r="O176" s="36">
        <f t="shared" si="42"/>
        <v>43.75</v>
      </c>
      <c r="P176" s="38">
        <f ca="1">IF(ISERROR(IF(O176&lt;fi_h/20,0,(OFFSET('Base de dados'!$A$5,IF(O176&lt;20,1,IF(O176&gt;1000,10,MATCH(O176,Cargas,1))),Coluna_fih,1,1))*(1+0.13*0.25)*(PI()*(fi_h/1000)^2/4)*SQRT(2*9.81*(O176/100-fi_h/2/1000))*1000)),"",IF(O176&lt;fi_h/20,0,(OFFSET('Base de dados'!$A$5,IF(O176&lt;20,1,IF(O176&gt;1000,10,MATCH(O176,Cargas,1))),Coluna_fih,1,1))*(PI()*(fi_h/1000)^2/4)*SQRT(2*9.81*(O176/100-fi_h/2/1000))*1000))</f>
        <v>1.7457323686919897</v>
      </c>
      <c r="Q176" s="38">
        <f ca="1">IF(O176="","",IF(Tipo_Vertedor="Retangular",IF(O176&lt;=cota_s*100,0,IF(Tipo_Vertedor="Retangular",Cd_sr*Lef_sr*((O176/100-cota_s)^(3/2))*1000)),IF(O176&lt;=cota_s*100+fi_s/20,0,(OFFSET('Base de dados'!$A$4,IF(O176&lt;20,1,IF(O176&gt;1000,10,MATCH(O176,Cargas,1))),Coluna_fis,1,1))*(PI()*(fi_s/1000)^2/4)*(2*9.81*(O176/100-cota_s-fi_s/2/1000))^0.5*1000)))</f>
        <v>0</v>
      </c>
      <c r="R176" s="38">
        <f t="shared" ca="1" si="32"/>
        <v>1.7457323686919897</v>
      </c>
      <c r="S176" s="38">
        <f t="shared" ca="1" si="33"/>
        <v>54.6875</v>
      </c>
      <c r="AD176" s="38" t="str">
        <f t="shared" si="43"/>
        <v/>
      </c>
      <c r="AE176" s="38" t="str">
        <f t="shared" si="44"/>
        <v/>
      </c>
      <c r="AF176" s="38" t="str">
        <f>IF(ISERROR(IF('Hidrograma afluente'!I183="",0,'Hidrograma afluente'!I183)+Simulação!G176),"",IF('Hidrograma afluente'!I183="",0,'Hidrograma afluente'!I183)+Simulação!G176)</f>
        <v/>
      </c>
      <c r="AG176" s="36" t="s">
        <v>182</v>
      </c>
      <c r="AH176" s="36" t="s">
        <v>182</v>
      </c>
      <c r="AI176" s="48" t="s">
        <v>182</v>
      </c>
      <c r="AJ176" s="36" t="s">
        <v>182</v>
      </c>
      <c r="AK176" s="38" t="str">
        <f>IF(A176="","",IF('Hidrograma afluente'!I183="",0,'Hidrograma afluente'!I183)+Simulação!B176)</f>
        <v/>
      </c>
    </row>
    <row r="177" spans="1:37" s="36" customFormat="1">
      <c r="A177" s="23" t="str">
        <f t="shared" si="34"/>
        <v/>
      </c>
      <c r="B177" s="24" t="str">
        <f>IF(A177="","",IF(A177&gt;tc_lot_i+tc,0,IF('Hidrograma afluente'!B184="","",'Hidrograma afluente'!B184)))</f>
        <v/>
      </c>
      <c r="C177" s="41" t="str">
        <f t="shared" si="35"/>
        <v/>
      </c>
      <c r="D177" s="41" t="str">
        <f t="shared" si="36"/>
        <v/>
      </c>
      <c r="E177" s="41" t="str">
        <f t="shared" si="37"/>
        <v/>
      </c>
      <c r="F177" s="41" t="str">
        <f t="shared" si="38"/>
        <v/>
      </c>
      <c r="G177" s="41" t="str">
        <f t="shared" si="39"/>
        <v/>
      </c>
      <c r="H177" s="43" t="str">
        <f t="shared" si="45"/>
        <v/>
      </c>
      <c r="I177" s="42" t="str">
        <f t="shared" si="40"/>
        <v/>
      </c>
      <c r="J177" s="18"/>
      <c r="K177" s="76"/>
      <c r="M177" s="132">
        <f t="shared" ca="1" si="31"/>
        <v>56.750921525754997</v>
      </c>
      <c r="N177" s="38">
        <f t="shared" si="41"/>
        <v>1.65</v>
      </c>
      <c r="O177" s="36">
        <f t="shared" si="42"/>
        <v>44</v>
      </c>
      <c r="P177" s="38">
        <f ca="1">IF(ISERROR(IF(O177&lt;fi_h/20,0,(OFFSET('Base de dados'!$A$5,IF(O177&lt;20,1,IF(O177&gt;1000,10,MATCH(O177,Cargas,1))),Coluna_fih,1,1))*(1+0.13*0.25)*(PI()*(fi_h/1000)^2/4)*SQRT(2*9.81*(O177/100-fi_h/2/1000))*1000)),"",IF(O177&lt;fi_h/20,0,(OFFSET('Base de dados'!$A$5,IF(O177&lt;20,1,IF(O177&gt;1000,10,MATCH(O177,Cargas,1))),Coluna_fih,1,1))*(PI()*(fi_h/1000)^2/4)*SQRT(2*9.81*(O177/100-fi_h/2/1000))*1000))</f>
        <v>1.750921525754999</v>
      </c>
      <c r="Q177" s="38">
        <f ca="1">IF(O177="","",IF(Tipo_Vertedor="Retangular",IF(O177&lt;=cota_s*100,0,IF(Tipo_Vertedor="Retangular",Cd_sr*Lef_sr*((O177/100-cota_s)^(3/2))*1000)),IF(O177&lt;=cota_s*100+fi_s/20,0,(OFFSET('Base de dados'!$A$4,IF(O177&lt;20,1,IF(O177&gt;1000,10,MATCH(O177,Cargas,1))),Coluna_fis,1,1))*(PI()*(fi_s/1000)^2/4)*(2*9.81*(O177/100-cota_s-fi_s/2/1000))^0.5*1000)))</f>
        <v>0</v>
      </c>
      <c r="R177" s="38">
        <f t="shared" ca="1" si="32"/>
        <v>1.750921525754999</v>
      </c>
      <c r="S177" s="38">
        <f t="shared" ca="1" si="33"/>
        <v>55</v>
      </c>
      <c r="AD177" s="38" t="str">
        <f t="shared" si="43"/>
        <v/>
      </c>
      <c r="AE177" s="38" t="str">
        <f t="shared" si="44"/>
        <v/>
      </c>
      <c r="AF177" s="38" t="str">
        <f>IF(ISERROR(IF('Hidrograma afluente'!I184="",0,'Hidrograma afluente'!I184)+Simulação!G177),"",IF('Hidrograma afluente'!I184="",0,'Hidrograma afluente'!I184)+Simulação!G177)</f>
        <v/>
      </c>
      <c r="AG177" s="36" t="s">
        <v>182</v>
      </c>
      <c r="AH177" s="36" t="s">
        <v>182</v>
      </c>
      <c r="AI177" s="48" t="s">
        <v>182</v>
      </c>
      <c r="AJ177" s="36" t="s">
        <v>182</v>
      </c>
      <c r="AK177" s="38" t="str">
        <f>IF(A177="","",IF('Hidrograma afluente'!I184="",0,'Hidrograma afluente'!I184)+Simulação!B177)</f>
        <v/>
      </c>
    </row>
    <row r="178" spans="1:37" s="36" customFormat="1">
      <c r="A178" s="23" t="str">
        <f t="shared" si="34"/>
        <v/>
      </c>
      <c r="B178" s="24" t="str">
        <f>IF(A178="","",IF(A178&gt;tc_lot_i+tc,0,IF('Hidrograma afluente'!B185="","",'Hidrograma afluente'!B185)))</f>
        <v/>
      </c>
      <c r="C178" s="41" t="str">
        <f t="shared" si="35"/>
        <v/>
      </c>
      <c r="D178" s="41" t="str">
        <f t="shared" si="36"/>
        <v/>
      </c>
      <c r="E178" s="41" t="str">
        <f t="shared" si="37"/>
        <v/>
      </c>
      <c r="F178" s="41" t="str">
        <f t="shared" si="38"/>
        <v/>
      </c>
      <c r="G178" s="41" t="str">
        <f t="shared" si="39"/>
        <v/>
      </c>
      <c r="H178" s="43" t="str">
        <f t="shared" si="45"/>
        <v/>
      </c>
      <c r="I178" s="42" t="str">
        <f t="shared" si="40"/>
        <v/>
      </c>
      <c r="J178" s="18"/>
      <c r="K178" s="76"/>
      <c r="M178" s="132">
        <f t="shared" ca="1" si="31"/>
        <v>57.068595349235196</v>
      </c>
      <c r="N178" s="38">
        <f t="shared" si="41"/>
        <v>1.659375</v>
      </c>
      <c r="O178" s="36">
        <f t="shared" si="42"/>
        <v>44.25</v>
      </c>
      <c r="P178" s="38">
        <f ca="1">IF(ISERROR(IF(O178&lt;fi_h/20,0,(OFFSET('Base de dados'!$A$5,IF(O178&lt;20,1,IF(O178&gt;1000,10,MATCH(O178,Cargas,1))),Coluna_fih,1,1))*(1+0.13*0.25)*(PI()*(fi_h/1000)^2/4)*SQRT(2*9.81*(O178/100-fi_h/2/1000))*1000)),"",IF(O178&lt;fi_h/20,0,(OFFSET('Base de dados'!$A$5,IF(O178&lt;20,1,IF(O178&gt;1000,10,MATCH(O178,Cargas,1))),Coluna_fih,1,1))*(PI()*(fi_h/1000)^2/4)*SQRT(2*9.81*(O178/100-fi_h/2/1000))*1000))</f>
        <v>1.7560953492351952</v>
      </c>
      <c r="Q178" s="38">
        <f ca="1">IF(O178="","",IF(Tipo_Vertedor="Retangular",IF(O178&lt;=cota_s*100,0,IF(Tipo_Vertedor="Retangular",Cd_sr*Lef_sr*((O178/100-cota_s)^(3/2))*1000)),IF(O178&lt;=cota_s*100+fi_s/20,0,(OFFSET('Base de dados'!$A$4,IF(O178&lt;20,1,IF(O178&gt;1000,10,MATCH(O178,Cargas,1))),Coluna_fis,1,1))*(PI()*(fi_s/1000)^2/4)*(2*9.81*(O178/100-cota_s-fi_s/2/1000))^0.5*1000)))</f>
        <v>0</v>
      </c>
      <c r="R178" s="38">
        <f t="shared" ca="1" si="32"/>
        <v>1.7560953492351952</v>
      </c>
      <c r="S178" s="38">
        <f t="shared" ca="1" si="33"/>
        <v>55.3125</v>
      </c>
      <c r="AD178" s="38" t="str">
        <f t="shared" si="43"/>
        <v/>
      </c>
      <c r="AE178" s="38" t="str">
        <f t="shared" si="44"/>
        <v/>
      </c>
      <c r="AF178" s="38" t="str">
        <f>IF(ISERROR(IF('Hidrograma afluente'!I185="",0,'Hidrograma afluente'!I185)+Simulação!G178),"",IF('Hidrograma afluente'!I185="",0,'Hidrograma afluente'!I185)+Simulação!G178)</f>
        <v/>
      </c>
      <c r="AG178" s="36" t="s">
        <v>182</v>
      </c>
      <c r="AH178" s="36" t="s">
        <v>182</v>
      </c>
      <c r="AI178" s="48" t="s">
        <v>182</v>
      </c>
      <c r="AJ178" s="36" t="s">
        <v>182</v>
      </c>
      <c r="AK178" s="38" t="str">
        <f>IF(A178="","",IF('Hidrograma afluente'!I185="",0,'Hidrograma afluente'!I185)+Simulação!B178)</f>
        <v/>
      </c>
    </row>
    <row r="179" spans="1:37" s="36" customFormat="1">
      <c r="A179" s="23" t="str">
        <f t="shared" si="34"/>
        <v/>
      </c>
      <c r="B179" s="24" t="str">
        <f>IF(A179="","",IF(A179&gt;tc_lot_i+tc,0,IF('Hidrograma afluente'!B186="","",'Hidrograma afluente'!B186)))</f>
        <v/>
      </c>
      <c r="C179" s="41" t="str">
        <f t="shared" si="35"/>
        <v/>
      </c>
      <c r="D179" s="41" t="str">
        <f t="shared" si="36"/>
        <v/>
      </c>
      <c r="E179" s="41" t="str">
        <f t="shared" si="37"/>
        <v/>
      </c>
      <c r="F179" s="41" t="str">
        <f t="shared" si="38"/>
        <v/>
      </c>
      <c r="G179" s="41" t="str">
        <f t="shared" si="39"/>
        <v/>
      </c>
      <c r="H179" s="43" t="str">
        <f t="shared" si="45"/>
        <v/>
      </c>
      <c r="I179" s="42" t="str">
        <f t="shared" si="40"/>
        <v/>
      </c>
      <c r="J179" s="18"/>
      <c r="K179" s="76"/>
      <c r="M179" s="132">
        <f t="shared" ca="1" si="31"/>
        <v>57.38625397426344</v>
      </c>
      <c r="N179" s="38">
        <f t="shared" si="41"/>
        <v>1.66875</v>
      </c>
      <c r="O179" s="36">
        <f t="shared" si="42"/>
        <v>44.5</v>
      </c>
      <c r="P179" s="38">
        <f ca="1">IF(ISERROR(IF(O179&lt;fi_h/20,0,(OFFSET('Base de dados'!$A$5,IF(O179&lt;20,1,IF(O179&gt;1000,10,MATCH(O179,Cargas,1))),Coluna_fih,1,1))*(1+0.13*0.25)*(PI()*(fi_h/1000)^2/4)*SQRT(2*9.81*(O179/100-fi_h/2/1000))*1000)),"",IF(O179&lt;fi_h/20,0,(OFFSET('Base de dados'!$A$5,IF(O179&lt;20,1,IF(O179&gt;1000,10,MATCH(O179,Cargas,1))),Coluna_fih,1,1))*(PI()*(fi_h/1000)^2/4)*SQRT(2*9.81*(O179/100-fi_h/2/1000))*1000))</f>
        <v>1.7612539742634366</v>
      </c>
      <c r="Q179" s="38">
        <f ca="1">IF(O179="","",IF(Tipo_Vertedor="Retangular",IF(O179&lt;=cota_s*100,0,IF(Tipo_Vertedor="Retangular",Cd_sr*Lef_sr*((O179/100-cota_s)^(3/2))*1000)),IF(O179&lt;=cota_s*100+fi_s/20,0,(OFFSET('Base de dados'!$A$4,IF(O179&lt;20,1,IF(O179&gt;1000,10,MATCH(O179,Cargas,1))),Coluna_fis,1,1))*(PI()*(fi_s/1000)^2/4)*(2*9.81*(O179/100-cota_s-fi_s/2/1000))^0.5*1000)))</f>
        <v>0</v>
      </c>
      <c r="R179" s="38">
        <f t="shared" ca="1" si="32"/>
        <v>1.7612539742634366</v>
      </c>
      <c r="S179" s="38">
        <f t="shared" ca="1" si="33"/>
        <v>55.625</v>
      </c>
      <c r="AD179" s="38" t="str">
        <f t="shared" si="43"/>
        <v/>
      </c>
      <c r="AE179" s="38" t="str">
        <f t="shared" si="44"/>
        <v/>
      </c>
      <c r="AF179" s="38" t="str">
        <f>IF(ISERROR(IF('Hidrograma afluente'!I186="",0,'Hidrograma afluente'!I186)+Simulação!G179),"",IF('Hidrograma afluente'!I186="",0,'Hidrograma afluente'!I186)+Simulação!G179)</f>
        <v/>
      </c>
      <c r="AG179" s="36" t="s">
        <v>182</v>
      </c>
      <c r="AH179" s="36" t="s">
        <v>182</v>
      </c>
      <c r="AI179" s="48" t="s">
        <v>182</v>
      </c>
      <c r="AJ179" s="36" t="s">
        <v>182</v>
      </c>
      <c r="AK179" s="38" t="str">
        <f>IF(A179="","",IF('Hidrograma afluente'!I186="",0,'Hidrograma afluente'!I186)+Simulação!B179)</f>
        <v/>
      </c>
    </row>
    <row r="180" spans="1:37" s="36" customFormat="1">
      <c r="A180" s="23" t="str">
        <f t="shared" si="34"/>
        <v/>
      </c>
      <c r="B180" s="24" t="str">
        <f>IF(A180="","",IF(A180&gt;tc_lot_i+tc,0,IF('Hidrograma afluente'!B187="","",'Hidrograma afluente'!B187)))</f>
        <v/>
      </c>
      <c r="C180" s="41" t="str">
        <f t="shared" si="35"/>
        <v/>
      </c>
      <c r="D180" s="41" t="str">
        <f t="shared" si="36"/>
        <v/>
      </c>
      <c r="E180" s="41" t="str">
        <f t="shared" si="37"/>
        <v/>
      </c>
      <c r="F180" s="41" t="str">
        <f t="shared" si="38"/>
        <v/>
      </c>
      <c r="G180" s="41" t="str">
        <f t="shared" si="39"/>
        <v/>
      </c>
      <c r="H180" s="43" t="str">
        <f t="shared" si="45"/>
        <v/>
      </c>
      <c r="I180" s="42" t="str">
        <f t="shared" si="40"/>
        <v/>
      </c>
      <c r="J180" s="18"/>
      <c r="K180" s="76"/>
      <c r="M180" s="132">
        <f t="shared" ca="1" si="31"/>
        <v>57.703897533997377</v>
      </c>
      <c r="N180" s="38">
        <f t="shared" si="41"/>
        <v>1.6781250000000001</v>
      </c>
      <c r="O180" s="36">
        <f t="shared" si="42"/>
        <v>44.75</v>
      </c>
      <c r="P180" s="38">
        <f ca="1">IF(ISERROR(IF(O180&lt;fi_h/20,0,(OFFSET('Base de dados'!$A$5,IF(O180&lt;20,1,IF(O180&gt;1000,10,MATCH(O180,Cargas,1))),Coluna_fih,1,1))*(1+0.13*0.25)*(PI()*(fi_h/1000)^2/4)*SQRT(2*9.81*(O180/100-fi_h/2/1000))*1000)),"",IF(O180&lt;fi_h/20,0,(OFFSET('Base de dados'!$A$5,IF(O180&lt;20,1,IF(O180&gt;1000,10,MATCH(O180,Cargas,1))),Coluna_fih,1,1))*(PI()*(fi_h/1000)^2/4)*SQRT(2*9.81*(O180/100-fi_h/2/1000))*1000))</f>
        <v>1.7663975339973781</v>
      </c>
      <c r="Q180" s="38">
        <f ca="1">IF(O180="","",IF(Tipo_Vertedor="Retangular",IF(O180&lt;=cota_s*100,0,IF(Tipo_Vertedor="Retangular",Cd_sr*Lef_sr*((O180/100-cota_s)^(3/2))*1000)),IF(O180&lt;=cota_s*100+fi_s/20,0,(OFFSET('Base de dados'!$A$4,IF(O180&lt;20,1,IF(O180&gt;1000,10,MATCH(O180,Cargas,1))),Coluna_fis,1,1))*(PI()*(fi_s/1000)^2/4)*(2*9.81*(O180/100-cota_s-fi_s/2/1000))^0.5*1000)))</f>
        <v>0</v>
      </c>
      <c r="R180" s="38">
        <f t="shared" ca="1" si="32"/>
        <v>1.7663975339973781</v>
      </c>
      <c r="S180" s="38">
        <f t="shared" ca="1" si="33"/>
        <v>55.9375</v>
      </c>
      <c r="AD180" s="38" t="str">
        <f t="shared" si="43"/>
        <v/>
      </c>
      <c r="AE180" s="38" t="str">
        <f t="shared" si="44"/>
        <v/>
      </c>
      <c r="AF180" s="38" t="str">
        <f>IF(ISERROR(IF('Hidrograma afluente'!I187="",0,'Hidrograma afluente'!I187)+Simulação!G180),"",IF('Hidrograma afluente'!I187="",0,'Hidrograma afluente'!I187)+Simulação!G180)</f>
        <v/>
      </c>
      <c r="AG180" s="36" t="s">
        <v>182</v>
      </c>
      <c r="AH180" s="36" t="s">
        <v>182</v>
      </c>
      <c r="AI180" s="48" t="s">
        <v>182</v>
      </c>
      <c r="AJ180" s="36" t="s">
        <v>182</v>
      </c>
      <c r="AK180" s="38" t="str">
        <f>IF(A180="","",IF('Hidrograma afluente'!I187="",0,'Hidrograma afluente'!I187)+Simulação!B180)</f>
        <v/>
      </c>
    </row>
    <row r="181" spans="1:37" s="36" customFormat="1">
      <c r="A181" s="23" t="str">
        <f t="shared" si="34"/>
        <v/>
      </c>
      <c r="B181" s="24" t="str">
        <f>IF(A181="","",IF(A181&gt;tc_lot_i+tc,0,IF('Hidrograma afluente'!B188="","",'Hidrograma afluente'!B188)))</f>
        <v/>
      </c>
      <c r="C181" s="41" t="str">
        <f t="shared" si="35"/>
        <v/>
      </c>
      <c r="D181" s="41" t="str">
        <f t="shared" si="36"/>
        <v/>
      </c>
      <c r="E181" s="41" t="str">
        <f t="shared" si="37"/>
        <v/>
      </c>
      <c r="F181" s="41" t="str">
        <f t="shared" si="38"/>
        <v/>
      </c>
      <c r="G181" s="41" t="str">
        <f t="shared" si="39"/>
        <v/>
      </c>
      <c r="H181" s="43" t="str">
        <f t="shared" si="45"/>
        <v/>
      </c>
      <c r="I181" s="42" t="str">
        <f t="shared" si="40"/>
        <v/>
      </c>
      <c r="J181" s="18"/>
      <c r="K181" s="76"/>
      <c r="M181" s="132">
        <f t="shared" ca="1" si="31"/>
        <v>58.021526159661576</v>
      </c>
      <c r="N181" s="38">
        <f t="shared" si="41"/>
        <v>1.6875</v>
      </c>
      <c r="O181" s="36">
        <f t="shared" si="42"/>
        <v>45</v>
      </c>
      <c r="P181" s="38">
        <f ca="1">IF(ISERROR(IF(O181&lt;fi_h/20,0,(OFFSET('Base de dados'!$A$5,IF(O181&lt;20,1,IF(O181&gt;1000,10,MATCH(O181,Cargas,1))),Coluna_fih,1,1))*(1+0.13*0.25)*(PI()*(fi_h/1000)^2/4)*SQRT(2*9.81*(O181/100-fi_h/2/1000))*1000)),"",IF(O181&lt;fi_h/20,0,(OFFSET('Base de dados'!$A$5,IF(O181&lt;20,1,IF(O181&gt;1000,10,MATCH(O181,Cargas,1))),Coluna_fih,1,1))*(PI()*(fi_h/1000)^2/4)*SQRT(2*9.81*(O181/100-fi_h/2/1000))*1000))</f>
        <v>1.7715261596615746</v>
      </c>
      <c r="Q181" s="38">
        <f ca="1">IF(O181="","",IF(Tipo_Vertedor="Retangular",IF(O181&lt;=cota_s*100,0,IF(Tipo_Vertedor="Retangular",Cd_sr*Lef_sr*((O181/100-cota_s)^(3/2))*1000)),IF(O181&lt;=cota_s*100+fi_s/20,0,(OFFSET('Base de dados'!$A$4,IF(O181&lt;20,1,IF(O181&gt;1000,10,MATCH(O181,Cargas,1))),Coluna_fis,1,1))*(PI()*(fi_s/1000)^2/4)*(2*9.81*(O181/100-cota_s-fi_s/2/1000))^0.5*1000)))</f>
        <v>0</v>
      </c>
      <c r="R181" s="38">
        <f t="shared" ca="1" si="32"/>
        <v>1.7715261596615746</v>
      </c>
      <c r="S181" s="38">
        <f t="shared" ca="1" si="33"/>
        <v>56.25</v>
      </c>
      <c r="AD181" s="38" t="str">
        <f t="shared" si="43"/>
        <v/>
      </c>
      <c r="AE181" s="38" t="str">
        <f t="shared" si="44"/>
        <v/>
      </c>
      <c r="AF181" s="38" t="str">
        <f>IF(ISERROR(IF('Hidrograma afluente'!I188="",0,'Hidrograma afluente'!I188)+Simulação!G181),"",IF('Hidrograma afluente'!I188="",0,'Hidrograma afluente'!I188)+Simulação!G181)</f>
        <v/>
      </c>
      <c r="AG181" s="36" t="s">
        <v>182</v>
      </c>
      <c r="AH181" s="36" t="s">
        <v>182</v>
      </c>
      <c r="AI181" s="48" t="s">
        <v>182</v>
      </c>
      <c r="AJ181" s="36" t="s">
        <v>182</v>
      </c>
      <c r="AK181" s="38" t="str">
        <f>IF(A181="","",IF('Hidrograma afluente'!I188="",0,'Hidrograma afluente'!I188)+Simulação!B181)</f>
        <v/>
      </c>
    </row>
    <row r="182" spans="1:37" s="36" customFormat="1">
      <c r="A182" s="23" t="str">
        <f t="shared" si="34"/>
        <v/>
      </c>
      <c r="B182" s="24" t="str">
        <f>IF(A182="","",IF(A182&gt;tc_lot_i+tc,0,IF('Hidrograma afluente'!B189="","",'Hidrograma afluente'!B189)))</f>
        <v/>
      </c>
      <c r="C182" s="41" t="str">
        <f t="shared" si="35"/>
        <v/>
      </c>
      <c r="D182" s="41" t="str">
        <f t="shared" si="36"/>
        <v/>
      </c>
      <c r="E182" s="41" t="str">
        <f t="shared" si="37"/>
        <v/>
      </c>
      <c r="F182" s="41" t="str">
        <f t="shared" si="38"/>
        <v/>
      </c>
      <c r="G182" s="41" t="str">
        <f t="shared" si="39"/>
        <v/>
      </c>
      <c r="H182" s="43" t="str">
        <f t="shared" si="45"/>
        <v/>
      </c>
      <c r="I182" s="42" t="str">
        <f t="shared" si="40"/>
        <v/>
      </c>
      <c r="J182" s="18"/>
      <c r="K182" s="76"/>
      <c r="M182" s="132">
        <f t="shared" ca="1" si="31"/>
        <v>58.339139980586552</v>
      </c>
      <c r="N182" s="38">
        <f t="shared" si="41"/>
        <v>1.6968750000000001</v>
      </c>
      <c r="O182" s="36">
        <f t="shared" si="42"/>
        <v>45.25</v>
      </c>
      <c r="P182" s="38">
        <f ca="1">IF(ISERROR(IF(O182&lt;fi_h/20,0,(OFFSET('Base de dados'!$A$5,IF(O182&lt;20,1,IF(O182&gt;1000,10,MATCH(O182,Cargas,1))),Coluna_fih,1,1))*(1+0.13*0.25)*(PI()*(fi_h/1000)^2/4)*SQRT(2*9.81*(O182/100-fi_h/2/1000))*1000)),"",IF(O182&lt;fi_h/20,0,(OFFSET('Base de dados'!$A$5,IF(O182&lt;20,1,IF(O182&gt;1000,10,MATCH(O182,Cargas,1))),Coluna_fih,1,1))*(PI()*(fi_h/1000)^2/4)*SQRT(2*9.81*(O182/100-fi_h/2/1000))*1000))</f>
        <v>1.776639980586544</v>
      </c>
      <c r="Q182" s="38">
        <f ca="1">IF(O182="","",IF(Tipo_Vertedor="Retangular",IF(O182&lt;=cota_s*100,0,IF(Tipo_Vertedor="Retangular",Cd_sr*Lef_sr*((O182/100-cota_s)^(3/2))*1000)),IF(O182&lt;=cota_s*100+fi_s/20,0,(OFFSET('Base de dados'!$A$4,IF(O182&lt;20,1,IF(O182&gt;1000,10,MATCH(O182,Cargas,1))),Coluna_fis,1,1))*(PI()*(fi_s/1000)^2/4)*(2*9.81*(O182/100-cota_s-fi_s/2/1000))^0.5*1000)))</f>
        <v>0</v>
      </c>
      <c r="R182" s="38">
        <f t="shared" ca="1" si="32"/>
        <v>1.776639980586544</v>
      </c>
      <c r="S182" s="38">
        <f t="shared" ca="1" si="33"/>
        <v>56.562500000000007</v>
      </c>
      <c r="AD182" s="38" t="str">
        <f t="shared" si="43"/>
        <v/>
      </c>
      <c r="AE182" s="38" t="str">
        <f t="shared" si="44"/>
        <v/>
      </c>
      <c r="AF182" s="38" t="str">
        <f>IF(ISERROR(IF('Hidrograma afluente'!I189="",0,'Hidrograma afluente'!I189)+Simulação!G182),"",IF('Hidrograma afluente'!I189="",0,'Hidrograma afluente'!I189)+Simulação!G182)</f>
        <v/>
      </c>
      <c r="AG182" s="36" t="s">
        <v>182</v>
      </c>
      <c r="AH182" s="36" t="s">
        <v>182</v>
      </c>
      <c r="AI182" s="48" t="s">
        <v>182</v>
      </c>
      <c r="AJ182" s="36" t="s">
        <v>182</v>
      </c>
      <c r="AK182" s="38" t="str">
        <f>IF(A182="","",IF('Hidrograma afluente'!I189="",0,'Hidrograma afluente'!I189)+Simulação!B182)</f>
        <v/>
      </c>
    </row>
    <row r="183" spans="1:37" s="36" customFormat="1">
      <c r="A183" s="23" t="str">
        <f t="shared" si="34"/>
        <v/>
      </c>
      <c r="B183" s="24" t="str">
        <f>IF(A183="","",IF(A183&gt;tc_lot_i+tc,0,IF('Hidrograma afluente'!B190="","",'Hidrograma afluente'!B190)))</f>
        <v/>
      </c>
      <c r="C183" s="41" t="str">
        <f t="shared" si="35"/>
        <v/>
      </c>
      <c r="D183" s="41" t="str">
        <f t="shared" si="36"/>
        <v/>
      </c>
      <c r="E183" s="41" t="str">
        <f t="shared" si="37"/>
        <v/>
      </c>
      <c r="F183" s="41" t="str">
        <f t="shared" si="38"/>
        <v/>
      </c>
      <c r="G183" s="41" t="str">
        <f t="shared" si="39"/>
        <v/>
      </c>
      <c r="H183" s="43" t="str">
        <f t="shared" si="45"/>
        <v/>
      </c>
      <c r="I183" s="42" t="str">
        <f t="shared" si="40"/>
        <v/>
      </c>
      <c r="J183" s="18"/>
      <c r="K183" s="76"/>
      <c r="M183" s="132">
        <f t="shared" ca="1" si="31"/>
        <v>58.656739124246819</v>
      </c>
      <c r="N183" s="38">
        <f t="shared" si="41"/>
        <v>1.70625</v>
      </c>
      <c r="O183" s="36">
        <f t="shared" si="42"/>
        <v>45.5</v>
      </c>
      <c r="P183" s="38">
        <f ca="1">IF(ISERROR(IF(O183&lt;fi_h/20,0,(OFFSET('Base de dados'!$A$5,IF(O183&lt;20,1,IF(O183&gt;1000,10,MATCH(O183,Cargas,1))),Coluna_fih,1,1))*(1+0.13*0.25)*(PI()*(fi_h/1000)^2/4)*SQRT(2*9.81*(O183/100-fi_h/2/1000))*1000)),"",IF(O183&lt;fi_h/20,0,(OFFSET('Base de dados'!$A$5,IF(O183&lt;20,1,IF(O183&gt;1000,10,MATCH(O183,Cargas,1))),Coluna_fih,1,1))*(PI()*(fi_h/1000)^2/4)*SQRT(2*9.81*(O183/100-fi_h/2/1000))*1000))</f>
        <v>1.7817391242468195</v>
      </c>
      <c r="Q183" s="38">
        <f ca="1">IF(O183="","",IF(Tipo_Vertedor="Retangular",IF(O183&lt;=cota_s*100,0,IF(Tipo_Vertedor="Retangular",Cd_sr*Lef_sr*((O183/100-cota_s)^(3/2))*1000)),IF(O183&lt;=cota_s*100+fi_s/20,0,(OFFSET('Base de dados'!$A$4,IF(O183&lt;20,1,IF(O183&gt;1000,10,MATCH(O183,Cargas,1))),Coluna_fis,1,1))*(PI()*(fi_s/1000)^2/4)*(2*9.81*(O183/100-cota_s-fi_s/2/1000))^0.5*1000)))</f>
        <v>0</v>
      </c>
      <c r="R183" s="38">
        <f t="shared" ca="1" si="32"/>
        <v>1.7817391242468195</v>
      </c>
      <c r="S183" s="38">
        <f t="shared" ca="1" si="33"/>
        <v>56.875</v>
      </c>
      <c r="AD183" s="38" t="str">
        <f t="shared" si="43"/>
        <v/>
      </c>
      <c r="AE183" s="38" t="str">
        <f t="shared" si="44"/>
        <v/>
      </c>
      <c r="AF183" s="38" t="str">
        <f>IF(ISERROR(IF('Hidrograma afluente'!I190="",0,'Hidrograma afluente'!I190)+Simulação!G183),"",IF('Hidrograma afluente'!I190="",0,'Hidrograma afluente'!I190)+Simulação!G183)</f>
        <v/>
      </c>
      <c r="AG183" s="36" t="s">
        <v>182</v>
      </c>
      <c r="AH183" s="36" t="s">
        <v>182</v>
      </c>
      <c r="AI183" s="48" t="s">
        <v>182</v>
      </c>
      <c r="AJ183" s="36" t="s">
        <v>182</v>
      </c>
      <c r="AK183" s="38" t="str">
        <f>IF(A183="","",IF('Hidrograma afluente'!I190="",0,'Hidrograma afluente'!I190)+Simulação!B183)</f>
        <v/>
      </c>
    </row>
    <row r="184" spans="1:37" s="36" customFormat="1">
      <c r="A184" s="23" t="str">
        <f t="shared" si="34"/>
        <v/>
      </c>
      <c r="B184" s="24" t="str">
        <f>IF(A184="","",IF(A184&gt;tc_lot_i+tc,0,IF('Hidrograma afluente'!B191="","",'Hidrograma afluente'!B191)))</f>
        <v/>
      </c>
      <c r="C184" s="41" t="str">
        <f t="shared" si="35"/>
        <v/>
      </c>
      <c r="D184" s="41" t="str">
        <f t="shared" si="36"/>
        <v/>
      </c>
      <c r="E184" s="41" t="str">
        <f t="shared" si="37"/>
        <v/>
      </c>
      <c r="F184" s="41" t="str">
        <f t="shared" si="38"/>
        <v/>
      </c>
      <c r="G184" s="41" t="str">
        <f t="shared" si="39"/>
        <v/>
      </c>
      <c r="H184" s="43" t="str">
        <f t="shared" si="45"/>
        <v/>
      </c>
      <c r="I184" s="42" t="str">
        <f t="shared" si="40"/>
        <v/>
      </c>
      <c r="J184" s="18"/>
      <c r="K184" s="76"/>
      <c r="M184" s="132">
        <f t="shared" ca="1" si="31"/>
        <v>58.974323716298031</v>
      </c>
      <c r="N184" s="38">
        <f t="shared" si="41"/>
        <v>1.7156250000000002</v>
      </c>
      <c r="O184" s="36">
        <f t="shared" si="42"/>
        <v>45.75</v>
      </c>
      <c r="P184" s="38">
        <f ca="1">IF(ISERROR(IF(O184&lt;fi_h/20,0,(OFFSET('Base de dados'!$A$5,IF(O184&lt;20,1,IF(O184&gt;1000,10,MATCH(O184,Cargas,1))),Coluna_fih,1,1))*(1+0.13*0.25)*(PI()*(fi_h/1000)^2/4)*SQRT(2*9.81*(O184/100-fi_h/2/1000))*1000)),"",IF(O184&lt;fi_h/20,0,(OFFSET('Base de dados'!$A$5,IF(O184&lt;20,1,IF(O184&gt;1000,10,MATCH(O184,Cargas,1))),Coluna_fih,1,1))*(PI()*(fi_h/1000)^2/4)*SQRT(2*9.81*(O184/100-fi_h/2/1000))*1000))</f>
        <v>1.7868237162980272</v>
      </c>
      <c r="Q184" s="38">
        <f ca="1">IF(O184="","",IF(Tipo_Vertedor="Retangular",IF(O184&lt;=cota_s*100,0,IF(Tipo_Vertedor="Retangular",Cd_sr*Lef_sr*((O184/100-cota_s)^(3/2))*1000)),IF(O184&lt;=cota_s*100+fi_s/20,0,(OFFSET('Base de dados'!$A$4,IF(O184&lt;20,1,IF(O184&gt;1000,10,MATCH(O184,Cargas,1))),Coluna_fis,1,1))*(PI()*(fi_s/1000)^2/4)*(2*9.81*(O184/100-cota_s-fi_s/2/1000))^0.5*1000)))</f>
        <v>0</v>
      </c>
      <c r="R184" s="38">
        <f t="shared" ca="1" si="32"/>
        <v>1.7868237162980272</v>
      </c>
      <c r="S184" s="38">
        <f t="shared" ca="1" si="33"/>
        <v>57.187500000000007</v>
      </c>
      <c r="AD184" s="38" t="str">
        <f t="shared" si="43"/>
        <v/>
      </c>
      <c r="AE184" s="38" t="str">
        <f t="shared" si="44"/>
        <v/>
      </c>
      <c r="AF184" s="38" t="str">
        <f>IF(ISERROR(IF('Hidrograma afluente'!I191="",0,'Hidrograma afluente'!I191)+Simulação!G184),"",IF('Hidrograma afluente'!I191="",0,'Hidrograma afluente'!I191)+Simulação!G184)</f>
        <v/>
      </c>
      <c r="AG184" s="36" t="s">
        <v>182</v>
      </c>
      <c r="AH184" s="36" t="s">
        <v>182</v>
      </c>
      <c r="AI184" s="48" t="s">
        <v>182</v>
      </c>
      <c r="AJ184" s="36" t="s">
        <v>182</v>
      </c>
      <c r="AK184" s="38" t="str">
        <f>IF(A184="","",IF('Hidrograma afluente'!I191="",0,'Hidrograma afluente'!I191)+Simulação!B184)</f>
        <v/>
      </c>
    </row>
    <row r="185" spans="1:37" s="36" customFormat="1">
      <c r="A185" s="23" t="str">
        <f t="shared" si="34"/>
        <v/>
      </c>
      <c r="B185" s="24" t="str">
        <f>IF(A185="","",IF(A185&gt;tc_lot_i+tc,0,IF('Hidrograma afluente'!B192="","",'Hidrograma afluente'!B192)))</f>
        <v/>
      </c>
      <c r="C185" s="41" t="str">
        <f t="shared" si="35"/>
        <v/>
      </c>
      <c r="D185" s="41" t="str">
        <f t="shared" si="36"/>
        <v/>
      </c>
      <c r="E185" s="41" t="str">
        <f t="shared" si="37"/>
        <v/>
      </c>
      <c r="F185" s="41" t="str">
        <f t="shared" si="38"/>
        <v/>
      </c>
      <c r="G185" s="41" t="str">
        <f t="shared" si="39"/>
        <v/>
      </c>
      <c r="H185" s="43" t="str">
        <f t="shared" si="45"/>
        <v/>
      </c>
      <c r="I185" s="42" t="str">
        <f t="shared" si="40"/>
        <v/>
      </c>
      <c r="J185" s="18"/>
      <c r="K185" s="76"/>
      <c r="M185" s="132">
        <f t="shared" ca="1" si="31"/>
        <v>59.29189388061301</v>
      </c>
      <c r="N185" s="38">
        <f t="shared" si="41"/>
        <v>1.7250000000000001</v>
      </c>
      <c r="O185" s="36">
        <f t="shared" si="42"/>
        <v>46</v>
      </c>
      <c r="P185" s="38">
        <f ca="1">IF(ISERROR(IF(O185&lt;fi_h/20,0,(OFFSET('Base de dados'!$A$5,IF(O185&lt;20,1,IF(O185&gt;1000,10,MATCH(O185,Cargas,1))),Coluna_fih,1,1))*(1+0.13*0.25)*(PI()*(fi_h/1000)^2/4)*SQRT(2*9.81*(O185/100-fi_h/2/1000))*1000)),"",IF(O185&lt;fi_h/20,0,(OFFSET('Base de dados'!$A$5,IF(O185&lt;20,1,IF(O185&gt;1000,10,MATCH(O185,Cargas,1))),Coluna_fih,1,1))*(PI()*(fi_h/1000)^2/4)*SQRT(2*9.81*(O185/100-fi_h/2/1000))*1000))</f>
        <v>1.791893880613012</v>
      </c>
      <c r="Q185" s="38">
        <f ca="1">IF(O185="","",IF(Tipo_Vertedor="Retangular",IF(O185&lt;=cota_s*100,0,IF(Tipo_Vertedor="Retangular",Cd_sr*Lef_sr*((O185/100-cota_s)^(3/2))*1000)),IF(O185&lt;=cota_s*100+fi_s/20,0,(OFFSET('Base de dados'!$A$4,IF(O185&lt;20,1,IF(O185&gt;1000,10,MATCH(O185,Cargas,1))),Coluna_fis,1,1))*(PI()*(fi_s/1000)^2/4)*(2*9.81*(O185/100-cota_s-fi_s/2/1000))^0.5*1000)))</f>
        <v>0</v>
      </c>
      <c r="R185" s="38">
        <f t="shared" ca="1" si="32"/>
        <v>1.791893880613012</v>
      </c>
      <c r="S185" s="38">
        <f t="shared" ca="1" si="33"/>
        <v>57.5</v>
      </c>
      <c r="AD185" s="38" t="str">
        <f t="shared" si="43"/>
        <v/>
      </c>
      <c r="AE185" s="38" t="str">
        <f t="shared" si="44"/>
        <v/>
      </c>
      <c r="AF185" s="38" t="str">
        <f>IF(ISERROR(IF('Hidrograma afluente'!I192="",0,'Hidrograma afluente'!I192)+Simulação!G185),"",IF('Hidrograma afluente'!I192="",0,'Hidrograma afluente'!I192)+Simulação!G185)</f>
        <v/>
      </c>
      <c r="AG185" s="36" t="s">
        <v>182</v>
      </c>
      <c r="AH185" s="36" t="s">
        <v>182</v>
      </c>
      <c r="AI185" s="48" t="s">
        <v>182</v>
      </c>
      <c r="AJ185" s="36" t="s">
        <v>182</v>
      </c>
      <c r="AK185" s="38" t="str">
        <f>IF(A185="","",IF('Hidrograma afluente'!I192="",0,'Hidrograma afluente'!I192)+Simulação!B185)</f>
        <v/>
      </c>
    </row>
    <row r="186" spans="1:37" s="36" customFormat="1">
      <c r="A186" s="23" t="str">
        <f t="shared" si="34"/>
        <v/>
      </c>
      <c r="B186" s="24" t="str">
        <f>IF(A186="","",IF(A186&gt;tc_lot_i+tc,0,IF('Hidrograma afluente'!B193="","",'Hidrograma afluente'!B193)))</f>
        <v/>
      </c>
      <c r="C186" s="41" t="str">
        <f t="shared" si="35"/>
        <v/>
      </c>
      <c r="D186" s="41" t="str">
        <f t="shared" si="36"/>
        <v/>
      </c>
      <c r="E186" s="41" t="str">
        <f t="shared" si="37"/>
        <v/>
      </c>
      <c r="F186" s="41" t="str">
        <f t="shared" si="38"/>
        <v/>
      </c>
      <c r="G186" s="41" t="str">
        <f t="shared" si="39"/>
        <v/>
      </c>
      <c r="H186" s="43" t="str">
        <f t="shared" si="45"/>
        <v/>
      </c>
      <c r="I186" s="42" t="str">
        <f t="shared" si="40"/>
        <v/>
      </c>
      <c r="J186" s="18"/>
      <c r="K186" s="76"/>
      <c r="M186" s="132">
        <f t="shared" ca="1" si="31"/>
        <v>59.609449739317057</v>
      </c>
      <c r="N186" s="38">
        <f t="shared" si="41"/>
        <v>1.734375</v>
      </c>
      <c r="O186" s="36">
        <f t="shared" si="42"/>
        <v>46.25</v>
      </c>
      <c r="P186" s="38">
        <f ca="1">IF(ISERROR(IF(O186&lt;fi_h/20,0,(OFFSET('Base de dados'!$A$5,IF(O186&lt;20,1,IF(O186&gt;1000,10,MATCH(O186,Cargas,1))),Coluna_fih,1,1))*(1+0.13*0.25)*(PI()*(fi_h/1000)^2/4)*SQRT(2*9.81*(O186/100-fi_h/2/1000))*1000)),"",IF(O186&lt;fi_h/20,0,(OFFSET('Base de dados'!$A$5,IF(O186&lt;20,1,IF(O186&gt;1000,10,MATCH(O186,Cargas,1))),Coluna_fih,1,1))*(PI()*(fi_h/1000)^2/4)*SQRT(2*9.81*(O186/100-fi_h/2/1000))*1000))</f>
        <v>1.7969497393170539</v>
      </c>
      <c r="Q186" s="38">
        <f ca="1">IF(O186="","",IF(Tipo_Vertedor="Retangular",IF(O186&lt;=cota_s*100,0,IF(Tipo_Vertedor="Retangular",Cd_sr*Lef_sr*((O186/100-cota_s)^(3/2))*1000)),IF(O186&lt;=cota_s*100+fi_s/20,0,(OFFSET('Base de dados'!$A$4,IF(O186&lt;20,1,IF(O186&gt;1000,10,MATCH(O186,Cargas,1))),Coluna_fis,1,1))*(PI()*(fi_s/1000)^2/4)*(2*9.81*(O186/100-cota_s-fi_s/2/1000))^0.5*1000)))</f>
        <v>0</v>
      </c>
      <c r="R186" s="38">
        <f t="shared" ca="1" si="32"/>
        <v>1.7969497393170539</v>
      </c>
      <c r="S186" s="38">
        <f t="shared" ca="1" si="33"/>
        <v>57.8125</v>
      </c>
      <c r="AD186" s="38" t="str">
        <f t="shared" si="43"/>
        <v/>
      </c>
      <c r="AE186" s="38" t="str">
        <f t="shared" si="44"/>
        <v/>
      </c>
      <c r="AF186" s="38" t="str">
        <f>IF(ISERROR(IF('Hidrograma afluente'!I193="",0,'Hidrograma afluente'!I193)+Simulação!G186),"",IF('Hidrograma afluente'!I193="",0,'Hidrograma afluente'!I193)+Simulação!G186)</f>
        <v/>
      </c>
      <c r="AG186" s="36" t="s">
        <v>182</v>
      </c>
      <c r="AH186" s="36" t="s">
        <v>182</v>
      </c>
      <c r="AI186" s="48" t="s">
        <v>182</v>
      </c>
      <c r="AJ186" s="36" t="s">
        <v>182</v>
      </c>
      <c r="AK186" s="38" t="str">
        <f>IF(A186="","",IF('Hidrograma afluente'!I193="",0,'Hidrograma afluente'!I193)+Simulação!B186)</f>
        <v/>
      </c>
    </row>
    <row r="187" spans="1:37" s="36" customFormat="1">
      <c r="A187" s="23" t="str">
        <f t="shared" si="34"/>
        <v/>
      </c>
      <c r="B187" s="24" t="str">
        <f>IF(A187="","",IF(A187&gt;tc_lot_i+tc,0,IF('Hidrograma afluente'!B194="","",'Hidrograma afluente'!B194)))</f>
        <v/>
      </c>
      <c r="C187" s="41" t="str">
        <f t="shared" si="35"/>
        <v/>
      </c>
      <c r="D187" s="41" t="str">
        <f t="shared" si="36"/>
        <v/>
      </c>
      <c r="E187" s="41" t="str">
        <f t="shared" si="37"/>
        <v/>
      </c>
      <c r="F187" s="41" t="str">
        <f t="shared" si="38"/>
        <v/>
      </c>
      <c r="G187" s="41" t="str">
        <f t="shared" si="39"/>
        <v/>
      </c>
      <c r="H187" s="43" t="str">
        <f t="shared" si="45"/>
        <v/>
      </c>
      <c r="I187" s="42" t="str">
        <f t="shared" si="40"/>
        <v/>
      </c>
      <c r="J187" s="18"/>
      <c r="K187" s="76"/>
      <c r="M187" s="132">
        <f t="shared" ca="1" si="31"/>
        <v>59.92699141282219</v>
      </c>
      <c r="N187" s="38">
        <f t="shared" si="41"/>
        <v>1.7437500000000001</v>
      </c>
      <c r="O187" s="36">
        <f t="shared" si="42"/>
        <v>46.5</v>
      </c>
      <c r="P187" s="38">
        <f ca="1">IF(ISERROR(IF(O187&lt;fi_h/20,0,(OFFSET('Base de dados'!$A$5,IF(O187&lt;20,1,IF(O187&gt;1000,10,MATCH(O187,Cargas,1))),Coluna_fih,1,1))*(1+0.13*0.25)*(PI()*(fi_h/1000)^2/4)*SQRT(2*9.81*(O187/100-fi_h/2/1000))*1000)),"",IF(O187&lt;fi_h/20,0,(OFFSET('Base de dados'!$A$5,IF(O187&lt;20,1,IF(O187&gt;1000,10,MATCH(O187,Cargas,1))),Coluna_fih,1,1))*(PI()*(fi_h/1000)^2/4)*SQRT(2*9.81*(O187/100-fi_h/2/1000))*1000))</f>
        <v>1.8019914128221859</v>
      </c>
      <c r="Q187" s="38">
        <f ca="1">IF(O187="","",IF(Tipo_Vertedor="Retangular",IF(O187&lt;=cota_s*100,0,IF(Tipo_Vertedor="Retangular",Cd_sr*Lef_sr*((O187/100-cota_s)^(3/2))*1000)),IF(O187&lt;=cota_s*100+fi_s/20,0,(OFFSET('Base de dados'!$A$4,IF(O187&lt;20,1,IF(O187&gt;1000,10,MATCH(O187,Cargas,1))),Coluna_fis,1,1))*(PI()*(fi_s/1000)^2/4)*(2*9.81*(O187/100-cota_s-fi_s/2/1000))^0.5*1000)))</f>
        <v>0</v>
      </c>
      <c r="R187" s="38">
        <f t="shared" ca="1" si="32"/>
        <v>1.8019914128221859</v>
      </c>
      <c r="S187" s="38">
        <f t="shared" ca="1" si="33"/>
        <v>58.125000000000007</v>
      </c>
      <c r="AD187" s="38" t="str">
        <f t="shared" si="43"/>
        <v/>
      </c>
      <c r="AE187" s="38" t="str">
        <f t="shared" si="44"/>
        <v/>
      </c>
      <c r="AF187" s="38" t="str">
        <f>IF(ISERROR(IF('Hidrograma afluente'!I194="",0,'Hidrograma afluente'!I194)+Simulação!G187),"",IF('Hidrograma afluente'!I194="",0,'Hidrograma afluente'!I194)+Simulação!G187)</f>
        <v/>
      </c>
      <c r="AG187" s="36" t="s">
        <v>182</v>
      </c>
      <c r="AH187" s="36" t="s">
        <v>182</v>
      </c>
      <c r="AI187" s="48" t="s">
        <v>182</v>
      </c>
      <c r="AJ187" s="36" t="s">
        <v>182</v>
      </c>
      <c r="AK187" s="38" t="str">
        <f>IF(A187="","",IF('Hidrograma afluente'!I194="",0,'Hidrograma afluente'!I194)+Simulação!B187)</f>
        <v/>
      </c>
    </row>
    <row r="188" spans="1:37" s="36" customFormat="1">
      <c r="A188" s="23" t="str">
        <f t="shared" si="34"/>
        <v/>
      </c>
      <c r="B188" s="24" t="str">
        <f>IF(A188="","",IF(A188&gt;tc_lot_i+tc,0,IF('Hidrograma afluente'!B195="","",'Hidrograma afluente'!B195)))</f>
        <v/>
      </c>
      <c r="C188" s="41" t="str">
        <f t="shared" si="35"/>
        <v/>
      </c>
      <c r="D188" s="41" t="str">
        <f t="shared" si="36"/>
        <v/>
      </c>
      <c r="E188" s="41" t="str">
        <f t="shared" si="37"/>
        <v/>
      </c>
      <c r="F188" s="41" t="str">
        <f t="shared" si="38"/>
        <v/>
      </c>
      <c r="G188" s="41" t="str">
        <f t="shared" si="39"/>
        <v/>
      </c>
      <c r="H188" s="43" t="str">
        <f t="shared" si="45"/>
        <v/>
      </c>
      <c r="I188" s="42" t="str">
        <f t="shared" si="40"/>
        <v/>
      </c>
      <c r="J188" s="18"/>
      <c r="K188" s="76"/>
      <c r="M188" s="132">
        <f t="shared" ca="1" si="31"/>
        <v>60.244519019860654</v>
      </c>
      <c r="N188" s="38">
        <f t="shared" si="41"/>
        <v>1.753125</v>
      </c>
      <c r="O188" s="36">
        <f t="shared" si="42"/>
        <v>46.75</v>
      </c>
      <c r="P188" s="38">
        <f ca="1">IF(ISERROR(IF(O188&lt;fi_h/20,0,(OFFSET('Base de dados'!$A$5,IF(O188&lt;20,1,IF(O188&gt;1000,10,MATCH(O188,Cargas,1))),Coluna_fih,1,1))*(1+0.13*0.25)*(PI()*(fi_h/1000)^2/4)*SQRT(2*9.81*(O188/100-fi_h/2/1000))*1000)),"",IF(O188&lt;fi_h/20,0,(OFFSET('Base de dados'!$A$5,IF(O188&lt;20,1,IF(O188&gt;1000,10,MATCH(O188,Cargas,1))),Coluna_fih,1,1))*(PI()*(fi_h/1000)^2/4)*SQRT(2*9.81*(O188/100-fi_h/2/1000))*1000))</f>
        <v>1.8070190198606559</v>
      </c>
      <c r="Q188" s="38">
        <f ca="1">IF(O188="","",IF(Tipo_Vertedor="Retangular",IF(O188&lt;=cota_s*100,0,IF(Tipo_Vertedor="Retangular",Cd_sr*Lef_sr*((O188/100-cota_s)^(3/2))*1000)),IF(O188&lt;=cota_s*100+fi_s/20,0,(OFFSET('Base de dados'!$A$4,IF(O188&lt;20,1,IF(O188&gt;1000,10,MATCH(O188,Cargas,1))),Coluna_fis,1,1))*(PI()*(fi_s/1000)^2/4)*(2*9.81*(O188/100-cota_s-fi_s/2/1000))^0.5*1000)))</f>
        <v>0</v>
      </c>
      <c r="R188" s="38">
        <f t="shared" ca="1" si="32"/>
        <v>1.8070190198606559</v>
      </c>
      <c r="S188" s="38">
        <f t="shared" ca="1" si="33"/>
        <v>58.4375</v>
      </c>
      <c r="AD188" s="38" t="str">
        <f t="shared" si="43"/>
        <v/>
      </c>
      <c r="AE188" s="38" t="str">
        <f t="shared" si="44"/>
        <v/>
      </c>
      <c r="AF188" s="38" t="str">
        <f>IF(ISERROR(IF('Hidrograma afluente'!I195="",0,'Hidrograma afluente'!I195)+Simulação!G188),"",IF('Hidrograma afluente'!I195="",0,'Hidrograma afluente'!I195)+Simulação!G188)</f>
        <v/>
      </c>
      <c r="AG188" s="36" t="s">
        <v>182</v>
      </c>
      <c r="AH188" s="36" t="s">
        <v>182</v>
      </c>
      <c r="AI188" s="48" t="s">
        <v>182</v>
      </c>
      <c r="AJ188" s="36" t="s">
        <v>182</v>
      </c>
      <c r="AK188" s="38" t="str">
        <f>IF(A188="","",IF('Hidrograma afluente'!I195="",0,'Hidrograma afluente'!I195)+Simulação!B188)</f>
        <v/>
      </c>
    </row>
    <row r="189" spans="1:37" s="36" customFormat="1">
      <c r="A189" s="23" t="str">
        <f t="shared" si="34"/>
        <v/>
      </c>
      <c r="B189" s="24" t="str">
        <f>IF(A189="","",IF(A189&gt;tc_lot_i+tc,0,IF('Hidrograma afluente'!B196="","",'Hidrograma afluente'!B196)))</f>
        <v/>
      </c>
      <c r="C189" s="41" t="str">
        <f t="shared" si="35"/>
        <v/>
      </c>
      <c r="D189" s="41" t="str">
        <f t="shared" si="36"/>
        <v/>
      </c>
      <c r="E189" s="41" t="str">
        <f t="shared" si="37"/>
        <v/>
      </c>
      <c r="F189" s="41" t="str">
        <f t="shared" si="38"/>
        <v/>
      </c>
      <c r="G189" s="41" t="str">
        <f t="shared" si="39"/>
        <v/>
      </c>
      <c r="H189" s="43" t="str">
        <f t="shared" si="45"/>
        <v/>
      </c>
      <c r="I189" s="42" t="str">
        <f t="shared" si="40"/>
        <v/>
      </c>
      <c r="J189" s="18"/>
      <c r="K189" s="76"/>
      <c r="M189" s="132">
        <f t="shared" ca="1" si="31"/>
        <v>60.56203267751755</v>
      </c>
      <c r="N189" s="38">
        <f t="shared" si="41"/>
        <v>1.7625</v>
      </c>
      <c r="O189" s="36">
        <f t="shared" si="42"/>
        <v>47</v>
      </c>
      <c r="P189" s="38">
        <f ca="1">IF(ISERROR(IF(O189&lt;fi_h/20,0,(OFFSET('Base de dados'!$A$5,IF(O189&lt;20,1,IF(O189&gt;1000,10,MATCH(O189,Cargas,1))),Coluna_fih,1,1))*(1+0.13*0.25)*(PI()*(fi_h/1000)^2/4)*SQRT(2*9.81*(O189/100-fi_h/2/1000))*1000)),"",IF(O189&lt;fi_h/20,0,(OFFSET('Base de dados'!$A$5,IF(O189&lt;20,1,IF(O189&gt;1000,10,MATCH(O189,Cargas,1))),Coluna_fih,1,1))*(PI()*(fi_h/1000)^2/4)*SQRT(2*9.81*(O189/100-fi_h/2/1000))*1000))</f>
        <v>1.8120326775175533</v>
      </c>
      <c r="Q189" s="38">
        <f ca="1">IF(O189="","",IF(Tipo_Vertedor="Retangular",IF(O189&lt;=cota_s*100,0,IF(Tipo_Vertedor="Retangular",Cd_sr*Lef_sr*((O189/100-cota_s)^(3/2))*1000)),IF(O189&lt;=cota_s*100+fi_s/20,0,(OFFSET('Base de dados'!$A$4,IF(O189&lt;20,1,IF(O189&gt;1000,10,MATCH(O189,Cargas,1))),Coluna_fis,1,1))*(PI()*(fi_s/1000)^2/4)*(2*9.81*(O189/100-cota_s-fi_s/2/1000))^0.5*1000)))</f>
        <v>0</v>
      </c>
      <c r="R189" s="38">
        <f t="shared" ca="1" si="32"/>
        <v>1.8120326775175533</v>
      </c>
      <c r="S189" s="38">
        <f t="shared" ca="1" si="33"/>
        <v>58.75</v>
      </c>
      <c r="AD189" s="38" t="str">
        <f t="shared" si="43"/>
        <v/>
      </c>
      <c r="AE189" s="38" t="str">
        <f t="shared" si="44"/>
        <v/>
      </c>
      <c r="AF189" s="38" t="str">
        <f>IF(ISERROR(IF('Hidrograma afluente'!I196="",0,'Hidrograma afluente'!I196)+Simulação!G189),"",IF('Hidrograma afluente'!I196="",0,'Hidrograma afluente'!I196)+Simulação!G189)</f>
        <v/>
      </c>
      <c r="AG189" s="36" t="s">
        <v>182</v>
      </c>
      <c r="AH189" s="36" t="s">
        <v>182</v>
      </c>
      <c r="AI189" s="48" t="s">
        <v>182</v>
      </c>
      <c r="AJ189" s="36" t="s">
        <v>182</v>
      </c>
      <c r="AK189" s="38" t="str">
        <f>IF(A189="","",IF('Hidrograma afluente'!I196="",0,'Hidrograma afluente'!I196)+Simulação!B189)</f>
        <v/>
      </c>
    </row>
    <row r="190" spans="1:37" s="36" customFormat="1">
      <c r="A190" s="23" t="str">
        <f t="shared" si="34"/>
        <v/>
      </c>
      <c r="B190" s="24" t="str">
        <f>IF(A190="","",IF(A190&gt;tc_lot_i+tc,0,IF('Hidrograma afluente'!B197="","",'Hidrograma afluente'!B197)))</f>
        <v/>
      </c>
      <c r="C190" s="41" t="str">
        <f t="shared" si="35"/>
        <v/>
      </c>
      <c r="D190" s="41" t="str">
        <f t="shared" si="36"/>
        <v/>
      </c>
      <c r="E190" s="41" t="str">
        <f t="shared" si="37"/>
        <v/>
      </c>
      <c r="F190" s="41" t="str">
        <f t="shared" si="38"/>
        <v/>
      </c>
      <c r="G190" s="41" t="str">
        <f t="shared" si="39"/>
        <v/>
      </c>
      <c r="H190" s="43" t="str">
        <f t="shared" si="45"/>
        <v/>
      </c>
      <c r="I190" s="42" t="str">
        <f t="shared" si="40"/>
        <v/>
      </c>
      <c r="J190" s="18"/>
      <c r="K190" s="76"/>
      <c r="M190" s="132">
        <f t="shared" ca="1" si="31"/>
        <v>60.879532501262617</v>
      </c>
      <c r="N190" s="38">
        <f t="shared" si="41"/>
        <v>1.7718749999999999</v>
      </c>
      <c r="O190" s="36">
        <f t="shared" si="42"/>
        <v>47.25</v>
      </c>
      <c r="P190" s="38">
        <f ca="1">IF(ISERROR(IF(O190&lt;fi_h/20,0,(OFFSET('Base de dados'!$A$5,IF(O190&lt;20,1,IF(O190&gt;1000,10,MATCH(O190,Cargas,1))),Coluna_fih,1,1))*(1+0.13*0.25)*(PI()*(fi_h/1000)^2/4)*SQRT(2*9.81*(O190/100-fi_h/2/1000))*1000)),"",IF(O190&lt;fi_h/20,0,(OFFSET('Base de dados'!$A$5,IF(O190&lt;20,1,IF(O190&gt;1000,10,MATCH(O190,Cargas,1))),Coluna_fih,1,1))*(PI()*(fi_h/1000)^2/4)*SQRT(2*9.81*(O190/100-fi_h/2/1000))*1000))</f>
        <v>1.8170325012626225</v>
      </c>
      <c r="Q190" s="38">
        <f ca="1">IF(O190="","",IF(Tipo_Vertedor="Retangular",IF(O190&lt;=cota_s*100,0,IF(Tipo_Vertedor="Retangular",Cd_sr*Lef_sr*((O190/100-cota_s)^(3/2))*1000)),IF(O190&lt;=cota_s*100+fi_s/20,0,(OFFSET('Base de dados'!$A$4,IF(O190&lt;20,1,IF(O190&gt;1000,10,MATCH(O190,Cargas,1))),Coluna_fis,1,1))*(PI()*(fi_s/1000)^2/4)*(2*9.81*(O190/100-cota_s-fi_s/2/1000))^0.5*1000)))</f>
        <v>0</v>
      </c>
      <c r="R190" s="38">
        <f t="shared" ca="1" si="32"/>
        <v>1.8170325012626225</v>
      </c>
      <c r="S190" s="38">
        <f t="shared" ca="1" si="33"/>
        <v>59.062499999999993</v>
      </c>
      <c r="AD190" s="38" t="str">
        <f t="shared" si="43"/>
        <v/>
      </c>
      <c r="AE190" s="38" t="str">
        <f t="shared" si="44"/>
        <v/>
      </c>
      <c r="AF190" s="38" t="str">
        <f>IF(ISERROR(IF('Hidrograma afluente'!I197="",0,'Hidrograma afluente'!I197)+Simulação!G190),"",IF('Hidrograma afluente'!I197="",0,'Hidrograma afluente'!I197)+Simulação!G190)</f>
        <v/>
      </c>
      <c r="AG190" s="36" t="s">
        <v>182</v>
      </c>
      <c r="AH190" s="36" t="s">
        <v>182</v>
      </c>
      <c r="AI190" s="48" t="s">
        <v>182</v>
      </c>
      <c r="AJ190" s="36" t="s">
        <v>182</v>
      </c>
      <c r="AK190" s="38" t="str">
        <f>IF(A190="","",IF('Hidrograma afluente'!I197="",0,'Hidrograma afluente'!I197)+Simulação!B190)</f>
        <v/>
      </c>
    </row>
    <row r="191" spans="1:37" s="36" customFormat="1">
      <c r="A191" s="23" t="str">
        <f t="shared" si="34"/>
        <v/>
      </c>
      <c r="B191" s="24" t="str">
        <f>IF(A191="","",IF(A191&gt;tc_lot_i+tc,0,IF('Hidrograma afluente'!B198="","",'Hidrograma afluente'!B198)))</f>
        <v/>
      </c>
      <c r="C191" s="41" t="str">
        <f t="shared" si="35"/>
        <v/>
      </c>
      <c r="D191" s="41" t="str">
        <f t="shared" si="36"/>
        <v/>
      </c>
      <c r="E191" s="41" t="str">
        <f t="shared" si="37"/>
        <v/>
      </c>
      <c r="F191" s="41" t="str">
        <f t="shared" si="38"/>
        <v/>
      </c>
      <c r="G191" s="41" t="str">
        <f t="shared" si="39"/>
        <v/>
      </c>
      <c r="H191" s="43" t="str">
        <f t="shared" si="45"/>
        <v/>
      </c>
      <c r="I191" s="42" t="str">
        <f t="shared" si="40"/>
        <v/>
      </c>
      <c r="J191" s="18"/>
      <c r="K191" s="76"/>
      <c r="M191" s="132">
        <f t="shared" ca="1" si="31"/>
        <v>61.197018604981288</v>
      </c>
      <c r="N191" s="38">
        <f t="shared" si="41"/>
        <v>1.78125</v>
      </c>
      <c r="O191" s="36">
        <f t="shared" si="42"/>
        <v>47.5</v>
      </c>
      <c r="P191" s="38">
        <f ca="1">IF(ISERROR(IF(O191&lt;fi_h/20,0,(OFFSET('Base de dados'!$A$5,IF(O191&lt;20,1,IF(O191&gt;1000,10,MATCH(O191,Cargas,1))),Coluna_fih,1,1))*(1+0.13*0.25)*(PI()*(fi_h/1000)^2/4)*SQRT(2*9.81*(O191/100-fi_h/2/1000))*1000)),"",IF(O191&lt;fi_h/20,0,(OFFSET('Base de dados'!$A$5,IF(O191&lt;20,1,IF(O191&gt;1000,10,MATCH(O191,Cargas,1))),Coluna_fih,1,1))*(PI()*(fi_h/1000)^2/4)*SQRT(2*9.81*(O191/100-fi_h/2/1000))*1000))</f>
        <v>1.8220186049812912</v>
      </c>
      <c r="Q191" s="38">
        <f ca="1">IF(O191="","",IF(Tipo_Vertedor="Retangular",IF(O191&lt;=cota_s*100,0,IF(Tipo_Vertedor="Retangular",Cd_sr*Lef_sr*((O191/100-cota_s)^(3/2))*1000)),IF(O191&lt;=cota_s*100+fi_s/20,0,(OFFSET('Base de dados'!$A$4,IF(O191&lt;20,1,IF(O191&gt;1000,10,MATCH(O191,Cargas,1))),Coluna_fis,1,1))*(PI()*(fi_s/1000)^2/4)*(2*9.81*(O191/100-cota_s-fi_s/2/1000))^0.5*1000)))</f>
        <v>0</v>
      </c>
      <c r="R191" s="38">
        <f t="shared" ca="1" si="32"/>
        <v>1.8220186049812912</v>
      </c>
      <c r="S191" s="38">
        <f t="shared" ca="1" si="33"/>
        <v>59.375</v>
      </c>
      <c r="AD191" s="38" t="str">
        <f t="shared" si="43"/>
        <v/>
      </c>
      <c r="AE191" s="38" t="str">
        <f t="shared" si="44"/>
        <v/>
      </c>
      <c r="AF191" s="38" t="str">
        <f>IF(ISERROR(IF('Hidrograma afluente'!I198="",0,'Hidrograma afluente'!I198)+Simulação!G191),"",IF('Hidrograma afluente'!I198="",0,'Hidrograma afluente'!I198)+Simulação!G191)</f>
        <v/>
      </c>
      <c r="AG191" s="36" t="s">
        <v>182</v>
      </c>
      <c r="AH191" s="36" t="s">
        <v>182</v>
      </c>
      <c r="AI191" s="48" t="s">
        <v>182</v>
      </c>
      <c r="AJ191" s="36" t="s">
        <v>182</v>
      </c>
      <c r="AK191" s="38" t="str">
        <f>IF(A191="","",IF('Hidrograma afluente'!I198="",0,'Hidrograma afluente'!I198)+Simulação!B191)</f>
        <v/>
      </c>
    </row>
    <row r="192" spans="1:37" s="36" customFormat="1">
      <c r="A192" s="23" t="str">
        <f t="shared" si="34"/>
        <v/>
      </c>
      <c r="B192" s="24" t="str">
        <f>IF(A192="","",IF(A192&gt;tc_lot_i+tc,0,IF('Hidrograma afluente'!B199="","",'Hidrograma afluente'!B199)))</f>
        <v/>
      </c>
      <c r="C192" s="41" t="str">
        <f t="shared" si="35"/>
        <v/>
      </c>
      <c r="D192" s="41" t="str">
        <f t="shared" si="36"/>
        <v/>
      </c>
      <c r="E192" s="41" t="str">
        <f t="shared" si="37"/>
        <v/>
      </c>
      <c r="F192" s="41" t="str">
        <f t="shared" si="38"/>
        <v/>
      </c>
      <c r="G192" s="41" t="str">
        <f t="shared" si="39"/>
        <v/>
      </c>
      <c r="H192" s="43" t="str">
        <f t="shared" si="45"/>
        <v/>
      </c>
      <c r="I192" s="42" t="str">
        <f t="shared" si="40"/>
        <v/>
      </c>
      <c r="J192" s="18"/>
      <c r="K192" s="76"/>
      <c r="M192" s="132">
        <f t="shared" ca="1" si="31"/>
        <v>61.514491101004936</v>
      </c>
      <c r="N192" s="38">
        <f t="shared" si="41"/>
        <v>1.7906249999999999</v>
      </c>
      <c r="O192" s="36">
        <f t="shared" si="42"/>
        <v>47.75</v>
      </c>
      <c r="P192" s="38">
        <f ca="1">IF(ISERROR(IF(O192&lt;fi_h/20,0,(OFFSET('Base de dados'!$A$5,IF(O192&lt;20,1,IF(O192&gt;1000,10,MATCH(O192,Cargas,1))),Coluna_fih,1,1))*(1+0.13*0.25)*(PI()*(fi_h/1000)^2/4)*SQRT(2*9.81*(O192/100-fi_h/2/1000))*1000)),"",IF(O192&lt;fi_h/20,0,(OFFSET('Base de dados'!$A$5,IF(O192&lt;20,1,IF(O192&gt;1000,10,MATCH(O192,Cargas,1))),Coluna_fih,1,1))*(PI()*(fi_h/1000)^2/4)*SQRT(2*9.81*(O192/100-fi_h/2/1000))*1000))</f>
        <v>1.8269911010049387</v>
      </c>
      <c r="Q192" s="38">
        <f ca="1">IF(O192="","",IF(Tipo_Vertedor="Retangular",IF(O192&lt;=cota_s*100,0,IF(Tipo_Vertedor="Retangular",Cd_sr*Lef_sr*((O192/100-cota_s)^(3/2))*1000)),IF(O192&lt;=cota_s*100+fi_s/20,0,(OFFSET('Base de dados'!$A$4,IF(O192&lt;20,1,IF(O192&gt;1000,10,MATCH(O192,Cargas,1))),Coluna_fis,1,1))*(PI()*(fi_s/1000)^2/4)*(2*9.81*(O192/100-cota_s-fi_s/2/1000))^0.5*1000)))</f>
        <v>0</v>
      </c>
      <c r="R192" s="38">
        <f t="shared" ca="1" si="32"/>
        <v>1.8269911010049387</v>
      </c>
      <c r="S192" s="38">
        <f t="shared" ca="1" si="33"/>
        <v>59.6875</v>
      </c>
      <c r="AD192" s="38" t="str">
        <f t="shared" si="43"/>
        <v/>
      </c>
      <c r="AE192" s="38" t="str">
        <f t="shared" si="44"/>
        <v/>
      </c>
      <c r="AF192" s="38" t="str">
        <f>IF(ISERROR(IF('Hidrograma afluente'!I199="",0,'Hidrograma afluente'!I199)+Simulação!G192),"",IF('Hidrograma afluente'!I199="",0,'Hidrograma afluente'!I199)+Simulação!G192)</f>
        <v/>
      </c>
      <c r="AG192" s="36" t="s">
        <v>182</v>
      </c>
      <c r="AH192" s="36" t="s">
        <v>182</v>
      </c>
      <c r="AI192" s="48" t="s">
        <v>182</v>
      </c>
      <c r="AJ192" s="36" t="s">
        <v>182</v>
      </c>
      <c r="AK192" s="38" t="str">
        <f>IF(A192="","",IF('Hidrograma afluente'!I199="",0,'Hidrograma afluente'!I199)+Simulação!B192)</f>
        <v/>
      </c>
    </row>
    <row r="193" spans="1:37" s="36" customFormat="1">
      <c r="A193" s="23" t="str">
        <f t="shared" si="34"/>
        <v/>
      </c>
      <c r="B193" s="24" t="str">
        <f>IF(A193="","",IF(A193&gt;tc_lot_i+tc,0,IF('Hidrograma afluente'!B200="","",'Hidrograma afluente'!B200)))</f>
        <v/>
      </c>
      <c r="C193" s="41" t="str">
        <f t="shared" si="35"/>
        <v/>
      </c>
      <c r="D193" s="41" t="str">
        <f t="shared" si="36"/>
        <v/>
      </c>
      <c r="E193" s="41" t="str">
        <f t="shared" si="37"/>
        <v/>
      </c>
      <c r="F193" s="41" t="str">
        <f t="shared" si="38"/>
        <v/>
      </c>
      <c r="G193" s="41" t="str">
        <f t="shared" si="39"/>
        <v/>
      </c>
      <c r="H193" s="43" t="str">
        <f t="shared" si="45"/>
        <v/>
      </c>
      <c r="I193" s="42" t="str">
        <f t="shared" si="40"/>
        <v/>
      </c>
      <c r="J193" s="18"/>
      <c r="K193" s="76"/>
      <c r="M193" s="132">
        <f t="shared" ca="1" si="31"/>
        <v>61.831950100140418</v>
      </c>
      <c r="N193" s="38">
        <f t="shared" si="41"/>
        <v>1.7999999999999998</v>
      </c>
      <c r="O193" s="36">
        <f t="shared" si="42"/>
        <v>48</v>
      </c>
      <c r="P193" s="38">
        <f ca="1">IF(ISERROR(IF(O193&lt;fi_h/20,0,(OFFSET('Base de dados'!$A$5,IF(O193&lt;20,1,IF(O193&gt;1000,10,MATCH(O193,Cargas,1))),Coluna_fih,1,1))*(1+0.13*0.25)*(PI()*(fi_h/1000)^2/4)*SQRT(2*9.81*(O193/100-fi_h/2/1000))*1000)),"",IF(O193&lt;fi_h/20,0,(OFFSET('Base de dados'!$A$5,IF(O193&lt;20,1,IF(O193&gt;1000,10,MATCH(O193,Cargas,1))),Coluna_fih,1,1))*(PI()*(fi_h/1000)^2/4)*SQRT(2*9.81*(O193/100-fi_h/2/1000))*1000))</f>
        <v>1.8319501001404233</v>
      </c>
      <c r="Q193" s="38">
        <f ca="1">IF(O193="","",IF(Tipo_Vertedor="Retangular",IF(O193&lt;=cota_s*100,0,IF(Tipo_Vertedor="Retangular",Cd_sr*Lef_sr*((O193/100-cota_s)^(3/2))*1000)),IF(O193&lt;=cota_s*100+fi_s/20,0,(OFFSET('Base de dados'!$A$4,IF(O193&lt;20,1,IF(O193&gt;1000,10,MATCH(O193,Cargas,1))),Coluna_fis,1,1))*(PI()*(fi_s/1000)^2/4)*(2*9.81*(O193/100-cota_s-fi_s/2/1000))^0.5*1000)))</f>
        <v>0</v>
      </c>
      <c r="R193" s="38">
        <f t="shared" ca="1" si="32"/>
        <v>1.8319501001404233</v>
      </c>
      <c r="S193" s="38">
        <f t="shared" ca="1" si="33"/>
        <v>59.999999999999993</v>
      </c>
      <c r="AD193" s="38" t="str">
        <f t="shared" si="43"/>
        <v/>
      </c>
      <c r="AE193" s="38" t="str">
        <f t="shared" si="44"/>
        <v/>
      </c>
      <c r="AF193" s="38" t="str">
        <f>IF(ISERROR(IF('Hidrograma afluente'!I200="",0,'Hidrograma afluente'!I200)+Simulação!G193),"",IF('Hidrograma afluente'!I200="",0,'Hidrograma afluente'!I200)+Simulação!G193)</f>
        <v/>
      </c>
      <c r="AG193" s="36" t="s">
        <v>182</v>
      </c>
      <c r="AH193" s="36" t="s">
        <v>182</v>
      </c>
      <c r="AI193" s="48" t="s">
        <v>182</v>
      </c>
      <c r="AJ193" s="36" t="s">
        <v>182</v>
      </c>
      <c r="AK193" s="38" t="str">
        <f>IF(A193="","",IF('Hidrograma afluente'!I200="",0,'Hidrograma afluente'!I200)+Simulação!B193)</f>
        <v/>
      </c>
    </row>
    <row r="194" spans="1:37" s="36" customFormat="1">
      <c r="A194" s="23" t="str">
        <f t="shared" si="34"/>
        <v/>
      </c>
      <c r="B194" s="24" t="str">
        <f>IF(A194="","",IF(A194&gt;tc_lot_i+tc,0,IF('Hidrograma afluente'!B201="","",'Hidrograma afluente'!B201)))</f>
        <v/>
      </c>
      <c r="C194" s="41" t="str">
        <f t="shared" si="35"/>
        <v/>
      </c>
      <c r="D194" s="41" t="str">
        <f t="shared" si="36"/>
        <v/>
      </c>
      <c r="E194" s="41" t="str">
        <f t="shared" si="37"/>
        <v/>
      </c>
      <c r="F194" s="41" t="str">
        <f t="shared" si="38"/>
        <v/>
      </c>
      <c r="G194" s="41" t="str">
        <f t="shared" si="39"/>
        <v/>
      </c>
      <c r="H194" s="43" t="str">
        <f t="shared" si="45"/>
        <v/>
      </c>
      <c r="I194" s="42" t="str">
        <f t="shared" si="40"/>
        <v/>
      </c>
      <c r="J194" s="18"/>
      <c r="K194" s="76"/>
      <c r="M194" s="132">
        <f t="shared" ca="1" si="31"/>
        <v>62.149395711698894</v>
      </c>
      <c r="N194" s="38">
        <f t="shared" si="41"/>
        <v>1.809375</v>
      </c>
      <c r="O194" s="36">
        <f t="shared" si="42"/>
        <v>48.25</v>
      </c>
      <c r="P194" s="38">
        <f ca="1">IF(ISERROR(IF(O194&lt;fi_h/20,0,(OFFSET('Base de dados'!$A$5,IF(O194&lt;20,1,IF(O194&gt;1000,10,MATCH(O194,Cargas,1))),Coluna_fih,1,1))*(1+0.13*0.25)*(PI()*(fi_h/1000)^2/4)*SQRT(2*9.81*(O194/100-fi_h/2/1000))*1000)),"",IF(O194&lt;fi_h/20,0,(OFFSET('Base de dados'!$A$5,IF(O194&lt;20,1,IF(O194&gt;1000,10,MATCH(O194,Cargas,1))),Coluna_fih,1,1))*(PI()*(fi_h/1000)^2/4)*SQRT(2*9.81*(O194/100-fi_h/2/1000))*1000))</f>
        <v>1.8368957116988911</v>
      </c>
      <c r="Q194" s="38">
        <f ca="1">IF(O194="","",IF(Tipo_Vertedor="Retangular",IF(O194&lt;=cota_s*100,0,IF(Tipo_Vertedor="Retangular",Cd_sr*Lef_sr*((O194/100-cota_s)^(3/2))*1000)),IF(O194&lt;=cota_s*100+fi_s/20,0,(OFFSET('Base de dados'!$A$4,IF(O194&lt;20,1,IF(O194&gt;1000,10,MATCH(O194,Cargas,1))),Coluna_fis,1,1))*(PI()*(fi_s/1000)^2/4)*(2*9.81*(O194/100-cota_s-fi_s/2/1000))^0.5*1000)))</f>
        <v>0</v>
      </c>
      <c r="R194" s="38">
        <f t="shared" ca="1" si="32"/>
        <v>1.8368957116988911</v>
      </c>
      <c r="S194" s="38">
        <f t="shared" ca="1" si="33"/>
        <v>60.3125</v>
      </c>
      <c r="AD194" s="38" t="str">
        <f t="shared" si="43"/>
        <v/>
      </c>
      <c r="AE194" s="38" t="str">
        <f t="shared" si="44"/>
        <v/>
      </c>
      <c r="AF194" s="38" t="str">
        <f>IF(ISERROR(IF('Hidrograma afluente'!I201="",0,'Hidrograma afluente'!I201)+Simulação!G194),"",IF('Hidrograma afluente'!I201="",0,'Hidrograma afluente'!I201)+Simulação!G194)</f>
        <v/>
      </c>
      <c r="AG194" s="36" t="s">
        <v>182</v>
      </c>
      <c r="AH194" s="36" t="s">
        <v>182</v>
      </c>
      <c r="AI194" s="48" t="s">
        <v>182</v>
      </c>
      <c r="AJ194" s="36" t="s">
        <v>182</v>
      </c>
      <c r="AK194" s="38" t="str">
        <f>IF(A194="","",IF('Hidrograma afluente'!I201="",0,'Hidrograma afluente'!I201)+Simulação!B194)</f>
        <v/>
      </c>
    </row>
    <row r="195" spans="1:37" s="36" customFormat="1">
      <c r="A195" s="23" t="str">
        <f t="shared" si="34"/>
        <v/>
      </c>
      <c r="B195" s="24" t="str">
        <f>IF(A195="","",IF(A195&gt;tc_lot_i+tc,0,IF('Hidrograma afluente'!B202="","",'Hidrograma afluente'!B202)))</f>
        <v/>
      </c>
      <c r="C195" s="41" t="str">
        <f t="shared" si="35"/>
        <v/>
      </c>
      <c r="D195" s="41" t="str">
        <f t="shared" si="36"/>
        <v/>
      </c>
      <c r="E195" s="41" t="str">
        <f t="shared" si="37"/>
        <v/>
      </c>
      <c r="F195" s="41" t="str">
        <f t="shared" si="38"/>
        <v/>
      </c>
      <c r="G195" s="41" t="str">
        <f t="shared" si="39"/>
        <v/>
      </c>
      <c r="H195" s="43" t="str">
        <f t="shared" si="45"/>
        <v/>
      </c>
      <c r="I195" s="42" t="str">
        <f t="shared" si="40"/>
        <v/>
      </c>
      <c r="J195" s="18"/>
      <c r="K195" s="76"/>
      <c r="M195" s="132">
        <f t="shared" ca="1" si="31"/>
        <v>62.466828043523883</v>
      </c>
      <c r="N195" s="38">
        <f t="shared" si="41"/>
        <v>1.8187499999999999</v>
      </c>
      <c r="O195" s="36">
        <f t="shared" si="42"/>
        <v>48.5</v>
      </c>
      <c r="P195" s="38">
        <f ca="1">IF(ISERROR(IF(O195&lt;fi_h/20,0,(OFFSET('Base de dados'!$A$5,IF(O195&lt;20,1,IF(O195&gt;1000,10,MATCH(O195,Cargas,1))),Coluna_fih,1,1))*(1+0.13*0.25)*(PI()*(fi_h/1000)^2/4)*SQRT(2*9.81*(O195/100-fi_h/2/1000))*1000)),"",IF(O195&lt;fi_h/20,0,(OFFSET('Base de dados'!$A$5,IF(O195&lt;20,1,IF(O195&gt;1000,10,MATCH(O195,Cargas,1))),Coluna_fih,1,1))*(PI()*(fi_h/1000)^2/4)*SQRT(2*9.81*(O195/100-fi_h/2/1000))*1000))</f>
        <v>1.841828043523891</v>
      </c>
      <c r="Q195" s="38">
        <f ca="1">IF(O195="","",IF(Tipo_Vertedor="Retangular",IF(O195&lt;=cota_s*100,0,IF(Tipo_Vertedor="Retangular",Cd_sr*Lef_sr*((O195/100-cota_s)^(3/2))*1000)),IF(O195&lt;=cota_s*100+fi_s/20,0,(OFFSET('Base de dados'!$A$4,IF(O195&lt;20,1,IF(O195&gt;1000,10,MATCH(O195,Cargas,1))),Coluna_fis,1,1))*(PI()*(fi_s/1000)^2/4)*(2*9.81*(O195/100-cota_s-fi_s/2/1000))^0.5*1000)))</f>
        <v>0</v>
      </c>
      <c r="R195" s="38">
        <f t="shared" ca="1" si="32"/>
        <v>1.841828043523891</v>
      </c>
      <c r="S195" s="38">
        <f t="shared" ca="1" si="33"/>
        <v>60.624999999999993</v>
      </c>
      <c r="AD195" s="38" t="str">
        <f t="shared" si="43"/>
        <v/>
      </c>
      <c r="AE195" s="38" t="str">
        <f t="shared" si="44"/>
        <v/>
      </c>
      <c r="AF195" s="38" t="str">
        <f>IF(ISERROR(IF('Hidrograma afluente'!I202="",0,'Hidrograma afluente'!I202)+Simulação!G195),"",IF('Hidrograma afluente'!I202="",0,'Hidrograma afluente'!I202)+Simulação!G195)</f>
        <v/>
      </c>
      <c r="AG195" s="36" t="s">
        <v>182</v>
      </c>
      <c r="AH195" s="36" t="s">
        <v>182</v>
      </c>
      <c r="AI195" s="48" t="s">
        <v>182</v>
      </c>
      <c r="AJ195" s="36" t="s">
        <v>182</v>
      </c>
      <c r="AK195" s="38" t="str">
        <f>IF(A195="","",IF('Hidrograma afluente'!I202="",0,'Hidrograma afluente'!I202)+Simulação!B195)</f>
        <v/>
      </c>
    </row>
    <row r="196" spans="1:37" s="36" customFormat="1">
      <c r="A196" s="23" t="str">
        <f t="shared" si="34"/>
        <v/>
      </c>
      <c r="B196" s="24" t="str">
        <f>IF(A196="","",IF(A196&gt;tc_lot_i+tc,0,IF('Hidrograma afluente'!B203="","",'Hidrograma afluente'!B203)))</f>
        <v/>
      </c>
      <c r="C196" s="41" t="str">
        <f t="shared" si="35"/>
        <v/>
      </c>
      <c r="D196" s="41" t="str">
        <f t="shared" si="36"/>
        <v/>
      </c>
      <c r="E196" s="41" t="str">
        <f t="shared" si="37"/>
        <v/>
      </c>
      <c r="F196" s="41" t="str">
        <f t="shared" si="38"/>
        <v/>
      </c>
      <c r="G196" s="41" t="str">
        <f t="shared" si="39"/>
        <v/>
      </c>
      <c r="H196" s="43" t="str">
        <f t="shared" si="45"/>
        <v/>
      </c>
      <c r="I196" s="42" t="str">
        <f t="shared" si="40"/>
        <v/>
      </c>
      <c r="J196" s="18"/>
      <c r="K196" s="76"/>
      <c r="M196" s="132">
        <f t="shared" ca="1" si="31"/>
        <v>62.784247202018811</v>
      </c>
      <c r="N196" s="38">
        <f t="shared" si="41"/>
        <v>1.828125</v>
      </c>
      <c r="O196" s="36">
        <f t="shared" si="42"/>
        <v>48.75</v>
      </c>
      <c r="P196" s="38">
        <f ca="1">IF(ISERROR(IF(O196&lt;fi_h/20,0,(OFFSET('Base de dados'!$A$5,IF(O196&lt;20,1,IF(O196&gt;1000,10,MATCH(O196,Cargas,1))),Coluna_fih,1,1))*(1+0.13*0.25)*(PI()*(fi_h/1000)^2/4)*SQRT(2*9.81*(O196/100-fi_h/2/1000))*1000)),"",IF(O196&lt;fi_h/20,0,(OFFSET('Base de dados'!$A$5,IF(O196&lt;20,1,IF(O196&gt;1000,10,MATCH(O196,Cargas,1))),Coluna_fih,1,1))*(PI()*(fi_h/1000)^2/4)*SQRT(2*9.81*(O196/100-fi_h/2/1000))*1000))</f>
        <v>1.8467472020188123</v>
      </c>
      <c r="Q196" s="38">
        <f ca="1">IF(O196="","",IF(Tipo_Vertedor="Retangular",IF(O196&lt;=cota_s*100,0,IF(Tipo_Vertedor="Retangular",Cd_sr*Lef_sr*((O196/100-cota_s)^(3/2))*1000)),IF(O196&lt;=cota_s*100+fi_s/20,0,(OFFSET('Base de dados'!$A$4,IF(O196&lt;20,1,IF(O196&gt;1000,10,MATCH(O196,Cargas,1))),Coluna_fis,1,1))*(PI()*(fi_s/1000)^2/4)*(2*9.81*(O196/100-cota_s-fi_s/2/1000))^0.5*1000)))</f>
        <v>0</v>
      </c>
      <c r="R196" s="38">
        <f t="shared" ca="1" si="32"/>
        <v>1.8467472020188123</v>
      </c>
      <c r="S196" s="38">
        <f t="shared" ca="1" si="33"/>
        <v>60.9375</v>
      </c>
      <c r="AD196" s="38" t="str">
        <f t="shared" si="43"/>
        <v/>
      </c>
      <c r="AE196" s="38" t="str">
        <f t="shared" si="44"/>
        <v/>
      </c>
      <c r="AF196" s="38" t="str">
        <f>IF(ISERROR(IF('Hidrograma afluente'!I203="",0,'Hidrograma afluente'!I203)+Simulação!G196),"",IF('Hidrograma afluente'!I203="",0,'Hidrograma afluente'!I203)+Simulação!G196)</f>
        <v/>
      </c>
      <c r="AG196" s="36" t="s">
        <v>182</v>
      </c>
      <c r="AH196" s="36" t="s">
        <v>182</v>
      </c>
      <c r="AI196" s="48" t="s">
        <v>182</v>
      </c>
      <c r="AJ196" s="36" t="s">
        <v>182</v>
      </c>
      <c r="AK196" s="38" t="str">
        <f>IF(A196="","",IF('Hidrograma afluente'!I203="",0,'Hidrograma afluente'!I203)+Simulação!B196)</f>
        <v/>
      </c>
    </row>
    <row r="197" spans="1:37" s="36" customFormat="1">
      <c r="A197" s="23" t="str">
        <f t="shared" si="34"/>
        <v/>
      </c>
      <c r="B197" s="24" t="str">
        <f>IF(A197="","",IF(A197&gt;tc_lot_i+tc,0,IF('Hidrograma afluente'!B204="","",'Hidrograma afluente'!B204)))</f>
        <v/>
      </c>
      <c r="C197" s="41" t="str">
        <f t="shared" si="35"/>
        <v/>
      </c>
      <c r="D197" s="41" t="str">
        <f t="shared" si="36"/>
        <v/>
      </c>
      <c r="E197" s="41" t="str">
        <f t="shared" si="37"/>
        <v/>
      </c>
      <c r="F197" s="41" t="str">
        <f t="shared" si="38"/>
        <v/>
      </c>
      <c r="G197" s="41" t="str">
        <f t="shared" si="39"/>
        <v/>
      </c>
      <c r="H197" s="43" t="str">
        <f t="shared" si="45"/>
        <v/>
      </c>
      <c r="I197" s="42" t="str">
        <f t="shared" si="40"/>
        <v/>
      </c>
      <c r="J197" s="18"/>
      <c r="K197" s="76"/>
      <c r="M197" s="132">
        <f t="shared" ref="M197:M260" ca="1" si="46">IF(O197="","",2*N197*1000/(Passo*60)+R197)</f>
        <v>63.101653292173665</v>
      </c>
      <c r="N197" s="38">
        <f t="shared" si="41"/>
        <v>1.8374999999999999</v>
      </c>
      <c r="O197" s="36">
        <f t="shared" si="42"/>
        <v>49</v>
      </c>
      <c r="P197" s="38">
        <f ca="1">IF(ISERROR(IF(O197&lt;fi_h/20,0,(OFFSET('Base de dados'!$A$5,IF(O197&lt;20,1,IF(O197&gt;1000,10,MATCH(O197,Cargas,1))),Coluna_fih,1,1))*(1+0.13*0.25)*(PI()*(fi_h/1000)^2/4)*SQRT(2*9.81*(O197/100-fi_h/2/1000))*1000)),"",IF(O197&lt;fi_h/20,0,(OFFSET('Base de dados'!$A$5,IF(O197&lt;20,1,IF(O197&gt;1000,10,MATCH(O197,Cargas,1))),Coluna_fih,1,1))*(PI()*(fi_h/1000)^2/4)*SQRT(2*9.81*(O197/100-fi_h/2/1000))*1000))</f>
        <v>1.8516532921736673</v>
      </c>
      <c r="Q197" s="38">
        <f ca="1">IF(O197="","",IF(Tipo_Vertedor="Retangular",IF(O197&lt;=cota_s*100,0,IF(Tipo_Vertedor="Retangular",Cd_sr*Lef_sr*((O197/100-cota_s)^(3/2))*1000)),IF(O197&lt;=cota_s*100+fi_s/20,0,(OFFSET('Base de dados'!$A$4,IF(O197&lt;20,1,IF(O197&gt;1000,10,MATCH(O197,Cargas,1))),Coluna_fis,1,1))*(PI()*(fi_s/1000)^2/4)*(2*9.81*(O197/100-cota_s-fi_s/2/1000))^0.5*1000)))</f>
        <v>0</v>
      </c>
      <c r="R197" s="38">
        <f t="shared" ref="R197:R260" ca="1" si="47">IF(O197="","",Q197+P197)</f>
        <v>1.8516532921736673</v>
      </c>
      <c r="S197" s="38">
        <f t="shared" ref="S197:S260" ca="1" si="48">IF(M197="","",2*N197*1000/(Passo*60))</f>
        <v>61.25</v>
      </c>
      <c r="AD197" s="38" t="str">
        <f t="shared" si="43"/>
        <v/>
      </c>
      <c r="AE197" s="38" t="str">
        <f t="shared" si="44"/>
        <v/>
      </c>
      <c r="AF197" s="38" t="str">
        <f>IF(ISERROR(IF('Hidrograma afluente'!I204="",0,'Hidrograma afluente'!I204)+Simulação!G197),"",IF('Hidrograma afluente'!I204="",0,'Hidrograma afluente'!I204)+Simulação!G197)</f>
        <v/>
      </c>
      <c r="AG197" s="36" t="s">
        <v>182</v>
      </c>
      <c r="AH197" s="36" t="s">
        <v>182</v>
      </c>
      <c r="AI197" s="48" t="s">
        <v>182</v>
      </c>
      <c r="AJ197" s="36" t="s">
        <v>182</v>
      </c>
      <c r="AK197" s="38" t="str">
        <f>IF(A197="","",IF('Hidrograma afluente'!I204="",0,'Hidrograma afluente'!I204)+Simulação!B197)</f>
        <v/>
      </c>
    </row>
    <row r="198" spans="1:37" s="36" customFormat="1">
      <c r="A198" s="23" t="str">
        <f t="shared" ref="A198:A261" si="49">IF(ISERROR(IF(A197+Passo&lt;=tempo_simul,A197+Passo,"")),"",IF(A197+Passo&lt;=tempo_simul,A197+Passo,""))</f>
        <v/>
      </c>
      <c r="B198" s="24" t="str">
        <f>IF(A198="","",IF(A198&gt;tc_lot_i+tc,0,IF('Hidrograma afluente'!B205="","",'Hidrograma afluente'!B205)))</f>
        <v/>
      </c>
      <c r="C198" s="41" t="str">
        <f t="shared" ref="C198:C261" si="50">IF(B199=0,0,IF(B199="","",B199))</f>
        <v/>
      </c>
      <c r="D198" s="41" t="str">
        <f t="shared" ref="D198:D261" si="51">IF(A198="","",IF(ISERROR(VLOOKUP(H197,tabela_auxiliar,7,1)),0,VLOOKUP(H197,tabela_auxiliar,7,1)))</f>
        <v/>
      </c>
      <c r="E198" s="41" t="str">
        <f t="shared" ref="E198:E261" si="52">IF(A198="","",IF(ISERROR(VLOOKUP(H197,tabela_auxiliar,4,TRUE)),0,VLOOKUP(H197,tabela_auxiliar,4,TRUE)))</f>
        <v/>
      </c>
      <c r="F198" s="41" t="str">
        <f t="shared" ref="F198:F261" si="53">IF(A198="","",IF(ISERROR(VLOOKUP(H197,tabela_auxiliar,5,TRUE)),0,VLOOKUP(H197,tabela_auxiliar,5,TRUE)))</f>
        <v/>
      </c>
      <c r="G198" s="41" t="str">
        <f t="shared" ref="G198:G261" si="54">IF(A198="","",IF(ISERROR(VLOOKUP(H197,tabela_auxiliar,6,TRUE)),0,VLOOKUP(H197,tabela_auxiliar,6,TRUE)))</f>
        <v/>
      </c>
      <c r="H198" s="43" t="str">
        <f t="shared" si="45"/>
        <v/>
      </c>
      <c r="I198" s="42" t="str">
        <f t="shared" ref="I198:I261" si="55">IF(A198="","",IF(ISERROR(VLOOKUP(H197,tabela_auxiliar,3,TRUE)),0,VLOOKUP(H197,tabela_auxiliar,3,TRUE)))</f>
        <v/>
      </c>
      <c r="J198" s="18"/>
      <c r="K198" s="76"/>
      <c r="M198" s="132">
        <f t="shared" ca="1" si="46"/>
        <v>63.419046417591233</v>
      </c>
      <c r="N198" s="38">
        <f t="shared" ref="N198:N261" si="56">IF(O198="","",b_0*(O198/100)^c_0)</f>
        <v>1.846875</v>
      </c>
      <c r="O198" s="36">
        <f t="shared" ref="O198:O261" si="57">IF(ISERROR(IF(O197+passo_altura&gt;h_max_puls*100,"",O197+passo_altura)),"",IF(O197+passo_altura&gt;h_max_puls*100,"",O197+passo_altura))</f>
        <v>49.25</v>
      </c>
      <c r="P198" s="38">
        <f ca="1">IF(ISERROR(IF(O198&lt;fi_h/20,0,(OFFSET('Base de dados'!$A$5,IF(O198&lt;20,1,IF(O198&gt;1000,10,MATCH(O198,Cargas,1))),Coluna_fih,1,1))*(1+0.13*0.25)*(PI()*(fi_h/1000)^2/4)*SQRT(2*9.81*(O198/100-fi_h/2/1000))*1000)),"",IF(O198&lt;fi_h/20,0,(OFFSET('Base de dados'!$A$5,IF(O198&lt;20,1,IF(O198&gt;1000,10,MATCH(O198,Cargas,1))),Coluna_fih,1,1))*(PI()*(fi_h/1000)^2/4)*SQRT(2*9.81*(O198/100-fi_h/2/1000))*1000))</f>
        <v>1.856546417591235</v>
      </c>
      <c r="Q198" s="38">
        <f ca="1">IF(O198="","",IF(Tipo_Vertedor="Retangular",IF(O198&lt;=cota_s*100,0,IF(Tipo_Vertedor="Retangular",Cd_sr*Lef_sr*((O198/100-cota_s)^(3/2))*1000)),IF(O198&lt;=cota_s*100+fi_s/20,0,(OFFSET('Base de dados'!$A$4,IF(O198&lt;20,1,IF(O198&gt;1000,10,MATCH(O198,Cargas,1))),Coluna_fis,1,1))*(PI()*(fi_s/1000)^2/4)*(2*9.81*(O198/100-cota_s-fi_s/2/1000))^0.5*1000)))</f>
        <v>0</v>
      </c>
      <c r="R198" s="38">
        <f t="shared" ca="1" si="47"/>
        <v>1.856546417591235</v>
      </c>
      <c r="S198" s="38">
        <f t="shared" ca="1" si="48"/>
        <v>61.5625</v>
      </c>
      <c r="AD198" s="38" t="str">
        <f t="shared" ref="AD198:AD261" si="58">IF(A198="","",AVERAGE(B198+B197)*Passo*60/1000+AD197)</f>
        <v/>
      </c>
      <c r="AE198" s="38" t="str">
        <f t="shared" ref="AE198:AE261" si="59">IF(A198="","",AE197+AVERAGE(G198+G197)*Passo*60/1000)</f>
        <v/>
      </c>
      <c r="AF198" s="38" t="str">
        <f>IF(ISERROR(IF('Hidrograma afluente'!I205="",0,'Hidrograma afluente'!I205)+Simulação!G198),"",IF('Hidrograma afluente'!I205="",0,'Hidrograma afluente'!I205)+Simulação!G198)</f>
        <v/>
      </c>
      <c r="AG198" s="36" t="s">
        <v>182</v>
      </c>
      <c r="AH198" s="36" t="s">
        <v>182</v>
      </c>
      <c r="AI198" s="48" t="s">
        <v>182</v>
      </c>
      <c r="AJ198" s="36" t="s">
        <v>182</v>
      </c>
      <c r="AK198" s="38" t="str">
        <f>IF(A198="","",IF('Hidrograma afluente'!I205="",0,'Hidrograma afluente'!I205)+Simulação!B198)</f>
        <v/>
      </c>
    </row>
    <row r="199" spans="1:37" s="36" customFormat="1">
      <c r="A199" s="23" t="str">
        <f t="shared" si="49"/>
        <v/>
      </c>
      <c r="B199" s="24" t="str">
        <f>IF(A199="","",IF(A199&gt;tc_lot_i+tc,0,IF('Hidrograma afluente'!B206="","",'Hidrograma afluente'!B206)))</f>
        <v/>
      </c>
      <c r="C199" s="41" t="str">
        <f t="shared" si="50"/>
        <v/>
      </c>
      <c r="D199" s="41" t="str">
        <f t="shared" si="51"/>
        <v/>
      </c>
      <c r="E199" s="41" t="str">
        <f t="shared" si="52"/>
        <v/>
      </c>
      <c r="F199" s="41" t="str">
        <f t="shared" si="53"/>
        <v/>
      </c>
      <c r="G199" s="41" t="str">
        <f t="shared" si="54"/>
        <v/>
      </c>
      <c r="H199" s="43" t="str">
        <f t="shared" si="45"/>
        <v/>
      </c>
      <c r="I199" s="42" t="str">
        <f t="shared" si="55"/>
        <v/>
      </c>
      <c r="J199" s="18"/>
      <c r="K199" s="76"/>
      <c r="M199" s="132">
        <f t="shared" ca="1" si="46"/>
        <v>63.736426680512587</v>
      </c>
      <c r="N199" s="38">
        <f t="shared" si="56"/>
        <v>1.85625</v>
      </c>
      <c r="O199" s="36">
        <f t="shared" si="57"/>
        <v>49.5</v>
      </c>
      <c r="P199" s="38">
        <f ca="1">IF(ISERROR(IF(O199&lt;fi_h/20,0,(OFFSET('Base de dados'!$A$5,IF(O199&lt;20,1,IF(O199&gt;1000,10,MATCH(O199,Cargas,1))),Coluna_fih,1,1))*(1+0.13*0.25)*(PI()*(fi_h/1000)^2/4)*SQRT(2*9.81*(O199/100-fi_h/2/1000))*1000)),"",IF(O199&lt;fi_h/20,0,(OFFSET('Base de dados'!$A$5,IF(O199&lt;20,1,IF(O199&gt;1000,10,MATCH(O199,Cargas,1))),Coluna_fih,1,1))*(PI()*(fi_h/1000)^2/4)*SQRT(2*9.81*(O199/100-fi_h/2/1000))*1000))</f>
        <v>1.8614266805125892</v>
      </c>
      <c r="Q199" s="38">
        <f ca="1">IF(O199="","",IF(Tipo_Vertedor="Retangular",IF(O199&lt;=cota_s*100,0,IF(Tipo_Vertedor="Retangular",Cd_sr*Lef_sr*((O199/100-cota_s)^(3/2))*1000)),IF(O199&lt;=cota_s*100+fi_s/20,0,(OFFSET('Base de dados'!$A$4,IF(O199&lt;20,1,IF(O199&gt;1000,10,MATCH(O199,Cargas,1))),Coluna_fis,1,1))*(PI()*(fi_s/1000)^2/4)*(2*9.81*(O199/100-cota_s-fi_s/2/1000))^0.5*1000)))</f>
        <v>0</v>
      </c>
      <c r="R199" s="38">
        <f t="shared" ca="1" si="47"/>
        <v>1.8614266805125892</v>
      </c>
      <c r="S199" s="38">
        <f t="shared" ca="1" si="48"/>
        <v>61.875</v>
      </c>
      <c r="AD199" s="38" t="str">
        <f t="shared" si="58"/>
        <v/>
      </c>
      <c r="AE199" s="38" t="str">
        <f t="shared" si="59"/>
        <v/>
      </c>
      <c r="AF199" s="38" t="str">
        <f>IF(ISERROR(IF('Hidrograma afluente'!I206="",0,'Hidrograma afluente'!I206)+Simulação!G199),"",IF('Hidrograma afluente'!I206="",0,'Hidrograma afluente'!I206)+Simulação!G199)</f>
        <v/>
      </c>
      <c r="AG199" s="36" t="s">
        <v>182</v>
      </c>
      <c r="AH199" s="36" t="s">
        <v>182</v>
      </c>
      <c r="AI199" s="48" t="s">
        <v>182</v>
      </c>
      <c r="AJ199" s="36" t="s">
        <v>182</v>
      </c>
      <c r="AK199" s="38" t="str">
        <f>IF(A199="","",IF('Hidrograma afluente'!I206="",0,'Hidrograma afluente'!I206)+Simulação!B199)</f>
        <v/>
      </c>
    </row>
    <row r="200" spans="1:37" s="36" customFormat="1">
      <c r="A200" s="23" t="str">
        <f t="shared" si="49"/>
        <v/>
      </c>
      <c r="B200" s="24" t="str">
        <f>IF(A200="","",IF(A200&gt;tc_lot_i+tc,0,IF('Hidrograma afluente'!B207="","",'Hidrograma afluente'!B207)))</f>
        <v/>
      </c>
      <c r="C200" s="41" t="str">
        <f t="shared" si="50"/>
        <v/>
      </c>
      <c r="D200" s="41" t="str">
        <f t="shared" si="51"/>
        <v/>
      </c>
      <c r="E200" s="41" t="str">
        <f t="shared" si="52"/>
        <v/>
      </c>
      <c r="F200" s="41" t="str">
        <f t="shared" si="53"/>
        <v/>
      </c>
      <c r="G200" s="41" t="str">
        <f t="shared" si="54"/>
        <v/>
      </c>
      <c r="H200" s="43" t="str">
        <f t="shared" si="45"/>
        <v/>
      </c>
      <c r="I200" s="42" t="str">
        <f t="shared" si="55"/>
        <v/>
      </c>
      <c r="J200" s="18"/>
      <c r="K200" s="76"/>
      <c r="M200" s="132">
        <f t="shared" ca="1" si="46"/>
        <v>64.053794181842022</v>
      </c>
      <c r="N200" s="38">
        <f t="shared" si="56"/>
        <v>1.8656250000000001</v>
      </c>
      <c r="O200" s="36">
        <f t="shared" si="57"/>
        <v>49.75</v>
      </c>
      <c r="P200" s="38">
        <f ca="1">IF(ISERROR(IF(O200&lt;fi_h/20,0,(OFFSET('Base de dados'!$A$5,IF(O200&lt;20,1,IF(O200&gt;1000,10,MATCH(O200,Cargas,1))),Coluna_fih,1,1))*(1+0.13*0.25)*(PI()*(fi_h/1000)^2/4)*SQRT(2*9.81*(O200/100-fi_h/2/1000))*1000)),"",IF(O200&lt;fi_h/20,0,(OFFSET('Base de dados'!$A$5,IF(O200&lt;20,1,IF(O200&gt;1000,10,MATCH(O200,Cargas,1))),Coluna_fih,1,1))*(PI()*(fi_h/1000)^2/4)*SQRT(2*9.81*(O200/100-fi_h/2/1000))*1000))</f>
        <v>1.8662941818420227</v>
      </c>
      <c r="Q200" s="38">
        <f ca="1">IF(O200="","",IF(Tipo_Vertedor="Retangular",IF(O200&lt;=cota_s*100,0,IF(Tipo_Vertedor="Retangular",Cd_sr*Lef_sr*((O200/100-cota_s)^(3/2))*1000)),IF(O200&lt;=cota_s*100+fi_s/20,0,(OFFSET('Base de dados'!$A$4,IF(O200&lt;20,1,IF(O200&gt;1000,10,MATCH(O200,Cargas,1))),Coluna_fis,1,1))*(PI()*(fi_s/1000)^2/4)*(2*9.81*(O200/100-cota_s-fi_s/2/1000))^0.5*1000)))</f>
        <v>0</v>
      </c>
      <c r="R200" s="38">
        <f t="shared" ca="1" si="47"/>
        <v>1.8662941818420227</v>
      </c>
      <c r="S200" s="38">
        <f t="shared" ca="1" si="48"/>
        <v>62.1875</v>
      </c>
      <c r="AD200" s="38" t="str">
        <f t="shared" si="58"/>
        <v/>
      </c>
      <c r="AE200" s="38" t="str">
        <f t="shared" si="59"/>
        <v/>
      </c>
      <c r="AF200" s="38" t="str">
        <f>IF(ISERROR(IF('Hidrograma afluente'!I207="",0,'Hidrograma afluente'!I207)+Simulação!G200),"",IF('Hidrograma afluente'!I207="",0,'Hidrograma afluente'!I207)+Simulação!G200)</f>
        <v/>
      </c>
      <c r="AG200" s="36" t="s">
        <v>182</v>
      </c>
      <c r="AH200" s="36" t="s">
        <v>182</v>
      </c>
      <c r="AI200" s="48" t="s">
        <v>182</v>
      </c>
      <c r="AJ200" s="36" t="s">
        <v>182</v>
      </c>
      <c r="AK200" s="38" t="str">
        <f>IF(A200="","",IF('Hidrograma afluente'!I207="",0,'Hidrograma afluente'!I207)+Simulação!B200)</f>
        <v/>
      </c>
    </row>
    <row r="201" spans="1:37" s="36" customFormat="1">
      <c r="A201" s="23" t="str">
        <f t="shared" si="49"/>
        <v/>
      </c>
      <c r="B201" s="24" t="str">
        <f>IF(A201="","",IF(A201&gt;tc_lot_i+tc,0,IF('Hidrograma afluente'!B208="","",'Hidrograma afluente'!B208)))</f>
        <v/>
      </c>
      <c r="C201" s="41" t="str">
        <f t="shared" si="50"/>
        <v/>
      </c>
      <c r="D201" s="41" t="str">
        <f t="shared" si="51"/>
        <v/>
      </c>
      <c r="E201" s="41" t="str">
        <f t="shared" si="52"/>
        <v/>
      </c>
      <c r="F201" s="41" t="str">
        <f t="shared" si="53"/>
        <v/>
      </c>
      <c r="G201" s="41" t="str">
        <f t="shared" si="54"/>
        <v/>
      </c>
      <c r="H201" s="43" t="str">
        <f t="shared" si="45"/>
        <v/>
      </c>
      <c r="I201" s="42" t="str">
        <f t="shared" si="55"/>
        <v/>
      </c>
      <c r="J201" s="18"/>
      <c r="K201" s="76"/>
      <c r="M201" s="132">
        <f t="shared" ca="1" si="46"/>
        <v>64.371149021171391</v>
      </c>
      <c r="N201" s="38">
        <f t="shared" si="56"/>
        <v>1.875</v>
      </c>
      <c r="O201" s="36">
        <f t="shared" si="57"/>
        <v>50</v>
      </c>
      <c r="P201" s="38">
        <f ca="1">IF(ISERROR(IF(O201&lt;fi_h/20,0,(OFFSET('Base de dados'!$A$5,IF(O201&lt;20,1,IF(O201&gt;1000,10,MATCH(O201,Cargas,1))),Coluna_fih,1,1))*(1+0.13*0.25)*(PI()*(fi_h/1000)^2/4)*SQRT(2*9.81*(O201/100-fi_h/2/1000))*1000)),"",IF(O201&lt;fi_h/20,0,(OFFSET('Base de dados'!$A$5,IF(O201&lt;20,1,IF(O201&gt;1000,10,MATCH(O201,Cargas,1))),Coluna_fih,1,1))*(PI()*(fi_h/1000)^2/4)*SQRT(2*9.81*(O201/100-fi_h/2/1000))*1000))</f>
        <v>1.8711490211713906</v>
      </c>
      <c r="Q201" s="38">
        <f ca="1">IF(O201="","",IF(Tipo_Vertedor="Retangular",IF(O201&lt;=cota_s*100,0,IF(Tipo_Vertedor="Retangular",Cd_sr*Lef_sr*((O201/100-cota_s)^(3/2))*1000)),IF(O201&lt;=cota_s*100+fi_s/20,0,(OFFSET('Base de dados'!$A$4,IF(O201&lt;20,1,IF(O201&gt;1000,10,MATCH(O201,Cargas,1))),Coluna_fis,1,1))*(PI()*(fi_s/1000)^2/4)*(2*9.81*(O201/100-cota_s-fi_s/2/1000))^0.5*1000)))</f>
        <v>0</v>
      </c>
      <c r="R201" s="38">
        <f t="shared" ca="1" si="47"/>
        <v>1.8711490211713906</v>
      </c>
      <c r="S201" s="38">
        <f t="shared" ca="1" si="48"/>
        <v>62.5</v>
      </c>
      <c r="AD201" s="38" t="str">
        <f t="shared" si="58"/>
        <v/>
      </c>
      <c r="AE201" s="38" t="str">
        <f t="shared" si="59"/>
        <v/>
      </c>
      <c r="AF201" s="38" t="str">
        <f>IF(ISERROR(IF('Hidrograma afluente'!I208="",0,'Hidrograma afluente'!I208)+Simulação!G201),"",IF('Hidrograma afluente'!I208="",0,'Hidrograma afluente'!I208)+Simulação!G201)</f>
        <v/>
      </c>
      <c r="AG201" s="36" t="s">
        <v>182</v>
      </c>
      <c r="AH201" s="36" t="s">
        <v>182</v>
      </c>
      <c r="AI201" s="48" t="s">
        <v>182</v>
      </c>
      <c r="AJ201" s="36" t="s">
        <v>182</v>
      </c>
      <c r="AK201" s="38" t="str">
        <f>IF(A201="","",IF('Hidrograma afluente'!I208="",0,'Hidrograma afluente'!I208)+Simulação!B201)</f>
        <v/>
      </c>
    </row>
    <row r="202" spans="1:37" s="36" customFormat="1">
      <c r="A202" s="23" t="str">
        <f t="shared" si="49"/>
        <v/>
      </c>
      <c r="B202" s="24" t="str">
        <f>IF(A202="","",IF(A202&gt;tc_lot_i+tc,0,IF('Hidrograma afluente'!B209="","",'Hidrograma afluente'!B209)))</f>
        <v/>
      </c>
      <c r="C202" s="41" t="str">
        <f t="shared" si="50"/>
        <v/>
      </c>
      <c r="D202" s="41" t="str">
        <f t="shared" si="51"/>
        <v/>
      </c>
      <c r="E202" s="41" t="str">
        <f t="shared" si="52"/>
        <v/>
      </c>
      <c r="F202" s="41" t="str">
        <f t="shared" si="53"/>
        <v/>
      </c>
      <c r="G202" s="41" t="str">
        <f t="shared" si="54"/>
        <v/>
      </c>
      <c r="H202" s="43" t="str">
        <f t="shared" si="45"/>
        <v/>
      </c>
      <c r="I202" s="42" t="str">
        <f t="shared" si="55"/>
        <v/>
      </c>
      <c r="J202" s="18"/>
      <c r="K202" s="76"/>
      <c r="M202" s="132">
        <f t="shared" ca="1" si="46"/>
        <v>64.688491296803889</v>
      </c>
      <c r="N202" s="38">
        <f t="shared" si="56"/>
        <v>1.8843749999999999</v>
      </c>
      <c r="O202" s="36">
        <f t="shared" si="57"/>
        <v>50.25</v>
      </c>
      <c r="P202" s="38">
        <f ca="1">IF(ISERROR(IF(O202&lt;fi_h/20,0,(OFFSET('Base de dados'!$A$5,IF(O202&lt;20,1,IF(O202&gt;1000,10,MATCH(O202,Cargas,1))),Coluna_fih,1,1))*(1+0.13*0.25)*(PI()*(fi_h/1000)^2/4)*SQRT(2*9.81*(O202/100-fi_h/2/1000))*1000)),"",IF(O202&lt;fi_h/20,0,(OFFSET('Base de dados'!$A$5,IF(O202&lt;20,1,IF(O202&gt;1000,10,MATCH(O202,Cargas,1))),Coluna_fih,1,1))*(PI()*(fi_h/1000)^2/4)*SQRT(2*9.81*(O202/100-fi_h/2/1000))*1000))</f>
        <v>1.8759912968038848</v>
      </c>
      <c r="Q202" s="38">
        <f ca="1">IF(O202="","",IF(Tipo_Vertedor="Retangular",IF(O202&lt;=cota_s*100,0,IF(Tipo_Vertedor="Retangular",Cd_sr*Lef_sr*((O202/100-cota_s)^(3/2))*1000)),IF(O202&lt;=cota_s*100+fi_s/20,0,(OFFSET('Base de dados'!$A$4,IF(O202&lt;20,1,IF(O202&gt;1000,10,MATCH(O202,Cargas,1))),Coluna_fis,1,1))*(PI()*(fi_s/1000)^2/4)*(2*9.81*(O202/100-cota_s-fi_s/2/1000))^0.5*1000)))</f>
        <v>0</v>
      </c>
      <c r="R202" s="38">
        <f t="shared" ca="1" si="47"/>
        <v>1.8759912968038848</v>
      </c>
      <c r="S202" s="38">
        <f t="shared" ca="1" si="48"/>
        <v>62.8125</v>
      </c>
      <c r="AD202" s="38" t="str">
        <f t="shared" si="58"/>
        <v/>
      </c>
      <c r="AE202" s="38" t="str">
        <f t="shared" si="59"/>
        <v/>
      </c>
      <c r="AF202" s="38" t="str">
        <f>IF(ISERROR(IF('Hidrograma afluente'!I209="",0,'Hidrograma afluente'!I209)+Simulação!G202),"",IF('Hidrograma afluente'!I209="",0,'Hidrograma afluente'!I209)+Simulação!G202)</f>
        <v/>
      </c>
      <c r="AG202" s="36" t="s">
        <v>182</v>
      </c>
      <c r="AH202" s="36" t="s">
        <v>182</v>
      </c>
      <c r="AI202" s="48" t="s">
        <v>182</v>
      </c>
      <c r="AJ202" s="36" t="s">
        <v>182</v>
      </c>
      <c r="AK202" s="38" t="str">
        <f>IF(A202="","",IF('Hidrograma afluente'!I209="",0,'Hidrograma afluente'!I209)+Simulação!B202)</f>
        <v/>
      </c>
    </row>
    <row r="203" spans="1:37" s="36" customFormat="1">
      <c r="A203" s="23" t="str">
        <f t="shared" si="49"/>
        <v/>
      </c>
      <c r="B203" s="24" t="str">
        <f>IF(A203="","",IF(A203&gt;tc_lot_i+tc,0,IF('Hidrograma afluente'!B210="","",'Hidrograma afluente'!B210)))</f>
        <v/>
      </c>
      <c r="C203" s="41" t="str">
        <f t="shared" si="50"/>
        <v/>
      </c>
      <c r="D203" s="41" t="str">
        <f t="shared" si="51"/>
        <v/>
      </c>
      <c r="E203" s="41" t="str">
        <f t="shared" si="52"/>
        <v/>
      </c>
      <c r="F203" s="41" t="str">
        <f t="shared" si="53"/>
        <v/>
      </c>
      <c r="G203" s="41" t="str">
        <f t="shared" si="54"/>
        <v/>
      </c>
      <c r="H203" s="43" t="str">
        <f t="shared" si="45"/>
        <v/>
      </c>
      <c r="I203" s="42" t="str">
        <f t="shared" si="55"/>
        <v/>
      </c>
      <c r="J203" s="18"/>
      <c r="K203" s="76"/>
      <c r="M203" s="132">
        <f t="shared" ca="1" si="46"/>
        <v>65.005821105777258</v>
      </c>
      <c r="N203" s="38">
        <f t="shared" si="56"/>
        <v>1.89375</v>
      </c>
      <c r="O203" s="36">
        <f t="shared" si="57"/>
        <v>50.5</v>
      </c>
      <c r="P203" s="38">
        <f ca="1">IF(ISERROR(IF(O203&lt;fi_h/20,0,(OFFSET('Base de dados'!$A$5,IF(O203&lt;20,1,IF(O203&gt;1000,10,MATCH(O203,Cargas,1))),Coluna_fih,1,1))*(1+0.13*0.25)*(PI()*(fi_h/1000)^2/4)*SQRT(2*9.81*(O203/100-fi_h/2/1000))*1000)),"",IF(O203&lt;fi_h/20,0,(OFFSET('Base de dados'!$A$5,IF(O203&lt;20,1,IF(O203&gt;1000,10,MATCH(O203,Cargas,1))),Coluna_fih,1,1))*(PI()*(fi_h/1000)^2/4)*SQRT(2*9.81*(O203/100-fi_h/2/1000))*1000))</f>
        <v>1.8808211057772586</v>
      </c>
      <c r="Q203" s="38">
        <f ca="1">IF(O203="","",IF(Tipo_Vertedor="Retangular",IF(O203&lt;=cota_s*100,0,IF(Tipo_Vertedor="Retangular",Cd_sr*Lef_sr*((O203/100-cota_s)^(3/2))*1000)),IF(O203&lt;=cota_s*100+fi_s/20,0,(OFFSET('Base de dados'!$A$4,IF(O203&lt;20,1,IF(O203&gt;1000,10,MATCH(O203,Cargas,1))),Coluna_fis,1,1))*(PI()*(fi_s/1000)^2/4)*(2*9.81*(O203/100-cota_s-fi_s/2/1000))^0.5*1000)))</f>
        <v>0</v>
      </c>
      <c r="R203" s="38">
        <f t="shared" ca="1" si="47"/>
        <v>1.8808211057772586</v>
      </c>
      <c r="S203" s="38">
        <f t="shared" ca="1" si="48"/>
        <v>63.125</v>
      </c>
      <c r="AD203" s="38" t="str">
        <f t="shared" si="58"/>
        <v/>
      </c>
      <c r="AE203" s="38" t="str">
        <f t="shared" si="59"/>
        <v/>
      </c>
      <c r="AF203" s="38" t="str">
        <f>IF(ISERROR(IF('Hidrograma afluente'!I210="",0,'Hidrograma afluente'!I210)+Simulação!G203),"",IF('Hidrograma afluente'!I210="",0,'Hidrograma afluente'!I210)+Simulação!G203)</f>
        <v/>
      </c>
      <c r="AG203" s="36" t="s">
        <v>182</v>
      </c>
      <c r="AH203" s="36" t="s">
        <v>182</v>
      </c>
      <c r="AI203" s="48" t="s">
        <v>182</v>
      </c>
      <c r="AJ203" s="36" t="s">
        <v>182</v>
      </c>
      <c r="AK203" s="38" t="str">
        <f>IF(A203="","",IF('Hidrograma afluente'!I210="",0,'Hidrograma afluente'!I210)+Simulação!B203)</f>
        <v/>
      </c>
    </row>
    <row r="204" spans="1:37" s="36" customFormat="1">
      <c r="A204" s="23" t="str">
        <f t="shared" si="49"/>
        <v/>
      </c>
      <c r="B204" s="24" t="str">
        <f>IF(A204="","",IF(A204&gt;tc_lot_i+tc,0,IF('Hidrograma afluente'!B211="","",'Hidrograma afluente'!B211)))</f>
        <v/>
      </c>
      <c r="C204" s="41" t="str">
        <f t="shared" si="50"/>
        <v/>
      </c>
      <c r="D204" s="41" t="str">
        <f t="shared" si="51"/>
        <v/>
      </c>
      <c r="E204" s="41" t="str">
        <f t="shared" si="52"/>
        <v/>
      </c>
      <c r="F204" s="41" t="str">
        <f t="shared" si="53"/>
        <v/>
      </c>
      <c r="G204" s="41" t="str">
        <f t="shared" si="54"/>
        <v/>
      </c>
      <c r="H204" s="43" t="str">
        <f t="shared" si="45"/>
        <v/>
      </c>
      <c r="I204" s="42" t="str">
        <f t="shared" si="55"/>
        <v/>
      </c>
      <c r="J204" s="18"/>
      <c r="K204" s="76"/>
      <c r="M204" s="132">
        <f t="shared" ca="1" si="46"/>
        <v>65.323138543886515</v>
      </c>
      <c r="N204" s="38">
        <f t="shared" si="56"/>
        <v>1.9031249999999997</v>
      </c>
      <c r="O204" s="36">
        <f t="shared" si="57"/>
        <v>50.75</v>
      </c>
      <c r="P204" s="38">
        <f ca="1">IF(ISERROR(IF(O204&lt;fi_h/20,0,(OFFSET('Base de dados'!$A$5,IF(O204&lt;20,1,IF(O204&gt;1000,10,MATCH(O204,Cargas,1))),Coluna_fih,1,1))*(1+0.13*0.25)*(PI()*(fi_h/1000)^2/4)*SQRT(2*9.81*(O204/100-fi_h/2/1000))*1000)),"",IF(O204&lt;fi_h/20,0,(OFFSET('Base de dados'!$A$5,IF(O204&lt;20,1,IF(O204&gt;1000,10,MATCH(O204,Cargas,1))),Coluna_fih,1,1))*(PI()*(fi_h/1000)^2/4)*SQRT(2*9.81*(O204/100-fi_h/2/1000))*1000))</f>
        <v>1.8856385438865153</v>
      </c>
      <c r="Q204" s="38">
        <f ca="1">IF(O204="","",IF(Tipo_Vertedor="Retangular",IF(O204&lt;=cota_s*100,0,IF(Tipo_Vertedor="Retangular",Cd_sr*Lef_sr*((O204/100-cota_s)^(3/2))*1000)),IF(O204&lt;=cota_s*100+fi_s/20,0,(OFFSET('Base de dados'!$A$4,IF(O204&lt;20,1,IF(O204&gt;1000,10,MATCH(O204,Cargas,1))),Coluna_fis,1,1))*(PI()*(fi_s/1000)^2/4)*(2*9.81*(O204/100-cota_s-fi_s/2/1000))^0.5*1000)))</f>
        <v>0</v>
      </c>
      <c r="R204" s="38">
        <f t="shared" ca="1" si="47"/>
        <v>1.8856385438865153</v>
      </c>
      <c r="S204" s="38">
        <f t="shared" ca="1" si="48"/>
        <v>63.437499999999993</v>
      </c>
      <c r="AD204" s="38" t="str">
        <f t="shared" si="58"/>
        <v/>
      </c>
      <c r="AE204" s="38" t="str">
        <f t="shared" si="59"/>
        <v/>
      </c>
      <c r="AF204" s="38" t="str">
        <f>IF(ISERROR(IF('Hidrograma afluente'!I211="",0,'Hidrograma afluente'!I211)+Simulação!G204),"",IF('Hidrograma afluente'!I211="",0,'Hidrograma afluente'!I211)+Simulação!G204)</f>
        <v/>
      </c>
      <c r="AG204" s="36" t="s">
        <v>182</v>
      </c>
      <c r="AH204" s="36" t="s">
        <v>182</v>
      </c>
      <c r="AI204" s="48" t="s">
        <v>182</v>
      </c>
      <c r="AJ204" s="36" t="s">
        <v>182</v>
      </c>
      <c r="AK204" s="38" t="str">
        <f>IF(A204="","",IF('Hidrograma afluente'!I211="",0,'Hidrograma afluente'!I211)+Simulação!B204)</f>
        <v/>
      </c>
    </row>
    <row r="205" spans="1:37" s="36" customFormat="1">
      <c r="A205" s="23" t="str">
        <f t="shared" si="49"/>
        <v/>
      </c>
      <c r="B205" s="24" t="str">
        <f>IF(A205="","",IF(A205&gt;tc_lot_i+tc,0,IF('Hidrograma afluente'!B212="","",'Hidrograma afluente'!B212)))</f>
        <v/>
      </c>
      <c r="C205" s="41" t="str">
        <f t="shared" si="50"/>
        <v/>
      </c>
      <c r="D205" s="41" t="str">
        <f t="shared" si="51"/>
        <v/>
      </c>
      <c r="E205" s="41" t="str">
        <f t="shared" si="52"/>
        <v/>
      </c>
      <c r="F205" s="41" t="str">
        <f t="shared" si="53"/>
        <v/>
      </c>
      <c r="G205" s="41" t="str">
        <f t="shared" si="54"/>
        <v/>
      </c>
      <c r="H205" s="43" t="str">
        <f t="shared" si="45"/>
        <v/>
      </c>
      <c r="I205" s="42" t="str">
        <f t="shared" si="55"/>
        <v/>
      </c>
      <c r="J205" s="18"/>
      <c r="K205" s="76"/>
      <c r="M205" s="132">
        <f t="shared" ca="1" si="46"/>
        <v>65.640443705706076</v>
      </c>
      <c r="N205" s="38">
        <f t="shared" si="56"/>
        <v>1.9125000000000001</v>
      </c>
      <c r="O205" s="36">
        <f t="shared" si="57"/>
        <v>51</v>
      </c>
      <c r="P205" s="38">
        <f ca="1">IF(ISERROR(IF(O205&lt;fi_h/20,0,(OFFSET('Base de dados'!$A$5,IF(O205&lt;20,1,IF(O205&gt;1000,10,MATCH(O205,Cargas,1))),Coluna_fih,1,1))*(1+0.13*0.25)*(PI()*(fi_h/1000)^2/4)*SQRT(2*9.81*(O205/100-fi_h/2/1000))*1000)),"",IF(O205&lt;fi_h/20,0,(OFFSET('Base de dados'!$A$5,IF(O205&lt;20,1,IF(O205&gt;1000,10,MATCH(O205,Cargas,1))),Coluna_fih,1,1))*(PI()*(fi_h/1000)^2/4)*SQRT(2*9.81*(O205/100-fi_h/2/1000))*1000))</f>
        <v>1.8904437057060774</v>
      </c>
      <c r="Q205" s="38">
        <f ca="1">IF(O205="","",IF(Tipo_Vertedor="Retangular",IF(O205&lt;=cota_s*100,0,IF(Tipo_Vertedor="Retangular",Cd_sr*Lef_sr*((O205/100-cota_s)^(3/2))*1000)),IF(O205&lt;=cota_s*100+fi_s/20,0,(OFFSET('Base de dados'!$A$4,IF(O205&lt;20,1,IF(O205&gt;1000,10,MATCH(O205,Cargas,1))),Coluna_fis,1,1))*(PI()*(fi_s/1000)^2/4)*(2*9.81*(O205/100-cota_s-fi_s/2/1000))^0.5*1000)))</f>
        <v>0</v>
      </c>
      <c r="R205" s="38">
        <f t="shared" ca="1" si="47"/>
        <v>1.8904437057060774</v>
      </c>
      <c r="S205" s="38">
        <f t="shared" ca="1" si="48"/>
        <v>63.75</v>
      </c>
      <c r="AD205" s="38" t="str">
        <f t="shared" si="58"/>
        <v/>
      </c>
      <c r="AE205" s="38" t="str">
        <f t="shared" si="59"/>
        <v/>
      </c>
      <c r="AF205" s="38" t="str">
        <f>IF(ISERROR(IF('Hidrograma afluente'!I212="",0,'Hidrograma afluente'!I212)+Simulação!G205),"",IF('Hidrograma afluente'!I212="",0,'Hidrograma afluente'!I212)+Simulação!G205)</f>
        <v/>
      </c>
      <c r="AG205" s="36" t="s">
        <v>182</v>
      </c>
      <c r="AH205" s="36" t="s">
        <v>182</v>
      </c>
      <c r="AI205" s="48" t="s">
        <v>182</v>
      </c>
      <c r="AJ205" s="36" t="s">
        <v>182</v>
      </c>
      <c r="AK205" s="38" t="str">
        <f>IF(A205="","",IF('Hidrograma afluente'!I212="",0,'Hidrograma afluente'!I212)+Simulação!B205)</f>
        <v/>
      </c>
    </row>
    <row r="206" spans="1:37" s="36" customFormat="1">
      <c r="A206" s="23" t="str">
        <f t="shared" si="49"/>
        <v/>
      </c>
      <c r="B206" s="24" t="str">
        <f>IF(A206="","",IF(A206&gt;tc_lot_i+tc,0,IF('Hidrograma afluente'!B213="","",'Hidrograma afluente'!B213)))</f>
        <v/>
      </c>
      <c r="C206" s="41" t="str">
        <f t="shared" si="50"/>
        <v/>
      </c>
      <c r="D206" s="41" t="str">
        <f t="shared" si="51"/>
        <v/>
      </c>
      <c r="E206" s="41" t="str">
        <f t="shared" si="52"/>
        <v/>
      </c>
      <c r="F206" s="41" t="str">
        <f t="shared" si="53"/>
        <v/>
      </c>
      <c r="G206" s="41" t="str">
        <f t="shared" si="54"/>
        <v/>
      </c>
      <c r="H206" s="43" t="str">
        <f t="shared" si="45"/>
        <v/>
      </c>
      <c r="I206" s="42" t="str">
        <f t="shared" si="55"/>
        <v/>
      </c>
      <c r="J206" s="18"/>
      <c r="K206" s="76"/>
      <c r="M206" s="132">
        <f t="shared" ca="1" si="46"/>
        <v>65.957736684611433</v>
      </c>
      <c r="N206" s="38">
        <f t="shared" si="56"/>
        <v>1.9218749999999998</v>
      </c>
      <c r="O206" s="36">
        <f t="shared" si="57"/>
        <v>51.25</v>
      </c>
      <c r="P206" s="38">
        <f ca="1">IF(ISERROR(IF(O206&lt;fi_h/20,0,(OFFSET('Base de dados'!$A$5,IF(O206&lt;20,1,IF(O206&gt;1000,10,MATCH(O206,Cargas,1))),Coluna_fih,1,1))*(1+0.13*0.25)*(PI()*(fi_h/1000)^2/4)*SQRT(2*9.81*(O206/100-fi_h/2/1000))*1000)),"",IF(O206&lt;fi_h/20,0,(OFFSET('Base de dados'!$A$5,IF(O206&lt;20,1,IF(O206&gt;1000,10,MATCH(O206,Cargas,1))),Coluna_fih,1,1))*(PI()*(fi_h/1000)^2/4)*SQRT(2*9.81*(O206/100-fi_h/2/1000))*1000))</f>
        <v>1.8952366846114481</v>
      </c>
      <c r="Q206" s="38">
        <f ca="1">IF(O206="","",IF(Tipo_Vertedor="Retangular",IF(O206&lt;=cota_s*100,0,IF(Tipo_Vertedor="Retangular",Cd_sr*Lef_sr*((O206/100-cota_s)^(3/2))*1000)),IF(O206&lt;=cota_s*100+fi_s/20,0,(OFFSET('Base de dados'!$A$4,IF(O206&lt;20,1,IF(O206&gt;1000,10,MATCH(O206,Cargas,1))),Coluna_fis,1,1))*(PI()*(fi_s/1000)^2/4)*(2*9.81*(O206/100-cota_s-fi_s/2/1000))^0.5*1000)))</f>
        <v>0</v>
      </c>
      <c r="R206" s="38">
        <f t="shared" ca="1" si="47"/>
        <v>1.8952366846114481</v>
      </c>
      <c r="S206" s="38">
        <f t="shared" ca="1" si="48"/>
        <v>64.062499999999986</v>
      </c>
      <c r="AD206" s="38" t="str">
        <f t="shared" si="58"/>
        <v/>
      </c>
      <c r="AE206" s="38" t="str">
        <f t="shared" si="59"/>
        <v/>
      </c>
      <c r="AF206" s="38" t="str">
        <f>IF(ISERROR(IF('Hidrograma afluente'!I213="",0,'Hidrograma afluente'!I213)+Simulação!G206),"",IF('Hidrograma afluente'!I213="",0,'Hidrograma afluente'!I213)+Simulação!G206)</f>
        <v/>
      </c>
      <c r="AG206" s="36" t="s">
        <v>182</v>
      </c>
      <c r="AH206" s="36" t="s">
        <v>182</v>
      </c>
      <c r="AI206" s="48" t="s">
        <v>182</v>
      </c>
      <c r="AJ206" s="36" t="s">
        <v>182</v>
      </c>
      <c r="AK206" s="38" t="str">
        <f>IF(A206="","",IF('Hidrograma afluente'!I213="",0,'Hidrograma afluente'!I213)+Simulação!B206)</f>
        <v/>
      </c>
    </row>
    <row r="207" spans="1:37" s="36" customFormat="1">
      <c r="A207" s="23" t="str">
        <f t="shared" si="49"/>
        <v/>
      </c>
      <c r="B207" s="24" t="str">
        <f>IF(A207="","",IF(A207&gt;tc_lot_i+tc,0,IF('Hidrograma afluente'!B214="","",'Hidrograma afluente'!B214)))</f>
        <v/>
      </c>
      <c r="C207" s="41" t="str">
        <f t="shared" si="50"/>
        <v/>
      </c>
      <c r="D207" s="41" t="str">
        <f t="shared" si="51"/>
        <v/>
      </c>
      <c r="E207" s="41" t="str">
        <f t="shared" si="52"/>
        <v/>
      </c>
      <c r="F207" s="41" t="str">
        <f t="shared" si="53"/>
        <v/>
      </c>
      <c r="G207" s="41" t="str">
        <f t="shared" si="54"/>
        <v/>
      </c>
      <c r="H207" s="43" t="str">
        <f t="shared" si="45"/>
        <v/>
      </c>
      <c r="I207" s="42" t="str">
        <f t="shared" si="55"/>
        <v/>
      </c>
      <c r="J207" s="18"/>
      <c r="K207" s="76"/>
      <c r="M207" s="132">
        <f t="shared" ca="1" si="46"/>
        <v>66.275017572800394</v>
      </c>
      <c r="N207" s="38">
        <f t="shared" si="56"/>
        <v>1.9312500000000001</v>
      </c>
      <c r="O207" s="36">
        <f t="shared" si="57"/>
        <v>51.5</v>
      </c>
      <c r="P207" s="38">
        <f ca="1">IF(ISERROR(IF(O207&lt;fi_h/20,0,(OFFSET('Base de dados'!$A$5,IF(O207&lt;20,1,IF(O207&gt;1000,10,MATCH(O207,Cargas,1))),Coluna_fih,1,1))*(1+0.13*0.25)*(PI()*(fi_h/1000)^2/4)*SQRT(2*9.81*(O207/100-fi_h/2/1000))*1000)),"",IF(O207&lt;fi_h/20,0,(OFFSET('Base de dados'!$A$5,IF(O207&lt;20,1,IF(O207&gt;1000,10,MATCH(O207,Cargas,1))),Coluna_fih,1,1))*(PI()*(fi_h/1000)^2/4)*SQRT(2*9.81*(O207/100-fi_h/2/1000))*1000))</f>
        <v>1.9000175728003841</v>
      </c>
      <c r="Q207" s="38">
        <f ca="1">IF(O207="","",IF(Tipo_Vertedor="Retangular",IF(O207&lt;=cota_s*100,0,IF(Tipo_Vertedor="Retangular",Cd_sr*Lef_sr*((O207/100-cota_s)^(3/2))*1000)),IF(O207&lt;=cota_s*100+fi_s/20,0,(OFFSET('Base de dados'!$A$4,IF(O207&lt;20,1,IF(O207&gt;1000,10,MATCH(O207,Cargas,1))),Coluna_fis,1,1))*(PI()*(fi_s/1000)^2/4)*(2*9.81*(O207/100-cota_s-fi_s/2/1000))^0.5*1000)))</f>
        <v>0</v>
      </c>
      <c r="R207" s="38">
        <f t="shared" ca="1" si="47"/>
        <v>1.9000175728003841</v>
      </c>
      <c r="S207" s="38">
        <f t="shared" ca="1" si="48"/>
        <v>64.375000000000014</v>
      </c>
      <c r="AD207" s="38" t="str">
        <f t="shared" si="58"/>
        <v/>
      </c>
      <c r="AE207" s="38" t="str">
        <f t="shared" si="59"/>
        <v/>
      </c>
      <c r="AF207" s="38" t="str">
        <f>IF(ISERROR(IF('Hidrograma afluente'!I214="",0,'Hidrograma afluente'!I214)+Simulação!G207),"",IF('Hidrograma afluente'!I214="",0,'Hidrograma afluente'!I214)+Simulação!G207)</f>
        <v/>
      </c>
      <c r="AG207" s="36" t="s">
        <v>182</v>
      </c>
      <c r="AH207" s="36" t="s">
        <v>182</v>
      </c>
      <c r="AI207" s="48" t="s">
        <v>182</v>
      </c>
      <c r="AJ207" s="36" t="s">
        <v>182</v>
      </c>
      <c r="AK207" s="38" t="str">
        <f>IF(A207="","",IF('Hidrograma afluente'!I214="",0,'Hidrograma afluente'!I214)+Simulação!B207)</f>
        <v/>
      </c>
    </row>
    <row r="208" spans="1:37" s="36" customFormat="1">
      <c r="A208" s="23" t="str">
        <f t="shared" si="49"/>
        <v/>
      </c>
      <c r="B208" s="24" t="str">
        <f>IF(A208="","",IF(A208&gt;tc_lot_i+tc,0,IF('Hidrograma afluente'!B215="","",'Hidrograma afluente'!B215)))</f>
        <v/>
      </c>
      <c r="C208" s="41" t="str">
        <f t="shared" si="50"/>
        <v/>
      </c>
      <c r="D208" s="41" t="str">
        <f t="shared" si="51"/>
        <v/>
      </c>
      <c r="E208" s="41" t="str">
        <f t="shared" si="52"/>
        <v/>
      </c>
      <c r="F208" s="41" t="str">
        <f t="shared" si="53"/>
        <v/>
      </c>
      <c r="G208" s="41" t="str">
        <f t="shared" si="54"/>
        <v/>
      </c>
      <c r="H208" s="43" t="str">
        <f t="shared" si="45"/>
        <v/>
      </c>
      <c r="I208" s="42" t="str">
        <f t="shared" si="55"/>
        <v/>
      </c>
      <c r="J208" s="18"/>
      <c r="K208" s="76"/>
      <c r="M208" s="132">
        <f t="shared" ca="1" si="46"/>
        <v>66.592286461313577</v>
      </c>
      <c r="N208" s="38">
        <f t="shared" si="56"/>
        <v>1.9406249999999998</v>
      </c>
      <c r="O208" s="36">
        <f t="shared" si="57"/>
        <v>51.75</v>
      </c>
      <c r="P208" s="38">
        <f ca="1">IF(ISERROR(IF(O208&lt;fi_h/20,0,(OFFSET('Base de dados'!$A$5,IF(O208&lt;20,1,IF(O208&gt;1000,10,MATCH(O208,Cargas,1))),Coluna_fih,1,1))*(1+0.13*0.25)*(PI()*(fi_h/1000)^2/4)*SQRT(2*9.81*(O208/100-fi_h/2/1000))*1000)),"",IF(O208&lt;fi_h/20,0,(OFFSET('Base de dados'!$A$5,IF(O208&lt;20,1,IF(O208&gt;1000,10,MATCH(O208,Cargas,1))),Coluna_fih,1,1))*(PI()*(fi_h/1000)^2/4)*SQRT(2*9.81*(O208/100-fi_h/2/1000))*1000))</f>
        <v>1.9047864613135854</v>
      </c>
      <c r="Q208" s="38">
        <f ca="1">IF(O208="","",IF(Tipo_Vertedor="Retangular",IF(O208&lt;=cota_s*100,0,IF(Tipo_Vertedor="Retangular",Cd_sr*Lef_sr*((O208/100-cota_s)^(3/2))*1000)),IF(O208&lt;=cota_s*100+fi_s/20,0,(OFFSET('Base de dados'!$A$4,IF(O208&lt;20,1,IF(O208&gt;1000,10,MATCH(O208,Cargas,1))),Coluna_fis,1,1))*(PI()*(fi_s/1000)^2/4)*(2*9.81*(O208/100-cota_s-fi_s/2/1000))^0.5*1000)))</f>
        <v>0</v>
      </c>
      <c r="R208" s="38">
        <f t="shared" ca="1" si="47"/>
        <v>1.9047864613135854</v>
      </c>
      <c r="S208" s="38">
        <f t="shared" ca="1" si="48"/>
        <v>64.687499999999986</v>
      </c>
      <c r="AD208" s="38" t="str">
        <f t="shared" si="58"/>
        <v/>
      </c>
      <c r="AE208" s="38" t="str">
        <f t="shared" si="59"/>
        <v/>
      </c>
      <c r="AF208" s="38" t="str">
        <f>IF(ISERROR(IF('Hidrograma afluente'!I215="",0,'Hidrograma afluente'!I215)+Simulação!G208),"",IF('Hidrograma afluente'!I215="",0,'Hidrograma afluente'!I215)+Simulação!G208)</f>
        <v/>
      </c>
      <c r="AG208" s="36" t="s">
        <v>182</v>
      </c>
      <c r="AH208" s="36" t="s">
        <v>182</v>
      </c>
      <c r="AI208" s="48" t="s">
        <v>182</v>
      </c>
      <c r="AJ208" s="36" t="s">
        <v>182</v>
      </c>
      <c r="AK208" s="38" t="str">
        <f>IF(A208="","",IF('Hidrograma afluente'!I215="",0,'Hidrograma afluente'!I215)+Simulação!B208)</f>
        <v/>
      </c>
    </row>
    <row r="209" spans="1:37" s="36" customFormat="1">
      <c r="A209" s="23" t="str">
        <f t="shared" si="49"/>
        <v/>
      </c>
      <c r="B209" s="24" t="str">
        <f>IF(A209="","",IF(A209&gt;tc_lot_i+tc,0,IF('Hidrograma afluente'!B216="","",'Hidrograma afluente'!B216)))</f>
        <v/>
      </c>
      <c r="C209" s="41" t="str">
        <f t="shared" si="50"/>
        <v/>
      </c>
      <c r="D209" s="41" t="str">
        <f t="shared" si="51"/>
        <v/>
      </c>
      <c r="E209" s="41" t="str">
        <f t="shared" si="52"/>
        <v/>
      </c>
      <c r="F209" s="41" t="str">
        <f t="shared" si="53"/>
        <v/>
      </c>
      <c r="G209" s="41" t="str">
        <f t="shared" si="54"/>
        <v/>
      </c>
      <c r="H209" s="43" t="str">
        <f t="shared" si="45"/>
        <v/>
      </c>
      <c r="I209" s="42" t="str">
        <f t="shared" si="55"/>
        <v/>
      </c>
      <c r="J209" s="18"/>
      <c r="K209" s="76"/>
      <c r="M209" s="132">
        <f t="shared" ca="1" si="46"/>
        <v>66.909543440054946</v>
      </c>
      <c r="N209" s="38">
        <f t="shared" si="56"/>
        <v>1.9500000000000002</v>
      </c>
      <c r="O209" s="36">
        <f t="shared" si="57"/>
        <v>52</v>
      </c>
      <c r="P209" s="38">
        <f ca="1">IF(ISERROR(IF(O209&lt;fi_h/20,0,(OFFSET('Base de dados'!$A$5,IF(O209&lt;20,1,IF(O209&gt;1000,10,MATCH(O209,Cargas,1))),Coluna_fih,1,1))*(1+0.13*0.25)*(PI()*(fi_h/1000)^2/4)*SQRT(2*9.81*(O209/100-fi_h/2/1000))*1000)),"",IF(O209&lt;fi_h/20,0,(OFFSET('Base de dados'!$A$5,IF(O209&lt;20,1,IF(O209&gt;1000,10,MATCH(O209,Cargas,1))),Coluna_fih,1,1))*(PI()*(fi_h/1000)^2/4)*SQRT(2*9.81*(O209/100-fi_h/2/1000))*1000))</f>
        <v>1.909543440054926</v>
      </c>
      <c r="Q209" s="38">
        <f ca="1">IF(O209="","",IF(Tipo_Vertedor="Retangular",IF(O209&lt;=cota_s*100,0,IF(Tipo_Vertedor="Retangular",Cd_sr*Lef_sr*((O209/100-cota_s)^(3/2))*1000)),IF(O209&lt;=cota_s*100+fi_s/20,0,(OFFSET('Base de dados'!$A$4,IF(O209&lt;20,1,IF(O209&gt;1000,10,MATCH(O209,Cargas,1))),Coluna_fis,1,1))*(PI()*(fi_s/1000)^2/4)*(2*9.81*(O209/100-cota_s-fi_s/2/1000))^0.5*1000)))</f>
        <v>0</v>
      </c>
      <c r="R209" s="38">
        <f t="shared" ca="1" si="47"/>
        <v>1.909543440054926</v>
      </c>
      <c r="S209" s="38">
        <f t="shared" ca="1" si="48"/>
        <v>65.000000000000014</v>
      </c>
      <c r="AD209" s="38" t="str">
        <f t="shared" si="58"/>
        <v/>
      </c>
      <c r="AE209" s="38" t="str">
        <f t="shared" si="59"/>
        <v/>
      </c>
      <c r="AF209" s="38" t="str">
        <f>IF(ISERROR(IF('Hidrograma afluente'!I216="",0,'Hidrograma afluente'!I216)+Simulação!G209),"",IF('Hidrograma afluente'!I216="",0,'Hidrograma afluente'!I216)+Simulação!G209)</f>
        <v/>
      </c>
      <c r="AG209" s="36" t="s">
        <v>182</v>
      </c>
      <c r="AH209" s="36" t="s">
        <v>182</v>
      </c>
      <c r="AI209" s="48" t="s">
        <v>182</v>
      </c>
      <c r="AJ209" s="36" t="s">
        <v>182</v>
      </c>
      <c r="AK209" s="38" t="str">
        <f>IF(A209="","",IF('Hidrograma afluente'!I216="",0,'Hidrograma afluente'!I216)+Simulação!B209)</f>
        <v/>
      </c>
    </row>
    <row r="210" spans="1:37" s="36" customFormat="1">
      <c r="A210" s="23" t="str">
        <f t="shared" si="49"/>
        <v/>
      </c>
      <c r="B210" s="24" t="str">
        <f>IF(A210="","",IF(A210&gt;tc_lot_i+tc,0,IF('Hidrograma afluente'!B217="","",'Hidrograma afluente'!B217)))</f>
        <v/>
      </c>
      <c r="C210" s="41" t="str">
        <f t="shared" si="50"/>
        <v/>
      </c>
      <c r="D210" s="41" t="str">
        <f t="shared" si="51"/>
        <v/>
      </c>
      <c r="E210" s="41" t="str">
        <f t="shared" si="52"/>
        <v/>
      </c>
      <c r="F210" s="41" t="str">
        <f t="shared" si="53"/>
        <v/>
      </c>
      <c r="G210" s="41" t="str">
        <f t="shared" si="54"/>
        <v/>
      </c>
      <c r="H210" s="43" t="str">
        <f t="shared" si="45"/>
        <v/>
      </c>
      <c r="I210" s="42" t="str">
        <f t="shared" si="55"/>
        <v/>
      </c>
      <c r="J210" s="18"/>
      <c r="K210" s="76"/>
      <c r="M210" s="132">
        <f t="shared" ca="1" si="46"/>
        <v>67.226788597811208</v>
      </c>
      <c r="N210" s="38">
        <f t="shared" si="56"/>
        <v>1.9593749999999999</v>
      </c>
      <c r="O210" s="36">
        <f t="shared" si="57"/>
        <v>52.25</v>
      </c>
      <c r="P210" s="38">
        <f ca="1">IF(ISERROR(IF(O210&lt;fi_h/20,0,(OFFSET('Base de dados'!$A$5,IF(O210&lt;20,1,IF(O210&gt;1000,10,MATCH(O210,Cargas,1))),Coluna_fih,1,1))*(1+0.13*0.25)*(PI()*(fi_h/1000)^2/4)*SQRT(2*9.81*(O210/100-fi_h/2/1000))*1000)),"",IF(O210&lt;fi_h/20,0,(OFFSET('Base de dados'!$A$5,IF(O210&lt;20,1,IF(O210&gt;1000,10,MATCH(O210,Cargas,1))),Coluna_fih,1,1))*(PI()*(fi_h/1000)^2/4)*SQRT(2*9.81*(O210/100-fi_h/2/1000))*1000))</f>
        <v>1.9142885978112256</v>
      </c>
      <c r="Q210" s="38">
        <f ca="1">IF(O210="","",IF(Tipo_Vertedor="Retangular",IF(O210&lt;=cota_s*100,0,IF(Tipo_Vertedor="Retangular",Cd_sr*Lef_sr*((O210/100-cota_s)^(3/2))*1000)),IF(O210&lt;=cota_s*100+fi_s/20,0,(OFFSET('Base de dados'!$A$4,IF(O210&lt;20,1,IF(O210&gt;1000,10,MATCH(O210,Cargas,1))),Coluna_fis,1,1))*(PI()*(fi_s/1000)^2/4)*(2*9.81*(O210/100-cota_s-fi_s/2/1000))^0.5*1000)))</f>
        <v>0</v>
      </c>
      <c r="R210" s="38">
        <f t="shared" ca="1" si="47"/>
        <v>1.9142885978112256</v>
      </c>
      <c r="S210" s="38">
        <f t="shared" ca="1" si="48"/>
        <v>65.312499999999986</v>
      </c>
      <c r="AD210" s="38" t="str">
        <f t="shared" si="58"/>
        <v/>
      </c>
      <c r="AE210" s="38" t="str">
        <f t="shared" si="59"/>
        <v/>
      </c>
      <c r="AF210" s="38" t="str">
        <f>IF(ISERROR(IF('Hidrograma afluente'!I217="",0,'Hidrograma afluente'!I217)+Simulação!G210),"",IF('Hidrograma afluente'!I217="",0,'Hidrograma afluente'!I217)+Simulação!G210)</f>
        <v/>
      </c>
      <c r="AG210" s="36" t="s">
        <v>182</v>
      </c>
      <c r="AH210" s="36" t="s">
        <v>182</v>
      </c>
      <c r="AI210" s="48" t="s">
        <v>182</v>
      </c>
      <c r="AJ210" s="36" t="s">
        <v>182</v>
      </c>
      <c r="AK210" s="38" t="str">
        <f>IF(A210="","",IF('Hidrograma afluente'!I217="",0,'Hidrograma afluente'!I217)+Simulação!B210)</f>
        <v/>
      </c>
    </row>
    <row r="211" spans="1:37" s="36" customFormat="1">
      <c r="A211" s="23" t="str">
        <f t="shared" si="49"/>
        <v/>
      </c>
      <c r="B211" s="24" t="str">
        <f>IF(A211="","",IF(A211&gt;tc_lot_i+tc,0,IF('Hidrograma afluente'!B218="","",'Hidrograma afluente'!B218)))</f>
        <v/>
      </c>
      <c r="C211" s="41" t="str">
        <f t="shared" si="50"/>
        <v/>
      </c>
      <c r="D211" s="41" t="str">
        <f t="shared" si="51"/>
        <v/>
      </c>
      <c r="E211" s="41" t="str">
        <f t="shared" si="52"/>
        <v/>
      </c>
      <c r="F211" s="41" t="str">
        <f t="shared" si="53"/>
        <v/>
      </c>
      <c r="G211" s="41" t="str">
        <f t="shared" si="54"/>
        <v/>
      </c>
      <c r="H211" s="43" t="str">
        <f t="shared" si="45"/>
        <v/>
      </c>
      <c r="I211" s="42" t="str">
        <f t="shared" si="55"/>
        <v/>
      </c>
      <c r="J211" s="18"/>
      <c r="K211" s="76"/>
      <c r="M211" s="132">
        <f t="shared" ca="1" si="46"/>
        <v>67.544022022271591</v>
      </c>
      <c r="N211" s="38">
        <f t="shared" si="56"/>
        <v>1.96875</v>
      </c>
      <c r="O211" s="36">
        <f t="shared" si="57"/>
        <v>52.5</v>
      </c>
      <c r="P211" s="38">
        <f ca="1">IF(ISERROR(IF(O211&lt;fi_h/20,0,(OFFSET('Base de dados'!$A$5,IF(O211&lt;20,1,IF(O211&gt;1000,10,MATCH(O211,Cargas,1))),Coluna_fih,1,1))*(1+0.13*0.25)*(PI()*(fi_h/1000)^2/4)*SQRT(2*9.81*(O211/100-fi_h/2/1000))*1000)),"",IF(O211&lt;fi_h/20,0,(OFFSET('Base de dados'!$A$5,IF(O211&lt;20,1,IF(O211&gt;1000,10,MATCH(O211,Cargas,1))),Coluna_fih,1,1))*(PI()*(fi_h/1000)^2/4)*SQRT(2*9.81*(O211/100-fi_h/2/1000))*1000))</f>
        <v>1.9190220222715884</v>
      </c>
      <c r="Q211" s="38">
        <f ca="1">IF(O211="","",IF(Tipo_Vertedor="Retangular",IF(O211&lt;=cota_s*100,0,IF(Tipo_Vertedor="Retangular",Cd_sr*Lef_sr*((O211/100-cota_s)^(3/2))*1000)),IF(O211&lt;=cota_s*100+fi_s/20,0,(OFFSET('Base de dados'!$A$4,IF(O211&lt;20,1,IF(O211&gt;1000,10,MATCH(O211,Cargas,1))),Coluna_fis,1,1))*(PI()*(fi_s/1000)^2/4)*(2*9.81*(O211/100-cota_s-fi_s/2/1000))^0.5*1000)))</f>
        <v>0</v>
      </c>
      <c r="R211" s="38">
        <f t="shared" ca="1" si="47"/>
        <v>1.9190220222715884</v>
      </c>
      <c r="S211" s="38">
        <f t="shared" ca="1" si="48"/>
        <v>65.625</v>
      </c>
      <c r="AD211" s="38" t="str">
        <f t="shared" si="58"/>
        <v/>
      </c>
      <c r="AE211" s="38" t="str">
        <f t="shared" si="59"/>
        <v/>
      </c>
      <c r="AF211" s="38" t="str">
        <f>IF(ISERROR(IF('Hidrograma afluente'!I218="",0,'Hidrograma afluente'!I218)+Simulação!G211),"",IF('Hidrograma afluente'!I218="",0,'Hidrograma afluente'!I218)+Simulação!G211)</f>
        <v/>
      </c>
      <c r="AG211" s="36" t="s">
        <v>182</v>
      </c>
      <c r="AH211" s="36" t="s">
        <v>182</v>
      </c>
      <c r="AI211" s="48" t="s">
        <v>182</v>
      </c>
      <c r="AJ211" s="36" t="s">
        <v>182</v>
      </c>
      <c r="AK211" s="38" t="str">
        <f>IF(A211="","",IF('Hidrograma afluente'!I218="",0,'Hidrograma afluente'!I218)+Simulação!B211)</f>
        <v/>
      </c>
    </row>
    <row r="212" spans="1:37" s="36" customFormat="1">
      <c r="A212" s="23" t="str">
        <f t="shared" si="49"/>
        <v/>
      </c>
      <c r="B212" s="24" t="str">
        <f>IF(A212="","",IF(A212&gt;tc_lot_i+tc,0,IF('Hidrograma afluente'!B219="","",'Hidrograma afluente'!B219)))</f>
        <v/>
      </c>
      <c r="C212" s="41" t="str">
        <f t="shared" si="50"/>
        <v/>
      </c>
      <c r="D212" s="41" t="str">
        <f t="shared" si="51"/>
        <v/>
      </c>
      <c r="E212" s="41" t="str">
        <f t="shared" si="52"/>
        <v/>
      </c>
      <c r="F212" s="41" t="str">
        <f t="shared" si="53"/>
        <v/>
      </c>
      <c r="G212" s="41" t="str">
        <f t="shared" si="54"/>
        <v/>
      </c>
      <c r="H212" s="43" t="str">
        <f t="shared" si="45"/>
        <v/>
      </c>
      <c r="I212" s="42" t="str">
        <f t="shared" si="55"/>
        <v/>
      </c>
      <c r="J212" s="18"/>
      <c r="K212" s="76"/>
      <c r="M212" s="132">
        <f t="shared" ca="1" si="46"/>
        <v>67.86124380004631</v>
      </c>
      <c r="N212" s="38">
        <f t="shared" si="56"/>
        <v>1.9781249999999999</v>
      </c>
      <c r="O212" s="36">
        <f t="shared" si="57"/>
        <v>52.75</v>
      </c>
      <c r="P212" s="38">
        <f ca="1">IF(ISERROR(IF(O212&lt;fi_h/20,0,(OFFSET('Base de dados'!$A$5,IF(O212&lt;20,1,IF(O212&gt;1000,10,MATCH(O212,Cargas,1))),Coluna_fih,1,1))*(1+0.13*0.25)*(PI()*(fi_h/1000)^2/4)*SQRT(2*9.81*(O212/100-fi_h/2/1000))*1000)),"",IF(O212&lt;fi_h/20,0,(OFFSET('Base de dados'!$A$5,IF(O212&lt;20,1,IF(O212&gt;1000,10,MATCH(O212,Cargas,1))),Coluna_fih,1,1))*(PI()*(fi_h/1000)^2/4)*SQRT(2*9.81*(O212/100-fi_h/2/1000))*1000))</f>
        <v>1.923743800046307</v>
      </c>
      <c r="Q212" s="38">
        <f ca="1">IF(O212="","",IF(Tipo_Vertedor="Retangular",IF(O212&lt;=cota_s*100,0,IF(Tipo_Vertedor="Retangular",Cd_sr*Lef_sr*((O212/100-cota_s)^(3/2))*1000)),IF(O212&lt;=cota_s*100+fi_s/20,0,(OFFSET('Base de dados'!$A$4,IF(O212&lt;20,1,IF(O212&gt;1000,10,MATCH(O212,Cargas,1))),Coluna_fis,1,1))*(PI()*(fi_s/1000)^2/4)*(2*9.81*(O212/100-cota_s-fi_s/2/1000))^0.5*1000)))</f>
        <v>0</v>
      </c>
      <c r="R212" s="38">
        <f t="shared" ca="1" si="47"/>
        <v>1.923743800046307</v>
      </c>
      <c r="S212" s="38">
        <f t="shared" ca="1" si="48"/>
        <v>65.9375</v>
      </c>
      <c r="AD212" s="38" t="str">
        <f t="shared" si="58"/>
        <v/>
      </c>
      <c r="AE212" s="38" t="str">
        <f t="shared" si="59"/>
        <v/>
      </c>
      <c r="AF212" s="38" t="str">
        <f>IF(ISERROR(IF('Hidrograma afluente'!I219="",0,'Hidrograma afluente'!I219)+Simulação!G212),"",IF('Hidrograma afluente'!I219="",0,'Hidrograma afluente'!I219)+Simulação!G212)</f>
        <v/>
      </c>
      <c r="AG212" s="36" t="s">
        <v>182</v>
      </c>
      <c r="AH212" s="36" t="s">
        <v>182</v>
      </c>
      <c r="AI212" s="48" t="s">
        <v>182</v>
      </c>
      <c r="AJ212" s="36" t="s">
        <v>182</v>
      </c>
      <c r="AK212" s="38" t="str">
        <f>IF(A212="","",IF('Hidrograma afluente'!I219="",0,'Hidrograma afluente'!I219)+Simulação!B212)</f>
        <v/>
      </c>
    </row>
    <row r="213" spans="1:37" s="36" customFormat="1">
      <c r="A213" s="23" t="str">
        <f t="shared" si="49"/>
        <v/>
      </c>
      <c r="B213" s="24" t="str">
        <f>IF(A213="","",IF(A213&gt;tc_lot_i+tc,0,IF('Hidrograma afluente'!B220="","",'Hidrograma afluente'!B220)))</f>
        <v/>
      </c>
      <c r="C213" s="41" t="str">
        <f t="shared" si="50"/>
        <v/>
      </c>
      <c r="D213" s="41" t="str">
        <f t="shared" si="51"/>
        <v/>
      </c>
      <c r="E213" s="41" t="str">
        <f t="shared" si="52"/>
        <v/>
      </c>
      <c r="F213" s="41" t="str">
        <f t="shared" si="53"/>
        <v/>
      </c>
      <c r="G213" s="41" t="str">
        <f t="shared" si="54"/>
        <v/>
      </c>
      <c r="H213" s="43" t="str">
        <f t="shared" si="45"/>
        <v/>
      </c>
      <c r="I213" s="42" t="str">
        <f t="shared" si="55"/>
        <v/>
      </c>
      <c r="J213" s="18"/>
      <c r="K213" s="76"/>
      <c r="M213" s="132">
        <f t="shared" ca="1" si="46"/>
        <v>68.17845401668535</v>
      </c>
      <c r="N213" s="38">
        <f t="shared" si="56"/>
        <v>1.9875</v>
      </c>
      <c r="O213" s="36">
        <f t="shared" si="57"/>
        <v>53</v>
      </c>
      <c r="P213" s="38">
        <f ca="1">IF(ISERROR(IF(O213&lt;fi_h/20,0,(OFFSET('Base de dados'!$A$5,IF(O213&lt;20,1,IF(O213&gt;1000,10,MATCH(O213,Cargas,1))),Coluna_fih,1,1))*(1+0.13*0.25)*(PI()*(fi_h/1000)^2/4)*SQRT(2*9.81*(O213/100-fi_h/2/1000))*1000)),"",IF(O213&lt;fi_h/20,0,(OFFSET('Base de dados'!$A$5,IF(O213&lt;20,1,IF(O213&gt;1000,10,MATCH(O213,Cargas,1))),Coluna_fih,1,1))*(PI()*(fi_h/1000)^2/4)*SQRT(2*9.81*(O213/100-fi_h/2/1000))*1000))</f>
        <v>1.9284540166853534</v>
      </c>
      <c r="Q213" s="38">
        <f ca="1">IF(O213="","",IF(Tipo_Vertedor="Retangular",IF(O213&lt;=cota_s*100,0,IF(Tipo_Vertedor="Retangular",Cd_sr*Lef_sr*((O213/100-cota_s)^(3/2))*1000)),IF(O213&lt;=cota_s*100+fi_s/20,0,(OFFSET('Base de dados'!$A$4,IF(O213&lt;20,1,IF(O213&gt;1000,10,MATCH(O213,Cargas,1))),Coluna_fis,1,1))*(PI()*(fi_s/1000)^2/4)*(2*9.81*(O213/100-cota_s-fi_s/2/1000))^0.5*1000)))</f>
        <v>0</v>
      </c>
      <c r="R213" s="38">
        <f t="shared" ca="1" si="47"/>
        <v>1.9284540166853534</v>
      </c>
      <c r="S213" s="38">
        <f t="shared" ca="1" si="48"/>
        <v>66.25</v>
      </c>
      <c r="AD213" s="38" t="str">
        <f t="shared" si="58"/>
        <v/>
      </c>
      <c r="AE213" s="38" t="str">
        <f t="shared" si="59"/>
        <v/>
      </c>
      <c r="AF213" s="38" t="str">
        <f>IF(ISERROR(IF('Hidrograma afluente'!I220="",0,'Hidrograma afluente'!I220)+Simulação!G213),"",IF('Hidrograma afluente'!I220="",0,'Hidrograma afluente'!I220)+Simulação!G213)</f>
        <v/>
      </c>
      <c r="AG213" s="36" t="s">
        <v>182</v>
      </c>
      <c r="AH213" s="36" t="s">
        <v>182</v>
      </c>
      <c r="AI213" s="48" t="s">
        <v>182</v>
      </c>
      <c r="AJ213" s="36" t="s">
        <v>182</v>
      </c>
      <c r="AK213" s="38" t="str">
        <f>IF(A213="","",IF('Hidrograma afluente'!I220="",0,'Hidrograma afluente'!I220)+Simulação!B213)</f>
        <v/>
      </c>
    </row>
    <row r="214" spans="1:37" s="36" customFormat="1">
      <c r="A214" s="23" t="str">
        <f t="shared" si="49"/>
        <v/>
      </c>
      <c r="B214" s="24" t="str">
        <f>IF(A214="","",IF(A214&gt;tc_lot_i+tc,0,IF('Hidrograma afluente'!B221="","",'Hidrograma afluente'!B221)))</f>
        <v/>
      </c>
      <c r="C214" s="41" t="str">
        <f t="shared" si="50"/>
        <v/>
      </c>
      <c r="D214" s="41" t="str">
        <f t="shared" si="51"/>
        <v/>
      </c>
      <c r="E214" s="41" t="str">
        <f t="shared" si="52"/>
        <v/>
      </c>
      <c r="F214" s="41" t="str">
        <f t="shared" si="53"/>
        <v/>
      </c>
      <c r="G214" s="41" t="str">
        <f t="shared" si="54"/>
        <v/>
      </c>
      <c r="H214" s="43" t="str">
        <f t="shared" si="45"/>
        <v/>
      </c>
      <c r="I214" s="42" t="str">
        <f t="shared" si="55"/>
        <v/>
      </c>
      <c r="J214" s="18"/>
      <c r="K214" s="76"/>
      <c r="M214" s="132">
        <f t="shared" ca="1" si="46"/>
        <v>68.495652756696458</v>
      </c>
      <c r="N214" s="38">
        <f t="shared" si="56"/>
        <v>1.996875</v>
      </c>
      <c r="O214" s="36">
        <f t="shared" si="57"/>
        <v>53.25</v>
      </c>
      <c r="P214" s="38">
        <f ca="1">IF(ISERROR(IF(O214&lt;fi_h/20,0,(OFFSET('Base de dados'!$A$5,IF(O214&lt;20,1,IF(O214&gt;1000,10,MATCH(O214,Cargas,1))),Coluna_fih,1,1))*(1+0.13*0.25)*(PI()*(fi_h/1000)^2/4)*SQRT(2*9.81*(O214/100-fi_h/2/1000))*1000)),"",IF(O214&lt;fi_h/20,0,(OFFSET('Base de dados'!$A$5,IF(O214&lt;20,1,IF(O214&gt;1000,10,MATCH(O214,Cargas,1))),Coluna_fih,1,1))*(PI()*(fi_h/1000)^2/4)*SQRT(2*9.81*(O214/100-fi_h/2/1000))*1000))</f>
        <v>1.9331527566964648</v>
      </c>
      <c r="Q214" s="38">
        <f ca="1">IF(O214="","",IF(Tipo_Vertedor="Retangular",IF(O214&lt;=cota_s*100,0,IF(Tipo_Vertedor="Retangular",Cd_sr*Lef_sr*((O214/100-cota_s)^(3/2))*1000)),IF(O214&lt;=cota_s*100+fi_s/20,0,(OFFSET('Base de dados'!$A$4,IF(O214&lt;20,1,IF(O214&gt;1000,10,MATCH(O214,Cargas,1))),Coluna_fis,1,1))*(PI()*(fi_s/1000)^2/4)*(2*9.81*(O214/100-cota_s-fi_s/2/1000))^0.5*1000)))</f>
        <v>0</v>
      </c>
      <c r="R214" s="38">
        <f t="shared" ca="1" si="47"/>
        <v>1.9331527566964648</v>
      </c>
      <c r="S214" s="38">
        <f t="shared" ca="1" si="48"/>
        <v>66.5625</v>
      </c>
      <c r="AD214" s="38" t="str">
        <f t="shared" si="58"/>
        <v/>
      </c>
      <c r="AE214" s="38" t="str">
        <f t="shared" si="59"/>
        <v/>
      </c>
      <c r="AF214" s="38" t="str">
        <f>IF(ISERROR(IF('Hidrograma afluente'!I221="",0,'Hidrograma afluente'!I221)+Simulação!G214),"",IF('Hidrograma afluente'!I221="",0,'Hidrograma afluente'!I221)+Simulação!G214)</f>
        <v/>
      </c>
      <c r="AG214" s="36" t="s">
        <v>182</v>
      </c>
      <c r="AH214" s="36" t="s">
        <v>182</v>
      </c>
      <c r="AI214" s="48" t="s">
        <v>182</v>
      </c>
      <c r="AJ214" s="36" t="s">
        <v>182</v>
      </c>
      <c r="AK214" s="38" t="str">
        <f>IF(A214="","",IF('Hidrograma afluente'!I221="",0,'Hidrograma afluente'!I221)+Simulação!B214)</f>
        <v/>
      </c>
    </row>
    <row r="215" spans="1:37" s="36" customFormat="1">
      <c r="A215" s="23" t="str">
        <f t="shared" si="49"/>
        <v/>
      </c>
      <c r="B215" s="24" t="str">
        <f>IF(A215="","",IF(A215&gt;tc_lot_i+tc,0,IF('Hidrograma afluente'!B222="","",'Hidrograma afluente'!B222)))</f>
        <v/>
      </c>
      <c r="C215" s="41" t="str">
        <f t="shared" si="50"/>
        <v/>
      </c>
      <c r="D215" s="41" t="str">
        <f t="shared" si="51"/>
        <v/>
      </c>
      <c r="E215" s="41" t="str">
        <f t="shared" si="52"/>
        <v/>
      </c>
      <c r="F215" s="41" t="str">
        <f t="shared" si="53"/>
        <v/>
      </c>
      <c r="G215" s="41" t="str">
        <f t="shared" si="54"/>
        <v/>
      </c>
      <c r="H215" s="43" t="str">
        <f t="shared" si="45"/>
        <v/>
      </c>
      <c r="I215" s="42" t="str">
        <f t="shared" si="55"/>
        <v/>
      </c>
      <c r="J215" s="18"/>
      <c r="K215" s="76"/>
      <c r="M215" s="132">
        <f t="shared" ca="1" si="46"/>
        <v>68.812840103562834</v>
      </c>
      <c r="N215" s="38">
        <f t="shared" si="56"/>
        <v>2.0062500000000001</v>
      </c>
      <c r="O215" s="36">
        <f t="shared" si="57"/>
        <v>53.5</v>
      </c>
      <c r="P215" s="38">
        <f ca="1">IF(ISERROR(IF(O215&lt;fi_h/20,0,(OFFSET('Base de dados'!$A$5,IF(O215&lt;20,1,IF(O215&gt;1000,10,MATCH(O215,Cargas,1))),Coluna_fih,1,1))*(1+0.13*0.25)*(PI()*(fi_h/1000)^2/4)*SQRT(2*9.81*(O215/100-fi_h/2/1000))*1000)),"",IF(O215&lt;fi_h/20,0,(OFFSET('Base de dados'!$A$5,IF(O215&lt;20,1,IF(O215&gt;1000,10,MATCH(O215,Cargas,1))),Coluna_fih,1,1))*(PI()*(fi_h/1000)^2/4)*SQRT(2*9.81*(O215/100-fi_h/2/1000))*1000))</f>
        <v>1.9378401035628328</v>
      </c>
      <c r="Q215" s="38">
        <f ca="1">IF(O215="","",IF(Tipo_Vertedor="Retangular",IF(O215&lt;=cota_s*100,0,IF(Tipo_Vertedor="Retangular",Cd_sr*Lef_sr*((O215/100-cota_s)^(3/2))*1000)),IF(O215&lt;=cota_s*100+fi_s/20,0,(OFFSET('Base de dados'!$A$4,IF(O215&lt;20,1,IF(O215&gt;1000,10,MATCH(O215,Cargas,1))),Coluna_fis,1,1))*(PI()*(fi_s/1000)^2/4)*(2*9.81*(O215/100-cota_s-fi_s/2/1000))^0.5*1000)))</f>
        <v>0</v>
      </c>
      <c r="R215" s="38">
        <f t="shared" ca="1" si="47"/>
        <v>1.9378401035628328</v>
      </c>
      <c r="S215" s="38">
        <f t="shared" ca="1" si="48"/>
        <v>66.875</v>
      </c>
      <c r="AD215" s="38" t="str">
        <f t="shared" si="58"/>
        <v/>
      </c>
      <c r="AE215" s="38" t="str">
        <f t="shared" si="59"/>
        <v/>
      </c>
      <c r="AF215" s="38" t="str">
        <f>IF(ISERROR(IF('Hidrograma afluente'!I222="",0,'Hidrograma afluente'!I222)+Simulação!G215),"",IF('Hidrograma afluente'!I222="",0,'Hidrograma afluente'!I222)+Simulação!G215)</f>
        <v/>
      </c>
      <c r="AG215" s="36" t="s">
        <v>182</v>
      </c>
      <c r="AH215" s="36" t="s">
        <v>182</v>
      </c>
      <c r="AI215" s="48" t="s">
        <v>182</v>
      </c>
      <c r="AJ215" s="36" t="s">
        <v>182</v>
      </c>
      <c r="AK215" s="38" t="str">
        <f>IF(A215="","",IF('Hidrograma afluente'!I222="",0,'Hidrograma afluente'!I222)+Simulação!B215)</f>
        <v/>
      </c>
    </row>
    <row r="216" spans="1:37" s="36" customFormat="1">
      <c r="A216" s="23" t="str">
        <f t="shared" si="49"/>
        <v/>
      </c>
      <c r="B216" s="24" t="str">
        <f>IF(A216="","",IF(A216&gt;tc_lot_i+tc,0,IF('Hidrograma afluente'!B223="","",'Hidrograma afluente'!B223)))</f>
        <v/>
      </c>
      <c r="C216" s="41" t="str">
        <f t="shared" si="50"/>
        <v/>
      </c>
      <c r="D216" s="41" t="str">
        <f t="shared" si="51"/>
        <v/>
      </c>
      <c r="E216" s="41" t="str">
        <f t="shared" si="52"/>
        <v/>
      </c>
      <c r="F216" s="41" t="str">
        <f t="shared" si="53"/>
        <v/>
      </c>
      <c r="G216" s="41" t="str">
        <f t="shared" si="54"/>
        <v/>
      </c>
      <c r="H216" s="43" t="str">
        <f t="shared" si="45"/>
        <v/>
      </c>
      <c r="I216" s="42" t="str">
        <f t="shared" si="55"/>
        <v/>
      </c>
      <c r="J216" s="18"/>
      <c r="K216" s="76"/>
      <c r="M216" s="132">
        <f t="shared" ca="1" si="46"/>
        <v>69.130016139760414</v>
      </c>
      <c r="N216" s="38">
        <f t="shared" si="56"/>
        <v>2.015625</v>
      </c>
      <c r="O216" s="36">
        <f t="shared" si="57"/>
        <v>53.75</v>
      </c>
      <c r="P216" s="38">
        <f ca="1">IF(ISERROR(IF(O216&lt;fi_h/20,0,(OFFSET('Base de dados'!$A$5,IF(O216&lt;20,1,IF(O216&gt;1000,10,MATCH(O216,Cargas,1))),Coluna_fih,1,1))*(1+0.13*0.25)*(PI()*(fi_h/1000)^2/4)*SQRT(2*9.81*(O216/100-fi_h/2/1000))*1000)),"",IF(O216&lt;fi_h/20,0,(OFFSET('Base de dados'!$A$5,IF(O216&lt;20,1,IF(O216&gt;1000,10,MATCH(O216,Cargas,1))),Coluna_fih,1,1))*(PI()*(fi_h/1000)^2/4)*SQRT(2*9.81*(O216/100-fi_h/2/1000))*1000))</f>
        <v>1.9425161397604083</v>
      </c>
      <c r="Q216" s="38">
        <f ca="1">IF(O216="","",IF(Tipo_Vertedor="Retangular",IF(O216&lt;=cota_s*100,0,IF(Tipo_Vertedor="Retangular",Cd_sr*Lef_sr*((O216/100-cota_s)^(3/2))*1000)),IF(O216&lt;=cota_s*100+fi_s/20,0,(OFFSET('Base de dados'!$A$4,IF(O216&lt;20,1,IF(O216&gt;1000,10,MATCH(O216,Cargas,1))),Coluna_fis,1,1))*(PI()*(fi_s/1000)^2/4)*(2*9.81*(O216/100-cota_s-fi_s/2/1000))^0.5*1000)))</f>
        <v>0</v>
      </c>
      <c r="R216" s="38">
        <f t="shared" ca="1" si="47"/>
        <v>1.9425161397604083</v>
      </c>
      <c r="S216" s="38">
        <f t="shared" ca="1" si="48"/>
        <v>67.1875</v>
      </c>
      <c r="AD216" s="38" t="str">
        <f t="shared" si="58"/>
        <v/>
      </c>
      <c r="AE216" s="38" t="str">
        <f t="shared" si="59"/>
        <v/>
      </c>
      <c r="AF216" s="38" t="str">
        <f>IF(ISERROR(IF('Hidrograma afluente'!I223="",0,'Hidrograma afluente'!I223)+Simulação!G216),"",IF('Hidrograma afluente'!I223="",0,'Hidrograma afluente'!I223)+Simulação!G216)</f>
        <v/>
      </c>
      <c r="AG216" s="36" t="s">
        <v>182</v>
      </c>
      <c r="AH216" s="36" t="s">
        <v>182</v>
      </c>
      <c r="AI216" s="48" t="s">
        <v>182</v>
      </c>
      <c r="AJ216" s="36" t="s">
        <v>182</v>
      </c>
      <c r="AK216" s="38" t="str">
        <f>IF(A216="","",IF('Hidrograma afluente'!I223="",0,'Hidrograma afluente'!I223)+Simulação!B216)</f>
        <v/>
      </c>
    </row>
    <row r="217" spans="1:37" s="36" customFormat="1">
      <c r="A217" s="23" t="str">
        <f t="shared" si="49"/>
        <v/>
      </c>
      <c r="B217" s="24" t="str">
        <f>IF(A217="","",IF(A217&gt;tc_lot_i+tc,0,IF('Hidrograma afluente'!B224="","",'Hidrograma afluente'!B224)))</f>
        <v/>
      </c>
      <c r="C217" s="41" t="str">
        <f t="shared" si="50"/>
        <v/>
      </c>
      <c r="D217" s="41" t="str">
        <f t="shared" si="51"/>
        <v/>
      </c>
      <c r="E217" s="41" t="str">
        <f t="shared" si="52"/>
        <v/>
      </c>
      <c r="F217" s="41" t="str">
        <f t="shared" si="53"/>
        <v/>
      </c>
      <c r="G217" s="41" t="str">
        <f t="shared" si="54"/>
        <v/>
      </c>
      <c r="H217" s="43" t="str">
        <f t="shared" si="45"/>
        <v/>
      </c>
      <c r="I217" s="42" t="str">
        <f t="shared" si="55"/>
        <v/>
      </c>
      <c r="J217" s="18"/>
      <c r="K217" s="76"/>
      <c r="M217" s="132">
        <f t="shared" ca="1" si="46"/>
        <v>69.44718094677485</v>
      </c>
      <c r="N217" s="38">
        <f t="shared" si="56"/>
        <v>2.0250000000000004</v>
      </c>
      <c r="O217" s="36">
        <f t="shared" si="57"/>
        <v>54</v>
      </c>
      <c r="P217" s="38">
        <f ca="1">IF(ISERROR(IF(O217&lt;fi_h/20,0,(OFFSET('Base de dados'!$A$5,IF(O217&lt;20,1,IF(O217&gt;1000,10,MATCH(O217,Cargas,1))),Coluna_fih,1,1))*(1+0.13*0.25)*(PI()*(fi_h/1000)^2/4)*SQRT(2*9.81*(O217/100-fi_h/2/1000))*1000)),"",IF(O217&lt;fi_h/20,0,(OFFSET('Base de dados'!$A$5,IF(O217&lt;20,1,IF(O217&gt;1000,10,MATCH(O217,Cargas,1))),Coluna_fih,1,1))*(PI()*(fi_h/1000)^2/4)*SQRT(2*9.81*(O217/100-fi_h/2/1000))*1000))</f>
        <v>1.947180946774836</v>
      </c>
      <c r="Q217" s="38">
        <f ca="1">IF(O217="","",IF(Tipo_Vertedor="Retangular",IF(O217&lt;=cota_s*100,0,IF(Tipo_Vertedor="Retangular",Cd_sr*Lef_sr*((O217/100-cota_s)^(3/2))*1000)),IF(O217&lt;=cota_s*100+fi_s/20,0,(OFFSET('Base de dados'!$A$4,IF(O217&lt;20,1,IF(O217&gt;1000,10,MATCH(O217,Cargas,1))),Coluna_fis,1,1))*(PI()*(fi_s/1000)^2/4)*(2*9.81*(O217/100-cota_s-fi_s/2/1000))^0.5*1000)))</f>
        <v>0</v>
      </c>
      <c r="R217" s="38">
        <f t="shared" ca="1" si="47"/>
        <v>1.947180946774836</v>
      </c>
      <c r="S217" s="38">
        <f t="shared" ca="1" si="48"/>
        <v>67.500000000000014</v>
      </c>
      <c r="AD217" s="38" t="str">
        <f t="shared" si="58"/>
        <v/>
      </c>
      <c r="AE217" s="38" t="str">
        <f t="shared" si="59"/>
        <v/>
      </c>
      <c r="AF217" s="38" t="str">
        <f>IF(ISERROR(IF('Hidrograma afluente'!I224="",0,'Hidrograma afluente'!I224)+Simulação!G217),"",IF('Hidrograma afluente'!I224="",0,'Hidrograma afluente'!I224)+Simulação!G217)</f>
        <v/>
      </c>
      <c r="AG217" s="36" t="s">
        <v>182</v>
      </c>
      <c r="AH217" s="36" t="s">
        <v>182</v>
      </c>
      <c r="AI217" s="48" t="s">
        <v>182</v>
      </c>
      <c r="AJ217" s="36" t="s">
        <v>182</v>
      </c>
      <c r="AK217" s="38" t="str">
        <f>IF(A217="","",IF('Hidrograma afluente'!I224="",0,'Hidrograma afluente'!I224)+Simulação!B217)</f>
        <v/>
      </c>
    </row>
    <row r="218" spans="1:37" s="36" customFormat="1">
      <c r="A218" s="23" t="str">
        <f t="shared" si="49"/>
        <v/>
      </c>
      <c r="B218" s="24" t="str">
        <f>IF(A218="","",IF(A218&gt;tc_lot_i+tc,0,IF('Hidrograma afluente'!B225="","",'Hidrograma afluente'!B225)))</f>
        <v/>
      </c>
      <c r="C218" s="41" t="str">
        <f t="shared" si="50"/>
        <v/>
      </c>
      <c r="D218" s="41" t="str">
        <f t="shared" si="51"/>
        <v/>
      </c>
      <c r="E218" s="41" t="str">
        <f t="shared" si="52"/>
        <v/>
      </c>
      <c r="F218" s="41" t="str">
        <f t="shared" si="53"/>
        <v/>
      </c>
      <c r="G218" s="41" t="str">
        <f t="shared" si="54"/>
        <v/>
      </c>
      <c r="H218" s="43" t="str">
        <f t="shared" si="45"/>
        <v/>
      </c>
      <c r="I218" s="42" t="str">
        <f t="shared" si="55"/>
        <v/>
      </c>
      <c r="J218" s="18"/>
      <c r="K218" s="76"/>
      <c r="M218" s="132">
        <f t="shared" ca="1" si="46"/>
        <v>69.764334605118009</v>
      </c>
      <c r="N218" s="38">
        <f t="shared" si="56"/>
        <v>2.0343749999999998</v>
      </c>
      <c r="O218" s="36">
        <f t="shared" si="57"/>
        <v>54.25</v>
      </c>
      <c r="P218" s="38">
        <f ca="1">IF(ISERROR(IF(O218&lt;fi_h/20,0,(OFFSET('Base de dados'!$A$5,IF(O218&lt;20,1,IF(O218&gt;1000,10,MATCH(O218,Cargas,1))),Coluna_fih,1,1))*(1+0.13*0.25)*(PI()*(fi_h/1000)^2/4)*SQRT(2*9.81*(O218/100-fi_h/2/1000))*1000)),"",IF(O218&lt;fi_h/20,0,(OFFSET('Base de dados'!$A$5,IF(O218&lt;20,1,IF(O218&gt;1000,10,MATCH(O218,Cargas,1))),Coluna_fih,1,1))*(PI()*(fi_h/1000)^2/4)*SQRT(2*9.81*(O218/100-fi_h/2/1000))*1000))</f>
        <v>1.9518346051180195</v>
      </c>
      <c r="Q218" s="38">
        <f ca="1">IF(O218="","",IF(Tipo_Vertedor="Retangular",IF(O218&lt;=cota_s*100,0,IF(Tipo_Vertedor="Retangular",Cd_sr*Lef_sr*((O218/100-cota_s)^(3/2))*1000)),IF(O218&lt;=cota_s*100+fi_s/20,0,(OFFSET('Base de dados'!$A$4,IF(O218&lt;20,1,IF(O218&gt;1000,10,MATCH(O218,Cargas,1))),Coluna_fis,1,1))*(PI()*(fi_s/1000)^2/4)*(2*9.81*(O218/100-cota_s-fi_s/2/1000))^0.5*1000)))</f>
        <v>0</v>
      </c>
      <c r="R218" s="38">
        <f t="shared" ca="1" si="47"/>
        <v>1.9518346051180195</v>
      </c>
      <c r="S218" s="38">
        <f t="shared" ca="1" si="48"/>
        <v>67.812499999999986</v>
      </c>
      <c r="AD218" s="38" t="str">
        <f t="shared" si="58"/>
        <v/>
      </c>
      <c r="AE218" s="38" t="str">
        <f t="shared" si="59"/>
        <v/>
      </c>
      <c r="AF218" s="38" t="str">
        <f>IF(ISERROR(IF('Hidrograma afluente'!I225="",0,'Hidrograma afluente'!I225)+Simulação!G218),"",IF('Hidrograma afluente'!I225="",0,'Hidrograma afluente'!I225)+Simulação!G218)</f>
        <v/>
      </c>
      <c r="AG218" s="36" t="s">
        <v>182</v>
      </c>
      <c r="AH218" s="36" t="s">
        <v>182</v>
      </c>
      <c r="AI218" s="48" t="s">
        <v>182</v>
      </c>
      <c r="AJ218" s="36" t="s">
        <v>182</v>
      </c>
      <c r="AK218" s="38" t="str">
        <f>IF(A218="","",IF('Hidrograma afluente'!I225="",0,'Hidrograma afluente'!I225)+Simulação!B218)</f>
        <v/>
      </c>
    </row>
    <row r="219" spans="1:37" s="36" customFormat="1">
      <c r="A219" s="23" t="str">
        <f t="shared" si="49"/>
        <v/>
      </c>
      <c r="B219" s="24" t="str">
        <f>IF(A219="","",IF(A219&gt;tc_lot_i+tc,0,IF('Hidrograma afluente'!B226="","",'Hidrograma afluente'!B226)))</f>
        <v/>
      </c>
      <c r="C219" s="41" t="str">
        <f t="shared" si="50"/>
        <v/>
      </c>
      <c r="D219" s="41" t="str">
        <f t="shared" si="51"/>
        <v/>
      </c>
      <c r="E219" s="41" t="str">
        <f t="shared" si="52"/>
        <v/>
      </c>
      <c r="F219" s="41" t="str">
        <f t="shared" si="53"/>
        <v/>
      </c>
      <c r="G219" s="41" t="str">
        <f t="shared" si="54"/>
        <v/>
      </c>
      <c r="H219" s="43" t="str">
        <f t="shared" ref="H219:H282" si="60">IF(A219="","",IF(ISERROR(B219+C219+D219-G219),0,B219+C219+D219-G219))</f>
        <v/>
      </c>
      <c r="I219" s="42" t="str">
        <f t="shared" si="55"/>
        <v/>
      </c>
      <c r="J219" s="18"/>
      <c r="K219" s="76"/>
      <c r="M219" s="132">
        <f t="shared" ca="1" si="46"/>
        <v>70.081477194344345</v>
      </c>
      <c r="N219" s="38">
        <f t="shared" si="56"/>
        <v>2.0437500000000002</v>
      </c>
      <c r="O219" s="36">
        <f t="shared" si="57"/>
        <v>54.5</v>
      </c>
      <c r="P219" s="38">
        <f ca="1">IF(ISERROR(IF(O219&lt;fi_h/20,0,(OFFSET('Base de dados'!$A$5,IF(O219&lt;20,1,IF(O219&gt;1000,10,MATCH(O219,Cargas,1))),Coluna_fih,1,1))*(1+0.13*0.25)*(PI()*(fi_h/1000)^2/4)*SQRT(2*9.81*(O219/100-fi_h/2/1000))*1000)),"",IF(O219&lt;fi_h/20,0,(OFFSET('Base de dados'!$A$5,IF(O219&lt;20,1,IF(O219&gt;1000,10,MATCH(O219,Cargas,1))),Coluna_fih,1,1))*(PI()*(fi_h/1000)^2/4)*SQRT(2*9.81*(O219/100-fi_h/2/1000))*1000))</f>
        <v>1.9564771943443355</v>
      </c>
      <c r="Q219" s="38">
        <f ca="1">IF(O219="","",IF(Tipo_Vertedor="Retangular",IF(O219&lt;=cota_s*100,0,IF(Tipo_Vertedor="Retangular",Cd_sr*Lef_sr*((O219/100-cota_s)^(3/2))*1000)),IF(O219&lt;=cota_s*100+fi_s/20,0,(OFFSET('Base de dados'!$A$4,IF(O219&lt;20,1,IF(O219&gt;1000,10,MATCH(O219,Cargas,1))),Coluna_fis,1,1))*(PI()*(fi_s/1000)^2/4)*(2*9.81*(O219/100-cota_s-fi_s/2/1000))^0.5*1000)))</f>
        <v>0</v>
      </c>
      <c r="R219" s="38">
        <f t="shared" ca="1" si="47"/>
        <v>1.9564771943443355</v>
      </c>
      <c r="S219" s="38">
        <f t="shared" ca="1" si="48"/>
        <v>68.125000000000014</v>
      </c>
      <c r="AD219" s="38" t="str">
        <f t="shared" si="58"/>
        <v/>
      </c>
      <c r="AE219" s="38" t="str">
        <f t="shared" si="59"/>
        <v/>
      </c>
      <c r="AF219" s="38" t="str">
        <f>IF(ISERROR(IF('Hidrograma afluente'!I226="",0,'Hidrograma afluente'!I226)+Simulação!G219),"",IF('Hidrograma afluente'!I226="",0,'Hidrograma afluente'!I226)+Simulação!G219)</f>
        <v/>
      </c>
      <c r="AG219" s="36" t="s">
        <v>182</v>
      </c>
      <c r="AH219" s="36" t="s">
        <v>182</v>
      </c>
      <c r="AI219" s="48" t="s">
        <v>182</v>
      </c>
      <c r="AJ219" s="36" t="s">
        <v>182</v>
      </c>
      <c r="AK219" s="38" t="str">
        <f>IF(A219="","",IF('Hidrograma afluente'!I226="",0,'Hidrograma afluente'!I226)+Simulação!B219)</f>
        <v/>
      </c>
    </row>
    <row r="220" spans="1:37" s="36" customFormat="1">
      <c r="A220" s="23" t="str">
        <f t="shared" si="49"/>
        <v/>
      </c>
      <c r="B220" s="24" t="str">
        <f>IF(A220="","",IF(A220&gt;tc_lot_i+tc,0,IF('Hidrograma afluente'!B227="","",'Hidrograma afluente'!B227)))</f>
        <v/>
      </c>
      <c r="C220" s="41" t="str">
        <f t="shared" si="50"/>
        <v/>
      </c>
      <c r="D220" s="41" t="str">
        <f t="shared" si="51"/>
        <v/>
      </c>
      <c r="E220" s="41" t="str">
        <f t="shared" si="52"/>
        <v/>
      </c>
      <c r="F220" s="41" t="str">
        <f t="shared" si="53"/>
        <v/>
      </c>
      <c r="G220" s="41" t="str">
        <f t="shared" si="54"/>
        <v/>
      </c>
      <c r="H220" s="43" t="str">
        <f t="shared" si="60"/>
        <v/>
      </c>
      <c r="I220" s="42" t="str">
        <f t="shared" si="55"/>
        <v/>
      </c>
      <c r="J220" s="18"/>
      <c r="K220" s="76"/>
      <c r="M220" s="132">
        <f t="shared" ca="1" si="46"/>
        <v>70.398608793066501</v>
      </c>
      <c r="N220" s="38">
        <f t="shared" si="56"/>
        <v>2.0531250000000001</v>
      </c>
      <c r="O220" s="36">
        <f t="shared" si="57"/>
        <v>54.75</v>
      </c>
      <c r="P220" s="38">
        <f ca="1">IF(ISERROR(IF(O220&lt;fi_h/20,0,(OFFSET('Base de dados'!$A$5,IF(O220&lt;20,1,IF(O220&gt;1000,10,MATCH(O220,Cargas,1))),Coluna_fih,1,1))*(1+0.13*0.25)*(PI()*(fi_h/1000)^2/4)*SQRT(2*9.81*(O220/100-fi_h/2/1000))*1000)),"",IF(O220&lt;fi_h/20,0,(OFFSET('Base de dados'!$A$5,IF(O220&lt;20,1,IF(O220&gt;1000,10,MATCH(O220,Cargas,1))),Coluna_fih,1,1))*(PI()*(fi_h/1000)^2/4)*SQRT(2*9.81*(O220/100-fi_h/2/1000))*1000))</f>
        <v>1.9611087930665019</v>
      </c>
      <c r="Q220" s="38">
        <f ca="1">IF(O220="","",IF(Tipo_Vertedor="Retangular",IF(O220&lt;=cota_s*100,0,IF(Tipo_Vertedor="Retangular",Cd_sr*Lef_sr*((O220/100-cota_s)^(3/2))*1000)),IF(O220&lt;=cota_s*100+fi_s/20,0,(OFFSET('Base de dados'!$A$4,IF(O220&lt;20,1,IF(O220&gt;1000,10,MATCH(O220,Cargas,1))),Coluna_fis,1,1))*(PI()*(fi_s/1000)^2/4)*(2*9.81*(O220/100-cota_s-fi_s/2/1000))^0.5*1000)))</f>
        <v>0</v>
      </c>
      <c r="R220" s="38">
        <f t="shared" ca="1" si="47"/>
        <v>1.9611087930665019</v>
      </c>
      <c r="S220" s="38">
        <f t="shared" ca="1" si="48"/>
        <v>68.4375</v>
      </c>
      <c r="AD220" s="38" t="str">
        <f t="shared" si="58"/>
        <v/>
      </c>
      <c r="AE220" s="38" t="str">
        <f t="shared" si="59"/>
        <v/>
      </c>
      <c r="AF220" s="38" t="str">
        <f>IF(ISERROR(IF('Hidrograma afluente'!I227="",0,'Hidrograma afluente'!I227)+Simulação!G220),"",IF('Hidrograma afluente'!I227="",0,'Hidrograma afluente'!I227)+Simulação!G220)</f>
        <v/>
      </c>
      <c r="AG220" s="36" t="s">
        <v>182</v>
      </c>
      <c r="AH220" s="36" t="s">
        <v>182</v>
      </c>
      <c r="AI220" s="48" t="s">
        <v>182</v>
      </c>
      <c r="AJ220" s="36" t="s">
        <v>182</v>
      </c>
      <c r="AK220" s="38" t="str">
        <f>IF(A220="","",IF('Hidrograma afluente'!I227="",0,'Hidrograma afluente'!I227)+Simulação!B220)</f>
        <v/>
      </c>
    </row>
    <row r="221" spans="1:37" s="36" customFormat="1">
      <c r="A221" s="23" t="str">
        <f t="shared" si="49"/>
        <v/>
      </c>
      <c r="B221" s="24" t="str">
        <f>IF(A221="","",IF(A221&gt;tc_lot_i+tc,0,IF('Hidrograma afluente'!B228="","",'Hidrograma afluente'!B228)))</f>
        <v/>
      </c>
      <c r="C221" s="41" t="str">
        <f t="shared" si="50"/>
        <v/>
      </c>
      <c r="D221" s="41" t="str">
        <f t="shared" si="51"/>
        <v/>
      </c>
      <c r="E221" s="41" t="str">
        <f t="shared" si="52"/>
        <v/>
      </c>
      <c r="F221" s="41" t="str">
        <f t="shared" si="53"/>
        <v/>
      </c>
      <c r="G221" s="41" t="str">
        <f t="shared" si="54"/>
        <v/>
      </c>
      <c r="H221" s="43" t="str">
        <f t="shared" si="60"/>
        <v/>
      </c>
      <c r="I221" s="42" t="str">
        <f t="shared" si="55"/>
        <v/>
      </c>
      <c r="J221" s="18"/>
      <c r="K221" s="76"/>
      <c r="M221" s="132">
        <f t="shared" ca="1" si="46"/>
        <v>70.715729478971113</v>
      </c>
      <c r="N221" s="38">
        <f t="shared" si="56"/>
        <v>2.0625</v>
      </c>
      <c r="O221" s="36">
        <f t="shared" si="57"/>
        <v>55</v>
      </c>
      <c r="P221" s="38">
        <f ca="1">IF(ISERROR(IF(O221&lt;fi_h/20,0,(OFFSET('Base de dados'!$A$5,IF(O221&lt;20,1,IF(O221&gt;1000,10,MATCH(O221,Cargas,1))),Coluna_fih,1,1))*(1+0.13*0.25)*(PI()*(fi_h/1000)^2/4)*SQRT(2*9.81*(O221/100-fi_h/2/1000))*1000)),"",IF(O221&lt;fi_h/20,0,(OFFSET('Base de dados'!$A$5,IF(O221&lt;20,1,IF(O221&gt;1000,10,MATCH(O221,Cargas,1))),Coluna_fih,1,1))*(PI()*(fi_h/1000)^2/4)*SQRT(2*9.81*(O221/100-fi_h/2/1000))*1000))</f>
        <v>1.9657294789711071</v>
      </c>
      <c r="Q221" s="38">
        <f ca="1">IF(O221="","",IF(Tipo_Vertedor="Retangular",IF(O221&lt;=cota_s*100,0,IF(Tipo_Vertedor="Retangular",Cd_sr*Lef_sr*((O221/100-cota_s)^(3/2))*1000)),IF(O221&lt;=cota_s*100+fi_s/20,0,(OFFSET('Base de dados'!$A$4,IF(O221&lt;20,1,IF(O221&gt;1000,10,MATCH(O221,Cargas,1))),Coluna_fis,1,1))*(PI()*(fi_s/1000)^2/4)*(2*9.81*(O221/100-cota_s-fi_s/2/1000))^0.5*1000)))</f>
        <v>0</v>
      </c>
      <c r="R221" s="38">
        <f t="shared" ca="1" si="47"/>
        <v>1.9657294789711071</v>
      </c>
      <c r="S221" s="38">
        <f t="shared" ca="1" si="48"/>
        <v>68.75</v>
      </c>
      <c r="AD221" s="38" t="str">
        <f t="shared" si="58"/>
        <v/>
      </c>
      <c r="AE221" s="38" t="str">
        <f t="shared" si="59"/>
        <v/>
      </c>
      <c r="AF221" s="38" t="str">
        <f>IF(ISERROR(IF('Hidrograma afluente'!I228="",0,'Hidrograma afluente'!I228)+Simulação!G221),"",IF('Hidrograma afluente'!I228="",0,'Hidrograma afluente'!I228)+Simulação!G221)</f>
        <v/>
      </c>
      <c r="AG221" s="36" t="s">
        <v>182</v>
      </c>
      <c r="AH221" s="36" t="s">
        <v>182</v>
      </c>
      <c r="AI221" s="48" t="s">
        <v>182</v>
      </c>
      <c r="AJ221" s="36" t="s">
        <v>182</v>
      </c>
      <c r="AK221" s="38" t="str">
        <f>IF(A221="","",IF('Hidrograma afluente'!I228="",0,'Hidrograma afluente'!I228)+Simulação!B221)</f>
        <v/>
      </c>
    </row>
    <row r="222" spans="1:37" s="36" customFormat="1">
      <c r="A222" s="23" t="str">
        <f t="shared" si="49"/>
        <v/>
      </c>
      <c r="B222" s="24" t="str">
        <f>IF(A222="","",IF(A222&gt;tc_lot_i+tc,0,IF('Hidrograma afluente'!B229="","",'Hidrograma afluente'!B229)))</f>
        <v/>
      </c>
      <c r="C222" s="41" t="str">
        <f t="shared" si="50"/>
        <v/>
      </c>
      <c r="D222" s="41" t="str">
        <f t="shared" si="51"/>
        <v/>
      </c>
      <c r="E222" s="41" t="str">
        <f t="shared" si="52"/>
        <v/>
      </c>
      <c r="F222" s="41" t="str">
        <f t="shared" si="53"/>
        <v/>
      </c>
      <c r="G222" s="41" t="str">
        <f t="shared" si="54"/>
        <v/>
      </c>
      <c r="H222" s="43" t="str">
        <f t="shared" si="60"/>
        <v/>
      </c>
      <c r="I222" s="42" t="str">
        <f t="shared" si="55"/>
        <v/>
      </c>
      <c r="J222" s="18"/>
      <c r="K222" s="76"/>
      <c r="M222" s="132">
        <f t="shared" ca="1" si="46"/>
        <v>71.032839328833816</v>
      </c>
      <c r="N222" s="38">
        <f t="shared" si="56"/>
        <v>2.0718749999999999</v>
      </c>
      <c r="O222" s="36">
        <f t="shared" si="57"/>
        <v>55.25</v>
      </c>
      <c r="P222" s="38">
        <f ca="1">IF(ISERROR(IF(O222&lt;fi_h/20,0,(OFFSET('Base de dados'!$A$5,IF(O222&lt;20,1,IF(O222&gt;1000,10,MATCH(O222,Cargas,1))),Coluna_fih,1,1))*(1+0.13*0.25)*(PI()*(fi_h/1000)^2/4)*SQRT(2*9.81*(O222/100-fi_h/2/1000))*1000)),"",IF(O222&lt;fi_h/20,0,(OFFSET('Base de dados'!$A$5,IF(O222&lt;20,1,IF(O222&gt;1000,10,MATCH(O222,Cargas,1))),Coluna_fih,1,1))*(PI()*(fi_h/1000)^2/4)*SQRT(2*9.81*(O222/100-fi_h/2/1000))*1000))</f>
        <v>1.9703393288338149</v>
      </c>
      <c r="Q222" s="38">
        <f ca="1">IF(O222="","",IF(Tipo_Vertedor="Retangular",IF(O222&lt;=cota_s*100,0,IF(Tipo_Vertedor="Retangular",Cd_sr*Lef_sr*((O222/100-cota_s)^(3/2))*1000)),IF(O222&lt;=cota_s*100+fi_s/20,0,(OFFSET('Base de dados'!$A$4,IF(O222&lt;20,1,IF(O222&gt;1000,10,MATCH(O222,Cargas,1))),Coluna_fis,1,1))*(PI()*(fi_s/1000)^2/4)*(2*9.81*(O222/100-cota_s-fi_s/2/1000))^0.5*1000)))</f>
        <v>0</v>
      </c>
      <c r="R222" s="38">
        <f t="shared" ca="1" si="47"/>
        <v>1.9703393288338149</v>
      </c>
      <c r="S222" s="38">
        <f t="shared" ca="1" si="48"/>
        <v>69.0625</v>
      </c>
      <c r="AD222" s="38" t="str">
        <f t="shared" si="58"/>
        <v/>
      </c>
      <c r="AE222" s="38" t="str">
        <f t="shared" si="59"/>
        <v/>
      </c>
      <c r="AF222" s="38" t="str">
        <f>IF(ISERROR(IF('Hidrograma afluente'!I229="",0,'Hidrograma afluente'!I229)+Simulação!G222),"",IF('Hidrograma afluente'!I229="",0,'Hidrograma afluente'!I229)+Simulação!G222)</f>
        <v/>
      </c>
      <c r="AG222" s="36" t="s">
        <v>182</v>
      </c>
      <c r="AH222" s="36" t="s">
        <v>182</v>
      </c>
      <c r="AI222" s="48" t="s">
        <v>182</v>
      </c>
      <c r="AJ222" s="36" t="s">
        <v>182</v>
      </c>
      <c r="AK222" s="38" t="str">
        <f>IF(A222="","",IF('Hidrograma afluente'!I229="",0,'Hidrograma afluente'!I229)+Simulação!B222)</f>
        <v/>
      </c>
    </row>
    <row r="223" spans="1:37" s="36" customFormat="1">
      <c r="A223" s="23" t="str">
        <f t="shared" si="49"/>
        <v/>
      </c>
      <c r="B223" s="24" t="str">
        <f>IF(A223="","",IF(A223&gt;tc_lot_i+tc,0,IF('Hidrograma afluente'!B230="","",'Hidrograma afluente'!B230)))</f>
        <v/>
      </c>
      <c r="C223" s="41" t="str">
        <f t="shared" si="50"/>
        <v/>
      </c>
      <c r="D223" s="41" t="str">
        <f t="shared" si="51"/>
        <v/>
      </c>
      <c r="E223" s="41" t="str">
        <f t="shared" si="52"/>
        <v/>
      </c>
      <c r="F223" s="41" t="str">
        <f t="shared" si="53"/>
        <v/>
      </c>
      <c r="G223" s="41" t="str">
        <f t="shared" si="54"/>
        <v/>
      </c>
      <c r="H223" s="43" t="str">
        <f t="shared" si="60"/>
        <v/>
      </c>
      <c r="I223" s="42" t="str">
        <f t="shared" si="55"/>
        <v/>
      </c>
      <c r="J223" s="18"/>
      <c r="K223" s="76"/>
      <c r="M223" s="132">
        <f t="shared" ca="1" si="46"/>
        <v>71.349938418534265</v>
      </c>
      <c r="N223" s="38">
        <f t="shared" si="56"/>
        <v>2.0812500000000003</v>
      </c>
      <c r="O223" s="36">
        <f t="shared" si="57"/>
        <v>55.5</v>
      </c>
      <c r="P223" s="38">
        <f ca="1">IF(ISERROR(IF(O223&lt;fi_h/20,0,(OFFSET('Base de dados'!$A$5,IF(O223&lt;20,1,IF(O223&gt;1000,10,MATCH(O223,Cargas,1))),Coluna_fih,1,1))*(1+0.13*0.25)*(PI()*(fi_h/1000)^2/4)*SQRT(2*9.81*(O223/100-fi_h/2/1000))*1000)),"",IF(O223&lt;fi_h/20,0,(OFFSET('Base de dados'!$A$5,IF(O223&lt;20,1,IF(O223&gt;1000,10,MATCH(O223,Cargas,1))),Coluna_fih,1,1))*(PI()*(fi_h/1000)^2/4)*SQRT(2*9.81*(O223/100-fi_h/2/1000))*1000))</f>
        <v>1.974938418534248</v>
      </c>
      <c r="Q223" s="38">
        <f ca="1">IF(O223="","",IF(Tipo_Vertedor="Retangular",IF(O223&lt;=cota_s*100,0,IF(Tipo_Vertedor="Retangular",Cd_sr*Lef_sr*((O223/100-cota_s)^(3/2))*1000)),IF(O223&lt;=cota_s*100+fi_s/20,0,(OFFSET('Base de dados'!$A$4,IF(O223&lt;20,1,IF(O223&gt;1000,10,MATCH(O223,Cargas,1))),Coluna_fis,1,1))*(PI()*(fi_s/1000)^2/4)*(2*9.81*(O223/100-cota_s-fi_s/2/1000))^0.5*1000)))</f>
        <v>0</v>
      </c>
      <c r="R223" s="38">
        <f t="shared" ca="1" si="47"/>
        <v>1.974938418534248</v>
      </c>
      <c r="S223" s="38">
        <f t="shared" ca="1" si="48"/>
        <v>69.375000000000014</v>
      </c>
      <c r="AD223" s="38" t="str">
        <f t="shared" si="58"/>
        <v/>
      </c>
      <c r="AE223" s="38" t="str">
        <f t="shared" si="59"/>
        <v/>
      </c>
      <c r="AF223" s="38" t="str">
        <f>IF(ISERROR(IF('Hidrograma afluente'!I230="",0,'Hidrograma afluente'!I230)+Simulação!G223),"",IF('Hidrograma afluente'!I230="",0,'Hidrograma afluente'!I230)+Simulação!G223)</f>
        <v/>
      </c>
      <c r="AG223" s="36" t="s">
        <v>182</v>
      </c>
      <c r="AH223" s="36" t="s">
        <v>182</v>
      </c>
      <c r="AI223" s="48" t="s">
        <v>182</v>
      </c>
      <c r="AJ223" s="36" t="s">
        <v>182</v>
      </c>
      <c r="AK223" s="38" t="str">
        <f>IF(A223="","",IF('Hidrograma afluente'!I230="",0,'Hidrograma afluente'!I230)+Simulação!B223)</f>
        <v/>
      </c>
    </row>
    <row r="224" spans="1:37" s="36" customFormat="1">
      <c r="A224" s="23" t="str">
        <f t="shared" si="49"/>
        <v/>
      </c>
      <c r="B224" s="24" t="str">
        <f>IF(A224="","",IF(A224&gt;tc_lot_i+tc,0,IF('Hidrograma afluente'!B231="","",'Hidrograma afluente'!B231)))</f>
        <v/>
      </c>
      <c r="C224" s="41" t="str">
        <f t="shared" si="50"/>
        <v/>
      </c>
      <c r="D224" s="41" t="str">
        <f t="shared" si="51"/>
        <v/>
      </c>
      <c r="E224" s="41" t="str">
        <f t="shared" si="52"/>
        <v/>
      </c>
      <c r="F224" s="41" t="str">
        <f t="shared" si="53"/>
        <v/>
      </c>
      <c r="G224" s="41" t="str">
        <f t="shared" si="54"/>
        <v/>
      </c>
      <c r="H224" s="43" t="str">
        <f t="shared" si="60"/>
        <v/>
      </c>
      <c r="I224" s="42" t="str">
        <f t="shared" si="55"/>
        <v/>
      </c>
      <c r="J224" s="18"/>
      <c r="K224" s="76"/>
      <c r="M224" s="132">
        <f t="shared" ca="1" si="46"/>
        <v>71.667026823070557</v>
      </c>
      <c r="N224" s="38">
        <f t="shared" si="56"/>
        <v>2.0906250000000002</v>
      </c>
      <c r="O224" s="36">
        <f t="shared" si="57"/>
        <v>55.75</v>
      </c>
      <c r="P224" s="38">
        <f ca="1">IF(ISERROR(IF(O224&lt;fi_h/20,0,(OFFSET('Base de dados'!$A$5,IF(O224&lt;20,1,IF(O224&gt;1000,10,MATCH(O224,Cargas,1))),Coluna_fih,1,1))*(1+0.13*0.25)*(PI()*(fi_h/1000)^2/4)*SQRT(2*9.81*(O224/100-fi_h/2/1000))*1000)),"",IF(O224&lt;fi_h/20,0,(OFFSET('Base de dados'!$A$5,IF(O224&lt;20,1,IF(O224&gt;1000,10,MATCH(O224,Cargas,1))),Coluna_fih,1,1))*(PI()*(fi_h/1000)^2/4)*SQRT(2*9.81*(O224/100-fi_h/2/1000))*1000))</f>
        <v>1.9795268230705603</v>
      </c>
      <c r="Q224" s="38">
        <f ca="1">IF(O224="","",IF(Tipo_Vertedor="Retangular",IF(O224&lt;=cota_s*100,0,IF(Tipo_Vertedor="Retangular",Cd_sr*Lef_sr*((O224/100-cota_s)^(3/2))*1000)),IF(O224&lt;=cota_s*100+fi_s/20,0,(OFFSET('Base de dados'!$A$4,IF(O224&lt;20,1,IF(O224&gt;1000,10,MATCH(O224,Cargas,1))),Coluna_fis,1,1))*(PI()*(fi_s/1000)^2/4)*(2*9.81*(O224/100-cota_s-fi_s/2/1000))^0.5*1000)))</f>
        <v>0</v>
      </c>
      <c r="R224" s="38">
        <f t="shared" ca="1" si="47"/>
        <v>1.9795268230705603</v>
      </c>
      <c r="S224" s="38">
        <f t="shared" ca="1" si="48"/>
        <v>69.6875</v>
      </c>
      <c r="AD224" s="38" t="str">
        <f t="shared" si="58"/>
        <v/>
      </c>
      <c r="AE224" s="38" t="str">
        <f t="shared" si="59"/>
        <v/>
      </c>
      <c r="AF224" s="38" t="str">
        <f>IF(ISERROR(IF('Hidrograma afluente'!I231="",0,'Hidrograma afluente'!I231)+Simulação!G224),"",IF('Hidrograma afluente'!I231="",0,'Hidrograma afluente'!I231)+Simulação!G224)</f>
        <v/>
      </c>
      <c r="AG224" s="36" t="s">
        <v>182</v>
      </c>
      <c r="AH224" s="36" t="s">
        <v>182</v>
      </c>
      <c r="AI224" s="48" t="s">
        <v>182</v>
      </c>
      <c r="AJ224" s="36" t="s">
        <v>182</v>
      </c>
      <c r="AK224" s="38" t="str">
        <f>IF(A224="","",IF('Hidrograma afluente'!I231="",0,'Hidrograma afluente'!I231)+Simulação!B224)</f>
        <v/>
      </c>
    </row>
    <row r="225" spans="1:37" s="36" customFormat="1">
      <c r="A225" s="23" t="str">
        <f t="shared" si="49"/>
        <v/>
      </c>
      <c r="B225" s="24" t="str">
        <f>IF(A225="","",IF(A225&gt;tc_lot_i+tc,0,IF('Hidrograma afluente'!B232="","",'Hidrograma afluente'!B232)))</f>
        <v/>
      </c>
      <c r="C225" s="41" t="str">
        <f t="shared" si="50"/>
        <v/>
      </c>
      <c r="D225" s="41" t="str">
        <f t="shared" si="51"/>
        <v/>
      </c>
      <c r="E225" s="41" t="str">
        <f t="shared" si="52"/>
        <v/>
      </c>
      <c r="F225" s="41" t="str">
        <f t="shared" si="53"/>
        <v/>
      </c>
      <c r="G225" s="41" t="str">
        <f t="shared" si="54"/>
        <v/>
      </c>
      <c r="H225" s="43" t="str">
        <f t="shared" si="60"/>
        <v/>
      </c>
      <c r="I225" s="42" t="str">
        <f t="shared" si="55"/>
        <v/>
      </c>
      <c r="J225" s="18"/>
      <c r="K225" s="76"/>
      <c r="M225" s="132">
        <f t="shared" ca="1" si="46"/>
        <v>71.984104616573703</v>
      </c>
      <c r="N225" s="38">
        <f t="shared" si="56"/>
        <v>2.1</v>
      </c>
      <c r="O225" s="36">
        <f t="shared" si="57"/>
        <v>56</v>
      </c>
      <c r="P225" s="38">
        <f ca="1">IF(ISERROR(IF(O225&lt;fi_h/20,0,(OFFSET('Base de dados'!$A$5,IF(O225&lt;20,1,IF(O225&gt;1000,10,MATCH(O225,Cargas,1))),Coluna_fih,1,1))*(1+0.13*0.25)*(PI()*(fi_h/1000)^2/4)*SQRT(2*9.81*(O225/100-fi_h/2/1000))*1000)),"",IF(O225&lt;fi_h/20,0,(OFFSET('Base de dados'!$A$5,IF(O225&lt;20,1,IF(O225&gt;1000,10,MATCH(O225,Cargas,1))),Coluna_fih,1,1))*(PI()*(fi_h/1000)^2/4)*SQRT(2*9.81*(O225/100-fi_h/2/1000))*1000))</f>
        <v>1.9841046165737062</v>
      </c>
      <c r="Q225" s="38">
        <f ca="1">IF(O225="","",IF(Tipo_Vertedor="Retangular",IF(O225&lt;=cota_s*100,0,IF(Tipo_Vertedor="Retangular",Cd_sr*Lef_sr*((O225/100-cota_s)^(3/2))*1000)),IF(O225&lt;=cota_s*100+fi_s/20,0,(OFFSET('Base de dados'!$A$4,IF(O225&lt;20,1,IF(O225&gt;1000,10,MATCH(O225,Cargas,1))),Coluna_fis,1,1))*(PI()*(fi_s/1000)^2/4)*(2*9.81*(O225/100-cota_s-fi_s/2/1000))^0.5*1000)))</f>
        <v>0</v>
      </c>
      <c r="R225" s="38">
        <f t="shared" ca="1" si="47"/>
        <v>1.9841046165737062</v>
      </c>
      <c r="S225" s="38">
        <f t="shared" ca="1" si="48"/>
        <v>70</v>
      </c>
      <c r="AD225" s="38" t="str">
        <f t="shared" si="58"/>
        <v/>
      </c>
      <c r="AE225" s="38" t="str">
        <f t="shared" si="59"/>
        <v/>
      </c>
      <c r="AF225" s="38" t="str">
        <f>IF(ISERROR(IF('Hidrograma afluente'!I232="",0,'Hidrograma afluente'!I232)+Simulação!G225),"",IF('Hidrograma afluente'!I232="",0,'Hidrograma afluente'!I232)+Simulação!G225)</f>
        <v/>
      </c>
      <c r="AG225" s="36" t="s">
        <v>182</v>
      </c>
      <c r="AH225" s="36" t="s">
        <v>182</v>
      </c>
      <c r="AI225" s="48" t="s">
        <v>182</v>
      </c>
      <c r="AJ225" s="36" t="s">
        <v>182</v>
      </c>
      <c r="AK225" s="38" t="str">
        <f>IF(A225="","",IF('Hidrograma afluente'!I232="",0,'Hidrograma afluente'!I232)+Simulação!B225)</f>
        <v/>
      </c>
    </row>
    <row r="226" spans="1:37" s="36" customFormat="1">
      <c r="A226" s="23" t="str">
        <f t="shared" si="49"/>
        <v/>
      </c>
      <c r="B226" s="24" t="str">
        <f>IF(A226="","",IF(A226&gt;tc_lot_i+tc,0,IF('Hidrograma afluente'!B233="","",'Hidrograma afluente'!B233)))</f>
        <v/>
      </c>
      <c r="C226" s="41" t="str">
        <f t="shared" si="50"/>
        <v/>
      </c>
      <c r="D226" s="41" t="str">
        <f t="shared" si="51"/>
        <v/>
      </c>
      <c r="E226" s="41" t="str">
        <f t="shared" si="52"/>
        <v/>
      </c>
      <c r="F226" s="41" t="str">
        <f t="shared" si="53"/>
        <v/>
      </c>
      <c r="G226" s="41" t="str">
        <f t="shared" si="54"/>
        <v/>
      </c>
      <c r="H226" s="43" t="str">
        <f t="shared" si="60"/>
        <v/>
      </c>
      <c r="I226" s="42" t="str">
        <f t="shared" si="55"/>
        <v/>
      </c>
      <c r="J226" s="18"/>
      <c r="K226" s="76"/>
      <c r="M226" s="132">
        <f t="shared" ca="1" si="46"/>
        <v>72.301171872321419</v>
      </c>
      <c r="N226" s="38">
        <f t="shared" si="56"/>
        <v>2.109375</v>
      </c>
      <c r="O226" s="36">
        <f t="shared" si="57"/>
        <v>56.25</v>
      </c>
      <c r="P226" s="38">
        <f ca="1">IF(ISERROR(IF(O226&lt;fi_h/20,0,(OFFSET('Base de dados'!$A$5,IF(O226&lt;20,1,IF(O226&gt;1000,10,MATCH(O226,Cargas,1))),Coluna_fih,1,1))*(1+0.13*0.25)*(PI()*(fi_h/1000)^2/4)*SQRT(2*9.81*(O226/100-fi_h/2/1000))*1000)),"",IF(O226&lt;fi_h/20,0,(OFFSET('Base de dados'!$A$5,IF(O226&lt;20,1,IF(O226&gt;1000,10,MATCH(O226,Cargas,1))),Coluna_fih,1,1))*(PI()*(fi_h/1000)^2/4)*SQRT(2*9.81*(O226/100-fi_h/2/1000))*1000))</f>
        <v>1.9886718723214147</v>
      </c>
      <c r="Q226" s="38">
        <f ca="1">IF(O226="","",IF(Tipo_Vertedor="Retangular",IF(O226&lt;=cota_s*100,0,IF(Tipo_Vertedor="Retangular",Cd_sr*Lef_sr*((O226/100-cota_s)^(3/2))*1000)),IF(O226&lt;=cota_s*100+fi_s/20,0,(OFFSET('Base de dados'!$A$4,IF(O226&lt;20,1,IF(O226&gt;1000,10,MATCH(O226,Cargas,1))),Coluna_fis,1,1))*(PI()*(fi_s/1000)^2/4)*(2*9.81*(O226/100-cota_s-fi_s/2/1000))^0.5*1000)))</f>
        <v>0</v>
      </c>
      <c r="R226" s="38">
        <f t="shared" ca="1" si="47"/>
        <v>1.9886718723214147</v>
      </c>
      <c r="S226" s="38">
        <f t="shared" ca="1" si="48"/>
        <v>70.3125</v>
      </c>
      <c r="AD226" s="38" t="str">
        <f t="shared" si="58"/>
        <v/>
      </c>
      <c r="AE226" s="38" t="str">
        <f t="shared" si="59"/>
        <v/>
      </c>
      <c r="AF226" s="38" t="str">
        <f>IF(ISERROR(IF('Hidrograma afluente'!I233="",0,'Hidrograma afluente'!I233)+Simulação!G226),"",IF('Hidrograma afluente'!I233="",0,'Hidrograma afluente'!I233)+Simulação!G226)</f>
        <v/>
      </c>
      <c r="AG226" s="36" t="s">
        <v>182</v>
      </c>
      <c r="AH226" s="36" t="s">
        <v>182</v>
      </c>
      <c r="AI226" s="48" t="s">
        <v>182</v>
      </c>
      <c r="AJ226" s="36" t="s">
        <v>182</v>
      </c>
      <c r="AK226" s="38" t="str">
        <f>IF(A226="","",IF('Hidrograma afluente'!I233="",0,'Hidrograma afluente'!I233)+Simulação!B226)</f>
        <v/>
      </c>
    </row>
    <row r="227" spans="1:37" s="36" customFormat="1">
      <c r="A227" s="23" t="str">
        <f t="shared" si="49"/>
        <v/>
      </c>
      <c r="B227" s="24" t="str">
        <f>IF(A227="","",IF(A227&gt;tc_lot_i+tc,0,IF('Hidrograma afluente'!B234="","",'Hidrograma afluente'!B234)))</f>
        <v/>
      </c>
      <c r="C227" s="41" t="str">
        <f t="shared" si="50"/>
        <v/>
      </c>
      <c r="D227" s="41" t="str">
        <f t="shared" si="51"/>
        <v/>
      </c>
      <c r="E227" s="41" t="str">
        <f t="shared" si="52"/>
        <v/>
      </c>
      <c r="F227" s="41" t="str">
        <f t="shared" si="53"/>
        <v/>
      </c>
      <c r="G227" s="41" t="str">
        <f t="shared" si="54"/>
        <v/>
      </c>
      <c r="H227" s="43" t="str">
        <f t="shared" si="60"/>
        <v/>
      </c>
      <c r="I227" s="42" t="str">
        <f t="shared" si="55"/>
        <v/>
      </c>
      <c r="J227" s="18"/>
      <c r="K227" s="76"/>
      <c r="M227" s="132">
        <f t="shared" ca="1" si="46"/>
        <v>72.618228662751875</v>
      </c>
      <c r="N227" s="38">
        <f t="shared" si="56"/>
        <v>2.1187499999999999</v>
      </c>
      <c r="O227" s="36">
        <f t="shared" si="57"/>
        <v>56.5</v>
      </c>
      <c r="P227" s="38">
        <f ca="1">IF(ISERROR(IF(O227&lt;fi_h/20,0,(OFFSET('Base de dados'!$A$5,IF(O227&lt;20,1,IF(O227&gt;1000,10,MATCH(O227,Cargas,1))),Coluna_fih,1,1))*(1+0.13*0.25)*(PI()*(fi_h/1000)^2/4)*SQRT(2*9.81*(O227/100-fi_h/2/1000))*1000)),"",IF(O227&lt;fi_h/20,0,(OFFSET('Base de dados'!$A$5,IF(O227&lt;20,1,IF(O227&gt;1000,10,MATCH(O227,Cargas,1))),Coluna_fih,1,1))*(PI()*(fi_h/1000)^2/4)*SQRT(2*9.81*(O227/100-fi_h/2/1000))*1000))</f>
        <v>1.9932286627518752</v>
      </c>
      <c r="Q227" s="38">
        <f ca="1">IF(O227="","",IF(Tipo_Vertedor="Retangular",IF(O227&lt;=cota_s*100,0,IF(Tipo_Vertedor="Retangular",Cd_sr*Lef_sr*((O227/100-cota_s)^(3/2))*1000)),IF(O227&lt;=cota_s*100+fi_s/20,0,(OFFSET('Base de dados'!$A$4,IF(O227&lt;20,1,IF(O227&gt;1000,10,MATCH(O227,Cargas,1))),Coluna_fis,1,1))*(PI()*(fi_s/1000)^2/4)*(2*9.81*(O227/100-cota_s-fi_s/2/1000))^0.5*1000)))</f>
        <v>0</v>
      </c>
      <c r="R227" s="38">
        <f t="shared" ca="1" si="47"/>
        <v>1.9932286627518752</v>
      </c>
      <c r="S227" s="38">
        <f t="shared" ca="1" si="48"/>
        <v>70.625</v>
      </c>
      <c r="AD227" s="38" t="str">
        <f t="shared" si="58"/>
        <v/>
      </c>
      <c r="AE227" s="38" t="str">
        <f t="shared" si="59"/>
        <v/>
      </c>
      <c r="AF227" s="38" t="str">
        <f>IF(ISERROR(IF('Hidrograma afluente'!I234="",0,'Hidrograma afluente'!I234)+Simulação!G227),"",IF('Hidrograma afluente'!I234="",0,'Hidrograma afluente'!I234)+Simulação!G227)</f>
        <v/>
      </c>
      <c r="AG227" s="36" t="s">
        <v>182</v>
      </c>
      <c r="AH227" s="36" t="s">
        <v>182</v>
      </c>
      <c r="AI227" s="48" t="s">
        <v>182</v>
      </c>
      <c r="AJ227" s="36" t="s">
        <v>182</v>
      </c>
      <c r="AK227" s="38" t="str">
        <f>IF(A227="","",IF('Hidrograma afluente'!I234="",0,'Hidrograma afluente'!I234)+Simulação!B227)</f>
        <v/>
      </c>
    </row>
    <row r="228" spans="1:37" s="36" customFormat="1">
      <c r="A228" s="23" t="str">
        <f t="shared" si="49"/>
        <v/>
      </c>
      <c r="B228" s="24" t="str">
        <f>IF(A228="","",IF(A228&gt;tc_lot_i+tc,0,IF('Hidrograma afluente'!B235="","",'Hidrograma afluente'!B235)))</f>
        <v/>
      </c>
      <c r="C228" s="41" t="str">
        <f t="shared" si="50"/>
        <v/>
      </c>
      <c r="D228" s="41" t="str">
        <f t="shared" si="51"/>
        <v/>
      </c>
      <c r="E228" s="41" t="str">
        <f t="shared" si="52"/>
        <v/>
      </c>
      <c r="F228" s="41" t="str">
        <f t="shared" si="53"/>
        <v/>
      </c>
      <c r="G228" s="41" t="str">
        <f t="shared" si="54"/>
        <v/>
      </c>
      <c r="H228" s="43" t="str">
        <f t="shared" si="60"/>
        <v/>
      </c>
      <c r="I228" s="42" t="str">
        <f t="shared" si="55"/>
        <v/>
      </c>
      <c r="J228" s="18"/>
      <c r="K228" s="76"/>
      <c r="M228" s="132">
        <f t="shared" ca="1" si="46"/>
        <v>72.935275059477135</v>
      </c>
      <c r="N228" s="38">
        <f t="shared" si="56"/>
        <v>2.1281249999999998</v>
      </c>
      <c r="O228" s="36">
        <f t="shared" si="57"/>
        <v>56.75</v>
      </c>
      <c r="P228" s="38">
        <f ca="1">IF(ISERROR(IF(O228&lt;fi_h/20,0,(OFFSET('Base de dados'!$A$5,IF(O228&lt;20,1,IF(O228&gt;1000,10,MATCH(O228,Cargas,1))),Coluna_fih,1,1))*(1+0.13*0.25)*(PI()*(fi_h/1000)^2/4)*SQRT(2*9.81*(O228/100-fi_h/2/1000))*1000)),"",IF(O228&lt;fi_h/20,0,(OFFSET('Base de dados'!$A$5,IF(O228&lt;20,1,IF(O228&gt;1000,10,MATCH(O228,Cargas,1))),Coluna_fih,1,1))*(PI()*(fi_h/1000)^2/4)*SQRT(2*9.81*(O228/100-fi_h/2/1000))*1000))</f>
        <v>1.9977750594771417</v>
      </c>
      <c r="Q228" s="38">
        <f ca="1">IF(O228="","",IF(Tipo_Vertedor="Retangular",IF(O228&lt;=cota_s*100,0,IF(Tipo_Vertedor="Retangular",Cd_sr*Lef_sr*((O228/100-cota_s)^(3/2))*1000)),IF(O228&lt;=cota_s*100+fi_s/20,0,(OFFSET('Base de dados'!$A$4,IF(O228&lt;20,1,IF(O228&gt;1000,10,MATCH(O228,Cargas,1))),Coluna_fis,1,1))*(PI()*(fi_s/1000)^2/4)*(2*9.81*(O228/100-cota_s-fi_s/2/1000))^0.5*1000)))</f>
        <v>0</v>
      </c>
      <c r="R228" s="38">
        <f t="shared" ca="1" si="47"/>
        <v>1.9977750594771417</v>
      </c>
      <c r="S228" s="38">
        <f t="shared" ca="1" si="48"/>
        <v>70.9375</v>
      </c>
      <c r="AD228" s="38" t="str">
        <f t="shared" si="58"/>
        <v/>
      </c>
      <c r="AE228" s="38" t="str">
        <f t="shared" si="59"/>
        <v/>
      </c>
      <c r="AF228" s="38" t="str">
        <f>IF(ISERROR(IF('Hidrograma afluente'!I235="",0,'Hidrograma afluente'!I235)+Simulação!G228),"",IF('Hidrograma afluente'!I235="",0,'Hidrograma afluente'!I235)+Simulação!G228)</f>
        <v/>
      </c>
      <c r="AG228" s="36" t="s">
        <v>182</v>
      </c>
      <c r="AH228" s="36" t="s">
        <v>182</v>
      </c>
      <c r="AI228" s="48" t="s">
        <v>182</v>
      </c>
      <c r="AJ228" s="36" t="s">
        <v>182</v>
      </c>
      <c r="AK228" s="38" t="str">
        <f>IF(A228="","",IF('Hidrograma afluente'!I235="",0,'Hidrograma afluente'!I235)+Simulação!B228)</f>
        <v/>
      </c>
    </row>
    <row r="229" spans="1:37" s="36" customFormat="1">
      <c r="A229" s="23" t="str">
        <f t="shared" si="49"/>
        <v/>
      </c>
      <c r="B229" s="24" t="str">
        <f>IF(A229="","",IF(A229&gt;tc_lot_i+tc,0,IF('Hidrograma afluente'!B236="","",'Hidrograma afluente'!B236)))</f>
        <v/>
      </c>
      <c r="C229" s="41" t="str">
        <f t="shared" si="50"/>
        <v/>
      </c>
      <c r="D229" s="41" t="str">
        <f t="shared" si="51"/>
        <v/>
      </c>
      <c r="E229" s="41" t="str">
        <f t="shared" si="52"/>
        <v/>
      </c>
      <c r="F229" s="41" t="str">
        <f t="shared" si="53"/>
        <v/>
      </c>
      <c r="G229" s="41" t="str">
        <f t="shared" si="54"/>
        <v/>
      </c>
      <c r="H229" s="43" t="str">
        <f t="shared" si="60"/>
        <v/>
      </c>
      <c r="I229" s="42" t="str">
        <f t="shared" si="55"/>
        <v/>
      </c>
      <c r="J229" s="18"/>
      <c r="K229" s="76"/>
      <c r="M229" s="132">
        <f t="shared" ca="1" si="46"/>
        <v>73.252311133296246</v>
      </c>
      <c r="N229" s="38">
        <f t="shared" si="56"/>
        <v>2.1374999999999997</v>
      </c>
      <c r="O229" s="36">
        <f t="shared" si="57"/>
        <v>57</v>
      </c>
      <c r="P229" s="38">
        <f ca="1">IF(ISERROR(IF(O229&lt;fi_h/20,0,(OFFSET('Base de dados'!$A$5,IF(O229&lt;20,1,IF(O229&gt;1000,10,MATCH(O229,Cargas,1))),Coluna_fih,1,1))*(1+0.13*0.25)*(PI()*(fi_h/1000)^2/4)*SQRT(2*9.81*(O229/100-fi_h/2/1000))*1000)),"",IF(O229&lt;fi_h/20,0,(OFFSET('Base de dados'!$A$5,IF(O229&lt;20,1,IF(O229&gt;1000,10,MATCH(O229,Cargas,1))),Coluna_fih,1,1))*(PI()*(fi_h/1000)^2/4)*SQRT(2*9.81*(O229/100-fi_h/2/1000))*1000))</f>
        <v>2.0023111332962635</v>
      </c>
      <c r="Q229" s="38">
        <f ca="1">IF(O229="","",IF(Tipo_Vertedor="Retangular",IF(O229&lt;=cota_s*100,0,IF(Tipo_Vertedor="Retangular",Cd_sr*Lef_sr*((O229/100-cota_s)^(3/2))*1000)),IF(O229&lt;=cota_s*100+fi_s/20,0,(OFFSET('Base de dados'!$A$4,IF(O229&lt;20,1,IF(O229&gt;1000,10,MATCH(O229,Cargas,1))),Coluna_fis,1,1))*(PI()*(fi_s/1000)^2/4)*(2*9.81*(O229/100-cota_s-fi_s/2/1000))^0.5*1000)))</f>
        <v>0</v>
      </c>
      <c r="R229" s="38">
        <f t="shared" ca="1" si="47"/>
        <v>2.0023111332962635</v>
      </c>
      <c r="S229" s="38">
        <f t="shared" ca="1" si="48"/>
        <v>71.249999999999986</v>
      </c>
      <c r="AD229" s="38" t="str">
        <f t="shared" si="58"/>
        <v/>
      </c>
      <c r="AE229" s="38" t="str">
        <f t="shared" si="59"/>
        <v/>
      </c>
      <c r="AF229" s="38" t="str">
        <f>IF(ISERROR(IF('Hidrograma afluente'!I236="",0,'Hidrograma afluente'!I236)+Simulação!G229),"",IF('Hidrograma afluente'!I236="",0,'Hidrograma afluente'!I236)+Simulação!G229)</f>
        <v/>
      </c>
      <c r="AG229" s="36" t="s">
        <v>182</v>
      </c>
      <c r="AH229" s="36" t="s">
        <v>182</v>
      </c>
      <c r="AI229" s="48" t="s">
        <v>182</v>
      </c>
      <c r="AJ229" s="36" t="s">
        <v>182</v>
      </c>
      <c r="AK229" s="38" t="str">
        <f>IF(A229="","",IF('Hidrograma afluente'!I236="",0,'Hidrograma afluente'!I236)+Simulação!B229)</f>
        <v/>
      </c>
    </row>
    <row r="230" spans="1:37" s="36" customFormat="1">
      <c r="A230" s="23" t="str">
        <f t="shared" si="49"/>
        <v/>
      </c>
      <c r="B230" s="24" t="str">
        <f>IF(A230="","",IF(A230&gt;tc_lot_i+tc,0,IF('Hidrograma afluente'!B237="","",'Hidrograma afluente'!B237)))</f>
        <v/>
      </c>
      <c r="C230" s="41" t="str">
        <f t="shared" si="50"/>
        <v/>
      </c>
      <c r="D230" s="41" t="str">
        <f t="shared" si="51"/>
        <v/>
      </c>
      <c r="E230" s="41" t="str">
        <f t="shared" si="52"/>
        <v/>
      </c>
      <c r="F230" s="41" t="str">
        <f t="shared" si="53"/>
        <v/>
      </c>
      <c r="G230" s="41" t="str">
        <f t="shared" si="54"/>
        <v/>
      </c>
      <c r="H230" s="43" t="str">
        <f t="shared" si="60"/>
        <v/>
      </c>
      <c r="I230" s="42" t="str">
        <f t="shared" si="55"/>
        <v/>
      </c>
      <c r="J230" s="18"/>
      <c r="K230" s="76"/>
      <c r="M230" s="132">
        <f t="shared" ca="1" si="46"/>
        <v>73.569336954208154</v>
      </c>
      <c r="N230" s="38">
        <f t="shared" si="56"/>
        <v>2.1468750000000001</v>
      </c>
      <c r="O230" s="36">
        <f t="shared" si="57"/>
        <v>57.25</v>
      </c>
      <c r="P230" s="38">
        <f ca="1">IF(ISERROR(IF(O230&lt;fi_h/20,0,(OFFSET('Base de dados'!$A$5,IF(O230&lt;20,1,IF(O230&gt;1000,10,MATCH(O230,Cargas,1))),Coluna_fih,1,1))*(1+0.13*0.25)*(PI()*(fi_h/1000)^2/4)*SQRT(2*9.81*(O230/100-fi_h/2/1000))*1000)),"",IF(O230&lt;fi_h/20,0,(OFFSET('Base de dados'!$A$5,IF(O230&lt;20,1,IF(O230&gt;1000,10,MATCH(O230,Cargas,1))),Coluna_fih,1,1))*(PI()*(fi_h/1000)^2/4)*SQRT(2*9.81*(O230/100-fi_h/2/1000))*1000))</f>
        <v>2.0068369542081474</v>
      </c>
      <c r="Q230" s="38">
        <f ca="1">IF(O230="","",IF(Tipo_Vertedor="Retangular",IF(O230&lt;=cota_s*100,0,IF(Tipo_Vertedor="Retangular",Cd_sr*Lef_sr*((O230/100-cota_s)^(3/2))*1000)),IF(O230&lt;=cota_s*100+fi_s/20,0,(OFFSET('Base de dados'!$A$4,IF(O230&lt;20,1,IF(O230&gt;1000,10,MATCH(O230,Cargas,1))),Coluna_fis,1,1))*(PI()*(fi_s/1000)^2/4)*(2*9.81*(O230/100-cota_s-fi_s/2/1000))^0.5*1000)))</f>
        <v>0</v>
      </c>
      <c r="R230" s="38">
        <f t="shared" ca="1" si="47"/>
        <v>2.0068369542081474</v>
      </c>
      <c r="S230" s="38">
        <f t="shared" ca="1" si="48"/>
        <v>71.5625</v>
      </c>
      <c r="AD230" s="38" t="str">
        <f t="shared" si="58"/>
        <v/>
      </c>
      <c r="AE230" s="38" t="str">
        <f t="shared" si="59"/>
        <v/>
      </c>
      <c r="AF230" s="38" t="str">
        <f>IF(ISERROR(IF('Hidrograma afluente'!I237="",0,'Hidrograma afluente'!I237)+Simulação!G230),"",IF('Hidrograma afluente'!I237="",0,'Hidrograma afluente'!I237)+Simulação!G230)</f>
        <v/>
      </c>
      <c r="AG230" s="36" t="s">
        <v>182</v>
      </c>
      <c r="AH230" s="36" t="s">
        <v>182</v>
      </c>
      <c r="AI230" s="48" t="s">
        <v>182</v>
      </c>
      <c r="AJ230" s="36" t="s">
        <v>182</v>
      </c>
      <c r="AK230" s="38" t="str">
        <f>IF(A230="","",IF('Hidrograma afluente'!I237="",0,'Hidrograma afluente'!I237)+Simulação!B230)</f>
        <v/>
      </c>
    </row>
    <row r="231" spans="1:37" s="36" customFormat="1">
      <c r="A231" s="23" t="str">
        <f t="shared" si="49"/>
        <v/>
      </c>
      <c r="B231" s="24" t="str">
        <f>IF(A231="","",IF(A231&gt;tc_lot_i+tc,0,IF('Hidrograma afluente'!B238="","",'Hidrograma afluente'!B238)))</f>
        <v/>
      </c>
      <c r="C231" s="41" t="str">
        <f t="shared" si="50"/>
        <v/>
      </c>
      <c r="D231" s="41" t="str">
        <f t="shared" si="51"/>
        <v/>
      </c>
      <c r="E231" s="41" t="str">
        <f t="shared" si="52"/>
        <v/>
      </c>
      <c r="F231" s="41" t="str">
        <f t="shared" si="53"/>
        <v/>
      </c>
      <c r="G231" s="41" t="str">
        <f t="shared" si="54"/>
        <v/>
      </c>
      <c r="H231" s="43" t="str">
        <f t="shared" si="60"/>
        <v/>
      </c>
      <c r="I231" s="42" t="str">
        <f t="shared" si="55"/>
        <v/>
      </c>
      <c r="J231" s="18"/>
      <c r="K231" s="76"/>
      <c r="M231" s="132">
        <f t="shared" ca="1" si="46"/>
        <v>73.886352591424171</v>
      </c>
      <c r="N231" s="38">
        <f t="shared" si="56"/>
        <v>2.15625</v>
      </c>
      <c r="O231" s="36">
        <f t="shared" si="57"/>
        <v>57.5</v>
      </c>
      <c r="P231" s="38">
        <f ca="1">IF(ISERROR(IF(O231&lt;fi_h/20,0,(OFFSET('Base de dados'!$A$5,IF(O231&lt;20,1,IF(O231&gt;1000,10,MATCH(O231,Cargas,1))),Coluna_fih,1,1))*(1+0.13*0.25)*(PI()*(fi_h/1000)^2/4)*SQRT(2*9.81*(O231/100-fi_h/2/1000))*1000)),"",IF(O231&lt;fi_h/20,0,(OFFSET('Base de dados'!$A$5,IF(O231&lt;20,1,IF(O231&gt;1000,10,MATCH(O231,Cargas,1))),Coluna_fih,1,1))*(PI()*(fi_h/1000)^2/4)*SQRT(2*9.81*(O231/100-fi_h/2/1000))*1000))</f>
        <v>2.0113525914241648</v>
      </c>
      <c r="Q231" s="38">
        <f ca="1">IF(O231="","",IF(Tipo_Vertedor="Retangular",IF(O231&lt;=cota_s*100,0,IF(Tipo_Vertedor="Retangular",Cd_sr*Lef_sr*((O231/100-cota_s)^(3/2))*1000)),IF(O231&lt;=cota_s*100+fi_s/20,0,(OFFSET('Base de dados'!$A$4,IF(O231&lt;20,1,IF(O231&gt;1000,10,MATCH(O231,Cargas,1))),Coluna_fis,1,1))*(PI()*(fi_s/1000)^2/4)*(2*9.81*(O231/100-cota_s-fi_s/2/1000))^0.5*1000)))</f>
        <v>0</v>
      </c>
      <c r="R231" s="38">
        <f t="shared" ca="1" si="47"/>
        <v>2.0113525914241648</v>
      </c>
      <c r="S231" s="38">
        <f t="shared" ca="1" si="48"/>
        <v>71.875</v>
      </c>
      <c r="AD231" s="38" t="str">
        <f t="shared" si="58"/>
        <v/>
      </c>
      <c r="AE231" s="38" t="str">
        <f t="shared" si="59"/>
        <v/>
      </c>
      <c r="AF231" s="38" t="str">
        <f>IF(ISERROR(IF('Hidrograma afluente'!I238="",0,'Hidrograma afluente'!I238)+Simulação!G231),"",IF('Hidrograma afluente'!I238="",0,'Hidrograma afluente'!I238)+Simulação!G231)</f>
        <v/>
      </c>
      <c r="AG231" s="36" t="s">
        <v>182</v>
      </c>
      <c r="AH231" s="36" t="s">
        <v>182</v>
      </c>
      <c r="AI231" s="48" t="s">
        <v>182</v>
      </c>
      <c r="AJ231" s="36" t="s">
        <v>182</v>
      </c>
      <c r="AK231" s="38" t="str">
        <f>IF(A231="","",IF('Hidrograma afluente'!I238="",0,'Hidrograma afluente'!I238)+Simulação!B231)</f>
        <v/>
      </c>
    </row>
    <row r="232" spans="1:37" s="36" customFormat="1">
      <c r="A232" s="23" t="str">
        <f t="shared" si="49"/>
        <v/>
      </c>
      <c r="B232" s="24" t="str">
        <f>IF(A232="","",IF(A232&gt;tc_lot_i+tc,0,IF('Hidrograma afluente'!B239="","",'Hidrograma afluente'!B239)))</f>
        <v/>
      </c>
      <c r="C232" s="41" t="str">
        <f t="shared" si="50"/>
        <v/>
      </c>
      <c r="D232" s="41" t="str">
        <f t="shared" si="51"/>
        <v/>
      </c>
      <c r="E232" s="41" t="str">
        <f t="shared" si="52"/>
        <v/>
      </c>
      <c r="F232" s="41" t="str">
        <f t="shared" si="53"/>
        <v/>
      </c>
      <c r="G232" s="41" t="str">
        <f t="shared" si="54"/>
        <v/>
      </c>
      <c r="H232" s="43" t="str">
        <f t="shared" si="60"/>
        <v/>
      </c>
      <c r="I232" s="42" t="str">
        <f t="shared" si="55"/>
        <v/>
      </c>
      <c r="J232" s="18"/>
      <c r="K232" s="76"/>
      <c r="M232" s="132">
        <f t="shared" ca="1" si="46"/>
        <v>74.203358113380489</v>
      </c>
      <c r="N232" s="38">
        <f t="shared" si="56"/>
        <v>2.1656249999999999</v>
      </c>
      <c r="O232" s="36">
        <f t="shared" si="57"/>
        <v>57.75</v>
      </c>
      <c r="P232" s="38">
        <f ca="1">IF(ISERROR(IF(O232&lt;fi_h/20,0,(OFFSET('Base de dados'!$A$5,IF(O232&lt;20,1,IF(O232&gt;1000,10,MATCH(O232,Cargas,1))),Coluna_fih,1,1))*(1+0.13*0.25)*(PI()*(fi_h/1000)^2/4)*SQRT(2*9.81*(O232/100-fi_h/2/1000))*1000)),"",IF(O232&lt;fi_h/20,0,(OFFSET('Base de dados'!$A$5,IF(O232&lt;20,1,IF(O232&gt;1000,10,MATCH(O232,Cargas,1))),Coluna_fih,1,1))*(PI()*(fi_h/1000)^2/4)*SQRT(2*9.81*(O232/100-fi_h/2/1000))*1000))</f>
        <v>2.0158581133804958</v>
      </c>
      <c r="Q232" s="38">
        <f ca="1">IF(O232="","",IF(Tipo_Vertedor="Retangular",IF(O232&lt;=cota_s*100,0,IF(Tipo_Vertedor="Retangular",Cd_sr*Lef_sr*((O232/100-cota_s)^(3/2))*1000)),IF(O232&lt;=cota_s*100+fi_s/20,0,(OFFSET('Base de dados'!$A$4,IF(O232&lt;20,1,IF(O232&gt;1000,10,MATCH(O232,Cargas,1))),Coluna_fis,1,1))*(PI()*(fi_s/1000)^2/4)*(2*9.81*(O232/100-cota_s-fi_s/2/1000))^0.5*1000)))</f>
        <v>0</v>
      </c>
      <c r="R232" s="38">
        <f t="shared" ca="1" si="47"/>
        <v>2.0158581133804958</v>
      </c>
      <c r="S232" s="38">
        <f t="shared" ca="1" si="48"/>
        <v>72.1875</v>
      </c>
      <c r="AD232" s="38" t="str">
        <f t="shared" si="58"/>
        <v/>
      </c>
      <c r="AE232" s="38" t="str">
        <f t="shared" si="59"/>
        <v/>
      </c>
      <c r="AF232" s="38" t="str">
        <f>IF(ISERROR(IF('Hidrograma afluente'!I239="",0,'Hidrograma afluente'!I239)+Simulação!G232),"",IF('Hidrograma afluente'!I239="",0,'Hidrograma afluente'!I239)+Simulação!G232)</f>
        <v/>
      </c>
      <c r="AG232" s="36" t="s">
        <v>182</v>
      </c>
      <c r="AH232" s="36" t="s">
        <v>182</v>
      </c>
      <c r="AI232" s="48" t="s">
        <v>182</v>
      </c>
      <c r="AJ232" s="36" t="s">
        <v>182</v>
      </c>
      <c r="AK232" s="38" t="str">
        <f>IF(A232="","",IF('Hidrograma afluente'!I239="",0,'Hidrograma afluente'!I239)+Simulação!B232)</f>
        <v/>
      </c>
    </row>
    <row r="233" spans="1:37" s="36" customFormat="1">
      <c r="A233" s="23" t="str">
        <f t="shared" si="49"/>
        <v/>
      </c>
      <c r="B233" s="24" t="str">
        <f>IF(A233="","",IF(A233&gt;tc_lot_i+tc,0,IF('Hidrograma afluente'!B240="","",'Hidrograma afluente'!B240)))</f>
        <v/>
      </c>
      <c r="C233" s="41" t="str">
        <f t="shared" si="50"/>
        <v/>
      </c>
      <c r="D233" s="41" t="str">
        <f t="shared" si="51"/>
        <v/>
      </c>
      <c r="E233" s="41" t="str">
        <f t="shared" si="52"/>
        <v/>
      </c>
      <c r="F233" s="41" t="str">
        <f t="shared" si="53"/>
        <v/>
      </c>
      <c r="G233" s="41" t="str">
        <f t="shared" si="54"/>
        <v/>
      </c>
      <c r="H233" s="43" t="str">
        <f t="shared" si="60"/>
        <v/>
      </c>
      <c r="I233" s="42" t="str">
        <f t="shared" si="55"/>
        <v/>
      </c>
      <c r="J233" s="18"/>
      <c r="K233" s="76"/>
      <c r="M233" s="132">
        <f t="shared" ca="1" si="46"/>
        <v>74.520353587750236</v>
      </c>
      <c r="N233" s="38">
        <f t="shared" si="56"/>
        <v>2.1749999999999998</v>
      </c>
      <c r="O233" s="36">
        <f t="shared" si="57"/>
        <v>58</v>
      </c>
      <c r="P233" s="38">
        <f ca="1">IF(ISERROR(IF(O233&lt;fi_h/20,0,(OFFSET('Base de dados'!$A$5,IF(O233&lt;20,1,IF(O233&gt;1000,10,MATCH(O233,Cargas,1))),Coluna_fih,1,1))*(1+0.13*0.25)*(PI()*(fi_h/1000)^2/4)*SQRT(2*9.81*(O233/100-fi_h/2/1000))*1000)),"",IF(O233&lt;fi_h/20,0,(OFFSET('Base de dados'!$A$5,IF(O233&lt;20,1,IF(O233&gt;1000,10,MATCH(O233,Cargas,1))),Coluna_fih,1,1))*(PI()*(fi_h/1000)^2/4)*SQRT(2*9.81*(O233/100-fi_h/2/1000))*1000))</f>
        <v>2.020353587750233</v>
      </c>
      <c r="Q233" s="38">
        <f ca="1">IF(O233="","",IF(Tipo_Vertedor="Retangular",IF(O233&lt;=cota_s*100,0,IF(Tipo_Vertedor="Retangular",Cd_sr*Lef_sr*((O233/100-cota_s)^(3/2))*1000)),IF(O233&lt;=cota_s*100+fi_s/20,0,(OFFSET('Base de dados'!$A$4,IF(O233&lt;20,1,IF(O233&gt;1000,10,MATCH(O233,Cargas,1))),Coluna_fis,1,1))*(PI()*(fi_s/1000)^2/4)*(2*9.81*(O233/100-cota_s-fi_s/2/1000))^0.5*1000)))</f>
        <v>0</v>
      </c>
      <c r="R233" s="38">
        <f t="shared" ca="1" si="47"/>
        <v>2.020353587750233</v>
      </c>
      <c r="S233" s="38">
        <f t="shared" ca="1" si="48"/>
        <v>72.5</v>
      </c>
      <c r="AD233" s="38" t="str">
        <f t="shared" si="58"/>
        <v/>
      </c>
      <c r="AE233" s="38" t="str">
        <f t="shared" si="59"/>
        <v/>
      </c>
      <c r="AF233" s="38" t="str">
        <f>IF(ISERROR(IF('Hidrograma afluente'!I240="",0,'Hidrograma afluente'!I240)+Simulação!G233),"",IF('Hidrograma afluente'!I240="",0,'Hidrograma afluente'!I240)+Simulação!G233)</f>
        <v/>
      </c>
      <c r="AG233" s="36" t="s">
        <v>182</v>
      </c>
      <c r="AH233" s="36" t="s">
        <v>182</v>
      </c>
      <c r="AI233" s="48" t="s">
        <v>182</v>
      </c>
      <c r="AJ233" s="36" t="s">
        <v>182</v>
      </c>
      <c r="AK233" s="38" t="str">
        <f>IF(A233="","",IF('Hidrograma afluente'!I240="",0,'Hidrograma afluente'!I240)+Simulação!B233)</f>
        <v/>
      </c>
    </row>
    <row r="234" spans="1:37" s="36" customFormat="1">
      <c r="A234" s="23" t="str">
        <f t="shared" si="49"/>
        <v/>
      </c>
      <c r="B234" s="24" t="str">
        <f>IF(A234="","",IF(A234&gt;tc_lot_i+tc,0,IF('Hidrograma afluente'!B241="","",'Hidrograma afluente'!B241)))</f>
        <v/>
      </c>
      <c r="C234" s="41" t="str">
        <f t="shared" si="50"/>
        <v/>
      </c>
      <c r="D234" s="41" t="str">
        <f t="shared" si="51"/>
        <v/>
      </c>
      <c r="E234" s="41" t="str">
        <f t="shared" si="52"/>
        <v/>
      </c>
      <c r="F234" s="41" t="str">
        <f t="shared" si="53"/>
        <v/>
      </c>
      <c r="G234" s="41" t="str">
        <f t="shared" si="54"/>
        <v/>
      </c>
      <c r="H234" s="43" t="str">
        <f t="shared" si="60"/>
        <v/>
      </c>
      <c r="I234" s="42" t="str">
        <f t="shared" si="55"/>
        <v/>
      </c>
      <c r="J234" s="18"/>
      <c r="K234" s="76"/>
      <c r="M234" s="132">
        <f t="shared" ca="1" si="46"/>
        <v>74.837339081455241</v>
      </c>
      <c r="N234" s="38">
        <f t="shared" si="56"/>
        <v>2.1843750000000002</v>
      </c>
      <c r="O234" s="36">
        <f t="shared" si="57"/>
        <v>58.25</v>
      </c>
      <c r="P234" s="38">
        <f ca="1">IF(ISERROR(IF(O234&lt;fi_h/20,0,(OFFSET('Base de dados'!$A$5,IF(O234&lt;20,1,IF(O234&gt;1000,10,MATCH(O234,Cargas,1))),Coluna_fih,1,1))*(1+0.13*0.25)*(PI()*(fi_h/1000)^2/4)*SQRT(2*9.81*(O234/100-fi_h/2/1000))*1000)),"",IF(O234&lt;fi_h/20,0,(OFFSET('Base de dados'!$A$5,IF(O234&lt;20,1,IF(O234&gt;1000,10,MATCH(O234,Cargas,1))),Coluna_fih,1,1))*(PI()*(fi_h/1000)^2/4)*SQRT(2*9.81*(O234/100-fi_h/2/1000))*1000))</f>
        <v>2.0248390814552417</v>
      </c>
      <c r="Q234" s="38">
        <f ca="1">IF(O234="","",IF(Tipo_Vertedor="Retangular",IF(O234&lt;=cota_s*100,0,IF(Tipo_Vertedor="Retangular",Cd_sr*Lef_sr*((O234/100-cota_s)^(3/2))*1000)),IF(O234&lt;=cota_s*100+fi_s/20,0,(OFFSET('Base de dados'!$A$4,IF(O234&lt;20,1,IF(O234&gt;1000,10,MATCH(O234,Cargas,1))),Coluna_fis,1,1))*(PI()*(fi_s/1000)^2/4)*(2*9.81*(O234/100-cota_s-fi_s/2/1000))^0.5*1000)))</f>
        <v>0</v>
      </c>
      <c r="R234" s="38">
        <f t="shared" ca="1" si="47"/>
        <v>2.0248390814552417</v>
      </c>
      <c r="S234" s="38">
        <f t="shared" ca="1" si="48"/>
        <v>72.8125</v>
      </c>
      <c r="AD234" s="38" t="str">
        <f t="shared" si="58"/>
        <v/>
      </c>
      <c r="AE234" s="38" t="str">
        <f t="shared" si="59"/>
        <v/>
      </c>
      <c r="AF234" s="38" t="str">
        <f>IF(ISERROR(IF('Hidrograma afluente'!I241="",0,'Hidrograma afluente'!I241)+Simulação!G234),"",IF('Hidrograma afluente'!I241="",0,'Hidrograma afluente'!I241)+Simulação!G234)</f>
        <v/>
      </c>
      <c r="AG234" s="36" t="s">
        <v>182</v>
      </c>
      <c r="AH234" s="36" t="s">
        <v>182</v>
      </c>
      <c r="AI234" s="48" t="s">
        <v>182</v>
      </c>
      <c r="AJ234" s="36" t="s">
        <v>182</v>
      </c>
      <c r="AK234" s="38" t="str">
        <f>IF(A234="","",IF('Hidrograma afluente'!I241="",0,'Hidrograma afluente'!I241)+Simulação!B234)</f>
        <v/>
      </c>
    </row>
    <row r="235" spans="1:37" s="36" customFormat="1">
      <c r="A235" s="23" t="str">
        <f t="shared" si="49"/>
        <v/>
      </c>
      <c r="B235" s="24" t="str">
        <f>IF(A235="","",IF(A235&gt;tc_lot_i+tc,0,IF('Hidrograma afluente'!B242="","",'Hidrograma afluente'!B242)))</f>
        <v/>
      </c>
      <c r="C235" s="41" t="str">
        <f t="shared" si="50"/>
        <v/>
      </c>
      <c r="D235" s="41" t="str">
        <f t="shared" si="51"/>
        <v/>
      </c>
      <c r="E235" s="41" t="str">
        <f t="shared" si="52"/>
        <v/>
      </c>
      <c r="F235" s="41" t="str">
        <f t="shared" si="53"/>
        <v/>
      </c>
      <c r="G235" s="41" t="str">
        <f t="shared" si="54"/>
        <v/>
      </c>
      <c r="H235" s="43" t="str">
        <f t="shared" si="60"/>
        <v/>
      </c>
      <c r="I235" s="42" t="str">
        <f t="shared" si="55"/>
        <v/>
      </c>
      <c r="J235" s="18"/>
      <c r="K235" s="76"/>
      <c r="M235" s="132">
        <f t="shared" ca="1" si="46"/>
        <v>75.15431466067777</v>
      </c>
      <c r="N235" s="38">
        <f t="shared" si="56"/>
        <v>2.1937499999999996</v>
      </c>
      <c r="O235" s="36">
        <f t="shared" si="57"/>
        <v>58.5</v>
      </c>
      <c r="P235" s="38">
        <f ca="1">IF(ISERROR(IF(O235&lt;fi_h/20,0,(OFFSET('Base de dados'!$A$5,IF(O235&lt;20,1,IF(O235&gt;1000,10,MATCH(O235,Cargas,1))),Coluna_fih,1,1))*(1+0.13*0.25)*(PI()*(fi_h/1000)^2/4)*SQRT(2*9.81*(O235/100-fi_h/2/1000))*1000)),"",IF(O235&lt;fi_h/20,0,(OFFSET('Base de dados'!$A$5,IF(O235&lt;20,1,IF(O235&gt;1000,10,MATCH(O235,Cargas,1))),Coluna_fih,1,1))*(PI()*(fi_h/1000)^2/4)*SQRT(2*9.81*(O235/100-fi_h/2/1000))*1000))</f>
        <v>2.0293146606777808</v>
      </c>
      <c r="Q235" s="38">
        <f ca="1">IF(O235="","",IF(Tipo_Vertedor="Retangular",IF(O235&lt;=cota_s*100,0,IF(Tipo_Vertedor="Retangular",Cd_sr*Lef_sr*((O235/100-cota_s)^(3/2))*1000)),IF(O235&lt;=cota_s*100+fi_s/20,0,(OFFSET('Base de dados'!$A$4,IF(O235&lt;20,1,IF(O235&gt;1000,10,MATCH(O235,Cargas,1))),Coluna_fis,1,1))*(PI()*(fi_s/1000)^2/4)*(2*9.81*(O235/100-cota_s-fi_s/2/1000))^0.5*1000)))</f>
        <v>0</v>
      </c>
      <c r="R235" s="38">
        <f t="shared" ca="1" si="47"/>
        <v>2.0293146606777808</v>
      </c>
      <c r="S235" s="38">
        <f t="shared" ca="1" si="48"/>
        <v>73.124999999999986</v>
      </c>
      <c r="AD235" s="38" t="str">
        <f t="shared" si="58"/>
        <v/>
      </c>
      <c r="AE235" s="38" t="str">
        <f t="shared" si="59"/>
        <v/>
      </c>
      <c r="AF235" s="38" t="str">
        <f>IF(ISERROR(IF('Hidrograma afluente'!I242="",0,'Hidrograma afluente'!I242)+Simulação!G235),"",IF('Hidrograma afluente'!I242="",0,'Hidrograma afluente'!I242)+Simulação!G235)</f>
        <v/>
      </c>
      <c r="AG235" s="36" t="s">
        <v>182</v>
      </c>
      <c r="AH235" s="36" t="s">
        <v>182</v>
      </c>
      <c r="AI235" s="48" t="s">
        <v>182</v>
      </c>
      <c r="AJ235" s="36" t="s">
        <v>182</v>
      </c>
      <c r="AK235" s="38" t="str">
        <f>IF(A235="","",IF('Hidrograma afluente'!I242="",0,'Hidrograma afluente'!I242)+Simulação!B235)</f>
        <v/>
      </c>
    </row>
    <row r="236" spans="1:37" s="36" customFormat="1">
      <c r="A236" s="23" t="str">
        <f t="shared" si="49"/>
        <v/>
      </c>
      <c r="B236" s="24" t="str">
        <f>IF(A236="","",IF(A236&gt;tc_lot_i+tc,0,IF('Hidrograma afluente'!B243="","",'Hidrograma afluente'!B243)))</f>
        <v/>
      </c>
      <c r="C236" s="41" t="str">
        <f t="shared" si="50"/>
        <v/>
      </c>
      <c r="D236" s="41" t="str">
        <f t="shared" si="51"/>
        <v/>
      </c>
      <c r="E236" s="41" t="str">
        <f t="shared" si="52"/>
        <v/>
      </c>
      <c r="F236" s="41" t="str">
        <f t="shared" si="53"/>
        <v/>
      </c>
      <c r="G236" s="41" t="str">
        <f t="shared" si="54"/>
        <v/>
      </c>
      <c r="H236" s="43" t="str">
        <f t="shared" si="60"/>
        <v/>
      </c>
      <c r="I236" s="42" t="str">
        <f t="shared" si="55"/>
        <v/>
      </c>
      <c r="J236" s="18"/>
      <c r="K236" s="76"/>
      <c r="M236" s="132">
        <f t="shared" ca="1" si="46"/>
        <v>75.471280390871897</v>
      </c>
      <c r="N236" s="38">
        <f t="shared" si="56"/>
        <v>2.203125</v>
      </c>
      <c r="O236" s="36">
        <f t="shared" si="57"/>
        <v>58.75</v>
      </c>
      <c r="P236" s="38">
        <f ca="1">IF(ISERROR(IF(O236&lt;fi_h/20,0,(OFFSET('Base de dados'!$A$5,IF(O236&lt;20,1,IF(O236&gt;1000,10,MATCH(O236,Cargas,1))),Coluna_fih,1,1))*(1+0.13*0.25)*(PI()*(fi_h/1000)^2/4)*SQRT(2*9.81*(O236/100-fi_h/2/1000))*1000)),"",IF(O236&lt;fi_h/20,0,(OFFSET('Base de dados'!$A$5,IF(O236&lt;20,1,IF(O236&gt;1000,10,MATCH(O236,Cargas,1))),Coluna_fih,1,1))*(PI()*(fi_h/1000)^2/4)*SQRT(2*9.81*(O236/100-fi_h/2/1000))*1000))</f>
        <v>2.0337803908718968</v>
      </c>
      <c r="Q236" s="38">
        <f ca="1">IF(O236="","",IF(Tipo_Vertedor="Retangular",IF(O236&lt;=cota_s*100,0,IF(Tipo_Vertedor="Retangular",Cd_sr*Lef_sr*((O236/100-cota_s)^(3/2))*1000)),IF(O236&lt;=cota_s*100+fi_s/20,0,(OFFSET('Base de dados'!$A$4,IF(O236&lt;20,1,IF(O236&gt;1000,10,MATCH(O236,Cargas,1))),Coluna_fis,1,1))*(PI()*(fi_s/1000)^2/4)*(2*9.81*(O236/100-cota_s-fi_s/2/1000))^0.5*1000)))</f>
        <v>0</v>
      </c>
      <c r="R236" s="38">
        <f t="shared" ca="1" si="47"/>
        <v>2.0337803908718968</v>
      </c>
      <c r="S236" s="38">
        <f t="shared" ca="1" si="48"/>
        <v>73.4375</v>
      </c>
      <c r="AD236" s="38" t="str">
        <f t="shared" si="58"/>
        <v/>
      </c>
      <c r="AE236" s="38" t="str">
        <f t="shared" si="59"/>
        <v/>
      </c>
      <c r="AF236" s="38" t="str">
        <f>IF(ISERROR(IF('Hidrograma afluente'!I243="",0,'Hidrograma afluente'!I243)+Simulação!G236),"",IF('Hidrograma afluente'!I243="",0,'Hidrograma afluente'!I243)+Simulação!G236)</f>
        <v/>
      </c>
      <c r="AG236" s="36" t="s">
        <v>182</v>
      </c>
      <c r="AH236" s="36" t="s">
        <v>182</v>
      </c>
      <c r="AI236" s="48" t="s">
        <v>182</v>
      </c>
      <c r="AJ236" s="36" t="s">
        <v>182</v>
      </c>
      <c r="AK236" s="38" t="str">
        <f>IF(A236="","",IF('Hidrograma afluente'!I243="",0,'Hidrograma afluente'!I243)+Simulação!B236)</f>
        <v/>
      </c>
    </row>
    <row r="237" spans="1:37" s="36" customFormat="1">
      <c r="A237" s="23" t="str">
        <f t="shared" si="49"/>
        <v/>
      </c>
      <c r="B237" s="24" t="str">
        <f>IF(A237="","",IF(A237&gt;tc_lot_i+tc,0,IF('Hidrograma afluente'!B244="","",'Hidrograma afluente'!B244)))</f>
        <v/>
      </c>
      <c r="C237" s="41" t="str">
        <f t="shared" si="50"/>
        <v/>
      </c>
      <c r="D237" s="41" t="str">
        <f t="shared" si="51"/>
        <v/>
      </c>
      <c r="E237" s="41" t="str">
        <f t="shared" si="52"/>
        <v/>
      </c>
      <c r="F237" s="41" t="str">
        <f t="shared" si="53"/>
        <v/>
      </c>
      <c r="G237" s="41" t="str">
        <f t="shared" si="54"/>
        <v/>
      </c>
      <c r="H237" s="43" t="str">
        <f t="shared" si="60"/>
        <v/>
      </c>
      <c r="I237" s="42" t="str">
        <f t="shared" si="55"/>
        <v/>
      </c>
      <c r="J237" s="18"/>
      <c r="K237" s="76"/>
      <c r="M237" s="132">
        <f t="shared" ca="1" si="46"/>
        <v>75.788236336774588</v>
      </c>
      <c r="N237" s="38">
        <f t="shared" si="56"/>
        <v>2.2124999999999999</v>
      </c>
      <c r="O237" s="36">
        <f t="shared" si="57"/>
        <v>59</v>
      </c>
      <c r="P237" s="38">
        <f ca="1">IF(ISERROR(IF(O237&lt;fi_h/20,0,(OFFSET('Base de dados'!$A$5,IF(O237&lt;20,1,IF(O237&gt;1000,10,MATCH(O237,Cargas,1))),Coluna_fih,1,1))*(1+0.13*0.25)*(PI()*(fi_h/1000)^2/4)*SQRT(2*9.81*(O237/100-fi_h/2/1000))*1000)),"",IF(O237&lt;fi_h/20,0,(OFFSET('Base de dados'!$A$5,IF(O237&lt;20,1,IF(O237&gt;1000,10,MATCH(O237,Cargas,1))),Coluna_fih,1,1))*(PI()*(fi_h/1000)^2/4)*SQRT(2*9.81*(O237/100-fi_h/2/1000))*1000))</f>
        <v>2.038236336774593</v>
      </c>
      <c r="Q237" s="38">
        <f ca="1">IF(O237="","",IF(Tipo_Vertedor="Retangular",IF(O237&lt;=cota_s*100,0,IF(Tipo_Vertedor="Retangular",Cd_sr*Lef_sr*((O237/100-cota_s)^(3/2))*1000)),IF(O237&lt;=cota_s*100+fi_s/20,0,(OFFSET('Base de dados'!$A$4,IF(O237&lt;20,1,IF(O237&gt;1000,10,MATCH(O237,Cargas,1))),Coluna_fis,1,1))*(PI()*(fi_s/1000)^2/4)*(2*9.81*(O237/100-cota_s-fi_s/2/1000))^0.5*1000)))</f>
        <v>0</v>
      </c>
      <c r="R237" s="38">
        <f t="shared" ca="1" si="47"/>
        <v>2.038236336774593</v>
      </c>
      <c r="S237" s="38">
        <f t="shared" ca="1" si="48"/>
        <v>73.75</v>
      </c>
      <c r="AD237" s="38" t="str">
        <f t="shared" si="58"/>
        <v/>
      </c>
      <c r="AE237" s="38" t="str">
        <f t="shared" si="59"/>
        <v/>
      </c>
      <c r="AF237" s="38" t="str">
        <f>IF(ISERROR(IF('Hidrograma afluente'!I244="",0,'Hidrograma afluente'!I244)+Simulação!G237),"",IF('Hidrograma afluente'!I244="",0,'Hidrograma afluente'!I244)+Simulação!G237)</f>
        <v/>
      </c>
      <c r="AG237" s="36" t="s">
        <v>182</v>
      </c>
      <c r="AH237" s="36" t="s">
        <v>182</v>
      </c>
      <c r="AI237" s="48" t="s">
        <v>182</v>
      </c>
      <c r="AJ237" s="36" t="s">
        <v>182</v>
      </c>
      <c r="AK237" s="38" t="str">
        <f>IF(A237="","",IF('Hidrograma afluente'!I244="",0,'Hidrograma afluente'!I244)+Simulação!B237)</f>
        <v/>
      </c>
    </row>
    <row r="238" spans="1:37" s="36" customFormat="1">
      <c r="A238" s="23" t="str">
        <f t="shared" si="49"/>
        <v/>
      </c>
      <c r="B238" s="24" t="str">
        <f>IF(A238="","",IF(A238&gt;tc_lot_i+tc,0,IF('Hidrograma afluente'!B245="","",'Hidrograma afluente'!B245)))</f>
        <v/>
      </c>
      <c r="C238" s="41" t="str">
        <f t="shared" si="50"/>
        <v/>
      </c>
      <c r="D238" s="41" t="str">
        <f t="shared" si="51"/>
        <v/>
      </c>
      <c r="E238" s="41" t="str">
        <f t="shared" si="52"/>
        <v/>
      </c>
      <c r="F238" s="41" t="str">
        <f t="shared" si="53"/>
        <v/>
      </c>
      <c r="G238" s="41" t="str">
        <f t="shared" si="54"/>
        <v/>
      </c>
      <c r="H238" s="43" t="str">
        <f t="shared" si="60"/>
        <v/>
      </c>
      <c r="I238" s="42" t="str">
        <f t="shared" si="55"/>
        <v/>
      </c>
      <c r="J238" s="18"/>
      <c r="K238" s="76"/>
      <c r="M238" s="132">
        <f t="shared" ca="1" si="46"/>
        <v>76.1051825624168</v>
      </c>
      <c r="N238" s="38">
        <f t="shared" si="56"/>
        <v>2.2218750000000003</v>
      </c>
      <c r="O238" s="36">
        <f t="shared" si="57"/>
        <v>59.25</v>
      </c>
      <c r="P238" s="38">
        <f ca="1">IF(ISERROR(IF(O238&lt;fi_h/20,0,(OFFSET('Base de dados'!$A$5,IF(O238&lt;20,1,IF(O238&gt;1000,10,MATCH(O238,Cargas,1))),Coluna_fih,1,1))*(1+0.13*0.25)*(PI()*(fi_h/1000)^2/4)*SQRT(2*9.81*(O238/100-fi_h/2/1000))*1000)),"",IF(O238&lt;fi_h/20,0,(OFFSET('Base de dados'!$A$5,IF(O238&lt;20,1,IF(O238&gt;1000,10,MATCH(O238,Cargas,1))),Coluna_fih,1,1))*(PI()*(fi_h/1000)^2/4)*SQRT(2*9.81*(O238/100-fi_h/2/1000))*1000))</f>
        <v>2.0426825624167799</v>
      </c>
      <c r="Q238" s="38">
        <f ca="1">IF(O238="","",IF(Tipo_Vertedor="Retangular",IF(O238&lt;=cota_s*100,0,IF(Tipo_Vertedor="Retangular",Cd_sr*Lef_sr*((O238/100-cota_s)^(3/2))*1000)),IF(O238&lt;=cota_s*100+fi_s/20,0,(OFFSET('Base de dados'!$A$4,IF(O238&lt;20,1,IF(O238&gt;1000,10,MATCH(O238,Cargas,1))),Coluna_fis,1,1))*(PI()*(fi_s/1000)^2/4)*(2*9.81*(O238/100-cota_s-fi_s/2/1000))^0.5*1000)))</f>
        <v>0</v>
      </c>
      <c r="R238" s="38">
        <f t="shared" ca="1" si="47"/>
        <v>2.0426825624167799</v>
      </c>
      <c r="S238" s="38">
        <f t="shared" ca="1" si="48"/>
        <v>74.062500000000014</v>
      </c>
      <c r="AD238" s="38" t="str">
        <f t="shared" si="58"/>
        <v/>
      </c>
      <c r="AE238" s="38" t="str">
        <f t="shared" si="59"/>
        <v/>
      </c>
      <c r="AF238" s="38" t="str">
        <f>IF(ISERROR(IF('Hidrograma afluente'!I245="",0,'Hidrograma afluente'!I245)+Simulação!G238),"",IF('Hidrograma afluente'!I245="",0,'Hidrograma afluente'!I245)+Simulação!G238)</f>
        <v/>
      </c>
      <c r="AG238" s="36" t="s">
        <v>182</v>
      </c>
      <c r="AH238" s="36" t="s">
        <v>182</v>
      </c>
      <c r="AI238" s="48" t="s">
        <v>182</v>
      </c>
      <c r="AJ238" s="36" t="s">
        <v>182</v>
      </c>
      <c r="AK238" s="38" t="str">
        <f>IF(A238="","",IF('Hidrograma afluente'!I245="",0,'Hidrograma afluente'!I245)+Simulação!B238)</f>
        <v/>
      </c>
    </row>
    <row r="239" spans="1:37" s="36" customFormat="1">
      <c r="A239" s="23" t="str">
        <f t="shared" si="49"/>
        <v/>
      </c>
      <c r="B239" s="24" t="str">
        <f>IF(A239="","",IF(A239&gt;tc_lot_i+tc,0,IF('Hidrograma afluente'!B246="","",'Hidrograma afluente'!B246)))</f>
        <v/>
      </c>
      <c r="C239" s="41" t="str">
        <f t="shared" si="50"/>
        <v/>
      </c>
      <c r="D239" s="41" t="str">
        <f t="shared" si="51"/>
        <v/>
      </c>
      <c r="E239" s="41" t="str">
        <f t="shared" si="52"/>
        <v/>
      </c>
      <c r="F239" s="41" t="str">
        <f t="shared" si="53"/>
        <v/>
      </c>
      <c r="G239" s="41" t="str">
        <f t="shared" si="54"/>
        <v/>
      </c>
      <c r="H239" s="43" t="str">
        <f t="shared" si="60"/>
        <v/>
      </c>
      <c r="I239" s="42" t="str">
        <f t="shared" si="55"/>
        <v/>
      </c>
      <c r="J239" s="18"/>
      <c r="K239" s="76"/>
      <c r="M239" s="132">
        <f t="shared" ca="1" si="46"/>
        <v>76.422119131133996</v>
      </c>
      <c r="N239" s="38">
        <f t="shared" si="56"/>
        <v>2.2312499999999997</v>
      </c>
      <c r="O239" s="36">
        <f t="shared" si="57"/>
        <v>59.5</v>
      </c>
      <c r="P239" s="38">
        <f ca="1">IF(ISERROR(IF(O239&lt;fi_h/20,0,(OFFSET('Base de dados'!$A$5,IF(O239&lt;20,1,IF(O239&gt;1000,10,MATCH(O239,Cargas,1))),Coluna_fih,1,1))*(1+0.13*0.25)*(PI()*(fi_h/1000)^2/4)*SQRT(2*9.81*(O239/100-fi_h/2/1000))*1000)),"",IF(O239&lt;fi_h/20,0,(OFFSET('Base de dados'!$A$5,IF(O239&lt;20,1,IF(O239&gt;1000,10,MATCH(O239,Cargas,1))),Coluna_fih,1,1))*(PI()*(fi_h/1000)^2/4)*SQRT(2*9.81*(O239/100-fi_h/2/1000))*1000))</f>
        <v>2.0471191311340062</v>
      </c>
      <c r="Q239" s="38">
        <f ca="1">IF(O239="","",IF(Tipo_Vertedor="Retangular",IF(O239&lt;=cota_s*100,0,IF(Tipo_Vertedor="Retangular",Cd_sr*Lef_sr*((O239/100-cota_s)^(3/2))*1000)),IF(O239&lt;=cota_s*100+fi_s/20,0,(OFFSET('Base de dados'!$A$4,IF(O239&lt;20,1,IF(O239&gt;1000,10,MATCH(O239,Cargas,1))),Coluna_fis,1,1))*(PI()*(fi_s/1000)^2/4)*(2*9.81*(O239/100-cota_s-fi_s/2/1000))^0.5*1000)))</f>
        <v>0</v>
      </c>
      <c r="R239" s="38">
        <f t="shared" ca="1" si="47"/>
        <v>2.0471191311340062</v>
      </c>
      <c r="S239" s="38">
        <f t="shared" ca="1" si="48"/>
        <v>74.374999999999986</v>
      </c>
      <c r="AD239" s="38" t="str">
        <f t="shared" si="58"/>
        <v/>
      </c>
      <c r="AE239" s="38" t="str">
        <f t="shared" si="59"/>
        <v/>
      </c>
      <c r="AF239" s="38" t="str">
        <f>IF(ISERROR(IF('Hidrograma afluente'!I246="",0,'Hidrograma afluente'!I246)+Simulação!G239),"",IF('Hidrograma afluente'!I246="",0,'Hidrograma afluente'!I246)+Simulação!G239)</f>
        <v/>
      </c>
      <c r="AG239" s="36" t="s">
        <v>182</v>
      </c>
      <c r="AH239" s="36" t="s">
        <v>182</v>
      </c>
      <c r="AI239" s="48" t="s">
        <v>182</v>
      </c>
      <c r="AJ239" s="36" t="s">
        <v>182</v>
      </c>
      <c r="AK239" s="38" t="str">
        <f>IF(A239="","",IF('Hidrograma afluente'!I246="",0,'Hidrograma afluente'!I246)+Simulação!B239)</f>
        <v/>
      </c>
    </row>
    <row r="240" spans="1:37" s="36" customFormat="1">
      <c r="A240" s="23" t="str">
        <f t="shared" si="49"/>
        <v/>
      </c>
      <c r="B240" s="24" t="str">
        <f>IF(A240="","",IF(A240&gt;tc_lot_i+tc,0,IF('Hidrograma afluente'!B247="","",'Hidrograma afluente'!B247)))</f>
        <v/>
      </c>
      <c r="C240" s="41" t="str">
        <f t="shared" si="50"/>
        <v/>
      </c>
      <c r="D240" s="41" t="str">
        <f t="shared" si="51"/>
        <v/>
      </c>
      <c r="E240" s="41" t="str">
        <f t="shared" si="52"/>
        <v/>
      </c>
      <c r="F240" s="41" t="str">
        <f t="shared" si="53"/>
        <v/>
      </c>
      <c r="G240" s="41" t="str">
        <f t="shared" si="54"/>
        <v/>
      </c>
      <c r="H240" s="43" t="str">
        <f t="shared" si="60"/>
        <v/>
      </c>
      <c r="I240" s="42" t="str">
        <f t="shared" si="55"/>
        <v/>
      </c>
      <c r="J240" s="18"/>
      <c r="K240" s="76"/>
      <c r="M240" s="132">
        <f t="shared" ca="1" si="46"/>
        <v>76.739046105576989</v>
      </c>
      <c r="N240" s="38">
        <f t="shared" si="56"/>
        <v>2.2406250000000001</v>
      </c>
      <c r="O240" s="36">
        <f t="shared" si="57"/>
        <v>59.75</v>
      </c>
      <c r="P240" s="38">
        <f ca="1">IF(ISERROR(IF(O240&lt;fi_h/20,0,(OFFSET('Base de dados'!$A$5,IF(O240&lt;20,1,IF(O240&gt;1000,10,MATCH(O240,Cargas,1))),Coluna_fih,1,1))*(1+0.13*0.25)*(PI()*(fi_h/1000)^2/4)*SQRT(2*9.81*(O240/100-fi_h/2/1000))*1000)),"",IF(O240&lt;fi_h/20,0,(OFFSET('Base de dados'!$A$5,IF(O240&lt;20,1,IF(O240&gt;1000,10,MATCH(O240,Cargas,1))),Coluna_fih,1,1))*(PI()*(fi_h/1000)^2/4)*SQRT(2*9.81*(O240/100-fi_h/2/1000))*1000))</f>
        <v>2.0515461055769912</v>
      </c>
      <c r="Q240" s="38">
        <f ca="1">IF(O240="","",IF(Tipo_Vertedor="Retangular",IF(O240&lt;=cota_s*100,0,IF(Tipo_Vertedor="Retangular",Cd_sr*Lef_sr*((O240/100-cota_s)^(3/2))*1000)),IF(O240&lt;=cota_s*100+fi_s/20,0,(OFFSET('Base de dados'!$A$4,IF(O240&lt;20,1,IF(O240&gt;1000,10,MATCH(O240,Cargas,1))),Coluna_fis,1,1))*(PI()*(fi_s/1000)^2/4)*(2*9.81*(O240/100-cota_s-fi_s/2/1000))^0.5*1000)))</f>
        <v>0</v>
      </c>
      <c r="R240" s="38">
        <f t="shared" ca="1" si="47"/>
        <v>2.0515461055769912</v>
      </c>
      <c r="S240" s="38">
        <f t="shared" ca="1" si="48"/>
        <v>74.6875</v>
      </c>
      <c r="AD240" s="38" t="str">
        <f t="shared" si="58"/>
        <v/>
      </c>
      <c r="AE240" s="38" t="str">
        <f t="shared" si="59"/>
        <v/>
      </c>
      <c r="AF240" s="38" t="str">
        <f>IF(ISERROR(IF('Hidrograma afluente'!I247="",0,'Hidrograma afluente'!I247)+Simulação!G240),"",IF('Hidrograma afluente'!I247="",0,'Hidrograma afluente'!I247)+Simulação!G240)</f>
        <v/>
      </c>
      <c r="AG240" s="36" t="s">
        <v>182</v>
      </c>
      <c r="AH240" s="36" t="s">
        <v>182</v>
      </c>
      <c r="AI240" s="48" t="s">
        <v>182</v>
      </c>
      <c r="AJ240" s="36" t="s">
        <v>182</v>
      </c>
      <c r="AK240" s="38" t="str">
        <f>IF(A240="","",IF('Hidrograma afluente'!I247="",0,'Hidrograma afluente'!I247)+Simulação!B240)</f>
        <v/>
      </c>
    </row>
    <row r="241" spans="1:37" s="36" customFormat="1">
      <c r="A241" s="23" t="str">
        <f t="shared" si="49"/>
        <v/>
      </c>
      <c r="B241" s="24" t="str">
        <f>IF(A241="","",IF(A241&gt;tc_lot_i+tc,0,IF('Hidrograma afluente'!B248="","",'Hidrograma afluente'!B248)))</f>
        <v/>
      </c>
      <c r="C241" s="41" t="str">
        <f t="shared" si="50"/>
        <v/>
      </c>
      <c r="D241" s="41" t="str">
        <f t="shared" si="51"/>
        <v/>
      </c>
      <c r="E241" s="41" t="str">
        <f t="shared" si="52"/>
        <v/>
      </c>
      <c r="F241" s="41" t="str">
        <f t="shared" si="53"/>
        <v/>
      </c>
      <c r="G241" s="41" t="str">
        <f t="shared" si="54"/>
        <v/>
      </c>
      <c r="H241" s="43" t="str">
        <f t="shared" si="60"/>
        <v/>
      </c>
      <c r="I241" s="42" t="str">
        <f t="shared" si="55"/>
        <v/>
      </c>
      <c r="J241" s="18"/>
      <c r="K241" s="76"/>
      <c r="M241" s="132">
        <f t="shared" ca="1" si="46"/>
        <v>77.049384464369226</v>
      </c>
      <c r="N241" s="38">
        <f t="shared" si="56"/>
        <v>2.25</v>
      </c>
      <c r="O241" s="36">
        <f t="shared" si="57"/>
        <v>60</v>
      </c>
      <c r="P241" s="38">
        <f ca="1">IF(ISERROR(IF(O241&lt;fi_h/20,0,(OFFSET('Base de dados'!$A$5,IF(O241&lt;20,1,IF(O241&gt;1000,10,MATCH(O241,Cargas,1))),Coluna_fih,1,1))*(1+0.13*0.25)*(PI()*(fi_h/1000)^2/4)*SQRT(2*9.81*(O241/100-fi_h/2/1000))*1000)),"",IF(O241&lt;fi_h/20,0,(OFFSET('Base de dados'!$A$5,IF(O241&lt;20,1,IF(O241&gt;1000,10,MATCH(O241,Cargas,1))),Coluna_fih,1,1))*(PI()*(fi_h/1000)^2/4)*SQRT(2*9.81*(O241/100-fi_h/2/1000))*1000))</f>
        <v>2.0493844643692296</v>
      </c>
      <c r="Q241" s="38">
        <f ca="1">IF(O241="","",IF(Tipo_Vertedor="Retangular",IF(O241&lt;=cota_s*100,0,IF(Tipo_Vertedor="Retangular",Cd_sr*Lef_sr*((O241/100-cota_s)^(3/2))*1000)),IF(O241&lt;=cota_s*100+fi_s/20,0,(OFFSET('Base de dados'!$A$4,IF(O241&lt;20,1,IF(O241&gt;1000,10,MATCH(O241,Cargas,1))),Coluna_fis,1,1))*(PI()*(fi_s/1000)^2/4)*(2*9.81*(O241/100-cota_s-fi_s/2/1000))^0.5*1000)))</f>
        <v>0</v>
      </c>
      <c r="R241" s="38">
        <f t="shared" ca="1" si="47"/>
        <v>2.0493844643692296</v>
      </c>
      <c r="S241" s="38">
        <f t="shared" ca="1" si="48"/>
        <v>75</v>
      </c>
      <c r="AD241" s="38" t="str">
        <f t="shared" si="58"/>
        <v/>
      </c>
      <c r="AE241" s="38" t="str">
        <f t="shared" si="59"/>
        <v/>
      </c>
      <c r="AF241" s="38" t="str">
        <f>IF(ISERROR(IF('Hidrograma afluente'!I248="",0,'Hidrograma afluente'!I248)+Simulação!G241),"",IF('Hidrograma afluente'!I248="",0,'Hidrograma afluente'!I248)+Simulação!G241)</f>
        <v/>
      </c>
      <c r="AG241" s="36" t="s">
        <v>182</v>
      </c>
      <c r="AH241" s="36" t="s">
        <v>182</v>
      </c>
      <c r="AI241" s="48" t="s">
        <v>182</v>
      </c>
      <c r="AJ241" s="36" t="s">
        <v>182</v>
      </c>
      <c r="AK241" s="38" t="str">
        <f>IF(A241="","",IF('Hidrograma afluente'!I248="",0,'Hidrograma afluente'!I248)+Simulação!B241)</f>
        <v/>
      </c>
    </row>
    <row r="242" spans="1:37" s="36" customFormat="1">
      <c r="A242" s="23" t="str">
        <f t="shared" si="49"/>
        <v/>
      </c>
      <c r="B242" s="24" t="str">
        <f>IF(A242="","",IF(A242&gt;tc_lot_i+tc,0,IF('Hidrograma afluente'!B249="","",'Hidrograma afluente'!B249)))</f>
        <v/>
      </c>
      <c r="C242" s="41" t="str">
        <f t="shared" si="50"/>
        <v/>
      </c>
      <c r="D242" s="41" t="str">
        <f t="shared" si="51"/>
        <v/>
      </c>
      <c r="E242" s="41" t="str">
        <f t="shared" si="52"/>
        <v/>
      </c>
      <c r="F242" s="41" t="str">
        <f t="shared" si="53"/>
        <v/>
      </c>
      <c r="G242" s="41" t="str">
        <f t="shared" si="54"/>
        <v/>
      </c>
      <c r="H242" s="43" t="str">
        <f t="shared" si="60"/>
        <v/>
      </c>
      <c r="I242" s="42" t="str">
        <f t="shared" si="55"/>
        <v/>
      </c>
      <c r="J242" s="18"/>
      <c r="K242" s="76"/>
      <c r="M242" s="132">
        <f t="shared" ca="1" si="46"/>
        <v>77.366278330020265</v>
      </c>
      <c r="N242" s="38">
        <f t="shared" si="56"/>
        <v>2.2593750000000004</v>
      </c>
      <c r="O242" s="36">
        <f t="shared" si="57"/>
        <v>60.25</v>
      </c>
      <c r="P242" s="38">
        <f ca="1">IF(ISERROR(IF(O242&lt;fi_h/20,0,(OFFSET('Base de dados'!$A$5,IF(O242&lt;20,1,IF(O242&gt;1000,10,MATCH(O242,Cargas,1))),Coluna_fih,1,1))*(1+0.13*0.25)*(PI()*(fi_h/1000)^2/4)*SQRT(2*9.81*(O242/100-fi_h/2/1000))*1000)),"",IF(O242&lt;fi_h/20,0,(OFFSET('Base de dados'!$A$5,IF(O242&lt;20,1,IF(O242&gt;1000,10,MATCH(O242,Cargas,1))),Coluna_fih,1,1))*(PI()*(fi_h/1000)^2/4)*SQRT(2*9.81*(O242/100-fi_h/2/1000))*1000))</f>
        <v>2.0537783300202554</v>
      </c>
      <c r="Q242" s="38">
        <f ca="1">IF(O242="","",IF(Tipo_Vertedor="Retangular",IF(O242&lt;=cota_s*100,0,IF(Tipo_Vertedor="Retangular",Cd_sr*Lef_sr*((O242/100-cota_s)^(3/2))*1000)),IF(O242&lt;=cota_s*100+fi_s/20,0,(OFFSET('Base de dados'!$A$4,IF(O242&lt;20,1,IF(O242&gt;1000,10,MATCH(O242,Cargas,1))),Coluna_fis,1,1))*(PI()*(fi_s/1000)^2/4)*(2*9.81*(O242/100-cota_s-fi_s/2/1000))^0.5*1000)))</f>
        <v>0</v>
      </c>
      <c r="R242" s="38">
        <f t="shared" ca="1" si="47"/>
        <v>2.0537783300202554</v>
      </c>
      <c r="S242" s="38">
        <f t="shared" ca="1" si="48"/>
        <v>75.312500000000014</v>
      </c>
      <c r="AD242" s="38" t="str">
        <f t="shared" si="58"/>
        <v/>
      </c>
      <c r="AE242" s="38" t="str">
        <f t="shared" si="59"/>
        <v/>
      </c>
      <c r="AF242" s="38" t="str">
        <f>IF(ISERROR(IF('Hidrograma afluente'!I249="",0,'Hidrograma afluente'!I249)+Simulação!G242),"",IF('Hidrograma afluente'!I249="",0,'Hidrograma afluente'!I249)+Simulação!G242)</f>
        <v/>
      </c>
      <c r="AG242" s="36" t="s">
        <v>182</v>
      </c>
      <c r="AH242" s="36" t="s">
        <v>182</v>
      </c>
      <c r="AI242" s="48" t="s">
        <v>182</v>
      </c>
      <c r="AJ242" s="36" t="s">
        <v>182</v>
      </c>
      <c r="AK242" s="38" t="str">
        <f>IF(A242="","",IF('Hidrograma afluente'!I249="",0,'Hidrograma afluente'!I249)+Simulação!B242)</f>
        <v/>
      </c>
    </row>
    <row r="243" spans="1:37" s="36" customFormat="1">
      <c r="A243" s="23" t="str">
        <f t="shared" si="49"/>
        <v/>
      </c>
      <c r="B243" s="24" t="str">
        <f>IF(A243="","",IF(A243&gt;tc_lot_i+tc,0,IF('Hidrograma afluente'!B250="","",'Hidrograma afluente'!B250)))</f>
        <v/>
      </c>
      <c r="C243" s="41" t="str">
        <f t="shared" si="50"/>
        <v/>
      </c>
      <c r="D243" s="41" t="str">
        <f t="shared" si="51"/>
        <v/>
      </c>
      <c r="E243" s="41" t="str">
        <f t="shared" si="52"/>
        <v/>
      </c>
      <c r="F243" s="41" t="str">
        <f t="shared" si="53"/>
        <v/>
      </c>
      <c r="G243" s="41" t="str">
        <f t="shared" si="54"/>
        <v/>
      </c>
      <c r="H243" s="43" t="str">
        <f t="shared" si="60"/>
        <v/>
      </c>
      <c r="I243" s="42" t="str">
        <f t="shared" si="55"/>
        <v/>
      </c>
      <c r="J243" s="18"/>
      <c r="K243" s="76"/>
      <c r="M243" s="132">
        <f t="shared" ca="1" si="46"/>
        <v>77.683162815455475</v>
      </c>
      <c r="N243" s="38">
        <f t="shared" si="56"/>
        <v>2.2687499999999998</v>
      </c>
      <c r="O243" s="36">
        <f t="shared" si="57"/>
        <v>60.5</v>
      </c>
      <c r="P243" s="38">
        <f ca="1">IF(ISERROR(IF(O243&lt;fi_h/20,0,(OFFSET('Base de dados'!$A$5,IF(O243&lt;20,1,IF(O243&gt;1000,10,MATCH(O243,Cargas,1))),Coluna_fih,1,1))*(1+0.13*0.25)*(PI()*(fi_h/1000)^2/4)*SQRT(2*9.81*(O243/100-fi_h/2/1000))*1000)),"",IF(O243&lt;fi_h/20,0,(OFFSET('Base de dados'!$A$5,IF(O243&lt;20,1,IF(O243&gt;1000,10,MATCH(O243,Cargas,1))),Coluna_fih,1,1))*(PI()*(fi_h/1000)^2/4)*SQRT(2*9.81*(O243/100-fi_h/2/1000))*1000))</f>
        <v>2.058162815455479</v>
      </c>
      <c r="Q243" s="38">
        <f ca="1">IF(O243="","",IF(Tipo_Vertedor="Retangular",IF(O243&lt;=cota_s*100,0,IF(Tipo_Vertedor="Retangular",Cd_sr*Lef_sr*((O243/100-cota_s)^(3/2))*1000)),IF(O243&lt;=cota_s*100+fi_s/20,0,(OFFSET('Base de dados'!$A$4,IF(O243&lt;20,1,IF(O243&gt;1000,10,MATCH(O243,Cargas,1))),Coluna_fis,1,1))*(PI()*(fi_s/1000)^2/4)*(2*9.81*(O243/100-cota_s-fi_s/2/1000))^0.5*1000)))</f>
        <v>0</v>
      </c>
      <c r="R243" s="38">
        <f t="shared" ca="1" si="47"/>
        <v>2.058162815455479</v>
      </c>
      <c r="S243" s="38">
        <f t="shared" ca="1" si="48"/>
        <v>75.625</v>
      </c>
      <c r="AD243" s="38" t="str">
        <f t="shared" si="58"/>
        <v/>
      </c>
      <c r="AE243" s="38" t="str">
        <f t="shared" si="59"/>
        <v/>
      </c>
      <c r="AF243" s="38" t="str">
        <f>IF(ISERROR(IF('Hidrograma afluente'!I250="",0,'Hidrograma afluente'!I250)+Simulação!G243),"",IF('Hidrograma afluente'!I250="",0,'Hidrograma afluente'!I250)+Simulação!G243)</f>
        <v/>
      </c>
      <c r="AG243" s="36" t="s">
        <v>182</v>
      </c>
      <c r="AH243" s="36" t="s">
        <v>182</v>
      </c>
      <c r="AI243" s="48" t="s">
        <v>182</v>
      </c>
      <c r="AJ243" s="36" t="s">
        <v>182</v>
      </c>
      <c r="AK243" s="38" t="str">
        <f>IF(A243="","",IF('Hidrograma afluente'!I250="",0,'Hidrograma afluente'!I250)+Simulação!B243)</f>
        <v/>
      </c>
    </row>
    <row r="244" spans="1:37" s="36" customFormat="1">
      <c r="A244" s="23" t="str">
        <f t="shared" si="49"/>
        <v/>
      </c>
      <c r="B244" s="24" t="str">
        <f>IF(A244="","",IF(A244&gt;tc_lot_i+tc,0,IF('Hidrograma afluente'!B251="","",'Hidrograma afluente'!B251)))</f>
        <v/>
      </c>
      <c r="C244" s="41" t="str">
        <f t="shared" si="50"/>
        <v/>
      </c>
      <c r="D244" s="41" t="str">
        <f t="shared" si="51"/>
        <v/>
      </c>
      <c r="E244" s="41" t="str">
        <f t="shared" si="52"/>
        <v/>
      </c>
      <c r="F244" s="41" t="str">
        <f t="shared" si="53"/>
        <v/>
      </c>
      <c r="G244" s="41" t="str">
        <f t="shared" si="54"/>
        <v/>
      </c>
      <c r="H244" s="43" t="str">
        <f t="shared" si="60"/>
        <v/>
      </c>
      <c r="I244" s="42" t="str">
        <f t="shared" si="55"/>
        <v/>
      </c>
      <c r="J244" s="18"/>
      <c r="K244" s="76"/>
      <c r="M244" s="132">
        <f t="shared" ca="1" si="46"/>
        <v>78.000037980495506</v>
      </c>
      <c r="N244" s="38">
        <f t="shared" si="56"/>
        <v>2.2781250000000002</v>
      </c>
      <c r="O244" s="36">
        <f t="shared" si="57"/>
        <v>60.75</v>
      </c>
      <c r="P244" s="38">
        <f ca="1">IF(ISERROR(IF(O244&lt;fi_h/20,0,(OFFSET('Base de dados'!$A$5,IF(O244&lt;20,1,IF(O244&gt;1000,10,MATCH(O244,Cargas,1))),Coluna_fih,1,1))*(1+0.13*0.25)*(PI()*(fi_h/1000)^2/4)*SQRT(2*9.81*(O244/100-fi_h/2/1000))*1000)),"",IF(O244&lt;fi_h/20,0,(OFFSET('Base de dados'!$A$5,IF(O244&lt;20,1,IF(O244&gt;1000,10,MATCH(O244,Cargas,1))),Coluna_fih,1,1))*(PI()*(fi_h/1000)^2/4)*SQRT(2*9.81*(O244/100-fi_h/2/1000))*1000))</f>
        <v>2.0625379804955011</v>
      </c>
      <c r="Q244" s="38">
        <f ca="1">IF(O244="","",IF(Tipo_Vertedor="Retangular",IF(O244&lt;=cota_s*100,0,IF(Tipo_Vertedor="Retangular",Cd_sr*Lef_sr*((O244/100-cota_s)^(3/2))*1000)),IF(O244&lt;=cota_s*100+fi_s/20,0,(OFFSET('Base de dados'!$A$4,IF(O244&lt;20,1,IF(O244&gt;1000,10,MATCH(O244,Cargas,1))),Coluna_fis,1,1))*(PI()*(fi_s/1000)^2/4)*(2*9.81*(O244/100-cota_s-fi_s/2/1000))^0.5*1000)))</f>
        <v>0</v>
      </c>
      <c r="R244" s="38">
        <f t="shared" ca="1" si="47"/>
        <v>2.0625379804955011</v>
      </c>
      <c r="S244" s="38">
        <f t="shared" ca="1" si="48"/>
        <v>75.9375</v>
      </c>
      <c r="AD244" s="38" t="str">
        <f t="shared" si="58"/>
        <v/>
      </c>
      <c r="AE244" s="38" t="str">
        <f t="shared" si="59"/>
        <v/>
      </c>
      <c r="AF244" s="38" t="str">
        <f>IF(ISERROR(IF('Hidrograma afluente'!I251="",0,'Hidrograma afluente'!I251)+Simulação!G244),"",IF('Hidrograma afluente'!I251="",0,'Hidrograma afluente'!I251)+Simulação!G244)</f>
        <v/>
      </c>
      <c r="AG244" s="36" t="s">
        <v>182</v>
      </c>
      <c r="AH244" s="36" t="s">
        <v>182</v>
      </c>
      <c r="AI244" s="48" t="s">
        <v>182</v>
      </c>
      <c r="AJ244" s="36" t="s">
        <v>182</v>
      </c>
      <c r="AK244" s="38" t="str">
        <f>IF(A244="","",IF('Hidrograma afluente'!I251="",0,'Hidrograma afluente'!I251)+Simulação!B244)</f>
        <v/>
      </c>
    </row>
    <row r="245" spans="1:37" s="36" customFormat="1">
      <c r="A245" s="23" t="str">
        <f t="shared" si="49"/>
        <v/>
      </c>
      <c r="B245" s="24" t="str">
        <f>IF(A245="","",IF(A245&gt;tc_lot_i+tc,0,IF('Hidrograma afluente'!B252="","",'Hidrograma afluente'!B252)))</f>
        <v/>
      </c>
      <c r="C245" s="41" t="str">
        <f t="shared" si="50"/>
        <v/>
      </c>
      <c r="D245" s="41" t="str">
        <f t="shared" si="51"/>
        <v/>
      </c>
      <c r="E245" s="41" t="str">
        <f t="shared" si="52"/>
        <v/>
      </c>
      <c r="F245" s="41" t="str">
        <f t="shared" si="53"/>
        <v/>
      </c>
      <c r="G245" s="41" t="str">
        <f t="shared" si="54"/>
        <v/>
      </c>
      <c r="H245" s="43" t="str">
        <f t="shared" si="60"/>
        <v/>
      </c>
      <c r="I245" s="42" t="str">
        <f t="shared" si="55"/>
        <v/>
      </c>
      <c r="J245" s="18"/>
      <c r="K245" s="76"/>
      <c r="M245" s="132">
        <f t="shared" ca="1" si="46"/>
        <v>78.316903884327786</v>
      </c>
      <c r="N245" s="38">
        <f t="shared" si="56"/>
        <v>2.2875000000000001</v>
      </c>
      <c r="O245" s="36">
        <f t="shared" si="57"/>
        <v>61</v>
      </c>
      <c r="P245" s="38">
        <f ca="1">IF(ISERROR(IF(O245&lt;fi_h/20,0,(OFFSET('Base de dados'!$A$5,IF(O245&lt;20,1,IF(O245&gt;1000,10,MATCH(O245,Cargas,1))),Coluna_fih,1,1))*(1+0.13*0.25)*(PI()*(fi_h/1000)^2/4)*SQRT(2*9.81*(O245/100-fi_h/2/1000))*1000)),"",IF(O245&lt;fi_h/20,0,(OFFSET('Base de dados'!$A$5,IF(O245&lt;20,1,IF(O245&gt;1000,10,MATCH(O245,Cargas,1))),Coluna_fih,1,1))*(PI()*(fi_h/1000)^2/4)*SQRT(2*9.81*(O245/100-fi_h/2/1000))*1000))</f>
        <v>2.0669038843277869</v>
      </c>
      <c r="Q245" s="38">
        <f ca="1">IF(O245="","",IF(Tipo_Vertedor="Retangular",IF(O245&lt;=cota_s*100,0,IF(Tipo_Vertedor="Retangular",Cd_sr*Lef_sr*((O245/100-cota_s)^(3/2))*1000)),IF(O245&lt;=cota_s*100+fi_s/20,0,(OFFSET('Base de dados'!$A$4,IF(O245&lt;20,1,IF(O245&gt;1000,10,MATCH(O245,Cargas,1))),Coluna_fis,1,1))*(PI()*(fi_s/1000)^2/4)*(2*9.81*(O245/100-cota_s-fi_s/2/1000))^0.5*1000)))</f>
        <v>0</v>
      </c>
      <c r="R245" s="38">
        <f t="shared" ca="1" si="47"/>
        <v>2.0669038843277869</v>
      </c>
      <c r="S245" s="38">
        <f t="shared" ca="1" si="48"/>
        <v>76.25</v>
      </c>
      <c r="AD245" s="38" t="str">
        <f t="shared" si="58"/>
        <v/>
      </c>
      <c r="AE245" s="38" t="str">
        <f t="shared" si="59"/>
        <v/>
      </c>
      <c r="AF245" s="38" t="str">
        <f>IF(ISERROR(IF('Hidrograma afluente'!I252="",0,'Hidrograma afluente'!I252)+Simulação!G245),"",IF('Hidrograma afluente'!I252="",0,'Hidrograma afluente'!I252)+Simulação!G245)</f>
        <v/>
      </c>
      <c r="AG245" s="36" t="s">
        <v>182</v>
      </c>
      <c r="AH245" s="36" t="s">
        <v>182</v>
      </c>
      <c r="AI245" s="48" t="s">
        <v>182</v>
      </c>
      <c r="AJ245" s="36" t="s">
        <v>182</v>
      </c>
      <c r="AK245" s="38" t="str">
        <f>IF(A245="","",IF('Hidrograma afluente'!I252="",0,'Hidrograma afluente'!I252)+Simulação!B245)</f>
        <v/>
      </c>
    </row>
    <row r="246" spans="1:37" s="36" customFormat="1">
      <c r="A246" s="23" t="str">
        <f t="shared" si="49"/>
        <v/>
      </c>
      <c r="B246" s="24" t="str">
        <f>IF(A246="","",IF(A246&gt;tc_lot_i+tc,0,IF('Hidrograma afluente'!B253="","",'Hidrograma afluente'!B253)))</f>
        <v/>
      </c>
      <c r="C246" s="41" t="str">
        <f t="shared" si="50"/>
        <v/>
      </c>
      <c r="D246" s="41" t="str">
        <f t="shared" si="51"/>
        <v/>
      </c>
      <c r="E246" s="41" t="str">
        <f t="shared" si="52"/>
        <v/>
      </c>
      <c r="F246" s="41" t="str">
        <f t="shared" si="53"/>
        <v/>
      </c>
      <c r="G246" s="41" t="str">
        <f t="shared" si="54"/>
        <v/>
      </c>
      <c r="H246" s="43" t="str">
        <f t="shared" si="60"/>
        <v/>
      </c>
      <c r="I246" s="42" t="str">
        <f t="shared" si="55"/>
        <v/>
      </c>
      <c r="J246" s="18"/>
      <c r="K246" s="76"/>
      <c r="M246" s="132">
        <f t="shared" ca="1" si="46"/>
        <v>78.633760585516015</v>
      </c>
      <c r="N246" s="38">
        <f t="shared" si="56"/>
        <v>2.296875</v>
      </c>
      <c r="O246" s="36">
        <f t="shared" si="57"/>
        <v>61.25</v>
      </c>
      <c r="P246" s="38">
        <f ca="1">IF(ISERROR(IF(O246&lt;fi_h/20,0,(OFFSET('Base de dados'!$A$5,IF(O246&lt;20,1,IF(O246&gt;1000,10,MATCH(O246,Cargas,1))),Coluna_fih,1,1))*(1+0.13*0.25)*(PI()*(fi_h/1000)^2/4)*SQRT(2*9.81*(O246/100-fi_h/2/1000))*1000)),"",IF(O246&lt;fi_h/20,0,(OFFSET('Base de dados'!$A$5,IF(O246&lt;20,1,IF(O246&gt;1000,10,MATCH(O246,Cargas,1))),Coluna_fih,1,1))*(PI()*(fi_h/1000)^2/4)*SQRT(2*9.81*(O246/100-fi_h/2/1000))*1000))</f>
        <v>2.0712605855160109</v>
      </c>
      <c r="Q246" s="38">
        <f ca="1">IF(O246="","",IF(Tipo_Vertedor="Retangular",IF(O246&lt;=cota_s*100,0,IF(Tipo_Vertedor="Retangular",Cd_sr*Lef_sr*((O246/100-cota_s)^(3/2))*1000)),IF(O246&lt;=cota_s*100+fi_s/20,0,(OFFSET('Base de dados'!$A$4,IF(O246&lt;20,1,IF(O246&gt;1000,10,MATCH(O246,Cargas,1))),Coluna_fis,1,1))*(PI()*(fi_s/1000)^2/4)*(2*9.81*(O246/100-cota_s-fi_s/2/1000))^0.5*1000)))</f>
        <v>0</v>
      </c>
      <c r="R246" s="38">
        <f t="shared" ca="1" si="47"/>
        <v>2.0712605855160109</v>
      </c>
      <c r="S246" s="38">
        <f t="shared" ca="1" si="48"/>
        <v>76.5625</v>
      </c>
      <c r="AD246" s="38" t="str">
        <f t="shared" si="58"/>
        <v/>
      </c>
      <c r="AE246" s="38" t="str">
        <f t="shared" si="59"/>
        <v/>
      </c>
      <c r="AF246" s="38" t="str">
        <f>IF(ISERROR(IF('Hidrograma afluente'!I253="",0,'Hidrograma afluente'!I253)+Simulação!G246),"",IF('Hidrograma afluente'!I253="",0,'Hidrograma afluente'!I253)+Simulação!G246)</f>
        <v/>
      </c>
      <c r="AG246" s="36" t="s">
        <v>182</v>
      </c>
      <c r="AH246" s="36" t="s">
        <v>182</v>
      </c>
      <c r="AI246" s="48" t="s">
        <v>182</v>
      </c>
      <c r="AJ246" s="36" t="s">
        <v>182</v>
      </c>
      <c r="AK246" s="38" t="str">
        <f>IF(A246="","",IF('Hidrograma afluente'!I253="",0,'Hidrograma afluente'!I253)+Simulação!B246)</f>
        <v/>
      </c>
    </row>
    <row r="247" spans="1:37" s="36" customFormat="1">
      <c r="A247" s="23" t="str">
        <f t="shared" si="49"/>
        <v/>
      </c>
      <c r="B247" s="24" t="str">
        <f>IF(A247="","",IF(A247&gt;tc_lot_i+tc,0,IF('Hidrograma afluente'!B254="","",'Hidrograma afluente'!B254)))</f>
        <v/>
      </c>
      <c r="C247" s="41" t="str">
        <f t="shared" si="50"/>
        <v/>
      </c>
      <c r="D247" s="41" t="str">
        <f t="shared" si="51"/>
        <v/>
      </c>
      <c r="E247" s="41" t="str">
        <f t="shared" si="52"/>
        <v/>
      </c>
      <c r="F247" s="41" t="str">
        <f t="shared" si="53"/>
        <v/>
      </c>
      <c r="G247" s="41" t="str">
        <f t="shared" si="54"/>
        <v/>
      </c>
      <c r="H247" s="43" t="str">
        <f t="shared" si="60"/>
        <v/>
      </c>
      <c r="I247" s="42" t="str">
        <f t="shared" si="55"/>
        <v/>
      </c>
      <c r="J247" s="18"/>
      <c r="K247" s="76"/>
      <c r="M247" s="132">
        <f t="shared" ca="1" si="46"/>
        <v>78.950608142009216</v>
      </c>
      <c r="N247" s="38">
        <f t="shared" si="56"/>
        <v>2.3062499999999999</v>
      </c>
      <c r="O247" s="36">
        <f t="shared" si="57"/>
        <v>61.5</v>
      </c>
      <c r="P247" s="38">
        <f ca="1">IF(ISERROR(IF(O247&lt;fi_h/20,0,(OFFSET('Base de dados'!$A$5,IF(O247&lt;20,1,IF(O247&gt;1000,10,MATCH(O247,Cargas,1))),Coluna_fih,1,1))*(1+0.13*0.25)*(PI()*(fi_h/1000)^2/4)*SQRT(2*9.81*(O247/100-fi_h/2/1000))*1000)),"",IF(O247&lt;fi_h/20,0,(OFFSET('Base de dados'!$A$5,IF(O247&lt;20,1,IF(O247&gt;1000,10,MATCH(O247,Cargas,1))),Coluna_fih,1,1))*(PI()*(fi_h/1000)^2/4)*SQRT(2*9.81*(O247/100-fi_h/2/1000))*1000))</f>
        <v>2.0756081420092189</v>
      </c>
      <c r="Q247" s="38">
        <f ca="1">IF(O247="","",IF(Tipo_Vertedor="Retangular",IF(O247&lt;=cota_s*100,0,IF(Tipo_Vertedor="Retangular",Cd_sr*Lef_sr*((O247/100-cota_s)^(3/2))*1000)),IF(O247&lt;=cota_s*100+fi_s/20,0,(OFFSET('Base de dados'!$A$4,IF(O247&lt;20,1,IF(O247&gt;1000,10,MATCH(O247,Cargas,1))),Coluna_fis,1,1))*(PI()*(fi_s/1000)^2/4)*(2*9.81*(O247/100-cota_s-fi_s/2/1000))^0.5*1000)))</f>
        <v>0</v>
      </c>
      <c r="R247" s="38">
        <f t="shared" ca="1" si="47"/>
        <v>2.0756081420092189</v>
      </c>
      <c r="S247" s="38">
        <f t="shared" ca="1" si="48"/>
        <v>76.875</v>
      </c>
      <c r="AD247" s="38" t="str">
        <f t="shared" si="58"/>
        <v/>
      </c>
      <c r="AE247" s="38" t="str">
        <f t="shared" si="59"/>
        <v/>
      </c>
      <c r="AF247" s="38" t="str">
        <f>IF(ISERROR(IF('Hidrograma afluente'!I254="",0,'Hidrograma afluente'!I254)+Simulação!G247),"",IF('Hidrograma afluente'!I254="",0,'Hidrograma afluente'!I254)+Simulação!G247)</f>
        <v/>
      </c>
      <c r="AG247" s="36" t="s">
        <v>182</v>
      </c>
      <c r="AH247" s="36" t="s">
        <v>182</v>
      </c>
      <c r="AI247" s="48" t="s">
        <v>182</v>
      </c>
      <c r="AJ247" s="36" t="s">
        <v>182</v>
      </c>
      <c r="AK247" s="38" t="str">
        <f>IF(A247="","",IF('Hidrograma afluente'!I254="",0,'Hidrograma afluente'!I254)+Simulação!B247)</f>
        <v/>
      </c>
    </row>
    <row r="248" spans="1:37" s="36" customFormat="1">
      <c r="A248" s="23" t="str">
        <f t="shared" si="49"/>
        <v/>
      </c>
      <c r="B248" s="24" t="str">
        <f>IF(A248="","",IF(A248&gt;tc_lot_i+tc,0,IF('Hidrograma afluente'!B255="","",'Hidrograma afluente'!B255)))</f>
        <v/>
      </c>
      <c r="C248" s="41" t="str">
        <f t="shared" si="50"/>
        <v/>
      </c>
      <c r="D248" s="41" t="str">
        <f t="shared" si="51"/>
        <v/>
      </c>
      <c r="E248" s="41" t="str">
        <f t="shared" si="52"/>
        <v/>
      </c>
      <c r="F248" s="41" t="str">
        <f t="shared" si="53"/>
        <v/>
      </c>
      <c r="G248" s="41" t="str">
        <f t="shared" si="54"/>
        <v/>
      </c>
      <c r="H248" s="43" t="str">
        <f t="shared" si="60"/>
        <v/>
      </c>
      <c r="I248" s="42" t="str">
        <f t="shared" si="55"/>
        <v/>
      </c>
      <c r="J248" s="18"/>
      <c r="K248" s="76"/>
      <c r="M248" s="132">
        <f t="shared" ca="1" si="46"/>
        <v>79.267446611150831</v>
      </c>
      <c r="N248" s="38">
        <f t="shared" si="56"/>
        <v>2.3156250000000003</v>
      </c>
      <c r="O248" s="36">
        <f t="shared" si="57"/>
        <v>61.75</v>
      </c>
      <c r="P248" s="38">
        <f ca="1">IF(ISERROR(IF(O248&lt;fi_h/20,0,(OFFSET('Base de dados'!$A$5,IF(O248&lt;20,1,IF(O248&gt;1000,10,MATCH(O248,Cargas,1))),Coluna_fih,1,1))*(1+0.13*0.25)*(PI()*(fi_h/1000)^2/4)*SQRT(2*9.81*(O248/100-fi_h/2/1000))*1000)),"",IF(O248&lt;fi_h/20,0,(OFFSET('Base de dados'!$A$5,IF(O248&lt;20,1,IF(O248&gt;1000,10,MATCH(O248,Cargas,1))),Coluna_fih,1,1))*(PI()*(fi_h/1000)^2/4)*SQRT(2*9.81*(O248/100-fi_h/2/1000))*1000))</f>
        <v>2.0799466111508238</v>
      </c>
      <c r="Q248" s="38">
        <f ca="1">IF(O248="","",IF(Tipo_Vertedor="Retangular",IF(O248&lt;=cota_s*100,0,IF(Tipo_Vertedor="Retangular",Cd_sr*Lef_sr*((O248/100-cota_s)^(3/2))*1000)),IF(O248&lt;=cota_s*100+fi_s/20,0,(OFFSET('Base de dados'!$A$4,IF(O248&lt;20,1,IF(O248&gt;1000,10,MATCH(O248,Cargas,1))),Coluna_fis,1,1))*(PI()*(fi_s/1000)^2/4)*(2*9.81*(O248/100-cota_s-fi_s/2/1000))^0.5*1000)))</f>
        <v>0</v>
      </c>
      <c r="R248" s="38">
        <f t="shared" ca="1" si="47"/>
        <v>2.0799466111508238</v>
      </c>
      <c r="S248" s="38">
        <f t="shared" ca="1" si="48"/>
        <v>77.187500000000014</v>
      </c>
      <c r="AD248" s="38" t="str">
        <f t="shared" si="58"/>
        <v/>
      </c>
      <c r="AE248" s="38" t="str">
        <f t="shared" si="59"/>
        <v/>
      </c>
      <c r="AF248" s="38" t="str">
        <f>IF(ISERROR(IF('Hidrograma afluente'!I255="",0,'Hidrograma afluente'!I255)+Simulação!G248),"",IF('Hidrograma afluente'!I255="",0,'Hidrograma afluente'!I255)+Simulação!G248)</f>
        <v/>
      </c>
      <c r="AG248" s="36" t="s">
        <v>182</v>
      </c>
      <c r="AH248" s="36" t="s">
        <v>182</v>
      </c>
      <c r="AI248" s="48" t="s">
        <v>182</v>
      </c>
      <c r="AJ248" s="36" t="s">
        <v>182</v>
      </c>
      <c r="AK248" s="38" t="str">
        <f>IF(A248="","",IF('Hidrograma afluente'!I255="",0,'Hidrograma afluente'!I255)+Simulação!B248)</f>
        <v/>
      </c>
    </row>
    <row r="249" spans="1:37" s="36" customFormat="1">
      <c r="A249" s="23" t="str">
        <f t="shared" si="49"/>
        <v/>
      </c>
      <c r="B249" s="24" t="str">
        <f>IF(A249="","",IF(A249&gt;tc_lot_i+tc,0,IF('Hidrograma afluente'!B256="","",'Hidrograma afluente'!B256)))</f>
        <v/>
      </c>
      <c r="C249" s="41" t="str">
        <f t="shared" si="50"/>
        <v/>
      </c>
      <c r="D249" s="41" t="str">
        <f t="shared" si="51"/>
        <v/>
      </c>
      <c r="E249" s="41" t="str">
        <f t="shared" si="52"/>
        <v/>
      </c>
      <c r="F249" s="41" t="str">
        <f t="shared" si="53"/>
        <v/>
      </c>
      <c r="G249" s="41" t="str">
        <f t="shared" si="54"/>
        <v/>
      </c>
      <c r="H249" s="43" t="str">
        <f t="shared" si="60"/>
        <v/>
      </c>
      <c r="I249" s="42" t="str">
        <f t="shared" si="55"/>
        <v/>
      </c>
      <c r="J249" s="18"/>
      <c r="K249" s="76"/>
      <c r="M249" s="132">
        <f t="shared" ca="1" si="46"/>
        <v>79.584276049687432</v>
      </c>
      <c r="N249" s="38">
        <f t="shared" si="56"/>
        <v>2.3250000000000002</v>
      </c>
      <c r="O249" s="36">
        <f t="shared" si="57"/>
        <v>62</v>
      </c>
      <c r="P249" s="38">
        <f ca="1">IF(ISERROR(IF(O249&lt;fi_h/20,0,(OFFSET('Base de dados'!$A$5,IF(O249&lt;20,1,IF(O249&gt;1000,10,MATCH(O249,Cargas,1))),Coluna_fih,1,1))*(1+0.13*0.25)*(PI()*(fi_h/1000)^2/4)*SQRT(2*9.81*(O249/100-fi_h/2/1000))*1000)),"",IF(O249&lt;fi_h/20,0,(OFFSET('Base de dados'!$A$5,IF(O249&lt;20,1,IF(O249&gt;1000,10,MATCH(O249,Cargas,1))),Coluna_fih,1,1))*(PI()*(fi_h/1000)^2/4)*SQRT(2*9.81*(O249/100-fi_h/2/1000))*1000))</f>
        <v>2.084276049687428</v>
      </c>
      <c r="Q249" s="38">
        <f ca="1">IF(O249="","",IF(Tipo_Vertedor="Retangular",IF(O249&lt;=cota_s*100,0,IF(Tipo_Vertedor="Retangular",Cd_sr*Lef_sr*((O249/100-cota_s)^(3/2))*1000)),IF(O249&lt;=cota_s*100+fi_s/20,0,(OFFSET('Base de dados'!$A$4,IF(O249&lt;20,1,IF(O249&gt;1000,10,MATCH(O249,Cargas,1))),Coluna_fis,1,1))*(PI()*(fi_s/1000)^2/4)*(2*9.81*(O249/100-cota_s-fi_s/2/1000))^0.5*1000)))</f>
        <v>0</v>
      </c>
      <c r="R249" s="38">
        <f t="shared" ca="1" si="47"/>
        <v>2.084276049687428</v>
      </c>
      <c r="S249" s="38">
        <f t="shared" ca="1" si="48"/>
        <v>77.5</v>
      </c>
      <c r="AD249" s="38" t="str">
        <f t="shared" si="58"/>
        <v/>
      </c>
      <c r="AE249" s="38" t="str">
        <f t="shared" si="59"/>
        <v/>
      </c>
      <c r="AF249" s="38" t="str">
        <f>IF(ISERROR(IF('Hidrograma afluente'!I256="",0,'Hidrograma afluente'!I256)+Simulação!G249),"",IF('Hidrograma afluente'!I256="",0,'Hidrograma afluente'!I256)+Simulação!G249)</f>
        <v/>
      </c>
      <c r="AG249" s="36" t="s">
        <v>182</v>
      </c>
      <c r="AH249" s="36" t="s">
        <v>182</v>
      </c>
      <c r="AI249" s="48" t="s">
        <v>182</v>
      </c>
      <c r="AJ249" s="36" t="s">
        <v>182</v>
      </c>
      <c r="AK249" s="38" t="str">
        <f>IF(A249="","",IF('Hidrograma afluente'!I256="",0,'Hidrograma afluente'!I256)+Simulação!B249)</f>
        <v/>
      </c>
    </row>
    <row r="250" spans="1:37" s="36" customFormat="1">
      <c r="A250" s="23" t="str">
        <f t="shared" si="49"/>
        <v/>
      </c>
      <c r="B250" s="24" t="str">
        <f>IF(A250="","",IF(A250&gt;tc_lot_i+tc,0,IF('Hidrograma afluente'!B257="","",'Hidrograma afluente'!B257)))</f>
        <v/>
      </c>
      <c r="C250" s="41" t="str">
        <f t="shared" si="50"/>
        <v/>
      </c>
      <c r="D250" s="41" t="str">
        <f t="shared" si="51"/>
        <v/>
      </c>
      <c r="E250" s="41" t="str">
        <f t="shared" si="52"/>
        <v/>
      </c>
      <c r="F250" s="41" t="str">
        <f t="shared" si="53"/>
        <v/>
      </c>
      <c r="G250" s="41" t="str">
        <f t="shared" si="54"/>
        <v/>
      </c>
      <c r="H250" s="43" t="str">
        <f t="shared" si="60"/>
        <v/>
      </c>
      <c r="I250" s="42" t="str">
        <f t="shared" si="55"/>
        <v/>
      </c>
      <c r="J250" s="18"/>
      <c r="K250" s="76"/>
      <c r="M250" s="132">
        <f t="shared" ca="1" si="46"/>
        <v>79.901096513777489</v>
      </c>
      <c r="N250" s="38">
        <f t="shared" si="56"/>
        <v>2.3343750000000001</v>
      </c>
      <c r="O250" s="36">
        <f t="shared" si="57"/>
        <v>62.25</v>
      </c>
      <c r="P250" s="38">
        <f ca="1">IF(ISERROR(IF(O250&lt;fi_h/20,0,(OFFSET('Base de dados'!$A$5,IF(O250&lt;20,1,IF(O250&gt;1000,10,MATCH(O250,Cargas,1))),Coluna_fih,1,1))*(1+0.13*0.25)*(PI()*(fi_h/1000)^2/4)*SQRT(2*9.81*(O250/100-fi_h/2/1000))*1000)),"",IF(O250&lt;fi_h/20,0,(OFFSET('Base de dados'!$A$5,IF(O250&lt;20,1,IF(O250&gt;1000,10,MATCH(O250,Cargas,1))),Coluna_fih,1,1))*(PI()*(fi_h/1000)^2/4)*SQRT(2*9.81*(O250/100-fi_h/2/1000))*1000))</f>
        <v>2.0885965137774858</v>
      </c>
      <c r="Q250" s="38">
        <f ca="1">IF(O250="","",IF(Tipo_Vertedor="Retangular",IF(O250&lt;=cota_s*100,0,IF(Tipo_Vertedor="Retangular",Cd_sr*Lef_sr*((O250/100-cota_s)^(3/2))*1000)),IF(O250&lt;=cota_s*100+fi_s/20,0,(OFFSET('Base de dados'!$A$4,IF(O250&lt;20,1,IF(O250&gt;1000,10,MATCH(O250,Cargas,1))),Coluna_fis,1,1))*(PI()*(fi_s/1000)^2/4)*(2*9.81*(O250/100-cota_s-fi_s/2/1000))^0.5*1000)))</f>
        <v>0</v>
      </c>
      <c r="R250" s="38">
        <f t="shared" ca="1" si="47"/>
        <v>2.0885965137774858</v>
      </c>
      <c r="S250" s="38">
        <f t="shared" ca="1" si="48"/>
        <v>77.8125</v>
      </c>
      <c r="AD250" s="38" t="str">
        <f t="shared" si="58"/>
        <v/>
      </c>
      <c r="AE250" s="38" t="str">
        <f t="shared" si="59"/>
        <v/>
      </c>
      <c r="AF250" s="38" t="str">
        <f>IF(ISERROR(IF('Hidrograma afluente'!I257="",0,'Hidrograma afluente'!I257)+Simulação!G250),"",IF('Hidrograma afluente'!I257="",0,'Hidrograma afluente'!I257)+Simulação!G250)</f>
        <v/>
      </c>
      <c r="AG250" s="36" t="s">
        <v>182</v>
      </c>
      <c r="AH250" s="36" t="s">
        <v>182</v>
      </c>
      <c r="AI250" s="48" t="s">
        <v>182</v>
      </c>
      <c r="AJ250" s="36" t="s">
        <v>182</v>
      </c>
      <c r="AK250" s="38" t="str">
        <f>IF(A250="","",IF('Hidrograma afluente'!I257="",0,'Hidrograma afluente'!I257)+Simulação!B250)</f>
        <v/>
      </c>
    </row>
    <row r="251" spans="1:37" s="36" customFormat="1">
      <c r="A251" s="23" t="str">
        <f t="shared" si="49"/>
        <v/>
      </c>
      <c r="B251" s="24" t="str">
        <f>IF(A251="","",IF(A251&gt;tc_lot_i+tc,0,IF('Hidrograma afluente'!B258="","",'Hidrograma afluente'!B258)))</f>
        <v/>
      </c>
      <c r="C251" s="41" t="str">
        <f t="shared" si="50"/>
        <v/>
      </c>
      <c r="D251" s="41" t="str">
        <f t="shared" si="51"/>
        <v/>
      </c>
      <c r="E251" s="41" t="str">
        <f t="shared" si="52"/>
        <v/>
      </c>
      <c r="F251" s="41" t="str">
        <f t="shared" si="53"/>
        <v/>
      </c>
      <c r="G251" s="41" t="str">
        <f t="shared" si="54"/>
        <v/>
      </c>
      <c r="H251" s="43" t="str">
        <f t="shared" si="60"/>
        <v/>
      </c>
      <c r="I251" s="42" t="str">
        <f t="shared" si="55"/>
        <v/>
      </c>
      <c r="J251" s="18"/>
      <c r="K251" s="76"/>
      <c r="M251" s="132">
        <f t="shared" ca="1" si="46"/>
        <v>80.217908058999797</v>
      </c>
      <c r="N251" s="38">
        <f t="shared" si="56"/>
        <v>2.34375</v>
      </c>
      <c r="O251" s="36">
        <f t="shared" si="57"/>
        <v>62.5</v>
      </c>
      <c r="P251" s="38">
        <f ca="1">IF(ISERROR(IF(O251&lt;fi_h/20,0,(OFFSET('Base de dados'!$A$5,IF(O251&lt;20,1,IF(O251&gt;1000,10,MATCH(O251,Cargas,1))),Coluna_fih,1,1))*(1+0.13*0.25)*(PI()*(fi_h/1000)^2/4)*SQRT(2*9.81*(O251/100-fi_h/2/1000))*1000)),"",IF(O251&lt;fi_h/20,0,(OFFSET('Base de dados'!$A$5,IF(O251&lt;20,1,IF(O251&gt;1000,10,MATCH(O251,Cargas,1))),Coluna_fih,1,1))*(PI()*(fi_h/1000)^2/4)*SQRT(2*9.81*(O251/100-fi_h/2/1000))*1000))</f>
        <v>2.0929080589997979</v>
      </c>
      <c r="Q251" s="38">
        <f ca="1">IF(O251="","",IF(Tipo_Vertedor="Retangular",IF(O251&lt;=cota_s*100,0,IF(Tipo_Vertedor="Retangular",Cd_sr*Lef_sr*((O251/100-cota_s)^(3/2))*1000)),IF(O251&lt;=cota_s*100+fi_s/20,0,(OFFSET('Base de dados'!$A$4,IF(O251&lt;20,1,IF(O251&gt;1000,10,MATCH(O251,Cargas,1))),Coluna_fis,1,1))*(PI()*(fi_s/1000)^2/4)*(2*9.81*(O251/100-cota_s-fi_s/2/1000))^0.5*1000)))</f>
        <v>0</v>
      </c>
      <c r="R251" s="38">
        <f t="shared" ca="1" si="47"/>
        <v>2.0929080589997979</v>
      </c>
      <c r="S251" s="38">
        <f t="shared" ca="1" si="48"/>
        <v>78.125</v>
      </c>
      <c r="AD251" s="38" t="str">
        <f t="shared" si="58"/>
        <v/>
      </c>
      <c r="AE251" s="38" t="str">
        <f t="shared" si="59"/>
        <v/>
      </c>
      <c r="AF251" s="38" t="str">
        <f>IF(ISERROR(IF('Hidrograma afluente'!I258="",0,'Hidrograma afluente'!I258)+Simulação!G251),"",IF('Hidrograma afluente'!I258="",0,'Hidrograma afluente'!I258)+Simulação!G251)</f>
        <v/>
      </c>
      <c r="AG251" s="36" t="s">
        <v>182</v>
      </c>
      <c r="AH251" s="36" t="s">
        <v>182</v>
      </c>
      <c r="AI251" s="48" t="s">
        <v>182</v>
      </c>
      <c r="AJ251" s="36" t="s">
        <v>182</v>
      </c>
      <c r="AK251" s="38" t="str">
        <f>IF(A251="","",IF('Hidrograma afluente'!I258="",0,'Hidrograma afluente'!I258)+Simulação!B251)</f>
        <v/>
      </c>
    </row>
    <row r="252" spans="1:37" s="36" customFormat="1">
      <c r="A252" s="23" t="str">
        <f t="shared" si="49"/>
        <v/>
      </c>
      <c r="B252" s="24" t="str">
        <f>IF(A252="","",IF(A252&gt;tc_lot_i+tc,0,IF('Hidrograma afluente'!B259="","",'Hidrograma afluente'!B259)))</f>
        <v/>
      </c>
      <c r="C252" s="41" t="str">
        <f t="shared" si="50"/>
        <v/>
      </c>
      <c r="D252" s="41" t="str">
        <f t="shared" si="51"/>
        <v/>
      </c>
      <c r="E252" s="41" t="str">
        <f t="shared" si="52"/>
        <v/>
      </c>
      <c r="F252" s="41" t="str">
        <f t="shared" si="53"/>
        <v/>
      </c>
      <c r="G252" s="41" t="str">
        <f t="shared" si="54"/>
        <v/>
      </c>
      <c r="H252" s="43" t="str">
        <f t="shared" si="60"/>
        <v/>
      </c>
      <c r="I252" s="42" t="str">
        <f t="shared" si="55"/>
        <v/>
      </c>
      <c r="J252" s="18"/>
      <c r="K252" s="76"/>
      <c r="M252" s="132">
        <f t="shared" ca="1" si="46"/>
        <v>80.534710740361859</v>
      </c>
      <c r="N252" s="38">
        <f t="shared" si="56"/>
        <v>2.3531249999999999</v>
      </c>
      <c r="O252" s="36">
        <f t="shared" si="57"/>
        <v>62.75</v>
      </c>
      <c r="P252" s="38">
        <f ca="1">IF(ISERROR(IF(O252&lt;fi_h/20,0,(OFFSET('Base de dados'!$A$5,IF(O252&lt;20,1,IF(O252&gt;1000,10,MATCH(O252,Cargas,1))),Coluna_fih,1,1))*(1+0.13*0.25)*(PI()*(fi_h/1000)^2/4)*SQRT(2*9.81*(O252/100-fi_h/2/1000))*1000)),"",IF(O252&lt;fi_h/20,0,(OFFSET('Base de dados'!$A$5,IF(O252&lt;20,1,IF(O252&gt;1000,10,MATCH(O252,Cargas,1))),Coluna_fih,1,1))*(PI()*(fi_h/1000)^2/4)*SQRT(2*9.81*(O252/100-fi_h/2/1000))*1000))</f>
        <v>2.0972107403618585</v>
      </c>
      <c r="Q252" s="38">
        <f ca="1">IF(O252="","",IF(Tipo_Vertedor="Retangular",IF(O252&lt;=cota_s*100,0,IF(Tipo_Vertedor="Retangular",Cd_sr*Lef_sr*((O252/100-cota_s)^(3/2))*1000)),IF(O252&lt;=cota_s*100+fi_s/20,0,(OFFSET('Base de dados'!$A$4,IF(O252&lt;20,1,IF(O252&gt;1000,10,MATCH(O252,Cargas,1))),Coluna_fis,1,1))*(PI()*(fi_s/1000)^2/4)*(2*9.81*(O252/100-cota_s-fi_s/2/1000))^0.5*1000)))</f>
        <v>0</v>
      </c>
      <c r="R252" s="38">
        <f t="shared" ca="1" si="47"/>
        <v>2.0972107403618585</v>
      </c>
      <c r="S252" s="38">
        <f t="shared" ca="1" si="48"/>
        <v>78.4375</v>
      </c>
      <c r="AD252" s="38" t="str">
        <f t="shared" si="58"/>
        <v/>
      </c>
      <c r="AE252" s="38" t="str">
        <f t="shared" si="59"/>
        <v/>
      </c>
      <c r="AF252" s="38" t="str">
        <f>IF(ISERROR(IF('Hidrograma afluente'!I259="",0,'Hidrograma afluente'!I259)+Simulação!G252),"",IF('Hidrograma afluente'!I259="",0,'Hidrograma afluente'!I259)+Simulação!G252)</f>
        <v/>
      </c>
      <c r="AG252" s="36" t="s">
        <v>182</v>
      </c>
      <c r="AH252" s="36" t="s">
        <v>182</v>
      </c>
      <c r="AI252" s="48" t="s">
        <v>182</v>
      </c>
      <c r="AJ252" s="36" t="s">
        <v>182</v>
      </c>
      <c r="AK252" s="38" t="str">
        <f>IF(A252="","",IF('Hidrograma afluente'!I259="",0,'Hidrograma afluente'!I259)+Simulação!B252)</f>
        <v/>
      </c>
    </row>
    <row r="253" spans="1:37" s="36" customFormat="1">
      <c r="A253" s="23" t="str">
        <f t="shared" si="49"/>
        <v/>
      </c>
      <c r="B253" s="24" t="str">
        <f>IF(A253="","",IF(A253&gt;tc_lot_i+tc,0,IF('Hidrograma afluente'!B260="","",'Hidrograma afluente'!B260)))</f>
        <v/>
      </c>
      <c r="C253" s="41" t="str">
        <f t="shared" si="50"/>
        <v/>
      </c>
      <c r="D253" s="41" t="str">
        <f t="shared" si="51"/>
        <v/>
      </c>
      <c r="E253" s="41" t="str">
        <f t="shared" si="52"/>
        <v/>
      </c>
      <c r="F253" s="41" t="str">
        <f t="shared" si="53"/>
        <v/>
      </c>
      <c r="G253" s="41" t="str">
        <f t="shared" si="54"/>
        <v/>
      </c>
      <c r="H253" s="43" t="str">
        <f t="shared" si="60"/>
        <v/>
      </c>
      <c r="I253" s="42" t="str">
        <f t="shared" si="55"/>
        <v/>
      </c>
      <c r="J253" s="18"/>
      <c r="K253" s="76"/>
      <c r="M253" s="132">
        <f t="shared" ca="1" si="46"/>
        <v>80.851504612308048</v>
      </c>
      <c r="N253" s="38">
        <f t="shared" si="56"/>
        <v>2.3624999999999998</v>
      </c>
      <c r="O253" s="36">
        <f t="shared" si="57"/>
        <v>63</v>
      </c>
      <c r="P253" s="38">
        <f ca="1">IF(ISERROR(IF(O253&lt;fi_h/20,0,(OFFSET('Base de dados'!$A$5,IF(O253&lt;20,1,IF(O253&gt;1000,10,MATCH(O253,Cargas,1))),Coluna_fih,1,1))*(1+0.13*0.25)*(PI()*(fi_h/1000)^2/4)*SQRT(2*9.81*(O253/100-fi_h/2/1000))*1000)),"",IF(O253&lt;fi_h/20,0,(OFFSET('Base de dados'!$A$5,IF(O253&lt;20,1,IF(O253&gt;1000,10,MATCH(O253,Cargas,1))),Coluna_fih,1,1))*(PI()*(fi_h/1000)^2/4)*SQRT(2*9.81*(O253/100-fi_h/2/1000))*1000))</f>
        <v>2.1015046123080414</v>
      </c>
      <c r="Q253" s="38">
        <f ca="1">IF(O253="","",IF(Tipo_Vertedor="Retangular",IF(O253&lt;=cota_s*100,0,IF(Tipo_Vertedor="Retangular",Cd_sr*Lef_sr*((O253/100-cota_s)^(3/2))*1000)),IF(O253&lt;=cota_s*100+fi_s/20,0,(OFFSET('Base de dados'!$A$4,IF(O253&lt;20,1,IF(O253&gt;1000,10,MATCH(O253,Cargas,1))),Coluna_fis,1,1))*(PI()*(fi_s/1000)^2/4)*(2*9.81*(O253/100-cota_s-fi_s/2/1000))^0.5*1000)))</f>
        <v>0</v>
      </c>
      <c r="R253" s="38">
        <f t="shared" ca="1" si="47"/>
        <v>2.1015046123080414</v>
      </c>
      <c r="S253" s="38">
        <f t="shared" ca="1" si="48"/>
        <v>78.75</v>
      </c>
      <c r="AD253" s="38" t="str">
        <f t="shared" si="58"/>
        <v/>
      </c>
      <c r="AE253" s="38" t="str">
        <f t="shared" si="59"/>
        <v/>
      </c>
      <c r="AF253" s="38" t="str">
        <f>IF(ISERROR(IF('Hidrograma afluente'!I260="",0,'Hidrograma afluente'!I260)+Simulação!G253),"",IF('Hidrograma afluente'!I260="",0,'Hidrograma afluente'!I260)+Simulação!G253)</f>
        <v/>
      </c>
      <c r="AG253" s="36" t="s">
        <v>182</v>
      </c>
      <c r="AH253" s="36" t="s">
        <v>182</v>
      </c>
      <c r="AI253" s="48" t="s">
        <v>182</v>
      </c>
      <c r="AJ253" s="36" t="s">
        <v>182</v>
      </c>
      <c r="AK253" s="38" t="str">
        <f>IF(A253="","",IF('Hidrograma afluente'!I260="",0,'Hidrograma afluente'!I260)+Simulação!B253)</f>
        <v/>
      </c>
    </row>
    <row r="254" spans="1:37" s="36" customFormat="1">
      <c r="A254" s="23" t="str">
        <f t="shared" si="49"/>
        <v/>
      </c>
      <c r="B254" s="24" t="str">
        <f>IF(A254="","",IF(A254&gt;tc_lot_i+tc,0,IF('Hidrograma afluente'!B261="","",'Hidrograma afluente'!B261)))</f>
        <v/>
      </c>
      <c r="C254" s="41" t="str">
        <f t="shared" si="50"/>
        <v/>
      </c>
      <c r="D254" s="41" t="str">
        <f t="shared" si="51"/>
        <v/>
      </c>
      <c r="E254" s="41" t="str">
        <f t="shared" si="52"/>
        <v/>
      </c>
      <c r="F254" s="41" t="str">
        <f t="shared" si="53"/>
        <v/>
      </c>
      <c r="G254" s="41" t="str">
        <f t="shared" si="54"/>
        <v/>
      </c>
      <c r="H254" s="43" t="str">
        <f t="shared" si="60"/>
        <v/>
      </c>
      <c r="I254" s="42" t="str">
        <f t="shared" si="55"/>
        <v/>
      </c>
      <c r="J254" s="18"/>
      <c r="K254" s="76"/>
      <c r="M254" s="132">
        <f t="shared" ca="1" si="46"/>
        <v>81.168289728727615</v>
      </c>
      <c r="N254" s="38">
        <f t="shared" si="56"/>
        <v>2.3718749999999997</v>
      </c>
      <c r="O254" s="36">
        <f t="shared" si="57"/>
        <v>63.25</v>
      </c>
      <c r="P254" s="38">
        <f ca="1">IF(ISERROR(IF(O254&lt;fi_h/20,0,(OFFSET('Base de dados'!$A$5,IF(O254&lt;20,1,IF(O254&gt;1000,10,MATCH(O254,Cargas,1))),Coluna_fih,1,1))*(1+0.13*0.25)*(PI()*(fi_h/1000)^2/4)*SQRT(2*9.81*(O254/100-fi_h/2/1000))*1000)),"",IF(O254&lt;fi_h/20,0,(OFFSET('Base de dados'!$A$5,IF(O254&lt;20,1,IF(O254&gt;1000,10,MATCH(O254,Cargas,1))),Coluna_fih,1,1))*(PI()*(fi_h/1000)^2/4)*SQRT(2*9.81*(O254/100-fi_h/2/1000))*1000))</f>
        <v>2.1057897287276344</v>
      </c>
      <c r="Q254" s="38">
        <f ca="1">IF(O254="","",IF(Tipo_Vertedor="Retangular",IF(O254&lt;=cota_s*100,0,IF(Tipo_Vertedor="Retangular",Cd_sr*Lef_sr*((O254/100-cota_s)^(3/2))*1000)),IF(O254&lt;=cota_s*100+fi_s/20,0,(OFFSET('Base de dados'!$A$4,IF(O254&lt;20,1,IF(O254&gt;1000,10,MATCH(O254,Cargas,1))),Coluna_fis,1,1))*(PI()*(fi_s/1000)^2/4)*(2*9.81*(O254/100-cota_s-fi_s/2/1000))^0.5*1000)))</f>
        <v>0</v>
      </c>
      <c r="R254" s="38">
        <f t="shared" ca="1" si="47"/>
        <v>2.1057897287276344</v>
      </c>
      <c r="S254" s="38">
        <f t="shared" ca="1" si="48"/>
        <v>79.062499999999986</v>
      </c>
      <c r="AD254" s="38" t="str">
        <f t="shared" si="58"/>
        <v/>
      </c>
      <c r="AE254" s="38" t="str">
        <f t="shared" si="59"/>
        <v/>
      </c>
      <c r="AF254" s="38" t="str">
        <f>IF(ISERROR(IF('Hidrograma afluente'!I261="",0,'Hidrograma afluente'!I261)+Simulação!G254),"",IF('Hidrograma afluente'!I261="",0,'Hidrograma afluente'!I261)+Simulação!G254)</f>
        <v/>
      </c>
      <c r="AG254" s="36" t="s">
        <v>182</v>
      </c>
      <c r="AH254" s="36" t="s">
        <v>182</v>
      </c>
      <c r="AI254" s="48" t="s">
        <v>182</v>
      </c>
      <c r="AJ254" s="36" t="s">
        <v>182</v>
      </c>
      <c r="AK254" s="38" t="str">
        <f>IF(A254="","",IF('Hidrograma afluente'!I261="",0,'Hidrograma afluente'!I261)+Simulação!B254)</f>
        <v/>
      </c>
    </row>
    <row r="255" spans="1:37" s="36" customFormat="1">
      <c r="A255" s="23" t="str">
        <f t="shared" si="49"/>
        <v/>
      </c>
      <c r="B255" s="24" t="str">
        <f>IF(A255="","",IF(A255&gt;tc_lot_i+tc,0,IF('Hidrograma afluente'!B262="","",'Hidrograma afluente'!B262)))</f>
        <v/>
      </c>
      <c r="C255" s="41" t="str">
        <f t="shared" si="50"/>
        <v/>
      </c>
      <c r="D255" s="41" t="str">
        <f t="shared" si="51"/>
        <v/>
      </c>
      <c r="E255" s="41" t="str">
        <f t="shared" si="52"/>
        <v/>
      </c>
      <c r="F255" s="41" t="str">
        <f t="shared" si="53"/>
        <v/>
      </c>
      <c r="G255" s="41" t="str">
        <f t="shared" si="54"/>
        <v/>
      </c>
      <c r="H255" s="43" t="str">
        <f t="shared" si="60"/>
        <v/>
      </c>
      <c r="I255" s="42" t="str">
        <f t="shared" si="55"/>
        <v/>
      </c>
      <c r="J255" s="18"/>
      <c r="K255" s="76"/>
      <c r="M255" s="132">
        <f t="shared" ca="1" si="46"/>
        <v>81.485066142962737</v>
      </c>
      <c r="N255" s="38">
        <f t="shared" si="56"/>
        <v>2.3812500000000001</v>
      </c>
      <c r="O255" s="36">
        <f t="shared" si="57"/>
        <v>63.5</v>
      </c>
      <c r="P255" s="38">
        <f ca="1">IF(ISERROR(IF(O255&lt;fi_h/20,0,(OFFSET('Base de dados'!$A$5,IF(O255&lt;20,1,IF(O255&gt;1000,10,MATCH(O255,Cargas,1))),Coluna_fih,1,1))*(1+0.13*0.25)*(PI()*(fi_h/1000)^2/4)*SQRT(2*9.81*(O255/100-fi_h/2/1000))*1000)),"",IF(O255&lt;fi_h/20,0,(OFFSET('Base de dados'!$A$5,IF(O255&lt;20,1,IF(O255&gt;1000,10,MATCH(O255,Cargas,1))),Coluna_fih,1,1))*(PI()*(fi_h/1000)^2/4)*SQRT(2*9.81*(O255/100-fi_h/2/1000))*1000))</f>
        <v>2.1100661429627365</v>
      </c>
      <c r="Q255" s="38">
        <f ca="1">IF(O255="","",IF(Tipo_Vertedor="Retangular",IF(O255&lt;=cota_s*100,0,IF(Tipo_Vertedor="Retangular",Cd_sr*Lef_sr*((O255/100-cota_s)^(3/2))*1000)),IF(O255&lt;=cota_s*100+fi_s/20,0,(OFFSET('Base de dados'!$A$4,IF(O255&lt;20,1,IF(O255&gt;1000,10,MATCH(O255,Cargas,1))),Coluna_fis,1,1))*(PI()*(fi_s/1000)^2/4)*(2*9.81*(O255/100-cota_s-fi_s/2/1000))^0.5*1000)))</f>
        <v>0</v>
      </c>
      <c r="R255" s="38">
        <f t="shared" ca="1" si="47"/>
        <v>2.1100661429627365</v>
      </c>
      <c r="S255" s="38">
        <f t="shared" ca="1" si="48"/>
        <v>79.375</v>
      </c>
      <c r="AD255" s="38" t="str">
        <f t="shared" si="58"/>
        <v/>
      </c>
      <c r="AE255" s="38" t="str">
        <f t="shared" si="59"/>
        <v/>
      </c>
      <c r="AF255" s="38" t="str">
        <f>IF(ISERROR(IF('Hidrograma afluente'!I262="",0,'Hidrograma afluente'!I262)+Simulação!G255),"",IF('Hidrograma afluente'!I262="",0,'Hidrograma afluente'!I262)+Simulação!G255)</f>
        <v/>
      </c>
      <c r="AG255" s="36" t="s">
        <v>182</v>
      </c>
      <c r="AH255" s="36" t="s">
        <v>182</v>
      </c>
      <c r="AI255" s="48" t="s">
        <v>182</v>
      </c>
      <c r="AJ255" s="36" t="s">
        <v>182</v>
      </c>
      <c r="AK255" s="38" t="str">
        <f>IF(A255="","",IF('Hidrograma afluente'!I262="",0,'Hidrograma afluente'!I262)+Simulação!B255)</f>
        <v/>
      </c>
    </row>
    <row r="256" spans="1:37" s="36" customFormat="1">
      <c r="A256" s="23" t="str">
        <f t="shared" si="49"/>
        <v/>
      </c>
      <c r="B256" s="24" t="str">
        <f>IF(A256="","",IF(A256&gt;tc_lot_i+tc,0,IF('Hidrograma afluente'!B263="","",'Hidrograma afluente'!B263)))</f>
        <v/>
      </c>
      <c r="C256" s="41" t="str">
        <f t="shared" si="50"/>
        <v/>
      </c>
      <c r="D256" s="41" t="str">
        <f t="shared" si="51"/>
        <v/>
      </c>
      <c r="E256" s="41" t="str">
        <f t="shared" si="52"/>
        <v/>
      </c>
      <c r="F256" s="41" t="str">
        <f t="shared" si="53"/>
        <v/>
      </c>
      <c r="G256" s="41" t="str">
        <f t="shared" si="54"/>
        <v/>
      </c>
      <c r="H256" s="43" t="str">
        <f t="shared" si="60"/>
        <v/>
      </c>
      <c r="I256" s="42" t="str">
        <f t="shared" si="55"/>
        <v/>
      </c>
      <c r="J256" s="18"/>
      <c r="K256" s="76"/>
      <c r="M256" s="132">
        <f t="shared" ca="1" si="46"/>
        <v>81.801833907816004</v>
      </c>
      <c r="N256" s="38">
        <f t="shared" si="56"/>
        <v>2.390625</v>
      </c>
      <c r="O256" s="36">
        <f t="shared" si="57"/>
        <v>63.75</v>
      </c>
      <c r="P256" s="38">
        <f ca="1">IF(ISERROR(IF(O256&lt;fi_h/20,0,(OFFSET('Base de dados'!$A$5,IF(O256&lt;20,1,IF(O256&gt;1000,10,MATCH(O256,Cargas,1))),Coluna_fih,1,1))*(1+0.13*0.25)*(PI()*(fi_h/1000)^2/4)*SQRT(2*9.81*(O256/100-fi_h/2/1000))*1000)),"",IF(O256&lt;fi_h/20,0,(OFFSET('Base de dados'!$A$5,IF(O256&lt;20,1,IF(O256&gt;1000,10,MATCH(O256,Cargas,1))),Coluna_fih,1,1))*(PI()*(fi_h/1000)^2/4)*SQRT(2*9.81*(O256/100-fi_h/2/1000))*1000))</f>
        <v>2.1143339078159991</v>
      </c>
      <c r="Q256" s="38">
        <f ca="1">IF(O256="","",IF(Tipo_Vertedor="Retangular",IF(O256&lt;=cota_s*100,0,IF(Tipo_Vertedor="Retangular",Cd_sr*Lef_sr*((O256/100-cota_s)^(3/2))*1000)),IF(O256&lt;=cota_s*100+fi_s/20,0,(OFFSET('Base de dados'!$A$4,IF(O256&lt;20,1,IF(O256&gt;1000,10,MATCH(O256,Cargas,1))),Coluna_fis,1,1))*(PI()*(fi_s/1000)^2/4)*(2*9.81*(O256/100-cota_s-fi_s/2/1000))^0.5*1000)))</f>
        <v>0</v>
      </c>
      <c r="R256" s="38">
        <f t="shared" ca="1" si="47"/>
        <v>2.1143339078159991</v>
      </c>
      <c r="S256" s="38">
        <f t="shared" ca="1" si="48"/>
        <v>79.6875</v>
      </c>
      <c r="AD256" s="38" t="str">
        <f t="shared" si="58"/>
        <v/>
      </c>
      <c r="AE256" s="38" t="str">
        <f t="shared" si="59"/>
        <v/>
      </c>
      <c r="AF256" s="38" t="str">
        <f>IF(ISERROR(IF('Hidrograma afluente'!I263="",0,'Hidrograma afluente'!I263)+Simulação!G256),"",IF('Hidrograma afluente'!I263="",0,'Hidrograma afluente'!I263)+Simulação!G256)</f>
        <v/>
      </c>
      <c r="AG256" s="36" t="s">
        <v>182</v>
      </c>
      <c r="AH256" s="36" t="s">
        <v>182</v>
      </c>
      <c r="AI256" s="48" t="s">
        <v>182</v>
      </c>
      <c r="AJ256" s="36" t="s">
        <v>182</v>
      </c>
      <c r="AK256" s="38" t="str">
        <f>IF(A256="","",IF('Hidrograma afluente'!I263="",0,'Hidrograma afluente'!I263)+Simulação!B256)</f>
        <v/>
      </c>
    </row>
    <row r="257" spans="1:37" s="36" customFormat="1">
      <c r="A257" s="23" t="str">
        <f t="shared" si="49"/>
        <v/>
      </c>
      <c r="B257" s="24" t="str">
        <f>IF(A257="","",IF(A257&gt;tc_lot_i+tc,0,IF('Hidrograma afluente'!B264="","",'Hidrograma afluente'!B264)))</f>
        <v/>
      </c>
      <c r="C257" s="41" t="str">
        <f t="shared" si="50"/>
        <v/>
      </c>
      <c r="D257" s="41" t="str">
        <f t="shared" si="51"/>
        <v/>
      </c>
      <c r="E257" s="41" t="str">
        <f t="shared" si="52"/>
        <v/>
      </c>
      <c r="F257" s="41" t="str">
        <f t="shared" si="53"/>
        <v/>
      </c>
      <c r="G257" s="41" t="str">
        <f t="shared" si="54"/>
        <v/>
      </c>
      <c r="H257" s="43" t="str">
        <f t="shared" si="60"/>
        <v/>
      </c>
      <c r="I257" s="42" t="str">
        <f t="shared" si="55"/>
        <v/>
      </c>
      <c r="J257" s="18"/>
      <c r="K257" s="76"/>
      <c r="M257" s="132">
        <f t="shared" ca="1" si="46"/>
        <v>82.118593075558238</v>
      </c>
      <c r="N257" s="38">
        <f t="shared" si="56"/>
        <v>2.4</v>
      </c>
      <c r="O257" s="36">
        <f t="shared" si="57"/>
        <v>64</v>
      </c>
      <c r="P257" s="38">
        <f ca="1">IF(ISERROR(IF(O257&lt;fi_h/20,0,(OFFSET('Base de dados'!$A$5,IF(O257&lt;20,1,IF(O257&gt;1000,10,MATCH(O257,Cargas,1))),Coluna_fih,1,1))*(1+0.13*0.25)*(PI()*(fi_h/1000)^2/4)*SQRT(2*9.81*(O257/100-fi_h/2/1000))*1000)),"",IF(O257&lt;fi_h/20,0,(OFFSET('Base de dados'!$A$5,IF(O257&lt;20,1,IF(O257&gt;1000,10,MATCH(O257,Cargas,1))),Coluna_fih,1,1))*(PI()*(fi_h/1000)^2/4)*SQRT(2*9.81*(O257/100-fi_h/2/1000))*1000))</f>
        <v>2.1185930755582367</v>
      </c>
      <c r="Q257" s="38">
        <f ca="1">IF(O257="","",IF(Tipo_Vertedor="Retangular",IF(O257&lt;=cota_s*100,0,IF(Tipo_Vertedor="Retangular",Cd_sr*Lef_sr*((O257/100-cota_s)^(3/2))*1000)),IF(O257&lt;=cota_s*100+fi_s/20,0,(OFFSET('Base de dados'!$A$4,IF(O257&lt;20,1,IF(O257&gt;1000,10,MATCH(O257,Cargas,1))),Coluna_fis,1,1))*(PI()*(fi_s/1000)^2/4)*(2*9.81*(O257/100-cota_s-fi_s/2/1000))^0.5*1000)))</f>
        <v>0</v>
      </c>
      <c r="R257" s="38">
        <f t="shared" ca="1" si="47"/>
        <v>2.1185930755582367</v>
      </c>
      <c r="S257" s="38">
        <f t="shared" ca="1" si="48"/>
        <v>80</v>
      </c>
      <c r="AD257" s="38" t="str">
        <f t="shared" si="58"/>
        <v/>
      </c>
      <c r="AE257" s="38" t="str">
        <f t="shared" si="59"/>
        <v/>
      </c>
      <c r="AF257" s="38" t="str">
        <f>IF(ISERROR(IF('Hidrograma afluente'!I264="",0,'Hidrograma afluente'!I264)+Simulação!G257),"",IF('Hidrograma afluente'!I264="",0,'Hidrograma afluente'!I264)+Simulação!G257)</f>
        <v/>
      </c>
      <c r="AG257" s="36" t="s">
        <v>182</v>
      </c>
      <c r="AH257" s="36" t="s">
        <v>182</v>
      </c>
      <c r="AI257" s="48" t="s">
        <v>182</v>
      </c>
      <c r="AJ257" s="36" t="s">
        <v>182</v>
      </c>
      <c r="AK257" s="38" t="str">
        <f>IF(A257="","",IF('Hidrograma afluente'!I264="",0,'Hidrograma afluente'!I264)+Simulação!B257)</f>
        <v/>
      </c>
    </row>
    <row r="258" spans="1:37" s="36" customFormat="1">
      <c r="A258" s="23" t="str">
        <f t="shared" si="49"/>
        <v/>
      </c>
      <c r="B258" s="24" t="str">
        <f>IF(A258="","",IF(A258&gt;tc_lot_i+tc,0,IF('Hidrograma afluente'!B265="","",'Hidrograma afluente'!B265)))</f>
        <v/>
      </c>
      <c r="C258" s="41" t="str">
        <f t="shared" si="50"/>
        <v/>
      </c>
      <c r="D258" s="41" t="str">
        <f t="shared" si="51"/>
        <v/>
      </c>
      <c r="E258" s="41" t="str">
        <f t="shared" si="52"/>
        <v/>
      </c>
      <c r="F258" s="41" t="str">
        <f t="shared" si="53"/>
        <v/>
      </c>
      <c r="G258" s="41" t="str">
        <f t="shared" si="54"/>
        <v/>
      </c>
      <c r="H258" s="43" t="str">
        <f t="shared" si="60"/>
        <v/>
      </c>
      <c r="I258" s="42" t="str">
        <f t="shared" si="55"/>
        <v/>
      </c>
      <c r="J258" s="18"/>
      <c r="K258" s="76"/>
      <c r="M258" s="132">
        <f t="shared" ca="1" si="46"/>
        <v>82.435343697935892</v>
      </c>
      <c r="N258" s="38">
        <f t="shared" si="56"/>
        <v>2.4093749999999998</v>
      </c>
      <c r="O258" s="36">
        <f t="shared" si="57"/>
        <v>64.25</v>
      </c>
      <c r="P258" s="38">
        <f ca="1">IF(ISERROR(IF(O258&lt;fi_h/20,0,(OFFSET('Base de dados'!$A$5,IF(O258&lt;20,1,IF(O258&gt;1000,10,MATCH(O258,Cargas,1))),Coluna_fih,1,1))*(1+0.13*0.25)*(PI()*(fi_h/1000)^2/4)*SQRT(2*9.81*(O258/100-fi_h/2/1000))*1000)),"",IF(O258&lt;fi_h/20,0,(OFFSET('Base de dados'!$A$5,IF(O258&lt;20,1,IF(O258&gt;1000,10,MATCH(O258,Cargas,1))),Coluna_fih,1,1))*(PI()*(fi_h/1000)^2/4)*SQRT(2*9.81*(O258/100-fi_h/2/1000))*1000))</f>
        <v>2.1228436979358944</v>
      </c>
      <c r="Q258" s="38">
        <f ca="1">IF(O258="","",IF(Tipo_Vertedor="Retangular",IF(O258&lt;=cota_s*100,0,IF(Tipo_Vertedor="Retangular",Cd_sr*Lef_sr*((O258/100-cota_s)^(3/2))*1000)),IF(O258&lt;=cota_s*100+fi_s/20,0,(OFFSET('Base de dados'!$A$4,IF(O258&lt;20,1,IF(O258&gt;1000,10,MATCH(O258,Cargas,1))),Coluna_fis,1,1))*(PI()*(fi_s/1000)^2/4)*(2*9.81*(O258/100-cota_s-fi_s/2/1000))^0.5*1000)))</f>
        <v>0</v>
      </c>
      <c r="R258" s="38">
        <f t="shared" ca="1" si="47"/>
        <v>2.1228436979358944</v>
      </c>
      <c r="S258" s="38">
        <f t="shared" ca="1" si="48"/>
        <v>80.3125</v>
      </c>
      <c r="AD258" s="38" t="str">
        <f t="shared" si="58"/>
        <v/>
      </c>
      <c r="AE258" s="38" t="str">
        <f t="shared" si="59"/>
        <v/>
      </c>
      <c r="AF258" s="38" t="str">
        <f>IF(ISERROR(IF('Hidrograma afluente'!I265="",0,'Hidrograma afluente'!I265)+Simulação!G258),"",IF('Hidrograma afluente'!I265="",0,'Hidrograma afluente'!I265)+Simulação!G258)</f>
        <v/>
      </c>
      <c r="AG258" s="36" t="s">
        <v>182</v>
      </c>
      <c r="AH258" s="36" t="s">
        <v>182</v>
      </c>
      <c r="AI258" s="48" t="s">
        <v>182</v>
      </c>
      <c r="AJ258" s="36" t="s">
        <v>182</v>
      </c>
      <c r="AK258" s="38" t="str">
        <f>IF(A258="","",IF('Hidrograma afluente'!I265="",0,'Hidrograma afluente'!I265)+Simulação!B258)</f>
        <v/>
      </c>
    </row>
    <row r="259" spans="1:37" s="36" customFormat="1">
      <c r="A259" s="23" t="str">
        <f t="shared" si="49"/>
        <v/>
      </c>
      <c r="B259" s="24" t="str">
        <f>IF(A259="","",IF(A259&gt;tc_lot_i+tc,0,IF('Hidrograma afluente'!B266="","",'Hidrograma afluente'!B266)))</f>
        <v/>
      </c>
      <c r="C259" s="41" t="str">
        <f t="shared" si="50"/>
        <v/>
      </c>
      <c r="D259" s="41" t="str">
        <f t="shared" si="51"/>
        <v/>
      </c>
      <c r="E259" s="41" t="str">
        <f t="shared" si="52"/>
        <v/>
      </c>
      <c r="F259" s="41" t="str">
        <f t="shared" si="53"/>
        <v/>
      </c>
      <c r="G259" s="41" t="str">
        <f t="shared" si="54"/>
        <v/>
      </c>
      <c r="H259" s="43" t="str">
        <f t="shared" si="60"/>
        <v/>
      </c>
      <c r="I259" s="42" t="str">
        <f t="shared" si="55"/>
        <v/>
      </c>
      <c r="J259" s="18"/>
      <c r="K259" s="76"/>
      <c r="M259" s="132">
        <f t="shared" ca="1" si="46"/>
        <v>82.752085826178387</v>
      </c>
      <c r="N259" s="38">
        <f t="shared" si="56"/>
        <v>2.4187500000000002</v>
      </c>
      <c r="O259" s="36">
        <f t="shared" si="57"/>
        <v>64.5</v>
      </c>
      <c r="P259" s="38">
        <f ca="1">IF(ISERROR(IF(O259&lt;fi_h/20,0,(OFFSET('Base de dados'!$A$5,IF(O259&lt;20,1,IF(O259&gt;1000,10,MATCH(O259,Cargas,1))),Coluna_fih,1,1))*(1+0.13*0.25)*(PI()*(fi_h/1000)^2/4)*SQRT(2*9.81*(O259/100-fi_h/2/1000))*1000)),"",IF(O259&lt;fi_h/20,0,(OFFSET('Base de dados'!$A$5,IF(O259&lt;20,1,IF(O259&gt;1000,10,MATCH(O259,Cargas,1))),Coluna_fih,1,1))*(PI()*(fi_h/1000)^2/4)*SQRT(2*9.81*(O259/100-fi_h/2/1000))*1000))</f>
        <v>2.127085826178384</v>
      </c>
      <c r="Q259" s="38">
        <f ca="1">IF(O259="","",IF(Tipo_Vertedor="Retangular",IF(O259&lt;=cota_s*100,0,IF(Tipo_Vertedor="Retangular",Cd_sr*Lef_sr*((O259/100-cota_s)^(3/2))*1000)),IF(O259&lt;=cota_s*100+fi_s/20,0,(OFFSET('Base de dados'!$A$4,IF(O259&lt;20,1,IF(O259&gt;1000,10,MATCH(O259,Cargas,1))),Coluna_fis,1,1))*(PI()*(fi_s/1000)^2/4)*(2*9.81*(O259/100-cota_s-fi_s/2/1000))^0.5*1000)))</f>
        <v>0</v>
      </c>
      <c r="R259" s="38">
        <f t="shared" ca="1" si="47"/>
        <v>2.127085826178384</v>
      </c>
      <c r="S259" s="38">
        <f t="shared" ca="1" si="48"/>
        <v>80.625</v>
      </c>
      <c r="AD259" s="38" t="str">
        <f t="shared" si="58"/>
        <v/>
      </c>
      <c r="AE259" s="38" t="str">
        <f t="shared" si="59"/>
        <v/>
      </c>
      <c r="AF259" s="38" t="str">
        <f>IF(ISERROR(IF('Hidrograma afluente'!I266="",0,'Hidrograma afluente'!I266)+Simulação!G259),"",IF('Hidrograma afluente'!I266="",0,'Hidrograma afluente'!I266)+Simulação!G259)</f>
        <v/>
      </c>
      <c r="AG259" s="36" t="s">
        <v>182</v>
      </c>
      <c r="AH259" s="36" t="s">
        <v>182</v>
      </c>
      <c r="AI259" s="48" t="s">
        <v>182</v>
      </c>
      <c r="AJ259" s="36" t="s">
        <v>182</v>
      </c>
      <c r="AK259" s="38" t="str">
        <f>IF(A259="","",IF('Hidrograma afluente'!I266="",0,'Hidrograma afluente'!I266)+Simulação!B259)</f>
        <v/>
      </c>
    </row>
    <row r="260" spans="1:37" s="36" customFormat="1">
      <c r="A260" s="23" t="str">
        <f t="shared" si="49"/>
        <v/>
      </c>
      <c r="B260" s="24" t="str">
        <f>IF(A260="","",IF(A260&gt;tc_lot_i+tc,0,IF('Hidrograma afluente'!B267="","",'Hidrograma afluente'!B267)))</f>
        <v/>
      </c>
      <c r="C260" s="41" t="str">
        <f t="shared" si="50"/>
        <v/>
      </c>
      <c r="D260" s="41" t="str">
        <f t="shared" si="51"/>
        <v/>
      </c>
      <c r="E260" s="41" t="str">
        <f t="shared" si="52"/>
        <v/>
      </c>
      <c r="F260" s="41" t="str">
        <f t="shared" si="53"/>
        <v/>
      </c>
      <c r="G260" s="41" t="str">
        <f t="shared" si="54"/>
        <v/>
      </c>
      <c r="H260" s="43" t="str">
        <f t="shared" si="60"/>
        <v/>
      </c>
      <c r="I260" s="42" t="str">
        <f t="shared" si="55"/>
        <v/>
      </c>
      <c r="J260" s="18"/>
      <c r="K260" s="76"/>
      <c r="M260" s="132">
        <f t="shared" ca="1" si="46"/>
        <v>83.068819511005273</v>
      </c>
      <c r="N260" s="38">
        <f t="shared" si="56"/>
        <v>2.4281249999999996</v>
      </c>
      <c r="O260" s="36">
        <f t="shared" si="57"/>
        <v>64.75</v>
      </c>
      <c r="P260" s="38">
        <f ca="1">IF(ISERROR(IF(O260&lt;fi_h/20,0,(OFFSET('Base de dados'!$A$5,IF(O260&lt;20,1,IF(O260&gt;1000,10,MATCH(O260,Cargas,1))),Coluna_fih,1,1))*(1+0.13*0.25)*(PI()*(fi_h/1000)^2/4)*SQRT(2*9.81*(O260/100-fi_h/2/1000))*1000)),"",IF(O260&lt;fi_h/20,0,(OFFSET('Base de dados'!$A$5,IF(O260&lt;20,1,IF(O260&gt;1000,10,MATCH(O260,Cargas,1))),Coluna_fih,1,1))*(PI()*(fi_h/1000)^2/4)*SQRT(2*9.81*(O260/100-fi_h/2/1000))*1000))</f>
        <v>2.1313195110052865</v>
      </c>
      <c r="Q260" s="38">
        <f ca="1">IF(O260="","",IF(Tipo_Vertedor="Retangular",IF(O260&lt;=cota_s*100,0,IF(Tipo_Vertedor="Retangular",Cd_sr*Lef_sr*((O260/100-cota_s)^(3/2))*1000)),IF(O260&lt;=cota_s*100+fi_s/20,0,(OFFSET('Base de dados'!$A$4,IF(O260&lt;20,1,IF(O260&gt;1000,10,MATCH(O260,Cargas,1))),Coluna_fis,1,1))*(PI()*(fi_s/1000)^2/4)*(2*9.81*(O260/100-cota_s-fi_s/2/1000))^0.5*1000)))</f>
        <v>0</v>
      </c>
      <c r="R260" s="38">
        <f t="shared" ca="1" si="47"/>
        <v>2.1313195110052865</v>
      </c>
      <c r="S260" s="38">
        <f t="shared" ca="1" si="48"/>
        <v>80.937499999999986</v>
      </c>
      <c r="AD260" s="38" t="str">
        <f t="shared" si="58"/>
        <v/>
      </c>
      <c r="AE260" s="38" t="str">
        <f t="shared" si="59"/>
        <v/>
      </c>
      <c r="AF260" s="38" t="str">
        <f>IF(ISERROR(IF('Hidrograma afluente'!I267="",0,'Hidrograma afluente'!I267)+Simulação!G260),"",IF('Hidrograma afluente'!I267="",0,'Hidrograma afluente'!I267)+Simulação!G260)</f>
        <v/>
      </c>
      <c r="AG260" s="36" t="s">
        <v>182</v>
      </c>
      <c r="AH260" s="36" t="s">
        <v>182</v>
      </c>
      <c r="AI260" s="48" t="s">
        <v>182</v>
      </c>
      <c r="AJ260" s="36" t="s">
        <v>182</v>
      </c>
      <c r="AK260" s="38" t="str">
        <f>IF(A260="","",IF('Hidrograma afluente'!I267="",0,'Hidrograma afluente'!I267)+Simulação!B260)</f>
        <v/>
      </c>
    </row>
    <row r="261" spans="1:37" s="36" customFormat="1">
      <c r="A261" s="23" t="str">
        <f t="shared" si="49"/>
        <v/>
      </c>
      <c r="B261" s="24" t="str">
        <f>IF(A261="","",IF(A261&gt;tc_lot_i+tc,0,IF('Hidrograma afluente'!B268="","",'Hidrograma afluente'!B268)))</f>
        <v/>
      </c>
      <c r="C261" s="41" t="str">
        <f t="shared" si="50"/>
        <v/>
      </c>
      <c r="D261" s="41" t="str">
        <f t="shared" si="51"/>
        <v/>
      </c>
      <c r="E261" s="41" t="str">
        <f t="shared" si="52"/>
        <v/>
      </c>
      <c r="F261" s="41" t="str">
        <f t="shared" si="53"/>
        <v/>
      </c>
      <c r="G261" s="41" t="str">
        <f t="shared" si="54"/>
        <v/>
      </c>
      <c r="H261" s="43" t="str">
        <f t="shared" si="60"/>
        <v/>
      </c>
      <c r="I261" s="42" t="str">
        <f t="shared" si="55"/>
        <v/>
      </c>
      <c r="J261" s="18"/>
      <c r="K261" s="76"/>
      <c r="M261" s="132">
        <f t="shared" ref="M261:M324" ca="1" si="61">IF(O261="","",2*N261*1000/(Passo*60)+R261)</f>
        <v>83.385544802633433</v>
      </c>
      <c r="N261" s="38">
        <f t="shared" si="56"/>
        <v>2.4375</v>
      </c>
      <c r="O261" s="36">
        <f t="shared" si="57"/>
        <v>65</v>
      </c>
      <c r="P261" s="38">
        <f ca="1">IF(ISERROR(IF(O261&lt;fi_h/20,0,(OFFSET('Base de dados'!$A$5,IF(O261&lt;20,1,IF(O261&gt;1000,10,MATCH(O261,Cargas,1))),Coluna_fih,1,1))*(1+0.13*0.25)*(PI()*(fi_h/1000)^2/4)*SQRT(2*9.81*(O261/100-fi_h/2/1000))*1000)),"",IF(O261&lt;fi_h/20,0,(OFFSET('Base de dados'!$A$5,IF(O261&lt;20,1,IF(O261&gt;1000,10,MATCH(O261,Cargas,1))),Coluna_fih,1,1))*(PI()*(fi_h/1000)^2/4)*SQRT(2*9.81*(O261/100-fi_h/2/1000))*1000))</f>
        <v>2.1355448026334281</v>
      </c>
      <c r="Q261" s="38">
        <f ca="1">IF(O261="","",IF(Tipo_Vertedor="Retangular",IF(O261&lt;=cota_s*100,0,IF(Tipo_Vertedor="Retangular",Cd_sr*Lef_sr*((O261/100-cota_s)^(3/2))*1000)),IF(O261&lt;=cota_s*100+fi_s/20,0,(OFFSET('Base de dados'!$A$4,IF(O261&lt;20,1,IF(O261&gt;1000,10,MATCH(O261,Cargas,1))),Coluna_fis,1,1))*(PI()*(fi_s/1000)^2/4)*(2*9.81*(O261/100-cota_s-fi_s/2/1000))^0.5*1000)))</f>
        <v>0</v>
      </c>
      <c r="R261" s="38">
        <f t="shared" ref="R261:R324" ca="1" si="62">IF(O261="","",Q261+P261)</f>
        <v>2.1355448026334281</v>
      </c>
      <c r="S261" s="38">
        <f t="shared" ref="S261:S324" ca="1" si="63">IF(M261="","",2*N261*1000/(Passo*60))</f>
        <v>81.25</v>
      </c>
      <c r="AD261" s="38" t="str">
        <f t="shared" si="58"/>
        <v/>
      </c>
      <c r="AE261" s="38" t="str">
        <f t="shared" si="59"/>
        <v/>
      </c>
      <c r="AF261" s="38" t="str">
        <f>IF(ISERROR(IF('Hidrograma afluente'!I268="",0,'Hidrograma afluente'!I268)+Simulação!G261),"",IF('Hidrograma afluente'!I268="",0,'Hidrograma afluente'!I268)+Simulação!G261)</f>
        <v/>
      </c>
      <c r="AG261" s="36" t="s">
        <v>182</v>
      </c>
      <c r="AH261" s="36" t="s">
        <v>182</v>
      </c>
      <c r="AI261" s="48" t="s">
        <v>182</v>
      </c>
      <c r="AJ261" s="36" t="s">
        <v>182</v>
      </c>
      <c r="AK261" s="38" t="str">
        <f>IF(A261="","",IF('Hidrograma afluente'!I268="",0,'Hidrograma afluente'!I268)+Simulação!B261)</f>
        <v/>
      </c>
    </row>
    <row r="262" spans="1:37" s="36" customFormat="1">
      <c r="A262" s="23" t="str">
        <f t="shared" ref="A262:A325" si="64">IF(ISERROR(IF(A261+Passo&lt;=tempo_simul,A261+Passo,"")),"",IF(A261+Passo&lt;=tempo_simul,A261+Passo,""))</f>
        <v/>
      </c>
      <c r="B262" s="24" t="str">
        <f>IF(A262="","",IF(A262&gt;tc_lot_i+tc,0,IF('Hidrograma afluente'!B269="","",'Hidrograma afluente'!B269)))</f>
        <v/>
      </c>
      <c r="C262" s="41" t="str">
        <f t="shared" ref="C262:C325" si="65">IF(B263=0,0,IF(B263="","",B263))</f>
        <v/>
      </c>
      <c r="D262" s="41" t="str">
        <f t="shared" ref="D262:D325" si="66">IF(A262="","",IF(ISERROR(VLOOKUP(H261,tabela_auxiliar,7,1)),0,VLOOKUP(H261,tabela_auxiliar,7,1)))</f>
        <v/>
      </c>
      <c r="E262" s="41" t="str">
        <f t="shared" ref="E262:E325" si="67">IF(A262="","",IF(ISERROR(VLOOKUP(H261,tabela_auxiliar,4,TRUE)),0,VLOOKUP(H261,tabela_auxiliar,4,TRUE)))</f>
        <v/>
      </c>
      <c r="F262" s="41" t="str">
        <f t="shared" ref="F262:F325" si="68">IF(A262="","",IF(ISERROR(VLOOKUP(H261,tabela_auxiliar,5,TRUE)),0,VLOOKUP(H261,tabela_auxiliar,5,TRUE)))</f>
        <v/>
      </c>
      <c r="G262" s="41" t="str">
        <f t="shared" ref="G262:G325" si="69">IF(A262="","",IF(ISERROR(VLOOKUP(H261,tabela_auxiliar,6,TRUE)),0,VLOOKUP(H261,tabela_auxiliar,6,TRUE)))</f>
        <v/>
      </c>
      <c r="H262" s="43" t="str">
        <f t="shared" si="60"/>
        <v/>
      </c>
      <c r="I262" s="42" t="str">
        <f t="shared" ref="I262:I325" si="70">IF(A262="","",IF(ISERROR(VLOOKUP(H261,tabela_auxiliar,3,TRUE)),0,VLOOKUP(H261,tabela_auxiliar,3,TRUE)))</f>
        <v/>
      </c>
      <c r="J262" s="18"/>
      <c r="K262" s="76"/>
      <c r="M262" s="132">
        <f t="shared" ca="1" si="61"/>
        <v>83.702261750783833</v>
      </c>
      <c r="N262" s="38">
        <f t="shared" ref="N262:N325" si="71">IF(O262="","",b_0*(O262/100)^c_0)</f>
        <v>2.4468749999999999</v>
      </c>
      <c r="O262" s="36">
        <f t="shared" ref="O262:O325" si="72">IF(ISERROR(IF(O261+passo_altura&gt;h_max_puls*100,"",O261+passo_altura)),"",IF(O261+passo_altura&gt;h_max_puls*100,"",O261+passo_altura))</f>
        <v>65.25</v>
      </c>
      <c r="P262" s="38">
        <f ca="1">IF(ISERROR(IF(O262&lt;fi_h/20,0,(OFFSET('Base de dados'!$A$5,IF(O262&lt;20,1,IF(O262&gt;1000,10,MATCH(O262,Cargas,1))),Coluna_fih,1,1))*(1+0.13*0.25)*(PI()*(fi_h/1000)^2/4)*SQRT(2*9.81*(O262/100-fi_h/2/1000))*1000)),"",IF(O262&lt;fi_h/20,0,(OFFSET('Base de dados'!$A$5,IF(O262&lt;20,1,IF(O262&gt;1000,10,MATCH(O262,Cargas,1))),Coluna_fih,1,1))*(PI()*(fi_h/1000)^2/4)*SQRT(2*9.81*(O262/100-fi_h/2/1000))*1000))</f>
        <v>2.1397617507838302</v>
      </c>
      <c r="Q262" s="38">
        <f ca="1">IF(O262="","",IF(Tipo_Vertedor="Retangular",IF(O262&lt;=cota_s*100,0,IF(Tipo_Vertedor="Retangular",Cd_sr*Lef_sr*((O262/100-cota_s)^(3/2))*1000)),IF(O262&lt;=cota_s*100+fi_s/20,0,(OFFSET('Base de dados'!$A$4,IF(O262&lt;20,1,IF(O262&gt;1000,10,MATCH(O262,Cargas,1))),Coluna_fis,1,1))*(PI()*(fi_s/1000)^2/4)*(2*9.81*(O262/100-cota_s-fi_s/2/1000))^0.5*1000)))</f>
        <v>0</v>
      </c>
      <c r="R262" s="38">
        <f t="shared" ca="1" si="62"/>
        <v>2.1397617507838302</v>
      </c>
      <c r="S262" s="38">
        <f t="shared" ca="1" si="63"/>
        <v>81.5625</v>
      </c>
      <c r="AD262" s="38" t="str">
        <f t="shared" ref="AD262:AD325" si="73">IF(A262="","",AVERAGE(B262+B261)*Passo*60/1000+AD261)</f>
        <v/>
      </c>
      <c r="AE262" s="38" t="str">
        <f t="shared" ref="AE262:AE325" si="74">IF(A262="","",AE261+AVERAGE(G262+G261)*Passo*60/1000)</f>
        <v/>
      </c>
      <c r="AF262" s="38" t="str">
        <f>IF(ISERROR(IF('Hidrograma afluente'!I269="",0,'Hidrograma afluente'!I269)+Simulação!G262),"",IF('Hidrograma afluente'!I269="",0,'Hidrograma afluente'!I269)+Simulação!G262)</f>
        <v/>
      </c>
      <c r="AG262" s="36" t="s">
        <v>182</v>
      </c>
      <c r="AH262" s="36" t="s">
        <v>182</v>
      </c>
      <c r="AI262" s="48" t="s">
        <v>182</v>
      </c>
      <c r="AJ262" s="36" t="s">
        <v>182</v>
      </c>
      <c r="AK262" s="38" t="str">
        <f>IF(A262="","",IF('Hidrograma afluente'!I269="",0,'Hidrograma afluente'!I269)+Simulação!B262)</f>
        <v/>
      </c>
    </row>
    <row r="263" spans="1:37" s="36" customFormat="1">
      <c r="A263" s="23" t="str">
        <f t="shared" si="64"/>
        <v/>
      </c>
      <c r="B263" s="24" t="str">
        <f>IF(A263="","",IF(A263&gt;tc_lot_i+tc,0,IF('Hidrograma afluente'!B270="","",'Hidrograma afluente'!B270)))</f>
        <v/>
      </c>
      <c r="C263" s="41" t="str">
        <f t="shared" si="65"/>
        <v/>
      </c>
      <c r="D263" s="41" t="str">
        <f t="shared" si="66"/>
        <v/>
      </c>
      <c r="E263" s="41" t="str">
        <f t="shared" si="67"/>
        <v/>
      </c>
      <c r="F263" s="41" t="str">
        <f t="shared" si="68"/>
        <v/>
      </c>
      <c r="G263" s="41" t="str">
        <f t="shared" si="69"/>
        <v/>
      </c>
      <c r="H263" s="43" t="str">
        <f t="shared" si="60"/>
        <v/>
      </c>
      <c r="I263" s="42" t="str">
        <f t="shared" si="70"/>
        <v/>
      </c>
      <c r="J263" s="18"/>
      <c r="K263" s="76"/>
      <c r="M263" s="132">
        <f t="shared" ca="1" si="61"/>
        <v>84.018970404688545</v>
      </c>
      <c r="N263" s="38">
        <f t="shared" si="71"/>
        <v>2.4562500000000003</v>
      </c>
      <c r="O263" s="36">
        <f t="shared" si="72"/>
        <v>65.5</v>
      </c>
      <c r="P263" s="38">
        <f ca="1">IF(ISERROR(IF(O263&lt;fi_h/20,0,(OFFSET('Base de dados'!$A$5,IF(O263&lt;20,1,IF(O263&gt;1000,10,MATCH(O263,Cargas,1))),Coluna_fih,1,1))*(1+0.13*0.25)*(PI()*(fi_h/1000)^2/4)*SQRT(2*9.81*(O263/100-fi_h/2/1000))*1000)),"",IF(O263&lt;fi_h/20,0,(OFFSET('Base de dados'!$A$5,IF(O263&lt;20,1,IF(O263&gt;1000,10,MATCH(O263,Cargas,1))),Coluna_fih,1,1))*(PI()*(fi_h/1000)^2/4)*SQRT(2*9.81*(O263/100-fi_h/2/1000))*1000))</f>
        <v>2.1439704046885342</v>
      </c>
      <c r="Q263" s="38">
        <f ca="1">IF(O263="","",IF(Tipo_Vertedor="Retangular",IF(O263&lt;=cota_s*100,0,IF(Tipo_Vertedor="Retangular",Cd_sr*Lef_sr*((O263/100-cota_s)^(3/2))*1000)),IF(O263&lt;=cota_s*100+fi_s/20,0,(OFFSET('Base de dados'!$A$4,IF(O263&lt;20,1,IF(O263&gt;1000,10,MATCH(O263,Cargas,1))),Coluna_fis,1,1))*(PI()*(fi_s/1000)^2/4)*(2*9.81*(O263/100-cota_s-fi_s/2/1000))^0.5*1000)))</f>
        <v>0</v>
      </c>
      <c r="R263" s="38">
        <f t="shared" ca="1" si="62"/>
        <v>2.1439704046885342</v>
      </c>
      <c r="S263" s="38">
        <f t="shared" ca="1" si="63"/>
        <v>81.875000000000014</v>
      </c>
      <c r="AD263" s="38" t="str">
        <f t="shared" si="73"/>
        <v/>
      </c>
      <c r="AE263" s="38" t="str">
        <f t="shared" si="74"/>
        <v/>
      </c>
      <c r="AF263" s="38" t="str">
        <f>IF(ISERROR(IF('Hidrograma afluente'!I270="",0,'Hidrograma afluente'!I270)+Simulação!G263),"",IF('Hidrograma afluente'!I270="",0,'Hidrograma afluente'!I270)+Simulação!G263)</f>
        <v/>
      </c>
      <c r="AG263" s="36" t="s">
        <v>182</v>
      </c>
      <c r="AH263" s="36" t="s">
        <v>182</v>
      </c>
      <c r="AI263" s="48" t="s">
        <v>182</v>
      </c>
      <c r="AJ263" s="36" t="s">
        <v>182</v>
      </c>
      <c r="AK263" s="38" t="str">
        <f>IF(A263="","",IF('Hidrograma afluente'!I270="",0,'Hidrograma afluente'!I270)+Simulação!B263)</f>
        <v/>
      </c>
    </row>
    <row r="264" spans="1:37" s="36" customFormat="1">
      <c r="A264" s="23" t="str">
        <f t="shared" si="64"/>
        <v/>
      </c>
      <c r="B264" s="24" t="str">
        <f>IF(A264="","",IF(A264&gt;tc_lot_i+tc,0,IF('Hidrograma afluente'!B271="","",'Hidrograma afluente'!B271)))</f>
        <v/>
      </c>
      <c r="C264" s="41" t="str">
        <f t="shared" si="65"/>
        <v/>
      </c>
      <c r="D264" s="41" t="str">
        <f t="shared" si="66"/>
        <v/>
      </c>
      <c r="E264" s="41" t="str">
        <f t="shared" si="67"/>
        <v/>
      </c>
      <c r="F264" s="41" t="str">
        <f t="shared" si="68"/>
        <v/>
      </c>
      <c r="G264" s="41" t="str">
        <f t="shared" si="69"/>
        <v/>
      </c>
      <c r="H264" s="43" t="str">
        <f t="shared" si="60"/>
        <v/>
      </c>
      <c r="I264" s="42" t="str">
        <f t="shared" si="70"/>
        <v/>
      </c>
      <c r="J264" s="18"/>
      <c r="K264" s="76"/>
      <c r="M264" s="132">
        <f t="shared" ca="1" si="61"/>
        <v>84.335670813097295</v>
      </c>
      <c r="N264" s="38">
        <f t="shared" si="71"/>
        <v>2.4656249999999997</v>
      </c>
      <c r="O264" s="36">
        <f t="shared" si="72"/>
        <v>65.75</v>
      </c>
      <c r="P264" s="38">
        <f ca="1">IF(ISERROR(IF(O264&lt;fi_h/20,0,(OFFSET('Base de dados'!$A$5,IF(O264&lt;20,1,IF(O264&gt;1000,10,MATCH(O264,Cargas,1))),Coluna_fih,1,1))*(1+0.13*0.25)*(PI()*(fi_h/1000)^2/4)*SQRT(2*9.81*(O264/100-fi_h/2/1000))*1000)),"",IF(O264&lt;fi_h/20,0,(OFFSET('Base de dados'!$A$5,IF(O264&lt;20,1,IF(O264&gt;1000,10,MATCH(O264,Cargas,1))),Coluna_fih,1,1))*(PI()*(fi_h/1000)^2/4)*SQRT(2*9.81*(O264/100-fi_h/2/1000))*1000))</f>
        <v>2.1481708130973085</v>
      </c>
      <c r="Q264" s="38">
        <f ca="1">IF(O264="","",IF(Tipo_Vertedor="Retangular",IF(O264&lt;=cota_s*100,0,IF(Tipo_Vertedor="Retangular",Cd_sr*Lef_sr*((O264/100-cota_s)^(3/2))*1000)),IF(O264&lt;=cota_s*100+fi_s/20,0,(OFFSET('Base de dados'!$A$4,IF(O264&lt;20,1,IF(O264&gt;1000,10,MATCH(O264,Cargas,1))),Coluna_fis,1,1))*(PI()*(fi_s/1000)^2/4)*(2*9.81*(O264/100-cota_s-fi_s/2/1000))^0.5*1000)))</f>
        <v>0</v>
      </c>
      <c r="R264" s="38">
        <f t="shared" ca="1" si="62"/>
        <v>2.1481708130973085</v>
      </c>
      <c r="S264" s="38">
        <f t="shared" ca="1" si="63"/>
        <v>82.187499999999986</v>
      </c>
      <c r="AD264" s="38" t="str">
        <f t="shared" si="73"/>
        <v/>
      </c>
      <c r="AE264" s="38" t="str">
        <f t="shared" si="74"/>
        <v/>
      </c>
      <c r="AF264" s="38" t="str">
        <f>IF(ISERROR(IF('Hidrograma afluente'!I271="",0,'Hidrograma afluente'!I271)+Simulação!G264),"",IF('Hidrograma afluente'!I271="",0,'Hidrograma afluente'!I271)+Simulação!G264)</f>
        <v/>
      </c>
      <c r="AG264" s="36" t="s">
        <v>182</v>
      </c>
      <c r="AH264" s="36" t="s">
        <v>182</v>
      </c>
      <c r="AI264" s="48" t="s">
        <v>182</v>
      </c>
      <c r="AJ264" s="36" t="s">
        <v>182</v>
      </c>
      <c r="AK264" s="38" t="str">
        <f>IF(A264="","",IF('Hidrograma afluente'!I271="",0,'Hidrograma afluente'!I271)+Simulação!B264)</f>
        <v/>
      </c>
    </row>
    <row r="265" spans="1:37" s="36" customFormat="1">
      <c r="A265" s="23" t="str">
        <f t="shared" si="64"/>
        <v/>
      </c>
      <c r="B265" s="24" t="str">
        <f>IF(A265="","",IF(A265&gt;tc_lot_i+tc,0,IF('Hidrograma afluente'!B272="","",'Hidrograma afluente'!B272)))</f>
        <v/>
      </c>
      <c r="C265" s="41" t="str">
        <f t="shared" si="65"/>
        <v/>
      </c>
      <c r="D265" s="41" t="str">
        <f t="shared" si="66"/>
        <v/>
      </c>
      <c r="E265" s="41" t="str">
        <f t="shared" si="67"/>
        <v/>
      </c>
      <c r="F265" s="41" t="str">
        <f t="shared" si="68"/>
        <v/>
      </c>
      <c r="G265" s="41" t="str">
        <f t="shared" si="69"/>
        <v/>
      </c>
      <c r="H265" s="43" t="str">
        <f t="shared" si="60"/>
        <v/>
      </c>
      <c r="I265" s="42" t="str">
        <f t="shared" si="70"/>
        <v/>
      </c>
      <c r="J265" s="18"/>
      <c r="K265" s="76"/>
      <c r="M265" s="132">
        <f t="shared" ca="1" si="61"/>
        <v>84.652363024284242</v>
      </c>
      <c r="N265" s="38">
        <f t="shared" si="71"/>
        <v>2.4750000000000001</v>
      </c>
      <c r="O265" s="36">
        <f t="shared" si="72"/>
        <v>66</v>
      </c>
      <c r="P265" s="38">
        <f ca="1">IF(ISERROR(IF(O265&lt;fi_h/20,0,(OFFSET('Base de dados'!$A$5,IF(O265&lt;20,1,IF(O265&gt;1000,10,MATCH(O265,Cargas,1))),Coluna_fih,1,1))*(1+0.13*0.25)*(PI()*(fi_h/1000)^2/4)*SQRT(2*9.81*(O265/100-fi_h/2/1000))*1000)),"",IF(O265&lt;fi_h/20,0,(OFFSET('Base de dados'!$A$5,IF(O265&lt;20,1,IF(O265&gt;1000,10,MATCH(O265,Cargas,1))),Coluna_fih,1,1))*(PI()*(fi_h/1000)^2/4)*SQRT(2*9.81*(O265/100-fi_h/2/1000))*1000))</f>
        <v>2.1523630242842371</v>
      </c>
      <c r="Q265" s="38">
        <f ca="1">IF(O265="","",IF(Tipo_Vertedor="Retangular",IF(O265&lt;=cota_s*100,0,IF(Tipo_Vertedor="Retangular",Cd_sr*Lef_sr*((O265/100-cota_s)^(3/2))*1000)),IF(O265&lt;=cota_s*100+fi_s/20,0,(OFFSET('Base de dados'!$A$4,IF(O265&lt;20,1,IF(O265&gt;1000,10,MATCH(O265,Cargas,1))),Coluna_fis,1,1))*(PI()*(fi_s/1000)^2/4)*(2*9.81*(O265/100-cota_s-fi_s/2/1000))^0.5*1000)))</f>
        <v>0</v>
      </c>
      <c r="R265" s="38">
        <f t="shared" ca="1" si="62"/>
        <v>2.1523630242842371</v>
      </c>
      <c r="S265" s="38">
        <f t="shared" ca="1" si="63"/>
        <v>82.5</v>
      </c>
      <c r="AD265" s="38" t="str">
        <f t="shared" si="73"/>
        <v/>
      </c>
      <c r="AE265" s="38" t="str">
        <f t="shared" si="74"/>
        <v/>
      </c>
      <c r="AF265" s="38" t="str">
        <f>IF(ISERROR(IF('Hidrograma afluente'!I272="",0,'Hidrograma afluente'!I272)+Simulação!G265),"",IF('Hidrograma afluente'!I272="",0,'Hidrograma afluente'!I272)+Simulação!G265)</f>
        <v/>
      </c>
      <c r="AG265" s="36" t="s">
        <v>182</v>
      </c>
      <c r="AH265" s="36" t="s">
        <v>182</v>
      </c>
      <c r="AI265" s="48" t="s">
        <v>182</v>
      </c>
      <c r="AJ265" s="36" t="s">
        <v>182</v>
      </c>
      <c r="AK265" s="38" t="str">
        <f>IF(A265="","",IF('Hidrograma afluente'!I272="",0,'Hidrograma afluente'!I272)+Simulação!B265)</f>
        <v/>
      </c>
    </row>
    <row r="266" spans="1:37" s="36" customFormat="1">
      <c r="A266" s="23" t="str">
        <f t="shared" si="64"/>
        <v/>
      </c>
      <c r="B266" s="24" t="str">
        <f>IF(A266="","",IF(A266&gt;tc_lot_i+tc,0,IF('Hidrograma afluente'!B273="","",'Hidrograma afluente'!B273)))</f>
        <v/>
      </c>
      <c r="C266" s="41" t="str">
        <f t="shared" si="65"/>
        <v/>
      </c>
      <c r="D266" s="41" t="str">
        <f t="shared" si="66"/>
        <v/>
      </c>
      <c r="E266" s="41" t="str">
        <f t="shared" si="67"/>
        <v/>
      </c>
      <c r="F266" s="41" t="str">
        <f t="shared" si="68"/>
        <v/>
      </c>
      <c r="G266" s="41" t="str">
        <f t="shared" si="69"/>
        <v/>
      </c>
      <c r="H266" s="43" t="str">
        <f t="shared" si="60"/>
        <v/>
      </c>
      <c r="I266" s="42" t="str">
        <f t="shared" si="70"/>
        <v/>
      </c>
      <c r="J266" s="18"/>
      <c r="K266" s="76"/>
      <c r="M266" s="132">
        <f t="shared" ca="1" si="61"/>
        <v>84.969047086054189</v>
      </c>
      <c r="N266" s="38">
        <f t="shared" si="71"/>
        <v>2.484375</v>
      </c>
      <c r="O266" s="36">
        <f t="shared" si="72"/>
        <v>66.25</v>
      </c>
      <c r="P266" s="38">
        <f ca="1">IF(ISERROR(IF(O266&lt;fi_h/20,0,(OFFSET('Base de dados'!$A$5,IF(O266&lt;20,1,IF(O266&gt;1000,10,MATCH(O266,Cargas,1))),Coluna_fih,1,1))*(1+0.13*0.25)*(PI()*(fi_h/1000)^2/4)*SQRT(2*9.81*(O266/100-fi_h/2/1000))*1000)),"",IF(O266&lt;fi_h/20,0,(OFFSET('Base de dados'!$A$5,IF(O266&lt;20,1,IF(O266&gt;1000,10,MATCH(O266,Cargas,1))),Coluna_fih,1,1))*(PI()*(fi_h/1000)^2/4)*SQRT(2*9.81*(O266/100-fi_h/2/1000))*1000))</f>
        <v>2.1565470860541902</v>
      </c>
      <c r="Q266" s="38">
        <f ca="1">IF(O266="","",IF(Tipo_Vertedor="Retangular",IF(O266&lt;=cota_s*100,0,IF(Tipo_Vertedor="Retangular",Cd_sr*Lef_sr*((O266/100-cota_s)^(3/2))*1000)),IF(O266&lt;=cota_s*100+fi_s/20,0,(OFFSET('Base de dados'!$A$4,IF(O266&lt;20,1,IF(O266&gt;1000,10,MATCH(O266,Cargas,1))),Coluna_fis,1,1))*(PI()*(fi_s/1000)^2/4)*(2*9.81*(O266/100-cota_s-fi_s/2/1000))^0.5*1000)))</f>
        <v>0</v>
      </c>
      <c r="R266" s="38">
        <f t="shared" ca="1" si="62"/>
        <v>2.1565470860541902</v>
      </c>
      <c r="S266" s="38">
        <f t="shared" ca="1" si="63"/>
        <v>82.8125</v>
      </c>
      <c r="AD266" s="38" t="str">
        <f t="shared" si="73"/>
        <v/>
      </c>
      <c r="AE266" s="38" t="str">
        <f t="shared" si="74"/>
        <v/>
      </c>
      <c r="AF266" s="38" t="str">
        <f>IF(ISERROR(IF('Hidrograma afluente'!I273="",0,'Hidrograma afluente'!I273)+Simulação!G266),"",IF('Hidrograma afluente'!I273="",0,'Hidrograma afluente'!I273)+Simulação!G266)</f>
        <v/>
      </c>
      <c r="AG266" s="36" t="s">
        <v>182</v>
      </c>
      <c r="AH266" s="36" t="s">
        <v>182</v>
      </c>
      <c r="AI266" s="48" t="s">
        <v>182</v>
      </c>
      <c r="AJ266" s="36" t="s">
        <v>182</v>
      </c>
      <c r="AK266" s="38" t="str">
        <f>IF(A266="","",IF('Hidrograma afluente'!I273="",0,'Hidrograma afluente'!I273)+Simulação!B266)</f>
        <v/>
      </c>
    </row>
    <row r="267" spans="1:37" s="36" customFormat="1">
      <c r="A267" s="23" t="str">
        <f t="shared" si="64"/>
        <v/>
      </c>
      <c r="B267" s="24" t="str">
        <f>IF(A267="","",IF(A267&gt;tc_lot_i+tc,0,IF('Hidrograma afluente'!B274="","",'Hidrograma afluente'!B274)))</f>
        <v/>
      </c>
      <c r="C267" s="41" t="str">
        <f t="shared" si="65"/>
        <v/>
      </c>
      <c r="D267" s="41" t="str">
        <f t="shared" si="66"/>
        <v/>
      </c>
      <c r="E267" s="41" t="str">
        <f t="shared" si="67"/>
        <v/>
      </c>
      <c r="F267" s="41" t="str">
        <f t="shared" si="68"/>
        <v/>
      </c>
      <c r="G267" s="41" t="str">
        <f t="shared" si="69"/>
        <v/>
      </c>
      <c r="H267" s="43" t="str">
        <f t="shared" si="60"/>
        <v/>
      </c>
      <c r="I267" s="42" t="str">
        <f t="shared" si="70"/>
        <v/>
      </c>
      <c r="J267" s="18"/>
      <c r="K267" s="76"/>
      <c r="M267" s="132">
        <f t="shared" ca="1" si="61"/>
        <v>85.285723045749208</v>
      </c>
      <c r="N267" s="38">
        <f t="shared" si="71"/>
        <v>2.4937500000000004</v>
      </c>
      <c r="O267" s="36">
        <f t="shared" si="72"/>
        <v>66.5</v>
      </c>
      <c r="P267" s="38">
        <f ca="1">IF(ISERROR(IF(O267&lt;fi_h/20,0,(OFFSET('Base de dados'!$A$5,IF(O267&lt;20,1,IF(O267&gt;1000,10,MATCH(O267,Cargas,1))),Coluna_fih,1,1))*(1+0.13*0.25)*(PI()*(fi_h/1000)^2/4)*SQRT(2*9.81*(O267/100-fi_h/2/1000))*1000)),"",IF(O267&lt;fi_h/20,0,(OFFSET('Base de dados'!$A$5,IF(O267&lt;20,1,IF(O267&gt;1000,10,MATCH(O267,Cargas,1))),Coluna_fih,1,1))*(PI()*(fi_h/1000)^2/4)*SQRT(2*9.81*(O267/100-fi_h/2/1000))*1000))</f>
        <v>2.1607230457491897</v>
      </c>
      <c r="Q267" s="38">
        <f ca="1">IF(O267="","",IF(Tipo_Vertedor="Retangular",IF(O267&lt;=cota_s*100,0,IF(Tipo_Vertedor="Retangular",Cd_sr*Lef_sr*((O267/100-cota_s)^(3/2))*1000)),IF(O267&lt;=cota_s*100+fi_s/20,0,(OFFSET('Base de dados'!$A$4,IF(O267&lt;20,1,IF(O267&gt;1000,10,MATCH(O267,Cargas,1))),Coluna_fis,1,1))*(PI()*(fi_s/1000)^2/4)*(2*9.81*(O267/100-cota_s-fi_s/2/1000))^0.5*1000)))</f>
        <v>0</v>
      </c>
      <c r="R267" s="38">
        <f t="shared" ca="1" si="62"/>
        <v>2.1607230457491897</v>
      </c>
      <c r="S267" s="38">
        <f t="shared" ca="1" si="63"/>
        <v>83.125000000000014</v>
      </c>
      <c r="AD267" s="38" t="str">
        <f t="shared" si="73"/>
        <v/>
      </c>
      <c r="AE267" s="38" t="str">
        <f t="shared" si="74"/>
        <v/>
      </c>
      <c r="AF267" s="38" t="str">
        <f>IF(ISERROR(IF('Hidrograma afluente'!I274="",0,'Hidrograma afluente'!I274)+Simulação!G267),"",IF('Hidrograma afluente'!I274="",0,'Hidrograma afluente'!I274)+Simulação!G267)</f>
        <v/>
      </c>
      <c r="AG267" s="36" t="s">
        <v>182</v>
      </c>
      <c r="AH267" s="36" t="s">
        <v>182</v>
      </c>
      <c r="AI267" s="48" t="s">
        <v>182</v>
      </c>
      <c r="AJ267" s="36" t="s">
        <v>182</v>
      </c>
      <c r="AK267" s="38" t="str">
        <f>IF(A267="","",IF('Hidrograma afluente'!I274="",0,'Hidrograma afluente'!I274)+Simulação!B267)</f>
        <v/>
      </c>
    </row>
    <row r="268" spans="1:37" s="36" customFormat="1">
      <c r="A268" s="23" t="str">
        <f t="shared" si="64"/>
        <v/>
      </c>
      <c r="B268" s="24" t="str">
        <f>IF(A268="","",IF(A268&gt;tc_lot_i+tc,0,IF('Hidrograma afluente'!B275="","",'Hidrograma afluente'!B275)))</f>
        <v/>
      </c>
      <c r="C268" s="41" t="str">
        <f t="shared" si="65"/>
        <v/>
      </c>
      <c r="D268" s="41" t="str">
        <f t="shared" si="66"/>
        <v/>
      </c>
      <c r="E268" s="41" t="str">
        <f t="shared" si="67"/>
        <v/>
      </c>
      <c r="F268" s="41" t="str">
        <f t="shared" si="68"/>
        <v/>
      </c>
      <c r="G268" s="41" t="str">
        <f t="shared" si="69"/>
        <v/>
      </c>
      <c r="H268" s="43" t="str">
        <f t="shared" si="60"/>
        <v/>
      </c>
      <c r="I268" s="42" t="str">
        <f t="shared" si="70"/>
        <v/>
      </c>
      <c r="J268" s="18"/>
      <c r="K268" s="76"/>
      <c r="M268" s="132">
        <f t="shared" ca="1" si="61"/>
        <v>85.602390950254659</v>
      </c>
      <c r="N268" s="38">
        <f t="shared" si="71"/>
        <v>2.5031249999999998</v>
      </c>
      <c r="O268" s="36">
        <f t="shared" si="72"/>
        <v>66.75</v>
      </c>
      <c r="P268" s="38">
        <f ca="1">IF(ISERROR(IF(O268&lt;fi_h/20,0,(OFFSET('Base de dados'!$A$5,IF(O268&lt;20,1,IF(O268&gt;1000,10,MATCH(O268,Cargas,1))),Coluna_fih,1,1))*(1+0.13*0.25)*(PI()*(fi_h/1000)^2/4)*SQRT(2*9.81*(O268/100-fi_h/2/1000))*1000)),"",IF(O268&lt;fi_h/20,0,(OFFSET('Base de dados'!$A$5,IF(O268&lt;20,1,IF(O268&gt;1000,10,MATCH(O268,Cargas,1))),Coluna_fih,1,1))*(PI()*(fi_h/1000)^2/4)*SQRT(2*9.81*(O268/100-fi_h/2/1000))*1000))</f>
        <v>2.1648909502546521</v>
      </c>
      <c r="Q268" s="38">
        <f ca="1">IF(O268="","",IF(Tipo_Vertedor="Retangular",IF(O268&lt;=cota_s*100,0,IF(Tipo_Vertedor="Retangular",Cd_sr*Lef_sr*((O268/100-cota_s)^(3/2))*1000)),IF(O268&lt;=cota_s*100+fi_s/20,0,(OFFSET('Base de dados'!$A$4,IF(O268&lt;20,1,IF(O268&gt;1000,10,MATCH(O268,Cargas,1))),Coluna_fis,1,1))*(PI()*(fi_s/1000)^2/4)*(2*9.81*(O268/100-cota_s-fi_s/2/1000))^0.5*1000)))</f>
        <v>0</v>
      </c>
      <c r="R268" s="38">
        <f t="shared" ca="1" si="62"/>
        <v>2.1648909502546521</v>
      </c>
      <c r="S268" s="38">
        <f t="shared" ca="1" si="63"/>
        <v>83.4375</v>
      </c>
      <c r="AD268" s="38" t="str">
        <f t="shared" si="73"/>
        <v/>
      </c>
      <c r="AE268" s="38" t="str">
        <f t="shared" si="74"/>
        <v/>
      </c>
      <c r="AF268" s="38" t="str">
        <f>IF(ISERROR(IF('Hidrograma afluente'!I275="",0,'Hidrograma afluente'!I275)+Simulação!G268),"",IF('Hidrograma afluente'!I275="",0,'Hidrograma afluente'!I275)+Simulação!G268)</f>
        <v/>
      </c>
      <c r="AG268" s="36" t="s">
        <v>182</v>
      </c>
      <c r="AH268" s="36" t="s">
        <v>182</v>
      </c>
      <c r="AI268" s="48" t="s">
        <v>182</v>
      </c>
      <c r="AJ268" s="36" t="s">
        <v>182</v>
      </c>
      <c r="AK268" s="38" t="str">
        <f>IF(A268="","",IF('Hidrograma afluente'!I275="",0,'Hidrograma afluente'!I275)+Simulação!B268)</f>
        <v/>
      </c>
    </row>
    <row r="269" spans="1:37" s="36" customFormat="1">
      <c r="A269" s="23" t="str">
        <f t="shared" si="64"/>
        <v/>
      </c>
      <c r="B269" s="24" t="str">
        <f>IF(A269="","",IF(A269&gt;tc_lot_i+tc,0,IF('Hidrograma afluente'!B276="","",'Hidrograma afluente'!B276)))</f>
        <v/>
      </c>
      <c r="C269" s="41" t="str">
        <f t="shared" si="65"/>
        <v/>
      </c>
      <c r="D269" s="41" t="str">
        <f t="shared" si="66"/>
        <v/>
      </c>
      <c r="E269" s="41" t="str">
        <f t="shared" si="67"/>
        <v/>
      </c>
      <c r="F269" s="41" t="str">
        <f t="shared" si="68"/>
        <v/>
      </c>
      <c r="G269" s="41" t="str">
        <f t="shared" si="69"/>
        <v/>
      </c>
      <c r="H269" s="43" t="str">
        <f t="shared" si="60"/>
        <v/>
      </c>
      <c r="I269" s="42" t="str">
        <f t="shared" si="70"/>
        <v/>
      </c>
      <c r="J269" s="18"/>
      <c r="K269" s="76"/>
      <c r="M269" s="132">
        <f t="shared" ca="1" si="61"/>
        <v>85.919050846005533</v>
      </c>
      <c r="N269" s="38">
        <f t="shared" si="71"/>
        <v>2.5125000000000002</v>
      </c>
      <c r="O269" s="36">
        <f t="shared" si="72"/>
        <v>67</v>
      </c>
      <c r="P269" s="38">
        <f ca="1">IF(ISERROR(IF(O269&lt;fi_h/20,0,(OFFSET('Base de dados'!$A$5,IF(O269&lt;20,1,IF(O269&gt;1000,10,MATCH(O269,Cargas,1))),Coluna_fih,1,1))*(1+0.13*0.25)*(PI()*(fi_h/1000)^2/4)*SQRT(2*9.81*(O269/100-fi_h/2/1000))*1000)),"",IF(O269&lt;fi_h/20,0,(OFFSET('Base de dados'!$A$5,IF(O269&lt;20,1,IF(O269&gt;1000,10,MATCH(O269,Cargas,1))),Coluna_fih,1,1))*(PI()*(fi_h/1000)^2/4)*SQRT(2*9.81*(O269/100-fi_h/2/1000))*1000))</f>
        <v>2.1690508460055344</v>
      </c>
      <c r="Q269" s="38">
        <f ca="1">IF(O269="","",IF(Tipo_Vertedor="Retangular",IF(O269&lt;=cota_s*100,0,IF(Tipo_Vertedor="Retangular",Cd_sr*Lef_sr*((O269/100-cota_s)^(3/2))*1000)),IF(O269&lt;=cota_s*100+fi_s/20,0,(OFFSET('Base de dados'!$A$4,IF(O269&lt;20,1,IF(O269&gt;1000,10,MATCH(O269,Cargas,1))),Coluna_fis,1,1))*(PI()*(fi_s/1000)^2/4)*(2*9.81*(O269/100-cota_s-fi_s/2/1000))^0.5*1000)))</f>
        <v>0</v>
      </c>
      <c r="R269" s="38">
        <f t="shared" ca="1" si="62"/>
        <v>2.1690508460055344</v>
      </c>
      <c r="S269" s="38">
        <f t="shared" ca="1" si="63"/>
        <v>83.75</v>
      </c>
      <c r="AD269" s="38" t="str">
        <f t="shared" si="73"/>
        <v/>
      </c>
      <c r="AE269" s="38" t="str">
        <f t="shared" si="74"/>
        <v/>
      </c>
      <c r="AF269" s="38" t="str">
        <f>IF(ISERROR(IF('Hidrograma afluente'!I276="",0,'Hidrograma afluente'!I276)+Simulação!G269),"",IF('Hidrograma afluente'!I276="",0,'Hidrograma afluente'!I276)+Simulação!G269)</f>
        <v/>
      </c>
      <c r="AG269" s="36" t="s">
        <v>182</v>
      </c>
      <c r="AH269" s="36" t="s">
        <v>182</v>
      </c>
      <c r="AI269" s="48" t="s">
        <v>182</v>
      </c>
      <c r="AJ269" s="36" t="s">
        <v>182</v>
      </c>
      <c r="AK269" s="38" t="str">
        <f>IF(A269="","",IF('Hidrograma afluente'!I276="",0,'Hidrograma afluente'!I276)+Simulação!B269)</f>
        <v/>
      </c>
    </row>
    <row r="270" spans="1:37" s="36" customFormat="1">
      <c r="A270" s="23" t="str">
        <f t="shared" si="64"/>
        <v/>
      </c>
      <c r="B270" s="24" t="str">
        <f>IF(A270="","",IF(A270&gt;tc_lot_i+tc,0,IF('Hidrograma afluente'!B277="","",'Hidrograma afluente'!B277)))</f>
        <v/>
      </c>
      <c r="C270" s="41" t="str">
        <f t="shared" si="65"/>
        <v/>
      </c>
      <c r="D270" s="41" t="str">
        <f t="shared" si="66"/>
        <v/>
      </c>
      <c r="E270" s="41" t="str">
        <f t="shared" si="67"/>
        <v/>
      </c>
      <c r="F270" s="41" t="str">
        <f t="shared" si="68"/>
        <v/>
      </c>
      <c r="G270" s="41" t="str">
        <f t="shared" si="69"/>
        <v/>
      </c>
      <c r="H270" s="43" t="str">
        <f t="shared" si="60"/>
        <v/>
      </c>
      <c r="I270" s="42" t="str">
        <f t="shared" si="70"/>
        <v/>
      </c>
      <c r="J270" s="18"/>
      <c r="K270" s="76"/>
      <c r="M270" s="132">
        <f t="shared" ca="1" si="61"/>
        <v>86.235702778992376</v>
      </c>
      <c r="N270" s="38">
        <f t="shared" si="71"/>
        <v>2.5218750000000001</v>
      </c>
      <c r="O270" s="36">
        <f t="shared" si="72"/>
        <v>67.25</v>
      </c>
      <c r="P270" s="38">
        <f ca="1">IF(ISERROR(IF(O270&lt;fi_h/20,0,(OFFSET('Base de dados'!$A$5,IF(O270&lt;20,1,IF(O270&gt;1000,10,MATCH(O270,Cargas,1))),Coluna_fih,1,1))*(1+0.13*0.25)*(PI()*(fi_h/1000)^2/4)*SQRT(2*9.81*(O270/100-fi_h/2/1000))*1000)),"",IF(O270&lt;fi_h/20,0,(OFFSET('Base de dados'!$A$5,IF(O270&lt;20,1,IF(O270&gt;1000,10,MATCH(O270,Cargas,1))),Coluna_fih,1,1))*(PI()*(fi_h/1000)^2/4)*SQRT(2*9.81*(O270/100-fi_h/2/1000))*1000))</f>
        <v>2.1732027789923696</v>
      </c>
      <c r="Q270" s="38">
        <f ca="1">IF(O270="","",IF(Tipo_Vertedor="Retangular",IF(O270&lt;=cota_s*100,0,IF(Tipo_Vertedor="Retangular",Cd_sr*Lef_sr*((O270/100-cota_s)^(3/2))*1000)),IF(O270&lt;=cota_s*100+fi_s/20,0,(OFFSET('Base de dados'!$A$4,IF(O270&lt;20,1,IF(O270&gt;1000,10,MATCH(O270,Cargas,1))),Coluna_fis,1,1))*(PI()*(fi_s/1000)^2/4)*(2*9.81*(O270/100-cota_s-fi_s/2/1000))^0.5*1000)))</f>
        <v>0</v>
      </c>
      <c r="R270" s="38">
        <f t="shared" ca="1" si="62"/>
        <v>2.1732027789923696</v>
      </c>
      <c r="S270" s="38">
        <f t="shared" ca="1" si="63"/>
        <v>84.0625</v>
      </c>
      <c r="AD270" s="38" t="str">
        <f t="shared" si="73"/>
        <v/>
      </c>
      <c r="AE270" s="38" t="str">
        <f t="shared" si="74"/>
        <v/>
      </c>
      <c r="AF270" s="38" t="str">
        <f>IF(ISERROR(IF('Hidrograma afluente'!I277="",0,'Hidrograma afluente'!I277)+Simulação!G270),"",IF('Hidrograma afluente'!I277="",0,'Hidrograma afluente'!I277)+Simulação!G270)</f>
        <v/>
      </c>
      <c r="AG270" s="36" t="s">
        <v>182</v>
      </c>
      <c r="AH270" s="36" t="s">
        <v>182</v>
      </c>
      <c r="AI270" s="48" t="s">
        <v>182</v>
      </c>
      <c r="AJ270" s="36" t="s">
        <v>182</v>
      </c>
      <c r="AK270" s="38" t="str">
        <f>IF(A270="","",IF('Hidrograma afluente'!I277="",0,'Hidrograma afluente'!I277)+Simulação!B270)</f>
        <v/>
      </c>
    </row>
    <row r="271" spans="1:37" s="36" customFormat="1">
      <c r="A271" s="23" t="str">
        <f t="shared" si="64"/>
        <v/>
      </c>
      <c r="B271" s="24" t="str">
        <f>IF(A271="","",IF(A271&gt;tc_lot_i+tc,0,IF('Hidrograma afluente'!B278="","",'Hidrograma afluente'!B278)))</f>
        <v/>
      </c>
      <c r="C271" s="41" t="str">
        <f t="shared" si="65"/>
        <v/>
      </c>
      <c r="D271" s="41" t="str">
        <f t="shared" si="66"/>
        <v/>
      </c>
      <c r="E271" s="41" t="str">
        <f t="shared" si="67"/>
        <v/>
      </c>
      <c r="F271" s="41" t="str">
        <f t="shared" si="68"/>
        <v/>
      </c>
      <c r="G271" s="41" t="str">
        <f t="shared" si="69"/>
        <v/>
      </c>
      <c r="H271" s="43" t="str">
        <f t="shared" si="60"/>
        <v/>
      </c>
      <c r="I271" s="42" t="str">
        <f t="shared" si="70"/>
        <v/>
      </c>
      <c r="J271" s="18"/>
      <c r="K271" s="76"/>
      <c r="M271" s="132">
        <f t="shared" ca="1" si="61"/>
        <v>86.552346794767203</v>
      </c>
      <c r="N271" s="38">
        <f t="shared" si="71"/>
        <v>2.53125</v>
      </c>
      <c r="O271" s="36">
        <f t="shared" si="72"/>
        <v>67.5</v>
      </c>
      <c r="P271" s="38">
        <f ca="1">IF(ISERROR(IF(O271&lt;fi_h/20,0,(OFFSET('Base de dados'!$A$5,IF(O271&lt;20,1,IF(O271&gt;1000,10,MATCH(O271,Cargas,1))),Coluna_fih,1,1))*(1+0.13*0.25)*(PI()*(fi_h/1000)^2/4)*SQRT(2*9.81*(O271/100-fi_h/2/1000))*1000)),"",IF(O271&lt;fi_h/20,0,(OFFSET('Base de dados'!$A$5,IF(O271&lt;20,1,IF(O271&gt;1000,10,MATCH(O271,Cargas,1))),Coluna_fih,1,1))*(PI()*(fi_h/1000)^2/4)*SQRT(2*9.81*(O271/100-fi_h/2/1000))*1000))</f>
        <v>2.1773467947671987</v>
      </c>
      <c r="Q271" s="38">
        <f ca="1">IF(O271="","",IF(Tipo_Vertedor="Retangular",IF(O271&lt;=cota_s*100,0,IF(Tipo_Vertedor="Retangular",Cd_sr*Lef_sr*((O271/100-cota_s)^(3/2))*1000)),IF(O271&lt;=cota_s*100+fi_s/20,0,(OFFSET('Base de dados'!$A$4,IF(O271&lt;20,1,IF(O271&gt;1000,10,MATCH(O271,Cargas,1))),Coluna_fis,1,1))*(PI()*(fi_s/1000)^2/4)*(2*9.81*(O271/100-cota_s-fi_s/2/1000))^0.5*1000)))</f>
        <v>0</v>
      </c>
      <c r="R271" s="38">
        <f t="shared" ca="1" si="62"/>
        <v>2.1773467947671987</v>
      </c>
      <c r="S271" s="38">
        <f t="shared" ca="1" si="63"/>
        <v>84.375</v>
      </c>
      <c r="AD271" s="38" t="str">
        <f t="shared" si="73"/>
        <v/>
      </c>
      <c r="AE271" s="38" t="str">
        <f t="shared" si="74"/>
        <v/>
      </c>
      <c r="AF271" s="38" t="str">
        <f>IF(ISERROR(IF('Hidrograma afluente'!I278="",0,'Hidrograma afluente'!I278)+Simulação!G271),"",IF('Hidrograma afluente'!I278="",0,'Hidrograma afluente'!I278)+Simulação!G271)</f>
        <v/>
      </c>
      <c r="AG271" s="36" t="s">
        <v>182</v>
      </c>
      <c r="AH271" s="36" t="s">
        <v>182</v>
      </c>
      <c r="AI271" s="48" t="s">
        <v>182</v>
      </c>
      <c r="AJ271" s="36" t="s">
        <v>182</v>
      </c>
      <c r="AK271" s="38" t="str">
        <f>IF(A271="","",IF('Hidrograma afluente'!I278="",0,'Hidrograma afluente'!I278)+Simulação!B271)</f>
        <v/>
      </c>
    </row>
    <row r="272" spans="1:37" s="36" customFormat="1">
      <c r="A272" s="23" t="str">
        <f t="shared" si="64"/>
        <v/>
      </c>
      <c r="B272" s="24" t="str">
        <f>IF(A272="","",IF(A272&gt;tc_lot_i+tc,0,IF('Hidrograma afluente'!B279="","",'Hidrograma afluente'!B279)))</f>
        <v/>
      </c>
      <c r="C272" s="41" t="str">
        <f t="shared" si="65"/>
        <v/>
      </c>
      <c r="D272" s="41" t="str">
        <f t="shared" si="66"/>
        <v/>
      </c>
      <c r="E272" s="41" t="str">
        <f t="shared" si="67"/>
        <v/>
      </c>
      <c r="F272" s="41" t="str">
        <f t="shared" si="68"/>
        <v/>
      </c>
      <c r="G272" s="41" t="str">
        <f t="shared" si="69"/>
        <v/>
      </c>
      <c r="H272" s="43" t="str">
        <f t="shared" si="60"/>
        <v/>
      </c>
      <c r="I272" s="42" t="str">
        <f t="shared" si="70"/>
        <v/>
      </c>
      <c r="J272" s="18"/>
      <c r="K272" s="76"/>
      <c r="M272" s="132">
        <f t="shared" ca="1" si="61"/>
        <v>86.868982938449406</v>
      </c>
      <c r="N272" s="38">
        <f t="shared" si="71"/>
        <v>2.5406249999999999</v>
      </c>
      <c r="O272" s="36">
        <f t="shared" si="72"/>
        <v>67.75</v>
      </c>
      <c r="P272" s="38">
        <f ca="1">IF(ISERROR(IF(O272&lt;fi_h/20,0,(OFFSET('Base de dados'!$A$5,IF(O272&lt;20,1,IF(O272&gt;1000,10,MATCH(O272,Cargas,1))),Coluna_fih,1,1))*(1+0.13*0.25)*(PI()*(fi_h/1000)^2/4)*SQRT(2*9.81*(O272/100-fi_h/2/1000))*1000)),"",IF(O272&lt;fi_h/20,0,(OFFSET('Base de dados'!$A$5,IF(O272&lt;20,1,IF(O272&gt;1000,10,MATCH(O272,Cargas,1))),Coluna_fih,1,1))*(PI()*(fi_h/1000)^2/4)*SQRT(2*9.81*(O272/100-fi_h/2/1000))*1000))</f>
        <v>2.1814829384493999</v>
      </c>
      <c r="Q272" s="38">
        <f ca="1">IF(O272="","",IF(Tipo_Vertedor="Retangular",IF(O272&lt;=cota_s*100,0,IF(Tipo_Vertedor="Retangular",Cd_sr*Lef_sr*((O272/100-cota_s)^(3/2))*1000)),IF(O272&lt;=cota_s*100+fi_s/20,0,(OFFSET('Base de dados'!$A$4,IF(O272&lt;20,1,IF(O272&gt;1000,10,MATCH(O272,Cargas,1))),Coluna_fis,1,1))*(PI()*(fi_s/1000)^2/4)*(2*9.81*(O272/100-cota_s-fi_s/2/1000))^0.5*1000)))</f>
        <v>0</v>
      </c>
      <c r="R272" s="38">
        <f t="shared" ca="1" si="62"/>
        <v>2.1814829384493999</v>
      </c>
      <c r="S272" s="38">
        <f t="shared" ca="1" si="63"/>
        <v>84.6875</v>
      </c>
      <c r="AD272" s="38" t="str">
        <f t="shared" si="73"/>
        <v/>
      </c>
      <c r="AE272" s="38" t="str">
        <f t="shared" si="74"/>
        <v/>
      </c>
      <c r="AF272" s="38" t="str">
        <f>IF(ISERROR(IF('Hidrograma afluente'!I279="",0,'Hidrograma afluente'!I279)+Simulação!G272),"",IF('Hidrograma afluente'!I279="",0,'Hidrograma afluente'!I279)+Simulação!G272)</f>
        <v/>
      </c>
      <c r="AG272" s="36" t="s">
        <v>182</v>
      </c>
      <c r="AH272" s="36" t="s">
        <v>182</v>
      </c>
      <c r="AI272" s="48" t="s">
        <v>182</v>
      </c>
      <c r="AJ272" s="36" t="s">
        <v>182</v>
      </c>
      <c r="AK272" s="38" t="str">
        <f>IF(A272="","",IF('Hidrograma afluente'!I279="",0,'Hidrograma afluente'!I279)+Simulação!B272)</f>
        <v/>
      </c>
    </row>
    <row r="273" spans="1:37" s="36" customFormat="1">
      <c r="A273" s="23" t="str">
        <f t="shared" si="64"/>
        <v/>
      </c>
      <c r="B273" s="24" t="str">
        <f>IF(A273="","",IF(A273&gt;tc_lot_i+tc,0,IF('Hidrograma afluente'!B280="","",'Hidrograma afluente'!B280)))</f>
        <v/>
      </c>
      <c r="C273" s="41" t="str">
        <f t="shared" si="65"/>
        <v/>
      </c>
      <c r="D273" s="41" t="str">
        <f t="shared" si="66"/>
        <v/>
      </c>
      <c r="E273" s="41" t="str">
        <f t="shared" si="67"/>
        <v/>
      </c>
      <c r="F273" s="41" t="str">
        <f t="shared" si="68"/>
        <v/>
      </c>
      <c r="G273" s="41" t="str">
        <f t="shared" si="69"/>
        <v/>
      </c>
      <c r="H273" s="43" t="str">
        <f t="shared" si="60"/>
        <v/>
      </c>
      <c r="I273" s="42" t="str">
        <f t="shared" si="70"/>
        <v/>
      </c>
      <c r="J273" s="18"/>
      <c r="K273" s="76"/>
      <c r="M273" s="132">
        <f t="shared" ca="1" si="61"/>
        <v>87.185611254731441</v>
      </c>
      <c r="N273" s="38">
        <f t="shared" si="71"/>
        <v>2.5500000000000003</v>
      </c>
      <c r="O273" s="36">
        <f t="shared" si="72"/>
        <v>68</v>
      </c>
      <c r="P273" s="38">
        <f ca="1">IF(ISERROR(IF(O273&lt;fi_h/20,0,(OFFSET('Base de dados'!$A$5,IF(O273&lt;20,1,IF(O273&gt;1000,10,MATCH(O273,Cargas,1))),Coluna_fih,1,1))*(1+0.13*0.25)*(PI()*(fi_h/1000)^2/4)*SQRT(2*9.81*(O273/100-fi_h/2/1000))*1000)),"",IF(O273&lt;fi_h/20,0,(OFFSET('Base de dados'!$A$5,IF(O273&lt;20,1,IF(O273&gt;1000,10,MATCH(O273,Cargas,1))),Coluna_fih,1,1))*(PI()*(fi_h/1000)^2/4)*SQRT(2*9.81*(O273/100-fi_h/2/1000))*1000))</f>
        <v>2.1856112547314228</v>
      </c>
      <c r="Q273" s="38">
        <f ca="1">IF(O273="","",IF(Tipo_Vertedor="Retangular",IF(O273&lt;=cota_s*100,0,IF(Tipo_Vertedor="Retangular",Cd_sr*Lef_sr*((O273/100-cota_s)^(3/2))*1000)),IF(O273&lt;=cota_s*100+fi_s/20,0,(OFFSET('Base de dados'!$A$4,IF(O273&lt;20,1,IF(O273&gt;1000,10,MATCH(O273,Cargas,1))),Coluna_fis,1,1))*(PI()*(fi_s/1000)^2/4)*(2*9.81*(O273/100-cota_s-fi_s/2/1000))^0.5*1000)))</f>
        <v>0</v>
      </c>
      <c r="R273" s="38">
        <f t="shared" ca="1" si="62"/>
        <v>2.1856112547314228</v>
      </c>
      <c r="S273" s="38">
        <f t="shared" ca="1" si="63"/>
        <v>85.000000000000014</v>
      </c>
      <c r="AD273" s="38" t="str">
        <f t="shared" si="73"/>
        <v/>
      </c>
      <c r="AE273" s="38" t="str">
        <f t="shared" si="74"/>
        <v/>
      </c>
      <c r="AF273" s="38" t="str">
        <f>IF(ISERROR(IF('Hidrograma afluente'!I280="",0,'Hidrograma afluente'!I280)+Simulação!G273),"",IF('Hidrograma afluente'!I280="",0,'Hidrograma afluente'!I280)+Simulação!G273)</f>
        <v/>
      </c>
      <c r="AG273" s="36" t="s">
        <v>182</v>
      </c>
      <c r="AH273" s="36" t="s">
        <v>182</v>
      </c>
      <c r="AI273" s="48" t="s">
        <v>182</v>
      </c>
      <c r="AJ273" s="36" t="s">
        <v>182</v>
      </c>
      <c r="AK273" s="38" t="str">
        <f>IF(A273="","",IF('Hidrograma afluente'!I280="",0,'Hidrograma afluente'!I280)+Simulação!B273)</f>
        <v/>
      </c>
    </row>
    <row r="274" spans="1:37" s="36" customFormat="1">
      <c r="A274" s="23" t="str">
        <f t="shared" si="64"/>
        <v/>
      </c>
      <c r="B274" s="24" t="str">
        <f>IF(A274="","",IF(A274&gt;tc_lot_i+tc,0,IF('Hidrograma afluente'!B281="","",'Hidrograma afluente'!B281)))</f>
        <v/>
      </c>
      <c r="C274" s="41" t="str">
        <f t="shared" si="65"/>
        <v/>
      </c>
      <c r="D274" s="41" t="str">
        <f t="shared" si="66"/>
        <v/>
      </c>
      <c r="E274" s="41" t="str">
        <f t="shared" si="67"/>
        <v/>
      </c>
      <c r="F274" s="41" t="str">
        <f t="shared" si="68"/>
        <v/>
      </c>
      <c r="G274" s="41" t="str">
        <f t="shared" si="69"/>
        <v/>
      </c>
      <c r="H274" s="43" t="str">
        <f t="shared" si="60"/>
        <v/>
      </c>
      <c r="I274" s="42" t="str">
        <f t="shared" si="70"/>
        <v/>
      </c>
      <c r="J274" s="18"/>
      <c r="K274" s="76"/>
      <c r="M274" s="132">
        <f t="shared" ca="1" si="61"/>
        <v>87.502231787884426</v>
      </c>
      <c r="N274" s="38">
        <f t="shared" si="71"/>
        <v>2.5593750000000002</v>
      </c>
      <c r="O274" s="36">
        <f t="shared" si="72"/>
        <v>68.25</v>
      </c>
      <c r="P274" s="38">
        <f ca="1">IF(ISERROR(IF(O274&lt;fi_h/20,0,(OFFSET('Base de dados'!$A$5,IF(O274&lt;20,1,IF(O274&gt;1000,10,MATCH(O274,Cargas,1))),Coluna_fih,1,1))*(1+0.13*0.25)*(PI()*(fi_h/1000)^2/4)*SQRT(2*9.81*(O274/100-fi_h/2/1000))*1000)),"",IF(O274&lt;fi_h/20,0,(OFFSET('Base de dados'!$A$5,IF(O274&lt;20,1,IF(O274&gt;1000,10,MATCH(O274,Cargas,1))),Coluna_fih,1,1))*(PI()*(fi_h/1000)^2/4)*SQRT(2*9.81*(O274/100-fi_h/2/1000))*1000))</f>
        <v>2.1897317878844196</v>
      </c>
      <c r="Q274" s="38">
        <f ca="1">IF(O274="","",IF(Tipo_Vertedor="Retangular",IF(O274&lt;=cota_s*100,0,IF(Tipo_Vertedor="Retangular",Cd_sr*Lef_sr*((O274/100-cota_s)^(3/2))*1000)),IF(O274&lt;=cota_s*100+fi_s/20,0,(OFFSET('Base de dados'!$A$4,IF(O274&lt;20,1,IF(O274&gt;1000,10,MATCH(O274,Cargas,1))),Coluna_fis,1,1))*(PI()*(fi_s/1000)^2/4)*(2*9.81*(O274/100-cota_s-fi_s/2/1000))^0.5*1000)))</f>
        <v>0</v>
      </c>
      <c r="R274" s="38">
        <f t="shared" ca="1" si="62"/>
        <v>2.1897317878844196</v>
      </c>
      <c r="S274" s="38">
        <f t="shared" ca="1" si="63"/>
        <v>85.3125</v>
      </c>
      <c r="AD274" s="38" t="str">
        <f t="shared" si="73"/>
        <v/>
      </c>
      <c r="AE274" s="38" t="str">
        <f t="shared" si="74"/>
        <v/>
      </c>
      <c r="AF274" s="38" t="str">
        <f>IF(ISERROR(IF('Hidrograma afluente'!I281="",0,'Hidrograma afluente'!I281)+Simulação!G274),"",IF('Hidrograma afluente'!I281="",0,'Hidrograma afluente'!I281)+Simulação!G274)</f>
        <v/>
      </c>
      <c r="AG274" s="36" t="s">
        <v>182</v>
      </c>
      <c r="AH274" s="36" t="s">
        <v>182</v>
      </c>
      <c r="AI274" s="48" t="s">
        <v>182</v>
      </c>
      <c r="AJ274" s="36" t="s">
        <v>182</v>
      </c>
      <c r="AK274" s="38" t="str">
        <f>IF(A274="","",IF('Hidrograma afluente'!I281="",0,'Hidrograma afluente'!I281)+Simulação!B274)</f>
        <v/>
      </c>
    </row>
    <row r="275" spans="1:37" s="36" customFormat="1">
      <c r="A275" s="23" t="str">
        <f t="shared" si="64"/>
        <v/>
      </c>
      <c r="B275" s="24" t="str">
        <f>IF(A275="","",IF(A275&gt;tc_lot_i+tc,0,IF('Hidrograma afluente'!B282="","",'Hidrograma afluente'!B282)))</f>
        <v/>
      </c>
      <c r="C275" s="41" t="str">
        <f t="shared" si="65"/>
        <v/>
      </c>
      <c r="D275" s="41" t="str">
        <f t="shared" si="66"/>
        <v/>
      </c>
      <c r="E275" s="41" t="str">
        <f t="shared" si="67"/>
        <v/>
      </c>
      <c r="F275" s="41" t="str">
        <f t="shared" si="68"/>
        <v/>
      </c>
      <c r="G275" s="41" t="str">
        <f t="shared" si="69"/>
        <v/>
      </c>
      <c r="H275" s="43" t="str">
        <f t="shared" si="60"/>
        <v/>
      </c>
      <c r="I275" s="42" t="str">
        <f t="shared" si="70"/>
        <v/>
      </c>
      <c r="J275" s="18"/>
      <c r="K275" s="76"/>
      <c r="M275" s="132">
        <f t="shared" ca="1" si="61"/>
        <v>87.818844581763784</v>
      </c>
      <c r="N275" s="38">
        <f t="shared" si="71"/>
        <v>2.5687500000000001</v>
      </c>
      <c r="O275" s="36">
        <f t="shared" si="72"/>
        <v>68.5</v>
      </c>
      <c r="P275" s="38">
        <f ca="1">IF(ISERROR(IF(O275&lt;fi_h/20,0,(OFFSET('Base de dados'!$A$5,IF(O275&lt;20,1,IF(O275&gt;1000,10,MATCH(O275,Cargas,1))),Coluna_fih,1,1))*(1+0.13*0.25)*(PI()*(fi_h/1000)^2/4)*SQRT(2*9.81*(O275/100-fi_h/2/1000))*1000)),"",IF(O275&lt;fi_h/20,0,(OFFSET('Base de dados'!$A$5,IF(O275&lt;20,1,IF(O275&gt;1000,10,MATCH(O275,Cargas,1))),Coluna_fih,1,1))*(PI()*(fi_h/1000)^2/4)*SQRT(2*9.81*(O275/100-fi_h/2/1000))*1000))</f>
        <v>2.1938445817637886</v>
      </c>
      <c r="Q275" s="38">
        <f ca="1">IF(O275="","",IF(Tipo_Vertedor="Retangular",IF(O275&lt;=cota_s*100,0,IF(Tipo_Vertedor="Retangular",Cd_sr*Lef_sr*((O275/100-cota_s)^(3/2))*1000)),IF(O275&lt;=cota_s*100+fi_s/20,0,(OFFSET('Base de dados'!$A$4,IF(O275&lt;20,1,IF(O275&gt;1000,10,MATCH(O275,Cargas,1))),Coluna_fis,1,1))*(PI()*(fi_s/1000)^2/4)*(2*9.81*(O275/100-cota_s-fi_s/2/1000))^0.5*1000)))</f>
        <v>0</v>
      </c>
      <c r="R275" s="38">
        <f t="shared" ca="1" si="62"/>
        <v>2.1938445817637886</v>
      </c>
      <c r="S275" s="38">
        <f t="shared" ca="1" si="63"/>
        <v>85.625</v>
      </c>
      <c r="AD275" s="38" t="str">
        <f t="shared" si="73"/>
        <v/>
      </c>
      <c r="AE275" s="38" t="str">
        <f t="shared" si="74"/>
        <v/>
      </c>
      <c r="AF275" s="38" t="str">
        <f>IF(ISERROR(IF('Hidrograma afluente'!I282="",0,'Hidrograma afluente'!I282)+Simulação!G275),"",IF('Hidrograma afluente'!I282="",0,'Hidrograma afluente'!I282)+Simulação!G275)</f>
        <v/>
      </c>
      <c r="AG275" s="36" t="s">
        <v>182</v>
      </c>
      <c r="AH275" s="36" t="s">
        <v>182</v>
      </c>
      <c r="AI275" s="48" t="s">
        <v>182</v>
      </c>
      <c r="AJ275" s="36" t="s">
        <v>182</v>
      </c>
      <c r="AK275" s="38" t="str">
        <f>IF(A275="","",IF('Hidrograma afluente'!I282="",0,'Hidrograma afluente'!I282)+Simulação!B275)</f>
        <v/>
      </c>
    </row>
    <row r="276" spans="1:37" s="36" customFormat="1">
      <c r="A276" s="23" t="str">
        <f t="shared" si="64"/>
        <v/>
      </c>
      <c r="B276" s="24" t="str">
        <f>IF(A276="","",IF(A276&gt;tc_lot_i+tc,0,IF('Hidrograma afluente'!B283="","",'Hidrograma afluente'!B283)))</f>
        <v/>
      </c>
      <c r="C276" s="41" t="str">
        <f t="shared" si="65"/>
        <v/>
      </c>
      <c r="D276" s="41" t="str">
        <f t="shared" si="66"/>
        <v/>
      </c>
      <c r="E276" s="41" t="str">
        <f t="shared" si="67"/>
        <v/>
      </c>
      <c r="F276" s="41" t="str">
        <f t="shared" si="68"/>
        <v/>
      </c>
      <c r="G276" s="41" t="str">
        <f t="shared" si="69"/>
        <v/>
      </c>
      <c r="H276" s="43" t="str">
        <f t="shared" si="60"/>
        <v/>
      </c>
      <c r="I276" s="42" t="str">
        <f t="shared" si="70"/>
        <v/>
      </c>
      <c r="J276" s="18"/>
      <c r="K276" s="76"/>
      <c r="M276" s="132">
        <f t="shared" ca="1" si="61"/>
        <v>88.135449679814613</v>
      </c>
      <c r="N276" s="38">
        <f t="shared" si="71"/>
        <v>2.578125</v>
      </c>
      <c r="O276" s="36">
        <f t="shared" si="72"/>
        <v>68.75</v>
      </c>
      <c r="P276" s="38">
        <f ca="1">IF(ISERROR(IF(O276&lt;fi_h/20,0,(OFFSET('Base de dados'!$A$5,IF(O276&lt;20,1,IF(O276&gt;1000,10,MATCH(O276,Cargas,1))),Coluna_fih,1,1))*(1+0.13*0.25)*(PI()*(fi_h/1000)^2/4)*SQRT(2*9.81*(O276/100-fi_h/2/1000))*1000)),"",IF(O276&lt;fi_h/20,0,(OFFSET('Base de dados'!$A$5,IF(O276&lt;20,1,IF(O276&gt;1000,10,MATCH(O276,Cargas,1))),Coluna_fih,1,1))*(PI()*(fi_h/1000)^2/4)*SQRT(2*9.81*(O276/100-fi_h/2/1000))*1000))</f>
        <v>2.1979496798146148</v>
      </c>
      <c r="Q276" s="38">
        <f ca="1">IF(O276="","",IF(Tipo_Vertedor="Retangular",IF(O276&lt;=cota_s*100,0,IF(Tipo_Vertedor="Retangular",Cd_sr*Lef_sr*((O276/100-cota_s)^(3/2))*1000)),IF(O276&lt;=cota_s*100+fi_s/20,0,(OFFSET('Base de dados'!$A$4,IF(O276&lt;20,1,IF(O276&gt;1000,10,MATCH(O276,Cargas,1))),Coluna_fis,1,1))*(PI()*(fi_s/1000)^2/4)*(2*9.81*(O276/100-cota_s-fi_s/2/1000))^0.5*1000)))</f>
        <v>0</v>
      </c>
      <c r="R276" s="38">
        <f t="shared" ca="1" si="62"/>
        <v>2.1979496798146148</v>
      </c>
      <c r="S276" s="38">
        <f t="shared" ca="1" si="63"/>
        <v>85.9375</v>
      </c>
      <c r="AD276" s="38" t="str">
        <f t="shared" si="73"/>
        <v/>
      </c>
      <c r="AE276" s="38" t="str">
        <f t="shared" si="74"/>
        <v/>
      </c>
      <c r="AF276" s="38" t="str">
        <f>IF(ISERROR(IF('Hidrograma afluente'!I283="",0,'Hidrograma afluente'!I283)+Simulação!G276),"",IF('Hidrograma afluente'!I283="",0,'Hidrograma afluente'!I283)+Simulação!G276)</f>
        <v/>
      </c>
      <c r="AG276" s="36" t="s">
        <v>182</v>
      </c>
      <c r="AH276" s="36" t="s">
        <v>182</v>
      </c>
      <c r="AI276" s="48" t="s">
        <v>182</v>
      </c>
      <c r="AJ276" s="36" t="s">
        <v>182</v>
      </c>
      <c r="AK276" s="38" t="str">
        <f>IF(A276="","",IF('Hidrograma afluente'!I283="",0,'Hidrograma afluente'!I283)+Simulação!B276)</f>
        <v/>
      </c>
    </row>
    <row r="277" spans="1:37" s="36" customFormat="1">
      <c r="A277" s="23" t="str">
        <f t="shared" si="64"/>
        <v/>
      </c>
      <c r="B277" s="24" t="str">
        <f>IF(A277="","",IF(A277&gt;tc_lot_i+tc,0,IF('Hidrograma afluente'!B284="","",'Hidrograma afluente'!B284)))</f>
        <v/>
      </c>
      <c r="C277" s="41" t="str">
        <f t="shared" si="65"/>
        <v/>
      </c>
      <c r="D277" s="41" t="str">
        <f t="shared" si="66"/>
        <v/>
      </c>
      <c r="E277" s="41" t="str">
        <f t="shared" si="67"/>
        <v/>
      </c>
      <c r="F277" s="41" t="str">
        <f t="shared" si="68"/>
        <v/>
      </c>
      <c r="G277" s="41" t="str">
        <f t="shared" si="69"/>
        <v/>
      </c>
      <c r="H277" s="43" t="str">
        <f t="shared" si="60"/>
        <v/>
      </c>
      <c r="I277" s="42" t="str">
        <f t="shared" si="70"/>
        <v/>
      </c>
      <c r="J277" s="18"/>
      <c r="K277" s="76"/>
      <c r="M277" s="132">
        <f t="shared" ca="1" si="61"/>
        <v>88.45204712507703</v>
      </c>
      <c r="N277" s="38">
        <f t="shared" si="71"/>
        <v>2.5874999999999999</v>
      </c>
      <c r="O277" s="36">
        <f t="shared" si="72"/>
        <v>69</v>
      </c>
      <c r="P277" s="38">
        <f ca="1">IF(ISERROR(IF(O277&lt;fi_h/20,0,(OFFSET('Base de dados'!$A$5,IF(O277&lt;20,1,IF(O277&gt;1000,10,MATCH(O277,Cargas,1))),Coluna_fih,1,1))*(1+0.13*0.25)*(PI()*(fi_h/1000)^2/4)*SQRT(2*9.81*(O277/100-fi_h/2/1000))*1000)),"",IF(O277&lt;fi_h/20,0,(OFFSET('Base de dados'!$A$5,IF(O277&lt;20,1,IF(O277&gt;1000,10,MATCH(O277,Cargas,1))),Coluna_fih,1,1))*(PI()*(fi_h/1000)^2/4)*SQRT(2*9.81*(O277/100-fi_h/2/1000))*1000))</f>
        <v>2.2020471250770273</v>
      </c>
      <c r="Q277" s="38">
        <f ca="1">IF(O277="","",IF(Tipo_Vertedor="Retangular",IF(O277&lt;=cota_s*100,0,IF(Tipo_Vertedor="Retangular",Cd_sr*Lef_sr*((O277/100-cota_s)^(3/2))*1000)),IF(O277&lt;=cota_s*100+fi_s/20,0,(OFFSET('Base de dados'!$A$4,IF(O277&lt;20,1,IF(O277&gt;1000,10,MATCH(O277,Cargas,1))),Coluna_fis,1,1))*(PI()*(fi_s/1000)^2/4)*(2*9.81*(O277/100-cota_s-fi_s/2/1000))^0.5*1000)))</f>
        <v>0</v>
      </c>
      <c r="R277" s="38">
        <f t="shared" ca="1" si="62"/>
        <v>2.2020471250770273</v>
      </c>
      <c r="S277" s="38">
        <f t="shared" ca="1" si="63"/>
        <v>86.25</v>
      </c>
      <c r="AD277" s="38" t="str">
        <f t="shared" si="73"/>
        <v/>
      </c>
      <c r="AE277" s="38" t="str">
        <f t="shared" si="74"/>
        <v/>
      </c>
      <c r="AF277" s="38" t="str">
        <f>IF(ISERROR(IF('Hidrograma afluente'!I284="",0,'Hidrograma afluente'!I284)+Simulação!G277),"",IF('Hidrograma afluente'!I284="",0,'Hidrograma afluente'!I284)+Simulação!G277)</f>
        <v/>
      </c>
      <c r="AG277" s="36" t="s">
        <v>182</v>
      </c>
      <c r="AH277" s="36" t="s">
        <v>182</v>
      </c>
      <c r="AI277" s="48" t="s">
        <v>182</v>
      </c>
      <c r="AJ277" s="36" t="s">
        <v>182</v>
      </c>
      <c r="AK277" s="38" t="str">
        <f>IF(A277="","",IF('Hidrograma afluente'!I284="",0,'Hidrograma afluente'!I284)+Simulação!B277)</f>
        <v/>
      </c>
    </row>
    <row r="278" spans="1:37" s="36" customFormat="1">
      <c r="A278" s="23" t="str">
        <f t="shared" si="64"/>
        <v/>
      </c>
      <c r="B278" s="24" t="str">
        <f>IF(A278="","",IF(A278&gt;tc_lot_i+tc,0,IF('Hidrograma afluente'!B285="","",'Hidrograma afluente'!B285)))</f>
        <v/>
      </c>
      <c r="C278" s="41" t="str">
        <f t="shared" si="65"/>
        <v/>
      </c>
      <c r="D278" s="41" t="str">
        <f t="shared" si="66"/>
        <v/>
      </c>
      <c r="E278" s="41" t="str">
        <f t="shared" si="67"/>
        <v/>
      </c>
      <c r="F278" s="41" t="str">
        <f t="shared" si="68"/>
        <v/>
      </c>
      <c r="G278" s="41" t="str">
        <f t="shared" si="69"/>
        <v/>
      </c>
      <c r="H278" s="43" t="str">
        <f t="shared" si="60"/>
        <v/>
      </c>
      <c r="I278" s="42" t="str">
        <f t="shared" si="70"/>
        <v/>
      </c>
      <c r="J278" s="18"/>
      <c r="K278" s="76"/>
      <c r="M278" s="132">
        <f t="shared" ca="1" si="61"/>
        <v>88.768636960191458</v>
      </c>
      <c r="N278" s="38">
        <f t="shared" si="71"/>
        <v>2.5968749999999998</v>
      </c>
      <c r="O278" s="36">
        <f t="shared" si="72"/>
        <v>69.25</v>
      </c>
      <c r="P278" s="38">
        <f ca="1">IF(ISERROR(IF(O278&lt;fi_h/20,0,(OFFSET('Base de dados'!$A$5,IF(O278&lt;20,1,IF(O278&gt;1000,10,MATCH(O278,Cargas,1))),Coluna_fih,1,1))*(1+0.13*0.25)*(PI()*(fi_h/1000)^2/4)*SQRT(2*9.81*(O278/100-fi_h/2/1000))*1000)),"",IF(O278&lt;fi_h/20,0,(OFFSET('Base de dados'!$A$5,IF(O278&lt;20,1,IF(O278&gt;1000,10,MATCH(O278,Cargas,1))),Coluna_fih,1,1))*(PI()*(fi_h/1000)^2/4)*SQRT(2*9.81*(O278/100-fi_h/2/1000))*1000))</f>
        <v>2.2061369601914644</v>
      </c>
      <c r="Q278" s="38">
        <f ca="1">IF(O278="","",IF(Tipo_Vertedor="Retangular",IF(O278&lt;=cota_s*100,0,IF(Tipo_Vertedor="Retangular",Cd_sr*Lef_sr*((O278/100-cota_s)^(3/2))*1000)),IF(O278&lt;=cota_s*100+fi_s/20,0,(OFFSET('Base de dados'!$A$4,IF(O278&lt;20,1,IF(O278&gt;1000,10,MATCH(O278,Cargas,1))),Coluna_fis,1,1))*(PI()*(fi_s/1000)^2/4)*(2*9.81*(O278/100-cota_s-fi_s/2/1000))^0.5*1000)))</f>
        <v>0</v>
      </c>
      <c r="R278" s="38">
        <f t="shared" ca="1" si="62"/>
        <v>2.2061369601914644</v>
      </c>
      <c r="S278" s="38">
        <f t="shared" ca="1" si="63"/>
        <v>86.5625</v>
      </c>
      <c r="AD278" s="38" t="str">
        <f t="shared" si="73"/>
        <v/>
      </c>
      <c r="AE278" s="38" t="str">
        <f t="shared" si="74"/>
        <v/>
      </c>
      <c r="AF278" s="38" t="str">
        <f>IF(ISERROR(IF('Hidrograma afluente'!I285="",0,'Hidrograma afluente'!I285)+Simulação!G278),"",IF('Hidrograma afluente'!I285="",0,'Hidrograma afluente'!I285)+Simulação!G278)</f>
        <v/>
      </c>
      <c r="AG278" s="36" t="s">
        <v>182</v>
      </c>
      <c r="AH278" s="36" t="s">
        <v>182</v>
      </c>
      <c r="AI278" s="48" t="s">
        <v>182</v>
      </c>
      <c r="AJ278" s="36" t="s">
        <v>182</v>
      </c>
      <c r="AK278" s="38" t="str">
        <f>IF(A278="","",IF('Hidrograma afluente'!I285="",0,'Hidrograma afluente'!I285)+Simulação!B278)</f>
        <v/>
      </c>
    </row>
    <row r="279" spans="1:37" s="36" customFormat="1">
      <c r="A279" s="23" t="str">
        <f t="shared" si="64"/>
        <v/>
      </c>
      <c r="B279" s="24" t="str">
        <f>IF(A279="","",IF(A279&gt;tc_lot_i+tc,0,IF('Hidrograma afluente'!B286="","",'Hidrograma afluente'!B286)))</f>
        <v/>
      </c>
      <c r="C279" s="41" t="str">
        <f t="shared" si="65"/>
        <v/>
      </c>
      <c r="D279" s="41" t="str">
        <f t="shared" si="66"/>
        <v/>
      </c>
      <c r="E279" s="41" t="str">
        <f t="shared" si="67"/>
        <v/>
      </c>
      <c r="F279" s="41" t="str">
        <f t="shared" si="68"/>
        <v/>
      </c>
      <c r="G279" s="41" t="str">
        <f t="shared" si="69"/>
        <v/>
      </c>
      <c r="H279" s="43" t="str">
        <f t="shared" si="60"/>
        <v/>
      </c>
      <c r="I279" s="42" t="str">
        <f t="shared" si="70"/>
        <v/>
      </c>
      <c r="J279" s="18"/>
      <c r="K279" s="76"/>
      <c r="M279" s="132">
        <f t="shared" ca="1" si="61"/>
        <v>89.08521922740384</v>
      </c>
      <c r="N279" s="38">
        <f t="shared" si="71"/>
        <v>2.6062499999999997</v>
      </c>
      <c r="O279" s="36">
        <f t="shared" si="72"/>
        <v>69.5</v>
      </c>
      <c r="P279" s="38">
        <f ca="1">IF(ISERROR(IF(O279&lt;fi_h/20,0,(OFFSET('Base de dados'!$A$5,IF(O279&lt;20,1,IF(O279&gt;1000,10,MATCH(O279,Cargas,1))),Coluna_fih,1,1))*(1+0.13*0.25)*(PI()*(fi_h/1000)^2/4)*SQRT(2*9.81*(O279/100-fi_h/2/1000))*1000)),"",IF(O279&lt;fi_h/20,0,(OFFSET('Base de dados'!$A$5,IF(O279&lt;20,1,IF(O279&gt;1000,10,MATCH(O279,Cargas,1))),Coluna_fih,1,1))*(PI()*(fi_h/1000)^2/4)*SQRT(2*9.81*(O279/100-fi_h/2/1000))*1000))</f>
        <v>2.2102192274038499</v>
      </c>
      <c r="Q279" s="38">
        <f ca="1">IF(O279="","",IF(Tipo_Vertedor="Retangular",IF(O279&lt;=cota_s*100,0,IF(Tipo_Vertedor="Retangular",Cd_sr*Lef_sr*((O279/100-cota_s)^(3/2))*1000)),IF(O279&lt;=cota_s*100+fi_s/20,0,(OFFSET('Base de dados'!$A$4,IF(O279&lt;20,1,IF(O279&gt;1000,10,MATCH(O279,Cargas,1))),Coluna_fis,1,1))*(PI()*(fi_s/1000)^2/4)*(2*9.81*(O279/100-cota_s-fi_s/2/1000))^0.5*1000)))</f>
        <v>0</v>
      </c>
      <c r="R279" s="38">
        <f t="shared" ca="1" si="62"/>
        <v>2.2102192274038499</v>
      </c>
      <c r="S279" s="38">
        <f t="shared" ca="1" si="63"/>
        <v>86.874999999999986</v>
      </c>
      <c r="AD279" s="38" t="str">
        <f t="shared" si="73"/>
        <v/>
      </c>
      <c r="AE279" s="38" t="str">
        <f t="shared" si="74"/>
        <v/>
      </c>
      <c r="AF279" s="38" t="str">
        <f>IF(ISERROR(IF('Hidrograma afluente'!I286="",0,'Hidrograma afluente'!I286)+Simulação!G279),"",IF('Hidrograma afluente'!I286="",0,'Hidrograma afluente'!I286)+Simulação!G279)</f>
        <v/>
      </c>
      <c r="AG279" s="36" t="s">
        <v>182</v>
      </c>
      <c r="AH279" s="36" t="s">
        <v>182</v>
      </c>
      <c r="AI279" s="48" t="s">
        <v>182</v>
      </c>
      <c r="AJ279" s="36" t="s">
        <v>182</v>
      </c>
      <c r="AK279" s="38" t="str">
        <f>IF(A279="","",IF('Hidrograma afluente'!I286="",0,'Hidrograma afluente'!I286)+Simulação!B279)</f>
        <v/>
      </c>
    </row>
    <row r="280" spans="1:37" s="36" customFormat="1">
      <c r="A280" s="23" t="str">
        <f t="shared" si="64"/>
        <v/>
      </c>
      <c r="B280" s="24" t="str">
        <f>IF(A280="","",IF(A280&gt;tc_lot_i+tc,0,IF('Hidrograma afluente'!B287="","",'Hidrograma afluente'!B287)))</f>
        <v/>
      </c>
      <c r="C280" s="41" t="str">
        <f t="shared" si="65"/>
        <v/>
      </c>
      <c r="D280" s="41" t="str">
        <f t="shared" si="66"/>
        <v/>
      </c>
      <c r="E280" s="41" t="str">
        <f t="shared" si="67"/>
        <v/>
      </c>
      <c r="F280" s="41" t="str">
        <f t="shared" si="68"/>
        <v/>
      </c>
      <c r="G280" s="41" t="str">
        <f t="shared" si="69"/>
        <v/>
      </c>
      <c r="H280" s="43" t="str">
        <f t="shared" si="60"/>
        <v/>
      </c>
      <c r="I280" s="42" t="str">
        <f t="shared" si="70"/>
        <v/>
      </c>
      <c r="J280" s="18"/>
      <c r="K280" s="76"/>
      <c r="M280" s="132">
        <f t="shared" ca="1" si="61"/>
        <v>89.401793968570686</v>
      </c>
      <c r="N280" s="38">
        <f t="shared" si="71"/>
        <v>2.6156250000000001</v>
      </c>
      <c r="O280" s="36">
        <f t="shared" si="72"/>
        <v>69.75</v>
      </c>
      <c r="P280" s="38">
        <f ca="1">IF(ISERROR(IF(O280&lt;fi_h/20,0,(OFFSET('Base de dados'!$A$5,IF(O280&lt;20,1,IF(O280&gt;1000,10,MATCH(O280,Cargas,1))),Coluna_fih,1,1))*(1+0.13*0.25)*(PI()*(fi_h/1000)^2/4)*SQRT(2*9.81*(O280/100-fi_h/2/1000))*1000)),"",IF(O280&lt;fi_h/20,0,(OFFSET('Base de dados'!$A$5,IF(O280&lt;20,1,IF(O280&gt;1000,10,MATCH(O280,Cargas,1))),Coluna_fih,1,1))*(PI()*(fi_h/1000)^2/4)*SQRT(2*9.81*(O280/100-fi_h/2/1000))*1000))</f>
        <v>2.2142939685706833</v>
      </c>
      <c r="Q280" s="38">
        <f ca="1">IF(O280="","",IF(Tipo_Vertedor="Retangular",IF(O280&lt;=cota_s*100,0,IF(Tipo_Vertedor="Retangular",Cd_sr*Lef_sr*((O280/100-cota_s)^(3/2))*1000)),IF(O280&lt;=cota_s*100+fi_s/20,0,(OFFSET('Base de dados'!$A$4,IF(O280&lt;20,1,IF(O280&gt;1000,10,MATCH(O280,Cargas,1))),Coluna_fis,1,1))*(PI()*(fi_s/1000)^2/4)*(2*9.81*(O280/100-cota_s-fi_s/2/1000))^0.5*1000)))</f>
        <v>0</v>
      </c>
      <c r="R280" s="38">
        <f t="shared" ca="1" si="62"/>
        <v>2.2142939685706833</v>
      </c>
      <c r="S280" s="38">
        <f t="shared" ca="1" si="63"/>
        <v>87.1875</v>
      </c>
      <c r="AD280" s="38" t="str">
        <f t="shared" si="73"/>
        <v/>
      </c>
      <c r="AE280" s="38" t="str">
        <f t="shared" si="74"/>
        <v/>
      </c>
      <c r="AF280" s="38" t="str">
        <f>IF(ISERROR(IF('Hidrograma afluente'!I287="",0,'Hidrograma afluente'!I287)+Simulação!G280),"",IF('Hidrograma afluente'!I287="",0,'Hidrograma afluente'!I287)+Simulação!G280)</f>
        <v/>
      </c>
      <c r="AG280" s="36" t="s">
        <v>182</v>
      </c>
      <c r="AH280" s="36" t="s">
        <v>182</v>
      </c>
      <c r="AI280" s="48" t="s">
        <v>182</v>
      </c>
      <c r="AJ280" s="36" t="s">
        <v>182</v>
      </c>
      <c r="AK280" s="38" t="str">
        <f>IF(A280="","",IF('Hidrograma afluente'!I287="",0,'Hidrograma afluente'!I287)+Simulação!B280)</f>
        <v/>
      </c>
    </row>
    <row r="281" spans="1:37" s="36" customFormat="1">
      <c r="A281" s="23" t="str">
        <f t="shared" si="64"/>
        <v/>
      </c>
      <c r="B281" s="24" t="str">
        <f>IF(A281="","",IF(A281&gt;tc_lot_i+tc,0,IF('Hidrograma afluente'!B288="","",'Hidrograma afluente'!B288)))</f>
        <v/>
      </c>
      <c r="C281" s="41" t="str">
        <f t="shared" si="65"/>
        <v/>
      </c>
      <c r="D281" s="41" t="str">
        <f t="shared" si="66"/>
        <v/>
      </c>
      <c r="E281" s="41" t="str">
        <f t="shared" si="67"/>
        <v/>
      </c>
      <c r="F281" s="41" t="str">
        <f t="shared" si="68"/>
        <v/>
      </c>
      <c r="G281" s="41" t="str">
        <f t="shared" si="69"/>
        <v/>
      </c>
      <c r="H281" s="43" t="str">
        <f t="shared" si="60"/>
        <v/>
      </c>
      <c r="I281" s="42" t="str">
        <f t="shared" si="70"/>
        <v/>
      </c>
      <c r="J281" s="18"/>
      <c r="K281" s="76"/>
      <c r="M281" s="132">
        <f t="shared" ca="1" si="61"/>
        <v>89.718361225164045</v>
      </c>
      <c r="N281" s="38">
        <f t="shared" si="71"/>
        <v>2.625</v>
      </c>
      <c r="O281" s="36">
        <f t="shared" si="72"/>
        <v>70</v>
      </c>
      <c r="P281" s="38">
        <f ca="1">IF(ISERROR(IF(O281&lt;fi_h/20,0,(OFFSET('Base de dados'!$A$5,IF(O281&lt;20,1,IF(O281&gt;1000,10,MATCH(O281,Cargas,1))),Coluna_fih,1,1))*(1+0.13*0.25)*(PI()*(fi_h/1000)^2/4)*SQRT(2*9.81*(O281/100-fi_h/2/1000))*1000)),"",IF(O281&lt;fi_h/20,0,(OFFSET('Base de dados'!$A$5,IF(O281&lt;20,1,IF(O281&gt;1000,10,MATCH(O281,Cargas,1))),Coluna_fih,1,1))*(PI()*(fi_h/1000)^2/4)*SQRT(2*9.81*(O281/100-fi_h/2/1000))*1000))</f>
        <v>2.2183612251640485</v>
      </c>
      <c r="Q281" s="38">
        <f ca="1">IF(O281="","",IF(Tipo_Vertedor="Retangular",IF(O281&lt;=cota_s*100,0,IF(Tipo_Vertedor="Retangular",Cd_sr*Lef_sr*((O281/100-cota_s)^(3/2))*1000)),IF(O281&lt;=cota_s*100+fi_s/20,0,(OFFSET('Base de dados'!$A$4,IF(O281&lt;20,1,IF(O281&gt;1000,10,MATCH(O281,Cargas,1))),Coluna_fis,1,1))*(PI()*(fi_s/1000)^2/4)*(2*9.81*(O281/100-cota_s-fi_s/2/1000))^0.5*1000)))</f>
        <v>0</v>
      </c>
      <c r="R281" s="38">
        <f t="shared" ca="1" si="62"/>
        <v>2.2183612251640485</v>
      </c>
      <c r="S281" s="38">
        <f t="shared" ca="1" si="63"/>
        <v>87.5</v>
      </c>
      <c r="AD281" s="38" t="str">
        <f t="shared" si="73"/>
        <v/>
      </c>
      <c r="AE281" s="38" t="str">
        <f t="shared" si="74"/>
        <v/>
      </c>
      <c r="AF281" s="38" t="str">
        <f>IF(ISERROR(IF('Hidrograma afluente'!I288="",0,'Hidrograma afluente'!I288)+Simulação!G281),"",IF('Hidrograma afluente'!I288="",0,'Hidrograma afluente'!I288)+Simulação!G281)</f>
        <v/>
      </c>
      <c r="AG281" s="36" t="s">
        <v>182</v>
      </c>
      <c r="AH281" s="36" t="s">
        <v>182</v>
      </c>
      <c r="AI281" s="48" t="s">
        <v>182</v>
      </c>
      <c r="AJ281" s="36" t="s">
        <v>182</v>
      </c>
      <c r="AK281" s="38" t="str">
        <f>IF(A281="","",IF('Hidrograma afluente'!I288="",0,'Hidrograma afluente'!I288)+Simulação!B281)</f>
        <v/>
      </c>
    </row>
    <row r="282" spans="1:37" s="36" customFormat="1">
      <c r="A282" s="23" t="str">
        <f t="shared" si="64"/>
        <v/>
      </c>
      <c r="B282" s="24" t="str">
        <f>IF(A282="","",IF(A282&gt;tc_lot_i+tc,0,IF('Hidrograma afluente'!B289="","",'Hidrograma afluente'!B289)))</f>
        <v/>
      </c>
      <c r="C282" s="41" t="str">
        <f t="shared" si="65"/>
        <v/>
      </c>
      <c r="D282" s="41" t="str">
        <f t="shared" si="66"/>
        <v/>
      </c>
      <c r="E282" s="41" t="str">
        <f t="shared" si="67"/>
        <v/>
      </c>
      <c r="F282" s="41" t="str">
        <f t="shared" si="68"/>
        <v/>
      </c>
      <c r="G282" s="41" t="str">
        <f t="shared" si="69"/>
        <v/>
      </c>
      <c r="H282" s="43" t="str">
        <f t="shared" si="60"/>
        <v/>
      </c>
      <c r="I282" s="42" t="str">
        <f t="shared" si="70"/>
        <v/>
      </c>
      <c r="J282" s="18"/>
      <c r="K282" s="76"/>
      <c r="M282" s="132">
        <f t="shared" ca="1" si="61"/>
        <v>90.034921038276536</v>
      </c>
      <c r="N282" s="38">
        <f t="shared" si="71"/>
        <v>2.6343749999999999</v>
      </c>
      <c r="O282" s="36">
        <f t="shared" si="72"/>
        <v>70.25</v>
      </c>
      <c r="P282" s="38">
        <f ca="1">IF(ISERROR(IF(O282&lt;fi_h/20,0,(OFFSET('Base de dados'!$A$5,IF(O282&lt;20,1,IF(O282&gt;1000,10,MATCH(O282,Cargas,1))),Coluna_fih,1,1))*(1+0.13*0.25)*(PI()*(fi_h/1000)^2/4)*SQRT(2*9.81*(O282/100-fi_h/2/1000))*1000)),"",IF(O282&lt;fi_h/20,0,(OFFSET('Base de dados'!$A$5,IF(O282&lt;20,1,IF(O282&gt;1000,10,MATCH(O282,Cargas,1))),Coluna_fih,1,1))*(PI()*(fi_h/1000)^2/4)*SQRT(2*9.81*(O282/100-fi_h/2/1000))*1000))</f>
        <v>2.2224210382765399</v>
      </c>
      <c r="Q282" s="38">
        <f ca="1">IF(O282="","",IF(Tipo_Vertedor="Retangular",IF(O282&lt;=cota_s*100,0,IF(Tipo_Vertedor="Retangular",Cd_sr*Lef_sr*((O282/100-cota_s)^(3/2))*1000)),IF(O282&lt;=cota_s*100+fi_s/20,0,(OFFSET('Base de dados'!$A$4,IF(O282&lt;20,1,IF(O282&gt;1000,10,MATCH(O282,Cargas,1))),Coluna_fis,1,1))*(PI()*(fi_s/1000)^2/4)*(2*9.81*(O282/100-cota_s-fi_s/2/1000))^0.5*1000)))</f>
        <v>0</v>
      </c>
      <c r="R282" s="38">
        <f t="shared" ca="1" si="62"/>
        <v>2.2224210382765399</v>
      </c>
      <c r="S282" s="38">
        <f t="shared" ca="1" si="63"/>
        <v>87.8125</v>
      </c>
      <c r="AD282" s="38" t="str">
        <f t="shared" si="73"/>
        <v/>
      </c>
      <c r="AE282" s="38" t="str">
        <f t="shared" si="74"/>
        <v/>
      </c>
      <c r="AF282" s="38" t="str">
        <f>IF(ISERROR(IF('Hidrograma afluente'!I289="",0,'Hidrograma afluente'!I289)+Simulação!G282),"",IF('Hidrograma afluente'!I289="",0,'Hidrograma afluente'!I289)+Simulação!G282)</f>
        <v/>
      </c>
      <c r="AG282" s="36" t="s">
        <v>182</v>
      </c>
      <c r="AH282" s="36" t="s">
        <v>182</v>
      </c>
      <c r="AI282" s="48" t="s">
        <v>182</v>
      </c>
      <c r="AJ282" s="36" t="s">
        <v>182</v>
      </c>
      <c r="AK282" s="38" t="str">
        <f>IF(A282="","",IF('Hidrograma afluente'!I289="",0,'Hidrograma afluente'!I289)+Simulação!B282)</f>
        <v/>
      </c>
    </row>
    <row r="283" spans="1:37" s="36" customFormat="1">
      <c r="A283" s="23" t="str">
        <f t="shared" si="64"/>
        <v/>
      </c>
      <c r="B283" s="24" t="str">
        <f>IF(A283="","",IF(A283&gt;tc_lot_i+tc,0,IF('Hidrograma afluente'!B290="","",'Hidrograma afluente'!B290)))</f>
        <v/>
      </c>
      <c r="C283" s="41" t="str">
        <f t="shared" si="65"/>
        <v/>
      </c>
      <c r="D283" s="41" t="str">
        <f t="shared" si="66"/>
        <v/>
      </c>
      <c r="E283" s="41" t="str">
        <f t="shared" si="67"/>
        <v/>
      </c>
      <c r="F283" s="41" t="str">
        <f t="shared" si="68"/>
        <v/>
      </c>
      <c r="G283" s="41" t="str">
        <f t="shared" si="69"/>
        <v/>
      </c>
      <c r="H283" s="43" t="str">
        <f t="shared" ref="H283:H346" si="75">IF(A283="","",IF(ISERROR(B283+C283+D283-G283),0,B283+C283+D283-G283))</f>
        <v/>
      </c>
      <c r="I283" s="42" t="str">
        <f t="shared" si="70"/>
        <v/>
      </c>
      <c r="J283" s="18"/>
      <c r="K283" s="76"/>
      <c r="M283" s="132">
        <f t="shared" ca="1" si="61"/>
        <v>90.351473448626109</v>
      </c>
      <c r="N283" s="38">
        <f t="shared" si="71"/>
        <v>2.6437499999999998</v>
      </c>
      <c r="O283" s="36">
        <f t="shared" si="72"/>
        <v>70.5</v>
      </c>
      <c r="P283" s="38">
        <f ca="1">IF(ISERROR(IF(O283&lt;fi_h/20,0,(OFFSET('Base de dados'!$A$5,IF(O283&lt;20,1,IF(O283&gt;1000,10,MATCH(O283,Cargas,1))),Coluna_fih,1,1))*(1+0.13*0.25)*(PI()*(fi_h/1000)^2/4)*SQRT(2*9.81*(O283/100-fi_h/2/1000))*1000)),"",IF(O283&lt;fi_h/20,0,(OFFSET('Base de dados'!$A$5,IF(O283&lt;20,1,IF(O283&gt;1000,10,MATCH(O283,Cargas,1))),Coluna_fih,1,1))*(PI()*(fi_h/1000)^2/4)*SQRT(2*9.81*(O283/100-fi_h/2/1000))*1000))</f>
        <v>2.226473448626102</v>
      </c>
      <c r="Q283" s="38">
        <f ca="1">IF(O283="","",IF(Tipo_Vertedor="Retangular",IF(O283&lt;=cota_s*100,0,IF(Tipo_Vertedor="Retangular",Cd_sr*Lef_sr*((O283/100-cota_s)^(3/2))*1000)),IF(O283&lt;=cota_s*100+fi_s/20,0,(OFFSET('Base de dados'!$A$4,IF(O283&lt;20,1,IF(O283&gt;1000,10,MATCH(O283,Cargas,1))),Coluna_fis,1,1))*(PI()*(fi_s/1000)^2/4)*(2*9.81*(O283/100-cota_s-fi_s/2/1000))^0.5*1000)))</f>
        <v>0</v>
      </c>
      <c r="R283" s="38">
        <f t="shared" ca="1" si="62"/>
        <v>2.226473448626102</v>
      </c>
      <c r="S283" s="38">
        <f t="shared" ca="1" si="63"/>
        <v>88.125</v>
      </c>
      <c r="AD283" s="38" t="str">
        <f t="shared" si="73"/>
        <v/>
      </c>
      <c r="AE283" s="38" t="str">
        <f t="shared" si="74"/>
        <v/>
      </c>
      <c r="AF283" s="38" t="str">
        <f>IF(ISERROR(IF('Hidrograma afluente'!I290="",0,'Hidrograma afluente'!I290)+Simulação!G283),"",IF('Hidrograma afluente'!I290="",0,'Hidrograma afluente'!I290)+Simulação!G283)</f>
        <v/>
      </c>
      <c r="AG283" s="36" t="s">
        <v>182</v>
      </c>
      <c r="AH283" s="36" t="s">
        <v>182</v>
      </c>
      <c r="AI283" s="48" t="s">
        <v>182</v>
      </c>
      <c r="AJ283" s="36" t="s">
        <v>182</v>
      </c>
      <c r="AK283" s="38" t="str">
        <f>IF(A283="","",IF('Hidrograma afluente'!I290="",0,'Hidrograma afluente'!I290)+Simulação!B283)</f>
        <v/>
      </c>
    </row>
    <row r="284" spans="1:37" s="36" customFormat="1">
      <c r="A284" s="23" t="str">
        <f t="shared" si="64"/>
        <v/>
      </c>
      <c r="B284" s="24" t="str">
        <f>IF(A284="","",IF(A284&gt;tc_lot_i+tc,0,IF('Hidrograma afluente'!B291="","",'Hidrograma afluente'!B291)))</f>
        <v/>
      </c>
      <c r="C284" s="41" t="str">
        <f t="shared" si="65"/>
        <v/>
      </c>
      <c r="D284" s="41" t="str">
        <f t="shared" si="66"/>
        <v/>
      </c>
      <c r="E284" s="41" t="str">
        <f t="shared" si="67"/>
        <v/>
      </c>
      <c r="F284" s="41" t="str">
        <f t="shared" si="68"/>
        <v/>
      </c>
      <c r="G284" s="41" t="str">
        <f t="shared" si="69"/>
        <v/>
      </c>
      <c r="H284" s="43" t="str">
        <f t="shared" si="75"/>
        <v/>
      </c>
      <c r="I284" s="42" t="str">
        <f t="shared" si="70"/>
        <v/>
      </c>
      <c r="J284" s="18"/>
      <c r="K284" s="76"/>
      <c r="M284" s="132">
        <f t="shared" ca="1" si="61"/>
        <v>90.668018496560791</v>
      </c>
      <c r="N284" s="38">
        <f t="shared" si="71"/>
        <v>2.6531250000000002</v>
      </c>
      <c r="O284" s="36">
        <f t="shared" si="72"/>
        <v>70.75</v>
      </c>
      <c r="P284" s="38">
        <f ca="1">IF(ISERROR(IF(O284&lt;fi_h/20,0,(OFFSET('Base de dados'!$A$5,IF(O284&lt;20,1,IF(O284&gt;1000,10,MATCH(O284,Cargas,1))),Coluna_fih,1,1))*(1+0.13*0.25)*(PI()*(fi_h/1000)^2/4)*SQRT(2*9.81*(O284/100-fi_h/2/1000))*1000)),"",IF(O284&lt;fi_h/20,0,(OFFSET('Base de dados'!$A$5,IF(O284&lt;20,1,IF(O284&gt;1000,10,MATCH(O284,Cargas,1))),Coluna_fih,1,1))*(PI()*(fi_h/1000)^2/4)*SQRT(2*9.81*(O284/100-fi_h/2/1000))*1000))</f>
        <v>2.2305184965607978</v>
      </c>
      <c r="Q284" s="38">
        <f ca="1">IF(O284="","",IF(Tipo_Vertedor="Retangular",IF(O284&lt;=cota_s*100,0,IF(Tipo_Vertedor="Retangular",Cd_sr*Lef_sr*((O284/100-cota_s)^(3/2))*1000)),IF(O284&lt;=cota_s*100+fi_s/20,0,(OFFSET('Base de dados'!$A$4,IF(O284&lt;20,1,IF(O284&gt;1000,10,MATCH(O284,Cargas,1))),Coluna_fis,1,1))*(PI()*(fi_s/1000)^2/4)*(2*9.81*(O284/100-cota_s-fi_s/2/1000))^0.5*1000)))</f>
        <v>0</v>
      </c>
      <c r="R284" s="38">
        <f t="shared" ca="1" si="62"/>
        <v>2.2305184965607978</v>
      </c>
      <c r="S284" s="38">
        <f t="shared" ca="1" si="63"/>
        <v>88.4375</v>
      </c>
      <c r="AD284" s="38" t="str">
        <f t="shared" si="73"/>
        <v/>
      </c>
      <c r="AE284" s="38" t="str">
        <f t="shared" si="74"/>
        <v/>
      </c>
      <c r="AF284" s="38" t="str">
        <f>IF(ISERROR(IF('Hidrograma afluente'!I291="",0,'Hidrograma afluente'!I291)+Simulação!G284),"",IF('Hidrograma afluente'!I291="",0,'Hidrograma afluente'!I291)+Simulação!G284)</f>
        <v/>
      </c>
      <c r="AG284" s="36" t="s">
        <v>182</v>
      </c>
      <c r="AH284" s="36" t="s">
        <v>182</v>
      </c>
      <c r="AI284" s="48" t="s">
        <v>182</v>
      </c>
      <c r="AJ284" s="36" t="s">
        <v>182</v>
      </c>
      <c r="AK284" s="38" t="str">
        <f>IF(A284="","",IF('Hidrograma afluente'!I291="",0,'Hidrograma afluente'!I291)+Simulação!B284)</f>
        <v/>
      </c>
    </row>
    <row r="285" spans="1:37" s="36" customFormat="1">
      <c r="A285" s="23" t="str">
        <f t="shared" si="64"/>
        <v/>
      </c>
      <c r="B285" s="24" t="str">
        <f>IF(A285="","",IF(A285&gt;tc_lot_i+tc,0,IF('Hidrograma afluente'!B292="","",'Hidrograma afluente'!B292)))</f>
        <v/>
      </c>
      <c r="C285" s="41" t="str">
        <f t="shared" si="65"/>
        <v/>
      </c>
      <c r="D285" s="41" t="str">
        <f t="shared" si="66"/>
        <v/>
      </c>
      <c r="E285" s="41" t="str">
        <f t="shared" si="67"/>
        <v/>
      </c>
      <c r="F285" s="41" t="str">
        <f t="shared" si="68"/>
        <v/>
      </c>
      <c r="G285" s="41" t="str">
        <f t="shared" si="69"/>
        <v/>
      </c>
      <c r="H285" s="43" t="str">
        <f t="shared" si="75"/>
        <v/>
      </c>
      <c r="I285" s="42" t="str">
        <f t="shared" si="70"/>
        <v/>
      </c>
      <c r="J285" s="18"/>
      <c r="K285" s="76"/>
      <c r="M285" s="132">
        <f t="shared" ca="1" si="61"/>
        <v>90.984556222063475</v>
      </c>
      <c r="N285" s="38">
        <f t="shared" si="71"/>
        <v>2.6624999999999996</v>
      </c>
      <c r="O285" s="36">
        <f t="shared" si="72"/>
        <v>71</v>
      </c>
      <c r="P285" s="38">
        <f ca="1">IF(ISERROR(IF(O285&lt;fi_h/20,0,(OFFSET('Base de dados'!$A$5,IF(O285&lt;20,1,IF(O285&gt;1000,10,MATCH(O285,Cargas,1))),Coluna_fih,1,1))*(1+0.13*0.25)*(PI()*(fi_h/1000)^2/4)*SQRT(2*9.81*(O285/100-fi_h/2/1000))*1000)),"",IF(O285&lt;fi_h/20,0,(OFFSET('Base de dados'!$A$5,IF(O285&lt;20,1,IF(O285&gt;1000,10,MATCH(O285,Cargas,1))),Coluna_fih,1,1))*(PI()*(fi_h/1000)^2/4)*SQRT(2*9.81*(O285/100-fi_h/2/1000))*1000))</f>
        <v>2.2345562220634947</v>
      </c>
      <c r="Q285" s="38">
        <f ca="1">IF(O285="","",IF(Tipo_Vertedor="Retangular",IF(O285&lt;=cota_s*100,0,IF(Tipo_Vertedor="Retangular",Cd_sr*Lef_sr*((O285/100-cota_s)^(3/2))*1000)),IF(O285&lt;=cota_s*100+fi_s/20,0,(OFFSET('Base de dados'!$A$4,IF(O285&lt;20,1,IF(O285&gt;1000,10,MATCH(O285,Cargas,1))),Coluna_fis,1,1))*(PI()*(fi_s/1000)^2/4)*(2*9.81*(O285/100-cota_s-fi_s/2/1000))^0.5*1000)))</f>
        <v>0</v>
      </c>
      <c r="R285" s="38">
        <f t="shared" ca="1" si="62"/>
        <v>2.2345562220634947</v>
      </c>
      <c r="S285" s="38">
        <f t="shared" ca="1" si="63"/>
        <v>88.749999999999986</v>
      </c>
      <c r="AD285" s="38" t="str">
        <f t="shared" si="73"/>
        <v/>
      </c>
      <c r="AE285" s="38" t="str">
        <f t="shared" si="74"/>
        <v/>
      </c>
      <c r="AF285" s="38" t="str">
        <f>IF(ISERROR(IF('Hidrograma afluente'!I292="",0,'Hidrograma afluente'!I292)+Simulação!G285),"",IF('Hidrograma afluente'!I292="",0,'Hidrograma afluente'!I292)+Simulação!G285)</f>
        <v/>
      </c>
      <c r="AG285" s="36" t="s">
        <v>182</v>
      </c>
      <c r="AH285" s="36" t="s">
        <v>182</v>
      </c>
      <c r="AI285" s="48" t="s">
        <v>182</v>
      </c>
      <c r="AJ285" s="36" t="s">
        <v>182</v>
      </c>
      <c r="AK285" s="38" t="str">
        <f>IF(A285="","",IF('Hidrograma afluente'!I292="",0,'Hidrograma afluente'!I292)+Simulação!B285)</f>
        <v/>
      </c>
    </row>
    <row r="286" spans="1:37" s="36" customFormat="1">
      <c r="A286" s="23" t="str">
        <f t="shared" si="64"/>
        <v/>
      </c>
      <c r="B286" s="24" t="str">
        <f>IF(A286="","",IF(A286&gt;tc_lot_i+tc,0,IF('Hidrograma afluente'!B293="","",'Hidrograma afluente'!B293)))</f>
        <v/>
      </c>
      <c r="C286" s="41" t="str">
        <f t="shared" si="65"/>
        <v/>
      </c>
      <c r="D286" s="41" t="str">
        <f t="shared" si="66"/>
        <v/>
      </c>
      <c r="E286" s="41" t="str">
        <f t="shared" si="67"/>
        <v/>
      </c>
      <c r="F286" s="41" t="str">
        <f t="shared" si="68"/>
        <v/>
      </c>
      <c r="G286" s="41" t="str">
        <f t="shared" si="69"/>
        <v/>
      </c>
      <c r="H286" s="43" t="str">
        <f t="shared" si="75"/>
        <v/>
      </c>
      <c r="I286" s="42" t="str">
        <f t="shared" si="70"/>
        <v/>
      </c>
      <c r="J286" s="18"/>
      <c r="K286" s="76"/>
      <c r="M286" s="132">
        <f t="shared" ca="1" si="61"/>
        <v>91.301086664756468</v>
      </c>
      <c r="N286" s="38">
        <f t="shared" si="71"/>
        <v>2.671875</v>
      </c>
      <c r="O286" s="36">
        <f t="shared" si="72"/>
        <v>71.25</v>
      </c>
      <c r="P286" s="38">
        <f ca="1">IF(ISERROR(IF(O286&lt;fi_h/20,0,(OFFSET('Base de dados'!$A$5,IF(O286&lt;20,1,IF(O286&gt;1000,10,MATCH(O286,Cargas,1))),Coluna_fih,1,1))*(1+0.13*0.25)*(PI()*(fi_h/1000)^2/4)*SQRT(2*9.81*(O286/100-fi_h/2/1000))*1000)),"",IF(O286&lt;fi_h/20,0,(OFFSET('Base de dados'!$A$5,IF(O286&lt;20,1,IF(O286&gt;1000,10,MATCH(O286,Cargas,1))),Coluna_fih,1,1))*(PI()*(fi_h/1000)^2/4)*SQRT(2*9.81*(O286/100-fi_h/2/1000))*1000))</f>
        <v>2.2385866647564736</v>
      </c>
      <c r="Q286" s="38">
        <f ca="1">IF(O286="","",IF(Tipo_Vertedor="Retangular",IF(O286&lt;=cota_s*100,0,IF(Tipo_Vertedor="Retangular",Cd_sr*Lef_sr*((O286/100-cota_s)^(3/2))*1000)),IF(O286&lt;=cota_s*100+fi_s/20,0,(OFFSET('Base de dados'!$A$4,IF(O286&lt;20,1,IF(O286&gt;1000,10,MATCH(O286,Cargas,1))),Coluna_fis,1,1))*(PI()*(fi_s/1000)^2/4)*(2*9.81*(O286/100-cota_s-fi_s/2/1000))^0.5*1000)))</f>
        <v>0</v>
      </c>
      <c r="R286" s="38">
        <f t="shared" ca="1" si="62"/>
        <v>2.2385866647564736</v>
      </c>
      <c r="S286" s="38">
        <f t="shared" ca="1" si="63"/>
        <v>89.0625</v>
      </c>
      <c r="AD286" s="38" t="str">
        <f t="shared" si="73"/>
        <v/>
      </c>
      <c r="AE286" s="38" t="str">
        <f t="shared" si="74"/>
        <v/>
      </c>
      <c r="AF286" s="38" t="str">
        <f>IF(ISERROR(IF('Hidrograma afluente'!I293="",0,'Hidrograma afluente'!I293)+Simulação!G286),"",IF('Hidrograma afluente'!I293="",0,'Hidrograma afluente'!I293)+Simulação!G286)</f>
        <v/>
      </c>
      <c r="AG286" s="36" t="s">
        <v>182</v>
      </c>
      <c r="AH286" s="36" t="s">
        <v>182</v>
      </c>
      <c r="AI286" s="48" t="s">
        <v>182</v>
      </c>
      <c r="AJ286" s="36" t="s">
        <v>182</v>
      </c>
      <c r="AK286" s="38" t="str">
        <f>IF(A286="","",IF('Hidrograma afluente'!I293="",0,'Hidrograma afluente'!I293)+Simulação!B286)</f>
        <v/>
      </c>
    </row>
    <row r="287" spans="1:37" s="36" customFormat="1">
      <c r="A287" s="23" t="str">
        <f t="shared" si="64"/>
        <v/>
      </c>
      <c r="B287" s="24" t="str">
        <f>IF(A287="","",IF(A287&gt;tc_lot_i+tc,0,IF('Hidrograma afluente'!B294="","",'Hidrograma afluente'!B294)))</f>
        <v/>
      </c>
      <c r="C287" s="41" t="str">
        <f t="shared" si="65"/>
        <v/>
      </c>
      <c r="D287" s="41" t="str">
        <f t="shared" si="66"/>
        <v/>
      </c>
      <c r="E287" s="41" t="str">
        <f t="shared" si="67"/>
        <v/>
      </c>
      <c r="F287" s="41" t="str">
        <f t="shared" si="68"/>
        <v/>
      </c>
      <c r="G287" s="41" t="str">
        <f t="shared" si="69"/>
        <v/>
      </c>
      <c r="H287" s="43" t="str">
        <f t="shared" si="75"/>
        <v/>
      </c>
      <c r="I287" s="42" t="str">
        <f t="shared" si="70"/>
        <v/>
      </c>
      <c r="J287" s="18"/>
      <c r="K287" s="76"/>
      <c r="M287" s="132">
        <f t="shared" ca="1" si="61"/>
        <v>91.617609863905969</v>
      </c>
      <c r="N287" s="38">
        <f t="shared" si="71"/>
        <v>2.6812499999999999</v>
      </c>
      <c r="O287" s="36">
        <f t="shared" si="72"/>
        <v>71.5</v>
      </c>
      <c r="P287" s="38">
        <f ca="1">IF(ISERROR(IF(O287&lt;fi_h/20,0,(OFFSET('Base de dados'!$A$5,IF(O287&lt;20,1,IF(O287&gt;1000,10,MATCH(O287,Cargas,1))),Coluna_fih,1,1))*(1+0.13*0.25)*(PI()*(fi_h/1000)^2/4)*SQRT(2*9.81*(O287/100-fi_h/2/1000))*1000)),"",IF(O287&lt;fi_h/20,0,(OFFSET('Base de dados'!$A$5,IF(O287&lt;20,1,IF(O287&gt;1000,10,MATCH(O287,Cargas,1))),Coluna_fih,1,1))*(PI()*(fi_h/1000)^2/4)*SQRT(2*9.81*(O287/100-fi_h/2/1000))*1000))</f>
        <v>2.2426098639059688</v>
      </c>
      <c r="Q287" s="38">
        <f ca="1">IF(O287="","",IF(Tipo_Vertedor="Retangular",IF(O287&lt;=cota_s*100,0,IF(Tipo_Vertedor="Retangular",Cd_sr*Lef_sr*((O287/100-cota_s)^(3/2))*1000)),IF(O287&lt;=cota_s*100+fi_s/20,0,(OFFSET('Base de dados'!$A$4,IF(O287&lt;20,1,IF(O287&gt;1000,10,MATCH(O287,Cargas,1))),Coluna_fis,1,1))*(PI()*(fi_s/1000)^2/4)*(2*9.81*(O287/100-cota_s-fi_s/2/1000))^0.5*1000)))</f>
        <v>0</v>
      </c>
      <c r="R287" s="38">
        <f t="shared" ca="1" si="62"/>
        <v>2.2426098639059688</v>
      </c>
      <c r="S287" s="38">
        <f t="shared" ca="1" si="63"/>
        <v>89.375</v>
      </c>
      <c r="AD287" s="38" t="str">
        <f t="shared" si="73"/>
        <v/>
      </c>
      <c r="AE287" s="38" t="str">
        <f t="shared" si="74"/>
        <v/>
      </c>
      <c r="AF287" s="38" t="str">
        <f>IF(ISERROR(IF('Hidrograma afluente'!I294="",0,'Hidrograma afluente'!I294)+Simulação!G287),"",IF('Hidrograma afluente'!I294="",0,'Hidrograma afluente'!I294)+Simulação!G287)</f>
        <v/>
      </c>
      <c r="AG287" s="36" t="s">
        <v>182</v>
      </c>
      <c r="AH287" s="36" t="s">
        <v>182</v>
      </c>
      <c r="AI287" s="48" t="s">
        <v>182</v>
      </c>
      <c r="AJ287" s="36" t="s">
        <v>182</v>
      </c>
      <c r="AK287" s="38" t="str">
        <f>IF(A287="","",IF('Hidrograma afluente'!I294="",0,'Hidrograma afluente'!I294)+Simulação!B287)</f>
        <v/>
      </c>
    </row>
    <row r="288" spans="1:37" s="36" customFormat="1">
      <c r="A288" s="23" t="str">
        <f t="shared" si="64"/>
        <v/>
      </c>
      <c r="B288" s="24" t="str">
        <f>IF(A288="","",IF(A288&gt;tc_lot_i+tc,0,IF('Hidrograma afluente'!B295="","",'Hidrograma afluente'!B295)))</f>
        <v/>
      </c>
      <c r="C288" s="41" t="str">
        <f t="shared" si="65"/>
        <v/>
      </c>
      <c r="D288" s="41" t="str">
        <f t="shared" si="66"/>
        <v/>
      </c>
      <c r="E288" s="41" t="str">
        <f t="shared" si="67"/>
        <v/>
      </c>
      <c r="F288" s="41" t="str">
        <f t="shared" si="68"/>
        <v/>
      </c>
      <c r="G288" s="41" t="str">
        <f t="shared" si="69"/>
        <v/>
      </c>
      <c r="H288" s="43" t="str">
        <f t="shared" si="75"/>
        <v/>
      </c>
      <c r="I288" s="42" t="str">
        <f t="shared" si="70"/>
        <v/>
      </c>
      <c r="J288" s="18"/>
      <c r="K288" s="76"/>
      <c r="M288" s="132">
        <f t="shared" ca="1" si="61"/>
        <v>91.93412585842664</v>
      </c>
      <c r="N288" s="38">
        <f t="shared" si="71"/>
        <v>2.6906250000000003</v>
      </c>
      <c r="O288" s="36">
        <f t="shared" si="72"/>
        <v>71.75</v>
      </c>
      <c r="P288" s="38">
        <f ca="1">IF(ISERROR(IF(O288&lt;fi_h/20,0,(OFFSET('Base de dados'!$A$5,IF(O288&lt;20,1,IF(O288&gt;1000,10,MATCH(O288,Cargas,1))),Coluna_fih,1,1))*(1+0.13*0.25)*(PI()*(fi_h/1000)^2/4)*SQRT(2*9.81*(O288/100-fi_h/2/1000))*1000)),"",IF(O288&lt;fi_h/20,0,(OFFSET('Base de dados'!$A$5,IF(O288&lt;20,1,IF(O288&gt;1000,10,MATCH(O288,Cargas,1))),Coluna_fih,1,1))*(PI()*(fi_h/1000)^2/4)*SQRT(2*9.81*(O288/100-fi_h/2/1000))*1000))</f>
        <v>2.2466258584266279</v>
      </c>
      <c r="Q288" s="38">
        <f ca="1">IF(O288="","",IF(Tipo_Vertedor="Retangular",IF(O288&lt;=cota_s*100,0,IF(Tipo_Vertedor="Retangular",Cd_sr*Lef_sr*((O288/100-cota_s)^(3/2))*1000)),IF(O288&lt;=cota_s*100+fi_s/20,0,(OFFSET('Base de dados'!$A$4,IF(O288&lt;20,1,IF(O288&gt;1000,10,MATCH(O288,Cargas,1))),Coluna_fis,1,1))*(PI()*(fi_s/1000)^2/4)*(2*9.81*(O288/100-cota_s-fi_s/2/1000))^0.5*1000)))</f>
        <v>0</v>
      </c>
      <c r="R288" s="38">
        <f t="shared" ca="1" si="62"/>
        <v>2.2466258584266279</v>
      </c>
      <c r="S288" s="38">
        <f t="shared" ca="1" si="63"/>
        <v>89.687500000000014</v>
      </c>
      <c r="AD288" s="38" t="str">
        <f t="shared" si="73"/>
        <v/>
      </c>
      <c r="AE288" s="38" t="str">
        <f t="shared" si="74"/>
        <v/>
      </c>
      <c r="AF288" s="38" t="str">
        <f>IF(ISERROR(IF('Hidrograma afluente'!I295="",0,'Hidrograma afluente'!I295)+Simulação!G288),"",IF('Hidrograma afluente'!I295="",0,'Hidrograma afluente'!I295)+Simulação!G288)</f>
        <v/>
      </c>
      <c r="AG288" s="36" t="s">
        <v>182</v>
      </c>
      <c r="AH288" s="36" t="s">
        <v>182</v>
      </c>
      <c r="AI288" s="48" t="s">
        <v>182</v>
      </c>
      <c r="AJ288" s="36" t="s">
        <v>182</v>
      </c>
      <c r="AK288" s="38" t="str">
        <f>IF(A288="","",IF('Hidrograma afluente'!I295="",0,'Hidrograma afluente'!I295)+Simulação!B288)</f>
        <v/>
      </c>
    </row>
    <row r="289" spans="1:37" s="36" customFormat="1">
      <c r="A289" s="23" t="str">
        <f t="shared" si="64"/>
        <v/>
      </c>
      <c r="B289" s="24" t="str">
        <f>IF(A289="","",IF(A289&gt;tc_lot_i+tc,0,IF('Hidrograma afluente'!B296="","",'Hidrograma afluente'!B296)))</f>
        <v/>
      </c>
      <c r="C289" s="41" t="str">
        <f t="shared" si="65"/>
        <v/>
      </c>
      <c r="D289" s="41" t="str">
        <f t="shared" si="66"/>
        <v/>
      </c>
      <c r="E289" s="41" t="str">
        <f t="shared" si="67"/>
        <v/>
      </c>
      <c r="F289" s="41" t="str">
        <f t="shared" si="68"/>
        <v/>
      </c>
      <c r="G289" s="41" t="str">
        <f t="shared" si="69"/>
        <v/>
      </c>
      <c r="H289" s="43" t="str">
        <f t="shared" si="75"/>
        <v/>
      </c>
      <c r="I289" s="42" t="str">
        <f t="shared" si="70"/>
        <v/>
      </c>
      <c r="J289" s="18"/>
      <c r="K289" s="76"/>
      <c r="M289" s="132">
        <f t="shared" ca="1" si="61"/>
        <v>92.250634686885888</v>
      </c>
      <c r="N289" s="38">
        <f t="shared" si="71"/>
        <v>2.6999999999999997</v>
      </c>
      <c r="O289" s="36">
        <f t="shared" si="72"/>
        <v>72</v>
      </c>
      <c r="P289" s="38">
        <f ca="1">IF(ISERROR(IF(O289&lt;fi_h/20,0,(OFFSET('Base de dados'!$A$5,IF(O289&lt;20,1,IF(O289&gt;1000,10,MATCH(O289,Cargas,1))),Coluna_fih,1,1))*(1+0.13*0.25)*(PI()*(fi_h/1000)^2/4)*SQRT(2*9.81*(O289/100-fi_h/2/1000))*1000)),"",IF(O289&lt;fi_h/20,0,(OFFSET('Base de dados'!$A$5,IF(O289&lt;20,1,IF(O289&gt;1000,10,MATCH(O289,Cargas,1))),Coluna_fih,1,1))*(PI()*(fi_h/1000)^2/4)*SQRT(2*9.81*(O289/100-fi_h/2/1000))*1000))</f>
        <v>2.2506346868859048</v>
      </c>
      <c r="Q289" s="38">
        <f ca="1">IF(O289="","",IF(Tipo_Vertedor="Retangular",IF(O289&lt;=cota_s*100,0,IF(Tipo_Vertedor="Retangular",Cd_sr*Lef_sr*((O289/100-cota_s)^(3/2))*1000)),IF(O289&lt;=cota_s*100+fi_s/20,0,(OFFSET('Base de dados'!$A$4,IF(O289&lt;20,1,IF(O289&gt;1000,10,MATCH(O289,Cargas,1))),Coluna_fis,1,1))*(PI()*(fi_s/1000)^2/4)*(2*9.81*(O289/100-cota_s-fi_s/2/1000))^0.5*1000)))</f>
        <v>0</v>
      </c>
      <c r="R289" s="38">
        <f t="shared" ca="1" si="62"/>
        <v>2.2506346868859048</v>
      </c>
      <c r="S289" s="38">
        <f t="shared" ca="1" si="63"/>
        <v>89.999999999999986</v>
      </c>
      <c r="AD289" s="38" t="str">
        <f t="shared" si="73"/>
        <v/>
      </c>
      <c r="AE289" s="38" t="str">
        <f t="shared" si="74"/>
        <v/>
      </c>
      <c r="AF289" s="38" t="str">
        <f>IF(ISERROR(IF('Hidrograma afluente'!I296="",0,'Hidrograma afluente'!I296)+Simulação!G289),"",IF('Hidrograma afluente'!I296="",0,'Hidrograma afluente'!I296)+Simulação!G289)</f>
        <v/>
      </c>
      <c r="AG289" s="36" t="s">
        <v>182</v>
      </c>
      <c r="AH289" s="36" t="s">
        <v>182</v>
      </c>
      <c r="AI289" s="48" t="s">
        <v>182</v>
      </c>
      <c r="AJ289" s="36" t="s">
        <v>182</v>
      </c>
      <c r="AK289" s="38" t="str">
        <f>IF(A289="","",IF('Hidrograma afluente'!I296="",0,'Hidrograma afluente'!I296)+Simulação!B289)</f>
        <v/>
      </c>
    </row>
    <row r="290" spans="1:37" s="36" customFormat="1">
      <c r="A290" s="23" t="str">
        <f t="shared" si="64"/>
        <v/>
      </c>
      <c r="B290" s="24" t="str">
        <f>IF(A290="","",IF(A290&gt;tc_lot_i+tc,0,IF('Hidrograma afluente'!B297="","",'Hidrograma afluente'!B297)))</f>
        <v/>
      </c>
      <c r="C290" s="41" t="str">
        <f t="shared" si="65"/>
        <v/>
      </c>
      <c r="D290" s="41" t="str">
        <f t="shared" si="66"/>
        <v/>
      </c>
      <c r="E290" s="41" t="str">
        <f t="shared" si="67"/>
        <v/>
      </c>
      <c r="F290" s="41" t="str">
        <f t="shared" si="68"/>
        <v/>
      </c>
      <c r="G290" s="41" t="str">
        <f t="shared" si="69"/>
        <v/>
      </c>
      <c r="H290" s="43" t="str">
        <f t="shared" si="75"/>
        <v/>
      </c>
      <c r="I290" s="42" t="str">
        <f t="shared" si="70"/>
        <v/>
      </c>
      <c r="J290" s="18"/>
      <c r="K290" s="76"/>
      <c r="M290" s="132">
        <f t="shared" ca="1" si="61"/>
        <v>92.567136387508384</v>
      </c>
      <c r="N290" s="38">
        <f t="shared" si="71"/>
        <v>2.7093750000000001</v>
      </c>
      <c r="O290" s="36">
        <f t="shared" si="72"/>
        <v>72.25</v>
      </c>
      <c r="P290" s="38">
        <f ca="1">IF(ISERROR(IF(O290&lt;fi_h/20,0,(OFFSET('Base de dados'!$A$5,IF(O290&lt;20,1,IF(O290&gt;1000,10,MATCH(O290,Cargas,1))),Coluna_fih,1,1))*(1+0.13*0.25)*(PI()*(fi_h/1000)^2/4)*SQRT(2*9.81*(O290/100-fi_h/2/1000))*1000)),"",IF(O290&lt;fi_h/20,0,(OFFSET('Base de dados'!$A$5,IF(O290&lt;20,1,IF(O290&gt;1000,10,MATCH(O290,Cargas,1))),Coluna_fih,1,1))*(PI()*(fi_h/1000)^2/4)*SQRT(2*9.81*(O290/100-fi_h/2/1000))*1000))</f>
        <v>2.2546363875083828</v>
      </c>
      <c r="Q290" s="38">
        <f ca="1">IF(O290="","",IF(Tipo_Vertedor="Retangular",IF(O290&lt;=cota_s*100,0,IF(Tipo_Vertedor="Retangular",Cd_sr*Lef_sr*((O290/100-cota_s)^(3/2))*1000)),IF(O290&lt;=cota_s*100+fi_s/20,0,(OFFSET('Base de dados'!$A$4,IF(O290&lt;20,1,IF(O290&gt;1000,10,MATCH(O290,Cargas,1))),Coluna_fis,1,1))*(PI()*(fi_s/1000)^2/4)*(2*9.81*(O290/100-cota_s-fi_s/2/1000))^0.5*1000)))</f>
        <v>0</v>
      </c>
      <c r="R290" s="38">
        <f t="shared" ca="1" si="62"/>
        <v>2.2546363875083828</v>
      </c>
      <c r="S290" s="38">
        <f t="shared" ca="1" si="63"/>
        <v>90.3125</v>
      </c>
      <c r="AD290" s="38" t="str">
        <f t="shared" si="73"/>
        <v/>
      </c>
      <c r="AE290" s="38" t="str">
        <f t="shared" si="74"/>
        <v/>
      </c>
      <c r="AF290" s="38" t="str">
        <f>IF(ISERROR(IF('Hidrograma afluente'!I297="",0,'Hidrograma afluente'!I297)+Simulação!G290),"",IF('Hidrograma afluente'!I297="",0,'Hidrograma afluente'!I297)+Simulação!G290)</f>
        <v/>
      </c>
      <c r="AG290" s="36" t="s">
        <v>182</v>
      </c>
      <c r="AH290" s="36" t="s">
        <v>182</v>
      </c>
      <c r="AI290" s="48" t="s">
        <v>182</v>
      </c>
      <c r="AJ290" s="36" t="s">
        <v>182</v>
      </c>
      <c r="AK290" s="38" t="str">
        <f>IF(A290="","",IF('Hidrograma afluente'!I297="",0,'Hidrograma afluente'!I297)+Simulação!B290)</f>
        <v/>
      </c>
    </row>
    <row r="291" spans="1:37" s="36" customFormat="1">
      <c r="A291" s="23" t="str">
        <f t="shared" si="64"/>
        <v/>
      </c>
      <c r="B291" s="24" t="str">
        <f>IF(A291="","",IF(A291&gt;tc_lot_i+tc,0,IF('Hidrograma afluente'!B298="","",'Hidrograma afluente'!B298)))</f>
        <v/>
      </c>
      <c r="C291" s="41" t="str">
        <f t="shared" si="65"/>
        <v/>
      </c>
      <c r="D291" s="41" t="str">
        <f t="shared" si="66"/>
        <v/>
      </c>
      <c r="E291" s="41" t="str">
        <f t="shared" si="67"/>
        <v/>
      </c>
      <c r="F291" s="41" t="str">
        <f t="shared" si="68"/>
        <v/>
      </c>
      <c r="G291" s="41" t="str">
        <f t="shared" si="69"/>
        <v/>
      </c>
      <c r="H291" s="43" t="str">
        <f t="shared" si="75"/>
        <v/>
      </c>
      <c r="I291" s="42" t="str">
        <f t="shared" si="70"/>
        <v/>
      </c>
      <c r="J291" s="18"/>
      <c r="K291" s="76"/>
      <c r="M291" s="132">
        <f t="shared" ca="1" si="61"/>
        <v>92.883630998180024</v>
      </c>
      <c r="N291" s="38">
        <f t="shared" si="71"/>
        <v>2.71875</v>
      </c>
      <c r="O291" s="36">
        <f t="shared" si="72"/>
        <v>72.5</v>
      </c>
      <c r="P291" s="38">
        <f ca="1">IF(ISERROR(IF(O291&lt;fi_h/20,0,(OFFSET('Base de dados'!$A$5,IF(O291&lt;20,1,IF(O291&gt;1000,10,MATCH(O291,Cargas,1))),Coluna_fih,1,1))*(1+0.13*0.25)*(PI()*(fi_h/1000)^2/4)*SQRT(2*9.81*(O291/100-fi_h/2/1000))*1000)),"",IF(O291&lt;fi_h/20,0,(OFFSET('Base de dados'!$A$5,IF(O291&lt;20,1,IF(O291&gt;1000,10,MATCH(O291,Cargas,1))),Coluna_fih,1,1))*(PI()*(fi_h/1000)^2/4)*SQRT(2*9.81*(O291/100-fi_h/2/1000))*1000))</f>
        <v>2.2586309981800228</v>
      </c>
      <c r="Q291" s="38">
        <f ca="1">IF(O291="","",IF(Tipo_Vertedor="Retangular",IF(O291&lt;=cota_s*100,0,IF(Tipo_Vertedor="Retangular",Cd_sr*Lef_sr*((O291/100-cota_s)^(3/2))*1000)),IF(O291&lt;=cota_s*100+fi_s/20,0,(OFFSET('Base de dados'!$A$4,IF(O291&lt;20,1,IF(O291&gt;1000,10,MATCH(O291,Cargas,1))),Coluna_fis,1,1))*(PI()*(fi_s/1000)^2/4)*(2*9.81*(O291/100-cota_s-fi_s/2/1000))^0.5*1000)))</f>
        <v>0</v>
      </c>
      <c r="R291" s="38">
        <f t="shared" ca="1" si="62"/>
        <v>2.2586309981800228</v>
      </c>
      <c r="S291" s="38">
        <f t="shared" ca="1" si="63"/>
        <v>90.625</v>
      </c>
      <c r="AD291" s="38" t="str">
        <f t="shared" si="73"/>
        <v/>
      </c>
      <c r="AE291" s="38" t="str">
        <f t="shared" si="74"/>
        <v/>
      </c>
      <c r="AF291" s="38" t="str">
        <f>IF(ISERROR(IF('Hidrograma afluente'!I298="",0,'Hidrograma afluente'!I298)+Simulação!G291),"",IF('Hidrograma afluente'!I298="",0,'Hidrograma afluente'!I298)+Simulação!G291)</f>
        <v/>
      </c>
      <c r="AG291" s="36" t="s">
        <v>182</v>
      </c>
      <c r="AH291" s="36" t="s">
        <v>182</v>
      </c>
      <c r="AI291" s="48" t="s">
        <v>182</v>
      </c>
      <c r="AJ291" s="36" t="s">
        <v>182</v>
      </c>
      <c r="AK291" s="38" t="str">
        <f>IF(A291="","",IF('Hidrograma afluente'!I298="",0,'Hidrograma afluente'!I298)+Simulação!B291)</f>
        <v/>
      </c>
    </row>
    <row r="292" spans="1:37" s="36" customFormat="1">
      <c r="A292" s="23" t="str">
        <f t="shared" si="64"/>
        <v/>
      </c>
      <c r="B292" s="24" t="str">
        <f>IF(A292="","",IF(A292&gt;tc_lot_i+tc,0,IF('Hidrograma afluente'!B299="","",'Hidrograma afluente'!B299)))</f>
        <v/>
      </c>
      <c r="C292" s="41" t="str">
        <f t="shared" si="65"/>
        <v/>
      </c>
      <c r="D292" s="41" t="str">
        <f t="shared" si="66"/>
        <v/>
      </c>
      <c r="E292" s="41" t="str">
        <f t="shared" si="67"/>
        <v/>
      </c>
      <c r="F292" s="41" t="str">
        <f t="shared" si="68"/>
        <v/>
      </c>
      <c r="G292" s="41" t="str">
        <f t="shared" si="69"/>
        <v/>
      </c>
      <c r="H292" s="43" t="str">
        <f t="shared" si="75"/>
        <v/>
      </c>
      <c r="I292" s="42" t="str">
        <f t="shared" si="70"/>
        <v/>
      </c>
      <c r="J292" s="18"/>
      <c r="K292" s="76"/>
      <c r="M292" s="132">
        <f t="shared" ca="1" si="61"/>
        <v>93.200118556452367</v>
      </c>
      <c r="N292" s="38">
        <f t="shared" si="71"/>
        <v>2.7281250000000004</v>
      </c>
      <c r="O292" s="36">
        <f t="shared" si="72"/>
        <v>72.75</v>
      </c>
      <c r="P292" s="38">
        <f ca="1">IF(ISERROR(IF(O292&lt;fi_h/20,0,(OFFSET('Base de dados'!$A$5,IF(O292&lt;20,1,IF(O292&gt;1000,10,MATCH(O292,Cargas,1))),Coluna_fih,1,1))*(1+0.13*0.25)*(PI()*(fi_h/1000)^2/4)*SQRT(2*9.81*(O292/100-fi_h/2/1000))*1000)),"",IF(O292&lt;fi_h/20,0,(OFFSET('Base de dados'!$A$5,IF(O292&lt;20,1,IF(O292&gt;1000,10,MATCH(O292,Cargas,1))),Coluna_fih,1,1))*(PI()*(fi_h/1000)^2/4)*SQRT(2*9.81*(O292/100-fi_h/2/1000))*1000))</f>
        <v>2.2626185564523507</v>
      </c>
      <c r="Q292" s="38">
        <f ca="1">IF(O292="","",IF(Tipo_Vertedor="Retangular",IF(O292&lt;=cota_s*100,0,IF(Tipo_Vertedor="Retangular",Cd_sr*Lef_sr*((O292/100-cota_s)^(3/2))*1000)),IF(O292&lt;=cota_s*100+fi_s/20,0,(OFFSET('Base de dados'!$A$4,IF(O292&lt;20,1,IF(O292&gt;1000,10,MATCH(O292,Cargas,1))),Coluna_fis,1,1))*(PI()*(fi_s/1000)^2/4)*(2*9.81*(O292/100-cota_s-fi_s/2/1000))^0.5*1000)))</f>
        <v>0</v>
      </c>
      <c r="R292" s="38">
        <f t="shared" ca="1" si="62"/>
        <v>2.2626185564523507</v>
      </c>
      <c r="S292" s="38">
        <f t="shared" ca="1" si="63"/>
        <v>90.937500000000014</v>
      </c>
      <c r="AD292" s="38" t="str">
        <f t="shared" si="73"/>
        <v/>
      </c>
      <c r="AE292" s="38" t="str">
        <f t="shared" si="74"/>
        <v/>
      </c>
      <c r="AF292" s="38" t="str">
        <f>IF(ISERROR(IF('Hidrograma afluente'!I299="",0,'Hidrograma afluente'!I299)+Simulação!G292),"",IF('Hidrograma afluente'!I299="",0,'Hidrograma afluente'!I299)+Simulação!G292)</f>
        <v/>
      </c>
      <c r="AG292" s="36" t="s">
        <v>182</v>
      </c>
      <c r="AH292" s="36" t="s">
        <v>182</v>
      </c>
      <c r="AI292" s="48" t="s">
        <v>182</v>
      </c>
      <c r="AJ292" s="36" t="s">
        <v>182</v>
      </c>
      <c r="AK292" s="38" t="str">
        <f>IF(A292="","",IF('Hidrograma afluente'!I299="",0,'Hidrograma afluente'!I299)+Simulação!B292)</f>
        <v/>
      </c>
    </row>
    <row r="293" spans="1:37" s="36" customFormat="1">
      <c r="A293" s="23" t="str">
        <f t="shared" si="64"/>
        <v/>
      </c>
      <c r="B293" s="24" t="str">
        <f>IF(A293="","",IF(A293&gt;tc_lot_i+tc,0,IF('Hidrograma afluente'!B300="","",'Hidrograma afluente'!B300)))</f>
        <v/>
      </c>
      <c r="C293" s="41" t="str">
        <f t="shared" si="65"/>
        <v/>
      </c>
      <c r="D293" s="41" t="str">
        <f t="shared" si="66"/>
        <v/>
      </c>
      <c r="E293" s="41" t="str">
        <f t="shared" si="67"/>
        <v/>
      </c>
      <c r="F293" s="41" t="str">
        <f t="shared" si="68"/>
        <v/>
      </c>
      <c r="G293" s="41" t="str">
        <f t="shared" si="69"/>
        <v/>
      </c>
      <c r="H293" s="43" t="str">
        <f t="shared" si="75"/>
        <v/>
      </c>
      <c r="I293" s="42" t="str">
        <f t="shared" si="70"/>
        <v/>
      </c>
      <c r="J293" s="18"/>
      <c r="K293" s="76"/>
      <c r="M293" s="132">
        <f t="shared" ca="1" si="61"/>
        <v>93.516599099546582</v>
      </c>
      <c r="N293" s="38">
        <f t="shared" si="71"/>
        <v>2.7374999999999998</v>
      </c>
      <c r="O293" s="36">
        <f t="shared" si="72"/>
        <v>73</v>
      </c>
      <c r="P293" s="38">
        <f ca="1">IF(ISERROR(IF(O293&lt;fi_h/20,0,(OFFSET('Base de dados'!$A$5,IF(O293&lt;20,1,IF(O293&gt;1000,10,MATCH(O293,Cargas,1))),Coluna_fih,1,1))*(1+0.13*0.25)*(PI()*(fi_h/1000)^2/4)*SQRT(2*9.81*(O293/100-fi_h/2/1000))*1000)),"",IF(O293&lt;fi_h/20,0,(OFFSET('Base de dados'!$A$5,IF(O293&lt;20,1,IF(O293&gt;1000,10,MATCH(O293,Cargas,1))),Coluna_fih,1,1))*(PI()*(fi_h/1000)^2/4)*SQRT(2*9.81*(O293/100-fi_h/2/1000))*1000))</f>
        <v>2.2665990995465775</v>
      </c>
      <c r="Q293" s="38">
        <f ca="1">IF(O293="","",IF(Tipo_Vertedor="Retangular",IF(O293&lt;=cota_s*100,0,IF(Tipo_Vertedor="Retangular",Cd_sr*Lef_sr*((O293/100-cota_s)^(3/2))*1000)),IF(O293&lt;=cota_s*100+fi_s/20,0,(OFFSET('Base de dados'!$A$4,IF(O293&lt;20,1,IF(O293&gt;1000,10,MATCH(O293,Cargas,1))),Coluna_fis,1,1))*(PI()*(fi_s/1000)^2/4)*(2*9.81*(O293/100-cota_s-fi_s/2/1000))^0.5*1000)))</f>
        <v>0</v>
      </c>
      <c r="R293" s="38">
        <f t="shared" ca="1" si="62"/>
        <v>2.2665990995465775</v>
      </c>
      <c r="S293" s="38">
        <f t="shared" ca="1" si="63"/>
        <v>91.25</v>
      </c>
      <c r="AD293" s="38" t="str">
        <f t="shared" si="73"/>
        <v/>
      </c>
      <c r="AE293" s="38" t="str">
        <f t="shared" si="74"/>
        <v/>
      </c>
      <c r="AF293" s="38" t="str">
        <f>IF(ISERROR(IF('Hidrograma afluente'!I300="",0,'Hidrograma afluente'!I300)+Simulação!G293),"",IF('Hidrograma afluente'!I300="",0,'Hidrograma afluente'!I300)+Simulação!G293)</f>
        <v/>
      </c>
      <c r="AG293" s="36" t="s">
        <v>182</v>
      </c>
      <c r="AH293" s="36" t="s">
        <v>182</v>
      </c>
      <c r="AI293" s="48" t="s">
        <v>182</v>
      </c>
      <c r="AJ293" s="36" t="s">
        <v>182</v>
      </c>
      <c r="AK293" s="38" t="str">
        <f>IF(A293="","",IF('Hidrograma afluente'!I300="",0,'Hidrograma afluente'!I300)+Simulação!B293)</f>
        <v/>
      </c>
    </row>
    <row r="294" spans="1:37" s="36" customFormat="1">
      <c r="A294" s="23" t="str">
        <f t="shared" si="64"/>
        <v/>
      </c>
      <c r="B294" s="24" t="str">
        <f>IF(A294="","",IF(A294&gt;tc_lot_i+tc,0,IF('Hidrograma afluente'!B301="","",'Hidrograma afluente'!B301)))</f>
        <v/>
      </c>
      <c r="C294" s="41" t="str">
        <f t="shared" si="65"/>
        <v/>
      </c>
      <c r="D294" s="41" t="str">
        <f t="shared" si="66"/>
        <v/>
      </c>
      <c r="E294" s="41" t="str">
        <f t="shared" si="67"/>
        <v/>
      </c>
      <c r="F294" s="41" t="str">
        <f t="shared" si="68"/>
        <v/>
      </c>
      <c r="G294" s="41" t="str">
        <f t="shared" si="69"/>
        <v/>
      </c>
      <c r="H294" s="43" t="str">
        <f t="shared" si="75"/>
        <v/>
      </c>
      <c r="I294" s="42" t="str">
        <f t="shared" si="70"/>
        <v/>
      </c>
      <c r="J294" s="18"/>
      <c r="K294" s="76"/>
      <c r="M294" s="132">
        <f t="shared" ca="1" si="61"/>
        <v>93.833072664357644</v>
      </c>
      <c r="N294" s="38">
        <f t="shared" si="71"/>
        <v>2.7468750000000002</v>
      </c>
      <c r="O294" s="36">
        <f t="shared" si="72"/>
        <v>73.25</v>
      </c>
      <c r="P294" s="38">
        <f ca="1">IF(ISERROR(IF(O294&lt;fi_h/20,0,(OFFSET('Base de dados'!$A$5,IF(O294&lt;20,1,IF(O294&gt;1000,10,MATCH(O294,Cargas,1))),Coluna_fih,1,1))*(1+0.13*0.25)*(PI()*(fi_h/1000)^2/4)*SQRT(2*9.81*(O294/100-fi_h/2/1000))*1000)),"",IF(O294&lt;fi_h/20,0,(OFFSET('Base de dados'!$A$5,IF(O294&lt;20,1,IF(O294&gt;1000,10,MATCH(O294,Cargas,1))),Coluna_fih,1,1))*(PI()*(fi_h/1000)^2/4)*SQRT(2*9.81*(O294/100-fi_h/2/1000))*1000))</f>
        <v>2.2705726643576485</v>
      </c>
      <c r="Q294" s="38">
        <f ca="1">IF(O294="","",IF(Tipo_Vertedor="Retangular",IF(O294&lt;=cota_s*100,0,IF(Tipo_Vertedor="Retangular",Cd_sr*Lef_sr*((O294/100-cota_s)^(3/2))*1000)),IF(O294&lt;=cota_s*100+fi_s/20,0,(OFFSET('Base de dados'!$A$4,IF(O294&lt;20,1,IF(O294&gt;1000,10,MATCH(O294,Cargas,1))),Coluna_fis,1,1))*(PI()*(fi_s/1000)^2/4)*(2*9.81*(O294/100-cota_s-fi_s/2/1000))^0.5*1000)))</f>
        <v>0</v>
      </c>
      <c r="R294" s="38">
        <f t="shared" ca="1" si="62"/>
        <v>2.2705726643576485</v>
      </c>
      <c r="S294" s="38">
        <f t="shared" ca="1" si="63"/>
        <v>91.5625</v>
      </c>
      <c r="AD294" s="38" t="str">
        <f t="shared" si="73"/>
        <v/>
      </c>
      <c r="AE294" s="38" t="str">
        <f t="shared" si="74"/>
        <v/>
      </c>
      <c r="AF294" s="38" t="str">
        <f>IF(ISERROR(IF('Hidrograma afluente'!I301="",0,'Hidrograma afluente'!I301)+Simulação!G294),"",IF('Hidrograma afluente'!I301="",0,'Hidrograma afluente'!I301)+Simulação!G294)</f>
        <v/>
      </c>
      <c r="AG294" s="36" t="s">
        <v>182</v>
      </c>
      <c r="AH294" s="36" t="s">
        <v>182</v>
      </c>
      <c r="AI294" s="48" t="s">
        <v>182</v>
      </c>
      <c r="AJ294" s="36" t="s">
        <v>182</v>
      </c>
      <c r="AK294" s="38" t="str">
        <f>IF(A294="","",IF('Hidrograma afluente'!I301="",0,'Hidrograma afluente'!I301)+Simulação!B294)</f>
        <v/>
      </c>
    </row>
    <row r="295" spans="1:37" s="36" customFormat="1">
      <c r="A295" s="23" t="str">
        <f t="shared" si="64"/>
        <v/>
      </c>
      <c r="B295" s="24" t="str">
        <f>IF(A295="","",IF(A295&gt;tc_lot_i+tc,0,IF('Hidrograma afluente'!B302="","",'Hidrograma afluente'!B302)))</f>
        <v/>
      </c>
      <c r="C295" s="41" t="str">
        <f t="shared" si="65"/>
        <v/>
      </c>
      <c r="D295" s="41" t="str">
        <f t="shared" si="66"/>
        <v/>
      </c>
      <c r="E295" s="41" t="str">
        <f t="shared" si="67"/>
        <v/>
      </c>
      <c r="F295" s="41" t="str">
        <f t="shared" si="68"/>
        <v/>
      </c>
      <c r="G295" s="41" t="str">
        <f t="shared" si="69"/>
        <v/>
      </c>
      <c r="H295" s="43" t="str">
        <f t="shared" si="75"/>
        <v/>
      </c>
      <c r="I295" s="42" t="str">
        <f t="shared" si="70"/>
        <v/>
      </c>
      <c r="J295" s="18"/>
      <c r="K295" s="76"/>
      <c r="M295" s="132">
        <f t="shared" ca="1" si="61"/>
        <v>94.149539287458239</v>
      </c>
      <c r="N295" s="38">
        <f t="shared" si="71"/>
        <v>2.7562500000000001</v>
      </c>
      <c r="O295" s="36">
        <f t="shared" si="72"/>
        <v>73.5</v>
      </c>
      <c r="P295" s="38">
        <f ca="1">IF(ISERROR(IF(O295&lt;fi_h/20,0,(OFFSET('Base de dados'!$A$5,IF(O295&lt;20,1,IF(O295&gt;1000,10,MATCH(O295,Cargas,1))),Coluna_fih,1,1))*(1+0.13*0.25)*(PI()*(fi_h/1000)^2/4)*SQRT(2*9.81*(O295/100-fi_h/2/1000))*1000)),"",IF(O295&lt;fi_h/20,0,(OFFSET('Base de dados'!$A$5,IF(O295&lt;20,1,IF(O295&gt;1000,10,MATCH(O295,Cargas,1))),Coluna_fih,1,1))*(PI()*(fi_h/1000)^2/4)*SQRT(2*9.81*(O295/100-fi_h/2/1000))*1000))</f>
        <v>2.2745392874582366</v>
      </c>
      <c r="Q295" s="38">
        <f ca="1">IF(O295="","",IF(Tipo_Vertedor="Retangular",IF(O295&lt;=cota_s*100,0,IF(Tipo_Vertedor="Retangular",Cd_sr*Lef_sr*((O295/100-cota_s)^(3/2))*1000)),IF(O295&lt;=cota_s*100+fi_s/20,0,(OFFSET('Base de dados'!$A$4,IF(O295&lt;20,1,IF(O295&gt;1000,10,MATCH(O295,Cargas,1))),Coluna_fis,1,1))*(PI()*(fi_s/1000)^2/4)*(2*9.81*(O295/100-cota_s-fi_s/2/1000))^0.5*1000)))</f>
        <v>0</v>
      </c>
      <c r="R295" s="38">
        <f t="shared" ca="1" si="62"/>
        <v>2.2745392874582366</v>
      </c>
      <c r="S295" s="38">
        <f t="shared" ca="1" si="63"/>
        <v>91.875</v>
      </c>
      <c r="AD295" s="38" t="str">
        <f t="shared" si="73"/>
        <v/>
      </c>
      <c r="AE295" s="38" t="str">
        <f t="shared" si="74"/>
        <v/>
      </c>
      <c r="AF295" s="38" t="str">
        <f>IF(ISERROR(IF('Hidrograma afluente'!I302="",0,'Hidrograma afluente'!I302)+Simulação!G295),"",IF('Hidrograma afluente'!I302="",0,'Hidrograma afluente'!I302)+Simulação!G295)</f>
        <v/>
      </c>
      <c r="AG295" s="36" t="s">
        <v>182</v>
      </c>
      <c r="AH295" s="36" t="s">
        <v>182</v>
      </c>
      <c r="AI295" s="48" t="s">
        <v>182</v>
      </c>
      <c r="AJ295" s="36" t="s">
        <v>182</v>
      </c>
      <c r="AK295" s="38" t="str">
        <f>IF(A295="","",IF('Hidrograma afluente'!I302="",0,'Hidrograma afluente'!I302)+Simulação!B295)</f>
        <v/>
      </c>
    </row>
    <row r="296" spans="1:37" s="36" customFormat="1">
      <c r="A296" s="23" t="str">
        <f t="shared" si="64"/>
        <v/>
      </c>
      <c r="B296" s="24" t="str">
        <f>IF(A296="","",IF(A296&gt;tc_lot_i+tc,0,IF('Hidrograma afluente'!B303="","",'Hidrograma afluente'!B303)))</f>
        <v/>
      </c>
      <c r="C296" s="41" t="str">
        <f t="shared" si="65"/>
        <v/>
      </c>
      <c r="D296" s="41" t="str">
        <f t="shared" si="66"/>
        <v/>
      </c>
      <c r="E296" s="41" t="str">
        <f t="shared" si="67"/>
        <v/>
      </c>
      <c r="F296" s="41" t="str">
        <f t="shared" si="68"/>
        <v/>
      </c>
      <c r="G296" s="41" t="str">
        <f t="shared" si="69"/>
        <v/>
      </c>
      <c r="H296" s="43" t="str">
        <f t="shared" si="75"/>
        <v/>
      </c>
      <c r="I296" s="42" t="str">
        <f t="shared" si="70"/>
        <v/>
      </c>
      <c r="J296" s="18"/>
      <c r="K296" s="76"/>
      <c r="M296" s="132">
        <f t="shared" ca="1" si="61"/>
        <v>94.465999005102674</v>
      </c>
      <c r="N296" s="38">
        <f t="shared" si="71"/>
        <v>2.765625</v>
      </c>
      <c r="O296" s="36">
        <f t="shared" si="72"/>
        <v>73.75</v>
      </c>
      <c r="P296" s="38">
        <f ca="1">IF(ISERROR(IF(O296&lt;fi_h/20,0,(OFFSET('Base de dados'!$A$5,IF(O296&lt;20,1,IF(O296&gt;1000,10,MATCH(O296,Cargas,1))),Coluna_fih,1,1))*(1+0.13*0.25)*(PI()*(fi_h/1000)^2/4)*SQRT(2*9.81*(O296/100-fi_h/2/1000))*1000)),"",IF(O296&lt;fi_h/20,0,(OFFSET('Base de dados'!$A$5,IF(O296&lt;20,1,IF(O296&gt;1000,10,MATCH(O296,Cargas,1))),Coluna_fih,1,1))*(PI()*(fi_h/1000)^2/4)*SQRT(2*9.81*(O296/100-fi_h/2/1000))*1000))</f>
        <v>2.2784990051026703</v>
      </c>
      <c r="Q296" s="38">
        <f ca="1">IF(O296="","",IF(Tipo_Vertedor="Retangular",IF(O296&lt;=cota_s*100,0,IF(Tipo_Vertedor="Retangular",Cd_sr*Lef_sr*((O296/100-cota_s)^(3/2))*1000)),IF(O296&lt;=cota_s*100+fi_s/20,0,(OFFSET('Base de dados'!$A$4,IF(O296&lt;20,1,IF(O296&gt;1000,10,MATCH(O296,Cargas,1))),Coluna_fis,1,1))*(PI()*(fi_s/1000)^2/4)*(2*9.81*(O296/100-cota_s-fi_s/2/1000))^0.5*1000)))</f>
        <v>0</v>
      </c>
      <c r="R296" s="38">
        <f t="shared" ca="1" si="62"/>
        <v>2.2784990051026703</v>
      </c>
      <c r="S296" s="38">
        <f t="shared" ca="1" si="63"/>
        <v>92.1875</v>
      </c>
      <c r="AD296" s="38" t="str">
        <f t="shared" si="73"/>
        <v/>
      </c>
      <c r="AE296" s="38" t="str">
        <f t="shared" si="74"/>
        <v/>
      </c>
      <c r="AF296" s="38" t="str">
        <f>IF(ISERROR(IF('Hidrograma afluente'!I303="",0,'Hidrograma afluente'!I303)+Simulação!G296),"",IF('Hidrograma afluente'!I303="",0,'Hidrograma afluente'!I303)+Simulação!G296)</f>
        <v/>
      </c>
      <c r="AG296" s="36" t="s">
        <v>182</v>
      </c>
      <c r="AH296" s="36" t="s">
        <v>182</v>
      </c>
      <c r="AI296" s="48" t="s">
        <v>182</v>
      </c>
      <c r="AJ296" s="36" t="s">
        <v>182</v>
      </c>
      <c r="AK296" s="38" t="str">
        <f>IF(A296="","",IF('Hidrograma afluente'!I303="",0,'Hidrograma afluente'!I303)+Simulação!B296)</f>
        <v/>
      </c>
    </row>
    <row r="297" spans="1:37" s="36" customFormat="1">
      <c r="A297" s="23" t="str">
        <f t="shared" si="64"/>
        <v/>
      </c>
      <c r="B297" s="24" t="str">
        <f>IF(A297="","",IF(A297&gt;tc_lot_i+tc,0,IF('Hidrograma afluente'!B304="","",'Hidrograma afluente'!B304)))</f>
        <v/>
      </c>
      <c r="C297" s="41" t="str">
        <f t="shared" si="65"/>
        <v/>
      </c>
      <c r="D297" s="41" t="str">
        <f t="shared" si="66"/>
        <v/>
      </c>
      <c r="E297" s="41" t="str">
        <f t="shared" si="67"/>
        <v/>
      </c>
      <c r="F297" s="41" t="str">
        <f t="shared" si="68"/>
        <v/>
      </c>
      <c r="G297" s="41" t="str">
        <f t="shared" si="69"/>
        <v/>
      </c>
      <c r="H297" s="43" t="str">
        <f t="shared" si="75"/>
        <v/>
      </c>
      <c r="I297" s="42" t="str">
        <f t="shared" si="70"/>
        <v/>
      </c>
      <c r="J297" s="18"/>
      <c r="K297" s="76"/>
      <c r="M297" s="132">
        <f t="shared" ca="1" si="61"/>
        <v>94.782451853230796</v>
      </c>
      <c r="N297" s="38">
        <f t="shared" si="71"/>
        <v>2.7749999999999999</v>
      </c>
      <c r="O297" s="36">
        <f t="shared" si="72"/>
        <v>74</v>
      </c>
      <c r="P297" s="38">
        <f ca="1">IF(ISERROR(IF(O297&lt;fi_h/20,0,(OFFSET('Base de dados'!$A$5,IF(O297&lt;20,1,IF(O297&gt;1000,10,MATCH(O297,Cargas,1))),Coluna_fih,1,1))*(1+0.13*0.25)*(PI()*(fi_h/1000)^2/4)*SQRT(2*9.81*(O297/100-fi_h/2/1000))*1000)),"",IF(O297&lt;fi_h/20,0,(OFFSET('Base de dados'!$A$5,IF(O297&lt;20,1,IF(O297&gt;1000,10,MATCH(O297,Cargas,1))),Coluna_fih,1,1))*(PI()*(fi_h/1000)^2/4)*SQRT(2*9.81*(O297/100-fi_h/2/1000))*1000))</f>
        <v>2.2824518532307954</v>
      </c>
      <c r="Q297" s="38">
        <f ca="1">IF(O297="","",IF(Tipo_Vertedor="Retangular",IF(O297&lt;=cota_s*100,0,IF(Tipo_Vertedor="Retangular",Cd_sr*Lef_sr*((O297/100-cota_s)^(3/2))*1000)),IF(O297&lt;=cota_s*100+fi_s/20,0,(OFFSET('Base de dados'!$A$4,IF(O297&lt;20,1,IF(O297&gt;1000,10,MATCH(O297,Cargas,1))),Coluna_fis,1,1))*(PI()*(fi_s/1000)^2/4)*(2*9.81*(O297/100-cota_s-fi_s/2/1000))^0.5*1000)))</f>
        <v>0</v>
      </c>
      <c r="R297" s="38">
        <f t="shared" ca="1" si="62"/>
        <v>2.2824518532307954</v>
      </c>
      <c r="S297" s="38">
        <f t="shared" ca="1" si="63"/>
        <v>92.5</v>
      </c>
      <c r="AD297" s="38" t="str">
        <f t="shared" si="73"/>
        <v/>
      </c>
      <c r="AE297" s="38" t="str">
        <f t="shared" si="74"/>
        <v/>
      </c>
      <c r="AF297" s="38" t="str">
        <f>IF(ISERROR(IF('Hidrograma afluente'!I304="",0,'Hidrograma afluente'!I304)+Simulação!G297),"",IF('Hidrograma afluente'!I304="",0,'Hidrograma afluente'!I304)+Simulação!G297)</f>
        <v/>
      </c>
      <c r="AG297" s="36" t="s">
        <v>182</v>
      </c>
      <c r="AH297" s="36" t="s">
        <v>182</v>
      </c>
      <c r="AI297" s="48" t="s">
        <v>182</v>
      </c>
      <c r="AJ297" s="36" t="s">
        <v>182</v>
      </c>
      <c r="AK297" s="38" t="str">
        <f>IF(A297="","",IF('Hidrograma afluente'!I304="",0,'Hidrograma afluente'!I304)+Simulação!B297)</f>
        <v/>
      </c>
    </row>
    <row r="298" spans="1:37" s="36" customFormat="1">
      <c r="A298" s="23" t="str">
        <f t="shared" si="64"/>
        <v/>
      </c>
      <c r="B298" s="24" t="str">
        <f>IF(A298="","",IF(A298&gt;tc_lot_i+tc,0,IF('Hidrograma afluente'!B305="","",'Hidrograma afluente'!B305)))</f>
        <v/>
      </c>
      <c r="C298" s="41" t="str">
        <f t="shared" si="65"/>
        <v/>
      </c>
      <c r="D298" s="41" t="str">
        <f t="shared" si="66"/>
        <v/>
      </c>
      <c r="E298" s="41" t="str">
        <f t="shared" si="67"/>
        <v/>
      </c>
      <c r="F298" s="41" t="str">
        <f t="shared" si="68"/>
        <v/>
      </c>
      <c r="G298" s="41" t="str">
        <f t="shared" si="69"/>
        <v/>
      </c>
      <c r="H298" s="43" t="str">
        <f t="shared" si="75"/>
        <v/>
      </c>
      <c r="I298" s="42" t="str">
        <f t="shared" si="70"/>
        <v/>
      </c>
      <c r="J298" s="18"/>
      <c r="K298" s="76"/>
      <c r="M298" s="132">
        <f t="shared" ca="1" si="61"/>
        <v>95.098897867471806</v>
      </c>
      <c r="N298" s="38">
        <f t="shared" si="71"/>
        <v>2.7843750000000003</v>
      </c>
      <c r="O298" s="36">
        <f t="shared" si="72"/>
        <v>74.25</v>
      </c>
      <c r="P298" s="38">
        <f ca="1">IF(ISERROR(IF(O298&lt;fi_h/20,0,(OFFSET('Base de dados'!$A$5,IF(O298&lt;20,1,IF(O298&gt;1000,10,MATCH(O298,Cargas,1))),Coluna_fih,1,1))*(1+0.13*0.25)*(PI()*(fi_h/1000)^2/4)*SQRT(2*9.81*(O298/100-fi_h/2/1000))*1000)),"",IF(O298&lt;fi_h/20,0,(OFFSET('Base de dados'!$A$5,IF(O298&lt;20,1,IF(O298&gt;1000,10,MATCH(O298,Cargas,1))),Coluna_fih,1,1))*(PI()*(fi_h/1000)^2/4)*SQRT(2*9.81*(O298/100-fi_h/2/1000))*1000))</f>
        <v>2.2863978674717851</v>
      </c>
      <c r="Q298" s="38">
        <f ca="1">IF(O298="","",IF(Tipo_Vertedor="Retangular",IF(O298&lt;=cota_s*100,0,IF(Tipo_Vertedor="Retangular",Cd_sr*Lef_sr*((O298/100-cota_s)^(3/2))*1000)),IF(O298&lt;=cota_s*100+fi_s/20,0,(OFFSET('Base de dados'!$A$4,IF(O298&lt;20,1,IF(O298&gt;1000,10,MATCH(O298,Cargas,1))),Coluna_fis,1,1))*(PI()*(fi_s/1000)^2/4)*(2*9.81*(O298/100-cota_s-fi_s/2/1000))^0.5*1000)))</f>
        <v>0</v>
      </c>
      <c r="R298" s="38">
        <f t="shared" ca="1" si="62"/>
        <v>2.2863978674717851</v>
      </c>
      <c r="S298" s="38">
        <f t="shared" ca="1" si="63"/>
        <v>92.812500000000014</v>
      </c>
      <c r="AD298" s="38" t="str">
        <f t="shared" si="73"/>
        <v/>
      </c>
      <c r="AE298" s="38" t="str">
        <f t="shared" si="74"/>
        <v/>
      </c>
      <c r="AF298" s="38" t="str">
        <f>IF(ISERROR(IF('Hidrograma afluente'!I305="",0,'Hidrograma afluente'!I305)+Simulação!G298),"",IF('Hidrograma afluente'!I305="",0,'Hidrograma afluente'!I305)+Simulação!G298)</f>
        <v/>
      </c>
      <c r="AG298" s="36" t="s">
        <v>182</v>
      </c>
      <c r="AH298" s="36" t="s">
        <v>182</v>
      </c>
      <c r="AI298" s="48" t="s">
        <v>182</v>
      </c>
      <c r="AJ298" s="36" t="s">
        <v>182</v>
      </c>
      <c r="AK298" s="38" t="str">
        <f>IF(A298="","",IF('Hidrograma afluente'!I305="",0,'Hidrograma afluente'!I305)+Simulação!B298)</f>
        <v/>
      </c>
    </row>
    <row r="299" spans="1:37" s="36" customFormat="1">
      <c r="A299" s="23" t="str">
        <f t="shared" si="64"/>
        <v/>
      </c>
      <c r="B299" s="24" t="str">
        <f>IF(A299="","",IF(A299&gt;tc_lot_i+tc,0,IF('Hidrograma afluente'!B306="","",'Hidrograma afluente'!B306)))</f>
        <v/>
      </c>
      <c r="C299" s="41" t="str">
        <f t="shared" si="65"/>
        <v/>
      </c>
      <c r="D299" s="41" t="str">
        <f t="shared" si="66"/>
        <v/>
      </c>
      <c r="E299" s="41" t="str">
        <f t="shared" si="67"/>
        <v/>
      </c>
      <c r="F299" s="41" t="str">
        <f t="shared" si="68"/>
        <v/>
      </c>
      <c r="G299" s="41" t="str">
        <f t="shared" si="69"/>
        <v/>
      </c>
      <c r="H299" s="43" t="str">
        <f t="shared" si="75"/>
        <v/>
      </c>
      <c r="I299" s="42" t="str">
        <f t="shared" si="70"/>
        <v/>
      </c>
      <c r="J299" s="18"/>
      <c r="K299" s="76"/>
      <c r="M299" s="132">
        <f t="shared" ca="1" si="61"/>
        <v>95.41533708314789</v>
      </c>
      <c r="N299" s="38">
        <f t="shared" si="71"/>
        <v>2.7937500000000002</v>
      </c>
      <c r="O299" s="36">
        <f t="shared" si="72"/>
        <v>74.5</v>
      </c>
      <c r="P299" s="38">
        <f ca="1">IF(ISERROR(IF(O299&lt;fi_h/20,0,(OFFSET('Base de dados'!$A$5,IF(O299&lt;20,1,IF(O299&gt;1000,10,MATCH(O299,Cargas,1))),Coluna_fih,1,1))*(1+0.13*0.25)*(PI()*(fi_h/1000)^2/4)*SQRT(2*9.81*(O299/100-fi_h/2/1000))*1000)),"",IF(O299&lt;fi_h/20,0,(OFFSET('Base de dados'!$A$5,IF(O299&lt;20,1,IF(O299&gt;1000,10,MATCH(O299,Cargas,1))),Coluna_fih,1,1))*(PI()*(fi_h/1000)^2/4)*SQRT(2*9.81*(O299/100-fi_h/2/1000))*1000))</f>
        <v>2.2903370831478851</v>
      </c>
      <c r="Q299" s="38">
        <f ca="1">IF(O299="","",IF(Tipo_Vertedor="Retangular",IF(O299&lt;=cota_s*100,0,IF(Tipo_Vertedor="Retangular",Cd_sr*Lef_sr*((O299/100-cota_s)^(3/2))*1000)),IF(O299&lt;=cota_s*100+fi_s/20,0,(OFFSET('Base de dados'!$A$4,IF(O299&lt;20,1,IF(O299&gt;1000,10,MATCH(O299,Cargas,1))),Coluna_fis,1,1))*(PI()*(fi_s/1000)^2/4)*(2*9.81*(O299/100-cota_s-fi_s/2/1000))^0.5*1000)))</f>
        <v>0</v>
      </c>
      <c r="R299" s="38">
        <f t="shared" ca="1" si="62"/>
        <v>2.2903370831478851</v>
      </c>
      <c r="S299" s="38">
        <f t="shared" ca="1" si="63"/>
        <v>93.125</v>
      </c>
      <c r="AD299" s="38" t="str">
        <f t="shared" si="73"/>
        <v/>
      </c>
      <c r="AE299" s="38" t="str">
        <f t="shared" si="74"/>
        <v/>
      </c>
      <c r="AF299" s="38" t="str">
        <f>IF(ISERROR(IF('Hidrograma afluente'!I306="",0,'Hidrograma afluente'!I306)+Simulação!G299),"",IF('Hidrograma afluente'!I306="",0,'Hidrograma afluente'!I306)+Simulação!G299)</f>
        <v/>
      </c>
      <c r="AG299" s="36" t="s">
        <v>182</v>
      </c>
      <c r="AH299" s="36" t="s">
        <v>182</v>
      </c>
      <c r="AI299" s="48" t="s">
        <v>182</v>
      </c>
      <c r="AJ299" s="36" t="s">
        <v>182</v>
      </c>
      <c r="AK299" s="38" t="str">
        <f>IF(A299="","",IF('Hidrograma afluente'!I306="",0,'Hidrograma afluente'!I306)+Simulação!B299)</f>
        <v/>
      </c>
    </row>
    <row r="300" spans="1:37" s="36" customFormat="1">
      <c r="A300" s="23" t="str">
        <f t="shared" si="64"/>
        <v/>
      </c>
      <c r="B300" s="24" t="str">
        <f>IF(A300="","",IF(A300&gt;tc_lot_i+tc,0,IF('Hidrograma afluente'!B307="","",'Hidrograma afluente'!B307)))</f>
        <v/>
      </c>
      <c r="C300" s="41" t="str">
        <f t="shared" si="65"/>
        <v/>
      </c>
      <c r="D300" s="41" t="str">
        <f t="shared" si="66"/>
        <v/>
      </c>
      <c r="E300" s="41" t="str">
        <f t="shared" si="67"/>
        <v/>
      </c>
      <c r="F300" s="41" t="str">
        <f t="shared" si="68"/>
        <v/>
      </c>
      <c r="G300" s="41" t="str">
        <f t="shared" si="69"/>
        <v/>
      </c>
      <c r="H300" s="43" t="str">
        <f t="shared" si="75"/>
        <v/>
      </c>
      <c r="I300" s="42" t="str">
        <f t="shared" si="70"/>
        <v/>
      </c>
      <c r="J300" s="18"/>
      <c r="K300" s="76"/>
      <c r="M300" s="132">
        <f t="shared" ca="1" si="61"/>
        <v>95.731769535278104</v>
      </c>
      <c r="N300" s="38">
        <f t="shared" si="71"/>
        <v>2.8031250000000001</v>
      </c>
      <c r="O300" s="36">
        <f t="shared" si="72"/>
        <v>74.75</v>
      </c>
      <c r="P300" s="38">
        <f ca="1">IF(ISERROR(IF(O300&lt;fi_h/20,0,(OFFSET('Base de dados'!$A$5,IF(O300&lt;20,1,IF(O300&gt;1000,10,MATCH(O300,Cargas,1))),Coluna_fih,1,1))*(1+0.13*0.25)*(PI()*(fi_h/1000)^2/4)*SQRT(2*9.81*(O300/100-fi_h/2/1000))*1000)),"",IF(O300&lt;fi_h/20,0,(OFFSET('Base de dados'!$A$5,IF(O300&lt;20,1,IF(O300&gt;1000,10,MATCH(O300,Cargas,1))),Coluna_fih,1,1))*(PI()*(fi_h/1000)^2/4)*SQRT(2*9.81*(O300/100-fi_h/2/1000))*1000))</f>
        <v>2.2942695352781017</v>
      </c>
      <c r="Q300" s="38">
        <f ca="1">IF(O300="","",IF(Tipo_Vertedor="Retangular",IF(O300&lt;=cota_s*100,0,IF(Tipo_Vertedor="Retangular",Cd_sr*Lef_sr*((O300/100-cota_s)^(3/2))*1000)),IF(O300&lt;=cota_s*100+fi_s/20,0,(OFFSET('Base de dados'!$A$4,IF(O300&lt;20,1,IF(O300&gt;1000,10,MATCH(O300,Cargas,1))),Coluna_fis,1,1))*(PI()*(fi_s/1000)^2/4)*(2*9.81*(O300/100-cota_s-fi_s/2/1000))^0.5*1000)))</f>
        <v>0</v>
      </c>
      <c r="R300" s="38">
        <f t="shared" ca="1" si="62"/>
        <v>2.2942695352781017</v>
      </c>
      <c r="S300" s="38">
        <f t="shared" ca="1" si="63"/>
        <v>93.4375</v>
      </c>
      <c r="AD300" s="38" t="str">
        <f t="shared" si="73"/>
        <v/>
      </c>
      <c r="AE300" s="38" t="str">
        <f t="shared" si="74"/>
        <v/>
      </c>
      <c r="AF300" s="38" t="str">
        <f>IF(ISERROR(IF('Hidrograma afluente'!I307="",0,'Hidrograma afluente'!I307)+Simulação!G300),"",IF('Hidrograma afluente'!I307="",0,'Hidrograma afluente'!I307)+Simulação!G300)</f>
        <v/>
      </c>
      <c r="AG300" s="36" t="s">
        <v>182</v>
      </c>
      <c r="AH300" s="36" t="s">
        <v>182</v>
      </c>
      <c r="AI300" s="48" t="s">
        <v>182</v>
      </c>
      <c r="AJ300" s="36" t="s">
        <v>182</v>
      </c>
      <c r="AK300" s="38" t="str">
        <f>IF(A300="","",IF('Hidrograma afluente'!I307="",0,'Hidrograma afluente'!I307)+Simulação!B300)</f>
        <v/>
      </c>
    </row>
    <row r="301" spans="1:37" s="36" customFormat="1">
      <c r="A301" s="23" t="str">
        <f t="shared" si="64"/>
        <v/>
      </c>
      <c r="B301" s="24" t="str">
        <f>IF(A301="","",IF(A301&gt;tc_lot_i+tc,0,IF('Hidrograma afluente'!B308="","",'Hidrograma afluente'!B308)))</f>
        <v/>
      </c>
      <c r="C301" s="41" t="str">
        <f t="shared" si="65"/>
        <v/>
      </c>
      <c r="D301" s="41" t="str">
        <f t="shared" si="66"/>
        <v/>
      </c>
      <c r="E301" s="41" t="str">
        <f t="shared" si="67"/>
        <v/>
      </c>
      <c r="F301" s="41" t="str">
        <f t="shared" si="68"/>
        <v/>
      </c>
      <c r="G301" s="41" t="str">
        <f t="shared" si="69"/>
        <v/>
      </c>
      <c r="H301" s="43" t="str">
        <f t="shared" si="75"/>
        <v/>
      </c>
      <c r="I301" s="42" t="str">
        <f t="shared" si="70"/>
        <v/>
      </c>
      <c r="J301" s="18"/>
      <c r="K301" s="76"/>
      <c r="M301" s="132">
        <f t="shared" ca="1" si="61"/>
        <v>96.048195258581842</v>
      </c>
      <c r="N301" s="38">
        <f t="shared" si="71"/>
        <v>2.8125</v>
      </c>
      <c r="O301" s="36">
        <f t="shared" si="72"/>
        <v>75</v>
      </c>
      <c r="P301" s="38">
        <f ca="1">IF(ISERROR(IF(O301&lt;fi_h/20,0,(OFFSET('Base de dados'!$A$5,IF(O301&lt;20,1,IF(O301&gt;1000,10,MATCH(O301,Cargas,1))),Coluna_fih,1,1))*(1+0.13*0.25)*(PI()*(fi_h/1000)^2/4)*SQRT(2*9.81*(O301/100-fi_h/2/1000))*1000)),"",IF(O301&lt;fi_h/20,0,(OFFSET('Base de dados'!$A$5,IF(O301&lt;20,1,IF(O301&gt;1000,10,MATCH(O301,Cargas,1))),Coluna_fih,1,1))*(PI()*(fi_h/1000)^2/4)*SQRT(2*9.81*(O301/100-fi_h/2/1000))*1000))</f>
        <v>2.2981952585818357</v>
      </c>
      <c r="Q301" s="38">
        <f ca="1">IF(O301="","",IF(Tipo_Vertedor="Retangular",IF(O301&lt;=cota_s*100,0,IF(Tipo_Vertedor="Retangular",Cd_sr*Lef_sr*((O301/100-cota_s)^(3/2))*1000)),IF(O301&lt;=cota_s*100+fi_s/20,0,(OFFSET('Base de dados'!$A$4,IF(O301&lt;20,1,IF(O301&gt;1000,10,MATCH(O301,Cargas,1))),Coluna_fis,1,1))*(PI()*(fi_s/1000)^2/4)*(2*9.81*(O301/100-cota_s-fi_s/2/1000))^0.5*1000)))</f>
        <v>0</v>
      </c>
      <c r="R301" s="38">
        <f t="shared" ca="1" si="62"/>
        <v>2.2981952585818357</v>
      </c>
      <c r="S301" s="38">
        <f t="shared" ca="1" si="63"/>
        <v>93.75</v>
      </c>
      <c r="AD301" s="38" t="str">
        <f t="shared" si="73"/>
        <v/>
      </c>
      <c r="AE301" s="38" t="str">
        <f t="shared" si="74"/>
        <v/>
      </c>
      <c r="AF301" s="38" t="str">
        <f>IF(ISERROR(IF('Hidrograma afluente'!I308="",0,'Hidrograma afluente'!I308)+Simulação!G301),"",IF('Hidrograma afluente'!I308="",0,'Hidrograma afluente'!I308)+Simulação!G301)</f>
        <v/>
      </c>
      <c r="AG301" s="36" t="s">
        <v>182</v>
      </c>
      <c r="AH301" s="36" t="s">
        <v>182</v>
      </c>
      <c r="AI301" s="48" t="s">
        <v>182</v>
      </c>
      <c r="AJ301" s="36" t="s">
        <v>182</v>
      </c>
      <c r="AK301" s="38" t="str">
        <f>IF(A301="","",IF('Hidrograma afluente'!I308="",0,'Hidrograma afluente'!I308)+Simulação!B301)</f>
        <v/>
      </c>
    </row>
    <row r="302" spans="1:37" s="36" customFormat="1">
      <c r="A302" s="23" t="str">
        <f t="shared" si="64"/>
        <v/>
      </c>
      <c r="B302" s="24" t="str">
        <f>IF(A302="","",IF(A302&gt;tc_lot_i+tc,0,IF('Hidrograma afluente'!B309="","",'Hidrograma afluente'!B309)))</f>
        <v/>
      </c>
      <c r="C302" s="41" t="str">
        <f t="shared" si="65"/>
        <v/>
      </c>
      <c r="D302" s="41" t="str">
        <f t="shared" si="66"/>
        <v/>
      </c>
      <c r="E302" s="41" t="str">
        <f t="shared" si="67"/>
        <v/>
      </c>
      <c r="F302" s="41" t="str">
        <f t="shared" si="68"/>
        <v/>
      </c>
      <c r="G302" s="41" t="str">
        <f t="shared" si="69"/>
        <v/>
      </c>
      <c r="H302" s="43" t="str">
        <f t="shared" si="75"/>
        <v/>
      </c>
      <c r="I302" s="42" t="str">
        <f t="shared" si="70"/>
        <v/>
      </c>
      <c r="J302" s="18"/>
      <c r="K302" s="76"/>
      <c r="M302" s="132">
        <f t="shared" ca="1" si="61"/>
        <v>96.364614287482453</v>
      </c>
      <c r="N302" s="38">
        <f t="shared" si="71"/>
        <v>2.8218749999999999</v>
      </c>
      <c r="O302" s="36">
        <f t="shared" si="72"/>
        <v>75.25</v>
      </c>
      <c r="P302" s="38">
        <f ca="1">IF(ISERROR(IF(O302&lt;fi_h/20,0,(OFFSET('Base de dados'!$A$5,IF(O302&lt;20,1,IF(O302&gt;1000,10,MATCH(O302,Cargas,1))),Coluna_fih,1,1))*(1+0.13*0.25)*(PI()*(fi_h/1000)^2/4)*SQRT(2*9.81*(O302/100-fi_h/2/1000))*1000)),"",IF(O302&lt;fi_h/20,0,(OFFSET('Base de dados'!$A$5,IF(O302&lt;20,1,IF(O302&gt;1000,10,MATCH(O302,Cargas,1))),Coluna_fih,1,1))*(PI()*(fi_h/1000)^2/4)*SQRT(2*9.81*(O302/100-fi_h/2/1000))*1000))</f>
        <v>2.3021142874824583</v>
      </c>
      <c r="Q302" s="38">
        <f ca="1">IF(O302="","",IF(Tipo_Vertedor="Retangular",IF(O302&lt;=cota_s*100,0,IF(Tipo_Vertedor="Retangular",Cd_sr*Lef_sr*((O302/100-cota_s)^(3/2))*1000)),IF(O302&lt;=cota_s*100+fi_s/20,0,(OFFSET('Base de dados'!$A$4,IF(O302&lt;20,1,IF(O302&gt;1000,10,MATCH(O302,Cargas,1))),Coluna_fis,1,1))*(PI()*(fi_s/1000)^2/4)*(2*9.81*(O302/100-cota_s-fi_s/2/1000))^0.5*1000)))</f>
        <v>0</v>
      </c>
      <c r="R302" s="38">
        <f t="shared" ca="1" si="62"/>
        <v>2.3021142874824583</v>
      </c>
      <c r="S302" s="38">
        <f t="shared" ca="1" si="63"/>
        <v>94.0625</v>
      </c>
      <c r="AD302" s="38" t="str">
        <f t="shared" si="73"/>
        <v/>
      </c>
      <c r="AE302" s="38" t="str">
        <f t="shared" si="74"/>
        <v/>
      </c>
      <c r="AF302" s="38" t="str">
        <f>IF(ISERROR(IF('Hidrograma afluente'!I309="",0,'Hidrograma afluente'!I309)+Simulação!G302),"",IF('Hidrograma afluente'!I309="",0,'Hidrograma afluente'!I309)+Simulação!G302)</f>
        <v/>
      </c>
      <c r="AG302" s="36" t="s">
        <v>182</v>
      </c>
      <c r="AH302" s="36" t="s">
        <v>182</v>
      </c>
      <c r="AI302" s="48" t="s">
        <v>182</v>
      </c>
      <c r="AJ302" s="36" t="s">
        <v>182</v>
      </c>
      <c r="AK302" s="38" t="str">
        <f>IF(A302="","",IF('Hidrograma afluente'!I309="",0,'Hidrograma afluente'!I309)+Simulação!B302)</f>
        <v/>
      </c>
    </row>
    <row r="303" spans="1:37" s="36" customFormat="1">
      <c r="A303" s="23" t="str">
        <f t="shared" si="64"/>
        <v/>
      </c>
      <c r="B303" s="24" t="str">
        <f>IF(A303="","",IF(A303&gt;tc_lot_i+tc,0,IF('Hidrograma afluente'!B310="","",'Hidrograma afluente'!B310)))</f>
        <v/>
      </c>
      <c r="C303" s="41" t="str">
        <f t="shared" si="65"/>
        <v/>
      </c>
      <c r="D303" s="41" t="str">
        <f t="shared" si="66"/>
        <v/>
      </c>
      <c r="E303" s="41" t="str">
        <f t="shared" si="67"/>
        <v/>
      </c>
      <c r="F303" s="41" t="str">
        <f t="shared" si="68"/>
        <v/>
      </c>
      <c r="G303" s="41" t="str">
        <f t="shared" si="69"/>
        <v/>
      </c>
      <c r="H303" s="43" t="str">
        <f t="shared" si="75"/>
        <v/>
      </c>
      <c r="I303" s="42" t="str">
        <f t="shared" si="70"/>
        <v/>
      </c>
      <c r="J303" s="18"/>
      <c r="K303" s="76"/>
      <c r="M303" s="132">
        <f t="shared" ca="1" si="61"/>
        <v>96.681026656110831</v>
      </c>
      <c r="N303" s="38">
        <f t="shared" si="71"/>
        <v>2.8312499999999998</v>
      </c>
      <c r="O303" s="36">
        <f t="shared" si="72"/>
        <v>75.5</v>
      </c>
      <c r="P303" s="38">
        <f ca="1">IF(ISERROR(IF(O303&lt;fi_h/20,0,(OFFSET('Base de dados'!$A$5,IF(O303&lt;20,1,IF(O303&gt;1000,10,MATCH(O303,Cargas,1))),Coluna_fih,1,1))*(1+0.13*0.25)*(PI()*(fi_h/1000)^2/4)*SQRT(2*9.81*(O303/100-fi_h/2/1000))*1000)),"",IF(O303&lt;fi_h/20,0,(OFFSET('Base de dados'!$A$5,IF(O303&lt;20,1,IF(O303&gt;1000,10,MATCH(O303,Cargas,1))),Coluna_fih,1,1))*(PI()*(fi_h/1000)^2/4)*SQRT(2*9.81*(O303/100-fi_h/2/1000))*1000))</f>
        <v>2.3060266561108311</v>
      </c>
      <c r="Q303" s="38">
        <f ca="1">IF(O303="","",IF(Tipo_Vertedor="Retangular",IF(O303&lt;=cota_s*100,0,IF(Tipo_Vertedor="Retangular",Cd_sr*Lef_sr*((O303/100-cota_s)^(3/2))*1000)),IF(O303&lt;=cota_s*100+fi_s/20,0,(OFFSET('Base de dados'!$A$4,IF(O303&lt;20,1,IF(O303&gt;1000,10,MATCH(O303,Cargas,1))),Coluna_fis,1,1))*(PI()*(fi_s/1000)^2/4)*(2*9.81*(O303/100-cota_s-fi_s/2/1000))^0.5*1000)))</f>
        <v>0</v>
      </c>
      <c r="R303" s="38">
        <f t="shared" ca="1" si="62"/>
        <v>2.3060266561108311</v>
      </c>
      <c r="S303" s="38">
        <f t="shared" ca="1" si="63"/>
        <v>94.375</v>
      </c>
      <c r="AD303" s="38" t="str">
        <f t="shared" si="73"/>
        <v/>
      </c>
      <c r="AE303" s="38" t="str">
        <f t="shared" si="74"/>
        <v/>
      </c>
      <c r="AF303" s="38" t="str">
        <f>IF(ISERROR(IF('Hidrograma afluente'!I310="",0,'Hidrograma afluente'!I310)+Simulação!G303),"",IF('Hidrograma afluente'!I310="",0,'Hidrograma afluente'!I310)+Simulação!G303)</f>
        <v/>
      </c>
      <c r="AG303" s="36" t="s">
        <v>182</v>
      </c>
      <c r="AH303" s="36" t="s">
        <v>182</v>
      </c>
      <c r="AI303" s="48" t="s">
        <v>182</v>
      </c>
      <c r="AJ303" s="36" t="s">
        <v>182</v>
      </c>
      <c r="AK303" s="38" t="str">
        <f>IF(A303="","",IF('Hidrograma afluente'!I310="",0,'Hidrograma afluente'!I310)+Simulação!B303)</f>
        <v/>
      </c>
    </row>
    <row r="304" spans="1:37" s="36" customFormat="1">
      <c r="A304" s="23" t="str">
        <f t="shared" si="64"/>
        <v/>
      </c>
      <c r="B304" s="24" t="str">
        <f>IF(A304="","",IF(A304&gt;tc_lot_i+tc,0,IF('Hidrograma afluente'!B311="","",'Hidrograma afluente'!B311)))</f>
        <v/>
      </c>
      <c r="C304" s="41" t="str">
        <f t="shared" si="65"/>
        <v/>
      </c>
      <c r="D304" s="41" t="str">
        <f t="shared" si="66"/>
        <v/>
      </c>
      <c r="E304" s="41" t="str">
        <f t="shared" si="67"/>
        <v/>
      </c>
      <c r="F304" s="41" t="str">
        <f t="shared" si="68"/>
        <v/>
      </c>
      <c r="G304" s="41" t="str">
        <f t="shared" si="69"/>
        <v/>
      </c>
      <c r="H304" s="43" t="str">
        <f t="shared" si="75"/>
        <v/>
      </c>
      <c r="I304" s="42" t="str">
        <f t="shared" si="70"/>
        <v/>
      </c>
      <c r="J304" s="18"/>
      <c r="K304" s="76"/>
      <c r="M304" s="132">
        <f t="shared" ca="1" si="61"/>
        <v>96.99743239830876</v>
      </c>
      <c r="N304" s="38">
        <f t="shared" si="71"/>
        <v>2.8406249999999997</v>
      </c>
      <c r="O304" s="36">
        <f t="shared" si="72"/>
        <v>75.75</v>
      </c>
      <c r="P304" s="38">
        <f ca="1">IF(ISERROR(IF(O304&lt;fi_h/20,0,(OFFSET('Base de dados'!$A$5,IF(O304&lt;20,1,IF(O304&gt;1000,10,MATCH(O304,Cargas,1))),Coluna_fih,1,1))*(1+0.13*0.25)*(PI()*(fi_h/1000)^2/4)*SQRT(2*9.81*(O304/100-fi_h/2/1000))*1000)),"",IF(O304&lt;fi_h/20,0,(OFFSET('Base de dados'!$A$5,IF(O304&lt;20,1,IF(O304&gt;1000,10,MATCH(O304,Cargas,1))),Coluna_fih,1,1))*(PI()*(fi_h/1000)^2/4)*SQRT(2*9.81*(O304/100-fi_h/2/1000))*1000))</f>
        <v>2.3099323983087765</v>
      </c>
      <c r="Q304" s="38">
        <f ca="1">IF(O304="","",IF(Tipo_Vertedor="Retangular",IF(O304&lt;=cota_s*100,0,IF(Tipo_Vertedor="Retangular",Cd_sr*Lef_sr*((O304/100-cota_s)^(3/2))*1000)),IF(O304&lt;=cota_s*100+fi_s/20,0,(OFFSET('Base de dados'!$A$4,IF(O304&lt;20,1,IF(O304&gt;1000,10,MATCH(O304,Cargas,1))),Coluna_fis,1,1))*(PI()*(fi_s/1000)^2/4)*(2*9.81*(O304/100-cota_s-fi_s/2/1000))^0.5*1000)))</f>
        <v>0</v>
      </c>
      <c r="R304" s="38">
        <f t="shared" ca="1" si="62"/>
        <v>2.3099323983087765</v>
      </c>
      <c r="S304" s="38">
        <f t="shared" ca="1" si="63"/>
        <v>94.687499999999986</v>
      </c>
      <c r="AD304" s="38" t="str">
        <f t="shared" si="73"/>
        <v/>
      </c>
      <c r="AE304" s="38" t="str">
        <f t="shared" si="74"/>
        <v/>
      </c>
      <c r="AF304" s="38" t="str">
        <f>IF(ISERROR(IF('Hidrograma afluente'!I311="",0,'Hidrograma afluente'!I311)+Simulação!G304),"",IF('Hidrograma afluente'!I311="",0,'Hidrograma afluente'!I311)+Simulação!G304)</f>
        <v/>
      </c>
      <c r="AG304" s="36" t="s">
        <v>182</v>
      </c>
      <c r="AH304" s="36" t="s">
        <v>182</v>
      </c>
      <c r="AI304" s="48" t="s">
        <v>182</v>
      </c>
      <c r="AJ304" s="36" t="s">
        <v>182</v>
      </c>
      <c r="AK304" s="38" t="str">
        <f>IF(A304="","",IF('Hidrograma afluente'!I311="",0,'Hidrograma afluente'!I311)+Simulação!B304)</f>
        <v/>
      </c>
    </row>
    <row r="305" spans="1:37" s="36" customFormat="1">
      <c r="A305" s="23" t="str">
        <f t="shared" si="64"/>
        <v/>
      </c>
      <c r="B305" s="24" t="str">
        <f>IF(A305="","",IF(A305&gt;tc_lot_i+tc,0,IF('Hidrograma afluente'!B312="","",'Hidrograma afluente'!B312)))</f>
        <v/>
      </c>
      <c r="C305" s="41" t="str">
        <f t="shared" si="65"/>
        <v/>
      </c>
      <c r="D305" s="41" t="str">
        <f t="shared" si="66"/>
        <v/>
      </c>
      <c r="E305" s="41" t="str">
        <f t="shared" si="67"/>
        <v/>
      </c>
      <c r="F305" s="41" t="str">
        <f t="shared" si="68"/>
        <v/>
      </c>
      <c r="G305" s="41" t="str">
        <f t="shared" si="69"/>
        <v/>
      </c>
      <c r="H305" s="43" t="str">
        <f t="shared" si="75"/>
        <v/>
      </c>
      <c r="I305" s="42" t="str">
        <f t="shared" si="70"/>
        <v/>
      </c>
      <c r="J305" s="18"/>
      <c r="K305" s="76"/>
      <c r="M305" s="132">
        <f t="shared" ca="1" si="61"/>
        <v>97.313831547632489</v>
      </c>
      <c r="N305" s="38">
        <f t="shared" si="71"/>
        <v>2.85</v>
      </c>
      <c r="O305" s="36">
        <f t="shared" si="72"/>
        <v>76</v>
      </c>
      <c r="P305" s="38">
        <f ca="1">IF(ISERROR(IF(O305&lt;fi_h/20,0,(OFFSET('Base de dados'!$A$5,IF(O305&lt;20,1,IF(O305&gt;1000,10,MATCH(O305,Cargas,1))),Coluna_fih,1,1))*(1+0.13*0.25)*(PI()*(fi_h/1000)^2/4)*SQRT(2*9.81*(O305/100-fi_h/2/1000))*1000)),"",IF(O305&lt;fi_h/20,0,(OFFSET('Base de dados'!$A$5,IF(O305&lt;20,1,IF(O305&gt;1000,10,MATCH(O305,Cargas,1))),Coluna_fih,1,1))*(PI()*(fi_h/1000)^2/4)*SQRT(2*9.81*(O305/100-fi_h/2/1000))*1000))</f>
        <v>2.3138315476324918</v>
      </c>
      <c r="Q305" s="38">
        <f ca="1">IF(O305="","",IF(Tipo_Vertedor="Retangular",IF(O305&lt;=cota_s*100,0,IF(Tipo_Vertedor="Retangular",Cd_sr*Lef_sr*((O305/100-cota_s)^(3/2))*1000)),IF(O305&lt;=cota_s*100+fi_s/20,0,(OFFSET('Base de dados'!$A$4,IF(O305&lt;20,1,IF(O305&gt;1000,10,MATCH(O305,Cargas,1))),Coluna_fis,1,1))*(PI()*(fi_s/1000)^2/4)*(2*9.81*(O305/100-cota_s-fi_s/2/1000))^0.5*1000)))</f>
        <v>0</v>
      </c>
      <c r="R305" s="38">
        <f t="shared" ca="1" si="62"/>
        <v>2.3138315476324918</v>
      </c>
      <c r="S305" s="38">
        <f t="shared" ca="1" si="63"/>
        <v>95</v>
      </c>
      <c r="AD305" s="38" t="str">
        <f t="shared" si="73"/>
        <v/>
      </c>
      <c r="AE305" s="38" t="str">
        <f t="shared" si="74"/>
        <v/>
      </c>
      <c r="AF305" s="38" t="str">
        <f>IF(ISERROR(IF('Hidrograma afluente'!I312="",0,'Hidrograma afluente'!I312)+Simulação!G305),"",IF('Hidrograma afluente'!I312="",0,'Hidrograma afluente'!I312)+Simulação!G305)</f>
        <v/>
      </c>
      <c r="AG305" s="36" t="s">
        <v>182</v>
      </c>
      <c r="AH305" s="36" t="s">
        <v>182</v>
      </c>
      <c r="AI305" s="48" t="s">
        <v>182</v>
      </c>
      <c r="AJ305" s="36" t="s">
        <v>182</v>
      </c>
      <c r="AK305" s="38" t="str">
        <f>IF(A305="","",IF('Hidrograma afluente'!I312="",0,'Hidrograma afluente'!I312)+Simulação!B305)</f>
        <v/>
      </c>
    </row>
    <row r="306" spans="1:37" s="36" customFormat="1">
      <c r="A306" s="23" t="str">
        <f t="shared" si="64"/>
        <v/>
      </c>
      <c r="B306" s="24" t="str">
        <f>IF(A306="","",IF(A306&gt;tc_lot_i+tc,0,IF('Hidrograma afluente'!B313="","",'Hidrograma afluente'!B313)))</f>
        <v/>
      </c>
      <c r="C306" s="41" t="str">
        <f t="shared" si="65"/>
        <v/>
      </c>
      <c r="D306" s="41" t="str">
        <f t="shared" si="66"/>
        <v/>
      </c>
      <c r="E306" s="41" t="str">
        <f t="shared" si="67"/>
        <v/>
      </c>
      <c r="F306" s="41" t="str">
        <f t="shared" si="68"/>
        <v/>
      </c>
      <c r="G306" s="41" t="str">
        <f t="shared" si="69"/>
        <v/>
      </c>
      <c r="H306" s="43" t="str">
        <f t="shared" si="75"/>
        <v/>
      </c>
      <c r="I306" s="42" t="str">
        <f t="shared" si="70"/>
        <v/>
      </c>
      <c r="J306" s="18"/>
      <c r="K306" s="76"/>
      <c r="M306" s="132">
        <f t="shared" ca="1" si="61"/>
        <v>97.63022413735591</v>
      </c>
      <c r="N306" s="38">
        <f t="shared" si="71"/>
        <v>2.859375</v>
      </c>
      <c r="O306" s="36">
        <f t="shared" si="72"/>
        <v>76.25</v>
      </c>
      <c r="P306" s="38">
        <f ca="1">IF(ISERROR(IF(O306&lt;fi_h/20,0,(OFFSET('Base de dados'!$A$5,IF(O306&lt;20,1,IF(O306&gt;1000,10,MATCH(O306,Cargas,1))),Coluna_fih,1,1))*(1+0.13*0.25)*(PI()*(fi_h/1000)^2/4)*SQRT(2*9.81*(O306/100-fi_h/2/1000))*1000)),"",IF(O306&lt;fi_h/20,0,(OFFSET('Base de dados'!$A$5,IF(O306&lt;20,1,IF(O306&gt;1000,10,MATCH(O306,Cargas,1))),Coluna_fih,1,1))*(PI()*(fi_h/1000)^2/4)*SQRT(2*9.81*(O306/100-fi_h/2/1000))*1000))</f>
        <v>2.3177241373559117</v>
      </c>
      <c r="Q306" s="38">
        <f ca="1">IF(O306="","",IF(Tipo_Vertedor="Retangular",IF(O306&lt;=cota_s*100,0,IF(Tipo_Vertedor="Retangular",Cd_sr*Lef_sr*((O306/100-cota_s)^(3/2))*1000)),IF(O306&lt;=cota_s*100+fi_s/20,0,(OFFSET('Base de dados'!$A$4,IF(O306&lt;20,1,IF(O306&gt;1000,10,MATCH(O306,Cargas,1))),Coluna_fis,1,1))*(PI()*(fi_s/1000)^2/4)*(2*9.81*(O306/100-cota_s-fi_s/2/1000))^0.5*1000)))</f>
        <v>0</v>
      </c>
      <c r="R306" s="38">
        <f t="shared" ca="1" si="62"/>
        <v>2.3177241373559117</v>
      </c>
      <c r="S306" s="38">
        <f t="shared" ca="1" si="63"/>
        <v>95.3125</v>
      </c>
      <c r="AD306" s="38" t="str">
        <f t="shared" si="73"/>
        <v/>
      </c>
      <c r="AE306" s="38" t="str">
        <f t="shared" si="74"/>
        <v/>
      </c>
      <c r="AF306" s="38" t="str">
        <f>IF(ISERROR(IF('Hidrograma afluente'!I313="",0,'Hidrograma afluente'!I313)+Simulação!G306),"",IF('Hidrograma afluente'!I313="",0,'Hidrograma afluente'!I313)+Simulação!G306)</f>
        <v/>
      </c>
      <c r="AG306" s="36" t="s">
        <v>182</v>
      </c>
      <c r="AH306" s="36" t="s">
        <v>182</v>
      </c>
      <c r="AI306" s="48" t="s">
        <v>182</v>
      </c>
      <c r="AJ306" s="36" t="s">
        <v>182</v>
      </c>
      <c r="AK306" s="38" t="str">
        <f>IF(A306="","",IF('Hidrograma afluente'!I313="",0,'Hidrograma afluente'!I313)+Simulação!B306)</f>
        <v/>
      </c>
    </row>
    <row r="307" spans="1:37" s="36" customFormat="1">
      <c r="A307" s="23" t="str">
        <f t="shared" si="64"/>
        <v/>
      </c>
      <c r="B307" s="24" t="str">
        <f>IF(A307="","",IF(A307&gt;tc_lot_i+tc,0,IF('Hidrograma afluente'!B314="","",'Hidrograma afluente'!B314)))</f>
        <v/>
      </c>
      <c r="C307" s="41" t="str">
        <f t="shared" si="65"/>
        <v/>
      </c>
      <c r="D307" s="41" t="str">
        <f t="shared" si="66"/>
        <v/>
      </c>
      <c r="E307" s="41" t="str">
        <f t="shared" si="67"/>
        <v/>
      </c>
      <c r="F307" s="41" t="str">
        <f t="shared" si="68"/>
        <v/>
      </c>
      <c r="G307" s="41" t="str">
        <f t="shared" si="69"/>
        <v/>
      </c>
      <c r="H307" s="43" t="str">
        <f t="shared" si="75"/>
        <v/>
      </c>
      <c r="I307" s="42" t="str">
        <f t="shared" si="70"/>
        <v/>
      </c>
      <c r="J307" s="18"/>
      <c r="K307" s="76"/>
      <c r="M307" s="132">
        <f t="shared" ca="1" si="61"/>
        <v>97.946610200474026</v>
      </c>
      <c r="N307" s="38">
        <f t="shared" si="71"/>
        <v>2.8687499999999999</v>
      </c>
      <c r="O307" s="36">
        <f t="shared" si="72"/>
        <v>76.5</v>
      </c>
      <c r="P307" s="38">
        <f ca="1">IF(ISERROR(IF(O307&lt;fi_h/20,0,(OFFSET('Base de dados'!$A$5,IF(O307&lt;20,1,IF(O307&gt;1000,10,MATCH(O307,Cargas,1))),Coluna_fih,1,1))*(1+0.13*0.25)*(PI()*(fi_h/1000)^2/4)*SQRT(2*9.81*(O307/100-fi_h/2/1000))*1000)),"",IF(O307&lt;fi_h/20,0,(OFFSET('Base de dados'!$A$5,IF(O307&lt;20,1,IF(O307&gt;1000,10,MATCH(O307,Cargas,1))),Coluna_fih,1,1))*(PI()*(fi_h/1000)^2/4)*SQRT(2*9.81*(O307/100-fi_h/2/1000))*1000))</f>
        <v>2.3216102004740247</v>
      </c>
      <c r="Q307" s="38">
        <f ca="1">IF(O307="","",IF(Tipo_Vertedor="Retangular",IF(O307&lt;=cota_s*100,0,IF(Tipo_Vertedor="Retangular",Cd_sr*Lef_sr*((O307/100-cota_s)^(3/2))*1000)),IF(O307&lt;=cota_s*100+fi_s/20,0,(OFFSET('Base de dados'!$A$4,IF(O307&lt;20,1,IF(O307&gt;1000,10,MATCH(O307,Cargas,1))),Coluna_fis,1,1))*(PI()*(fi_s/1000)^2/4)*(2*9.81*(O307/100-cota_s-fi_s/2/1000))^0.5*1000)))</f>
        <v>0</v>
      </c>
      <c r="R307" s="38">
        <f t="shared" ca="1" si="62"/>
        <v>2.3216102004740247</v>
      </c>
      <c r="S307" s="38">
        <f t="shared" ca="1" si="63"/>
        <v>95.625</v>
      </c>
      <c r="AD307" s="38" t="str">
        <f t="shared" si="73"/>
        <v/>
      </c>
      <c r="AE307" s="38" t="str">
        <f t="shared" si="74"/>
        <v/>
      </c>
      <c r="AF307" s="38" t="str">
        <f>IF(ISERROR(IF('Hidrograma afluente'!I314="",0,'Hidrograma afluente'!I314)+Simulação!G307),"",IF('Hidrograma afluente'!I314="",0,'Hidrograma afluente'!I314)+Simulação!G307)</f>
        <v/>
      </c>
      <c r="AG307" s="36" t="s">
        <v>182</v>
      </c>
      <c r="AH307" s="36" t="s">
        <v>182</v>
      </c>
      <c r="AI307" s="48" t="s">
        <v>182</v>
      </c>
      <c r="AJ307" s="36" t="s">
        <v>182</v>
      </c>
      <c r="AK307" s="38" t="str">
        <f>IF(A307="","",IF('Hidrograma afluente'!I314="",0,'Hidrograma afluente'!I314)+Simulação!B307)</f>
        <v/>
      </c>
    </row>
    <row r="308" spans="1:37" s="36" customFormat="1">
      <c r="A308" s="23" t="str">
        <f t="shared" si="64"/>
        <v/>
      </c>
      <c r="B308" s="24" t="str">
        <f>IF(A308="","",IF(A308&gt;tc_lot_i+tc,0,IF('Hidrograma afluente'!B315="","",'Hidrograma afluente'!B315)))</f>
        <v/>
      </c>
      <c r="C308" s="41" t="str">
        <f t="shared" si="65"/>
        <v/>
      </c>
      <c r="D308" s="41" t="str">
        <f t="shared" si="66"/>
        <v/>
      </c>
      <c r="E308" s="41" t="str">
        <f t="shared" si="67"/>
        <v/>
      </c>
      <c r="F308" s="41" t="str">
        <f t="shared" si="68"/>
        <v/>
      </c>
      <c r="G308" s="41" t="str">
        <f t="shared" si="69"/>
        <v/>
      </c>
      <c r="H308" s="43" t="str">
        <f t="shared" si="75"/>
        <v/>
      </c>
      <c r="I308" s="42" t="str">
        <f t="shared" si="70"/>
        <v/>
      </c>
      <c r="J308" s="18"/>
      <c r="K308" s="76"/>
      <c r="M308" s="132">
        <f t="shared" ca="1" si="61"/>
        <v>98.262989769706138</v>
      </c>
      <c r="N308" s="38">
        <f t="shared" si="71"/>
        <v>2.8781249999999998</v>
      </c>
      <c r="O308" s="36">
        <f t="shared" si="72"/>
        <v>76.75</v>
      </c>
      <c r="P308" s="38">
        <f ca="1">IF(ISERROR(IF(O308&lt;fi_h/20,0,(OFFSET('Base de dados'!$A$5,IF(O308&lt;20,1,IF(O308&gt;1000,10,MATCH(O308,Cargas,1))),Coluna_fih,1,1))*(1+0.13*0.25)*(PI()*(fi_h/1000)^2/4)*SQRT(2*9.81*(O308/100-fi_h/2/1000))*1000)),"",IF(O308&lt;fi_h/20,0,(OFFSET('Base de dados'!$A$5,IF(O308&lt;20,1,IF(O308&gt;1000,10,MATCH(O308,Cargas,1))),Coluna_fih,1,1))*(PI()*(fi_h/1000)^2/4)*SQRT(2*9.81*(O308/100-fi_h/2/1000))*1000))</f>
        <v>2.3254897697061314</v>
      </c>
      <c r="Q308" s="38">
        <f ca="1">IF(O308="","",IF(Tipo_Vertedor="Retangular",IF(O308&lt;=cota_s*100,0,IF(Tipo_Vertedor="Retangular",Cd_sr*Lef_sr*((O308/100-cota_s)^(3/2))*1000)),IF(O308&lt;=cota_s*100+fi_s/20,0,(OFFSET('Base de dados'!$A$4,IF(O308&lt;20,1,IF(O308&gt;1000,10,MATCH(O308,Cargas,1))),Coluna_fis,1,1))*(PI()*(fi_s/1000)^2/4)*(2*9.81*(O308/100-cota_s-fi_s/2/1000))^0.5*1000)))</f>
        <v>0</v>
      </c>
      <c r="R308" s="38">
        <f t="shared" ca="1" si="62"/>
        <v>2.3254897697061314</v>
      </c>
      <c r="S308" s="38">
        <f t="shared" ca="1" si="63"/>
        <v>95.9375</v>
      </c>
      <c r="AD308" s="38" t="str">
        <f t="shared" si="73"/>
        <v/>
      </c>
      <c r="AE308" s="38" t="str">
        <f t="shared" si="74"/>
        <v/>
      </c>
      <c r="AF308" s="38" t="str">
        <f>IF(ISERROR(IF('Hidrograma afluente'!I315="",0,'Hidrograma afluente'!I315)+Simulação!G308),"",IF('Hidrograma afluente'!I315="",0,'Hidrograma afluente'!I315)+Simulação!G308)</f>
        <v/>
      </c>
      <c r="AG308" s="36" t="s">
        <v>182</v>
      </c>
      <c r="AH308" s="36" t="s">
        <v>182</v>
      </c>
      <c r="AI308" s="48" t="s">
        <v>182</v>
      </c>
      <c r="AJ308" s="36" t="s">
        <v>182</v>
      </c>
      <c r="AK308" s="38" t="str">
        <f>IF(A308="","",IF('Hidrograma afluente'!I315="",0,'Hidrograma afluente'!I315)+Simulação!B308)</f>
        <v/>
      </c>
    </row>
    <row r="309" spans="1:37" s="36" customFormat="1">
      <c r="A309" s="23" t="str">
        <f t="shared" si="64"/>
        <v/>
      </c>
      <c r="B309" s="24" t="str">
        <f>IF(A309="","",IF(A309&gt;tc_lot_i+tc,0,IF('Hidrograma afluente'!B316="","",'Hidrograma afluente'!B316)))</f>
        <v/>
      </c>
      <c r="C309" s="41" t="str">
        <f t="shared" si="65"/>
        <v/>
      </c>
      <c r="D309" s="41" t="str">
        <f t="shared" si="66"/>
        <v/>
      </c>
      <c r="E309" s="41" t="str">
        <f t="shared" si="67"/>
        <v/>
      </c>
      <c r="F309" s="41" t="str">
        <f t="shared" si="68"/>
        <v/>
      </c>
      <c r="G309" s="41" t="str">
        <f t="shared" si="69"/>
        <v/>
      </c>
      <c r="H309" s="43" t="str">
        <f t="shared" si="75"/>
        <v/>
      </c>
      <c r="I309" s="42" t="str">
        <f t="shared" si="70"/>
        <v/>
      </c>
      <c r="J309" s="18"/>
      <c r="K309" s="76"/>
      <c r="M309" s="132">
        <f t="shared" ca="1" si="61"/>
        <v>98.579362877499065</v>
      </c>
      <c r="N309" s="38">
        <f t="shared" si="71"/>
        <v>2.8875000000000002</v>
      </c>
      <c r="O309" s="36">
        <f t="shared" si="72"/>
        <v>77</v>
      </c>
      <c r="P309" s="38">
        <f ca="1">IF(ISERROR(IF(O309&lt;fi_h/20,0,(OFFSET('Base de dados'!$A$5,IF(O309&lt;20,1,IF(O309&gt;1000,10,MATCH(O309,Cargas,1))),Coluna_fih,1,1))*(1+0.13*0.25)*(PI()*(fi_h/1000)^2/4)*SQRT(2*9.81*(O309/100-fi_h/2/1000))*1000)),"",IF(O309&lt;fi_h/20,0,(OFFSET('Base de dados'!$A$5,IF(O309&lt;20,1,IF(O309&gt;1000,10,MATCH(O309,Cargas,1))),Coluna_fih,1,1))*(PI()*(fi_h/1000)^2/4)*SQRT(2*9.81*(O309/100-fi_h/2/1000))*1000))</f>
        <v>2.329362877499062</v>
      </c>
      <c r="Q309" s="38">
        <f ca="1">IF(O309="","",IF(Tipo_Vertedor="Retangular",IF(O309&lt;=cota_s*100,0,IF(Tipo_Vertedor="Retangular",Cd_sr*Lef_sr*((O309/100-cota_s)^(3/2))*1000)),IF(O309&lt;=cota_s*100+fi_s/20,0,(OFFSET('Base de dados'!$A$4,IF(O309&lt;20,1,IF(O309&gt;1000,10,MATCH(O309,Cargas,1))),Coluna_fis,1,1))*(PI()*(fi_s/1000)^2/4)*(2*9.81*(O309/100-cota_s-fi_s/2/1000))^0.5*1000)))</f>
        <v>0</v>
      </c>
      <c r="R309" s="38">
        <f t="shared" ca="1" si="62"/>
        <v>2.329362877499062</v>
      </c>
      <c r="S309" s="38">
        <f t="shared" ca="1" si="63"/>
        <v>96.25</v>
      </c>
      <c r="AD309" s="38" t="str">
        <f t="shared" si="73"/>
        <v/>
      </c>
      <c r="AE309" s="38" t="str">
        <f t="shared" si="74"/>
        <v/>
      </c>
      <c r="AF309" s="38" t="str">
        <f>IF(ISERROR(IF('Hidrograma afluente'!I316="",0,'Hidrograma afluente'!I316)+Simulação!G309),"",IF('Hidrograma afluente'!I316="",0,'Hidrograma afluente'!I316)+Simulação!G309)</f>
        <v/>
      </c>
      <c r="AG309" s="36" t="s">
        <v>182</v>
      </c>
      <c r="AH309" s="36" t="s">
        <v>182</v>
      </c>
      <c r="AI309" s="48" t="s">
        <v>182</v>
      </c>
      <c r="AJ309" s="36" t="s">
        <v>182</v>
      </c>
      <c r="AK309" s="38" t="str">
        <f>IF(A309="","",IF('Hidrograma afluente'!I316="",0,'Hidrograma afluente'!I316)+Simulação!B309)</f>
        <v/>
      </c>
    </row>
    <row r="310" spans="1:37" s="36" customFormat="1">
      <c r="A310" s="23" t="str">
        <f t="shared" si="64"/>
        <v/>
      </c>
      <c r="B310" s="24" t="str">
        <f>IF(A310="","",IF(A310&gt;tc_lot_i+tc,0,IF('Hidrograma afluente'!B317="","",'Hidrograma afluente'!B317)))</f>
        <v/>
      </c>
      <c r="C310" s="41" t="str">
        <f t="shared" si="65"/>
        <v/>
      </c>
      <c r="D310" s="41" t="str">
        <f t="shared" si="66"/>
        <v/>
      </c>
      <c r="E310" s="41" t="str">
        <f t="shared" si="67"/>
        <v/>
      </c>
      <c r="F310" s="41" t="str">
        <f t="shared" si="68"/>
        <v/>
      </c>
      <c r="G310" s="41" t="str">
        <f t="shared" si="69"/>
        <v/>
      </c>
      <c r="H310" s="43" t="str">
        <f t="shared" si="75"/>
        <v/>
      </c>
      <c r="I310" s="42" t="str">
        <f t="shared" si="70"/>
        <v/>
      </c>
      <c r="J310" s="18"/>
      <c r="K310" s="76"/>
      <c r="M310" s="132">
        <f t="shared" ca="1" si="61"/>
        <v>98.895729556030332</v>
      </c>
      <c r="N310" s="38">
        <f t="shared" si="71"/>
        <v>2.8968749999999996</v>
      </c>
      <c r="O310" s="36">
        <f t="shared" si="72"/>
        <v>77.25</v>
      </c>
      <c r="P310" s="38">
        <f ca="1">IF(ISERROR(IF(O310&lt;fi_h/20,0,(OFFSET('Base de dados'!$A$5,IF(O310&lt;20,1,IF(O310&gt;1000,10,MATCH(O310,Cargas,1))),Coluna_fih,1,1))*(1+0.13*0.25)*(PI()*(fi_h/1000)^2/4)*SQRT(2*9.81*(O310/100-fi_h/2/1000))*1000)),"",IF(O310&lt;fi_h/20,0,(OFFSET('Base de dados'!$A$5,IF(O310&lt;20,1,IF(O310&gt;1000,10,MATCH(O310,Cargas,1))),Coluna_fih,1,1))*(PI()*(fi_h/1000)^2/4)*SQRT(2*9.81*(O310/100-fi_h/2/1000))*1000))</f>
        <v>2.3332295560303411</v>
      </c>
      <c r="Q310" s="38">
        <f ca="1">IF(O310="","",IF(Tipo_Vertedor="Retangular",IF(O310&lt;=cota_s*100,0,IF(Tipo_Vertedor="Retangular",Cd_sr*Lef_sr*((O310/100-cota_s)^(3/2))*1000)),IF(O310&lt;=cota_s*100+fi_s/20,0,(OFFSET('Base de dados'!$A$4,IF(O310&lt;20,1,IF(O310&gt;1000,10,MATCH(O310,Cargas,1))),Coluna_fis,1,1))*(PI()*(fi_s/1000)^2/4)*(2*9.81*(O310/100-cota_s-fi_s/2/1000))^0.5*1000)))</f>
        <v>0</v>
      </c>
      <c r="R310" s="38">
        <f t="shared" ca="1" si="62"/>
        <v>2.3332295560303411</v>
      </c>
      <c r="S310" s="38">
        <f t="shared" ca="1" si="63"/>
        <v>96.562499999999986</v>
      </c>
      <c r="AD310" s="38" t="str">
        <f t="shared" si="73"/>
        <v/>
      </c>
      <c r="AE310" s="38" t="str">
        <f t="shared" si="74"/>
        <v/>
      </c>
      <c r="AF310" s="38" t="str">
        <f>IF(ISERROR(IF('Hidrograma afluente'!I317="",0,'Hidrograma afluente'!I317)+Simulação!G310),"",IF('Hidrograma afluente'!I317="",0,'Hidrograma afluente'!I317)+Simulação!G310)</f>
        <v/>
      </c>
      <c r="AG310" s="36" t="s">
        <v>182</v>
      </c>
      <c r="AH310" s="36" t="s">
        <v>182</v>
      </c>
      <c r="AI310" s="48" t="s">
        <v>182</v>
      </c>
      <c r="AJ310" s="36" t="s">
        <v>182</v>
      </c>
      <c r="AK310" s="38" t="str">
        <f>IF(A310="","",IF('Hidrograma afluente'!I317="",0,'Hidrograma afluente'!I317)+Simulação!B310)</f>
        <v/>
      </c>
    </row>
    <row r="311" spans="1:37" s="36" customFormat="1">
      <c r="A311" s="23" t="str">
        <f t="shared" si="64"/>
        <v/>
      </c>
      <c r="B311" s="24" t="str">
        <f>IF(A311="","",IF(A311&gt;tc_lot_i+tc,0,IF('Hidrograma afluente'!B318="","",'Hidrograma afluente'!B318)))</f>
        <v/>
      </c>
      <c r="C311" s="41" t="str">
        <f t="shared" si="65"/>
        <v/>
      </c>
      <c r="D311" s="41" t="str">
        <f t="shared" si="66"/>
        <v/>
      </c>
      <c r="E311" s="41" t="str">
        <f t="shared" si="67"/>
        <v/>
      </c>
      <c r="F311" s="41" t="str">
        <f t="shared" si="68"/>
        <v/>
      </c>
      <c r="G311" s="41" t="str">
        <f t="shared" si="69"/>
        <v/>
      </c>
      <c r="H311" s="43" t="str">
        <f t="shared" si="75"/>
        <v/>
      </c>
      <c r="I311" s="42" t="str">
        <f t="shared" si="70"/>
        <v/>
      </c>
      <c r="J311" s="18"/>
      <c r="K311" s="76"/>
      <c r="M311" s="132">
        <f t="shared" ca="1" si="61"/>
        <v>99.212089837211309</v>
      </c>
      <c r="N311" s="38">
        <f t="shared" si="71"/>
        <v>2.90625</v>
      </c>
      <c r="O311" s="36">
        <f t="shared" si="72"/>
        <v>77.5</v>
      </c>
      <c r="P311" s="38">
        <f ca="1">IF(ISERROR(IF(O311&lt;fi_h/20,0,(OFFSET('Base de dados'!$A$5,IF(O311&lt;20,1,IF(O311&gt;1000,10,MATCH(O311,Cargas,1))),Coluna_fih,1,1))*(1+0.13*0.25)*(PI()*(fi_h/1000)^2/4)*SQRT(2*9.81*(O311/100-fi_h/2/1000))*1000)),"",IF(O311&lt;fi_h/20,0,(OFFSET('Base de dados'!$A$5,IF(O311&lt;20,1,IF(O311&gt;1000,10,MATCH(O311,Cargas,1))),Coluna_fih,1,1))*(PI()*(fi_h/1000)^2/4)*SQRT(2*9.81*(O311/100-fi_h/2/1000))*1000))</f>
        <v>2.337089837211308</v>
      </c>
      <c r="Q311" s="38">
        <f ca="1">IF(O311="","",IF(Tipo_Vertedor="Retangular",IF(O311&lt;=cota_s*100,0,IF(Tipo_Vertedor="Retangular",Cd_sr*Lef_sr*((O311/100-cota_s)^(3/2))*1000)),IF(O311&lt;=cota_s*100+fi_s/20,0,(OFFSET('Base de dados'!$A$4,IF(O311&lt;20,1,IF(O311&gt;1000,10,MATCH(O311,Cargas,1))),Coluna_fis,1,1))*(PI()*(fi_s/1000)^2/4)*(2*9.81*(O311/100-cota_s-fi_s/2/1000))^0.5*1000)))</f>
        <v>0</v>
      </c>
      <c r="R311" s="38">
        <f t="shared" ca="1" si="62"/>
        <v>2.337089837211308</v>
      </c>
      <c r="S311" s="38">
        <f t="shared" ca="1" si="63"/>
        <v>96.875</v>
      </c>
      <c r="AD311" s="38" t="str">
        <f t="shared" si="73"/>
        <v/>
      </c>
      <c r="AE311" s="38" t="str">
        <f t="shared" si="74"/>
        <v/>
      </c>
      <c r="AF311" s="38" t="str">
        <f>IF(ISERROR(IF('Hidrograma afluente'!I318="",0,'Hidrograma afluente'!I318)+Simulação!G311),"",IF('Hidrograma afluente'!I318="",0,'Hidrograma afluente'!I318)+Simulação!G311)</f>
        <v/>
      </c>
      <c r="AG311" s="36" t="s">
        <v>182</v>
      </c>
      <c r="AH311" s="36" t="s">
        <v>182</v>
      </c>
      <c r="AI311" s="48" t="s">
        <v>182</v>
      </c>
      <c r="AJ311" s="36" t="s">
        <v>182</v>
      </c>
      <c r="AK311" s="38" t="str">
        <f>IF(A311="","",IF('Hidrograma afluente'!I318="",0,'Hidrograma afluente'!I318)+Simulação!B311)</f>
        <v/>
      </c>
    </row>
    <row r="312" spans="1:37" s="36" customFormat="1">
      <c r="A312" s="23" t="str">
        <f t="shared" si="64"/>
        <v/>
      </c>
      <c r="B312" s="24" t="str">
        <f>IF(A312="","",IF(A312&gt;tc_lot_i+tc,0,IF('Hidrograma afluente'!B319="","",'Hidrograma afluente'!B319)))</f>
        <v/>
      </c>
      <c r="C312" s="41" t="str">
        <f t="shared" si="65"/>
        <v/>
      </c>
      <c r="D312" s="41" t="str">
        <f t="shared" si="66"/>
        <v/>
      </c>
      <c r="E312" s="41" t="str">
        <f t="shared" si="67"/>
        <v/>
      </c>
      <c r="F312" s="41" t="str">
        <f t="shared" si="68"/>
        <v/>
      </c>
      <c r="G312" s="41" t="str">
        <f t="shared" si="69"/>
        <v/>
      </c>
      <c r="H312" s="43" t="str">
        <f t="shared" si="75"/>
        <v/>
      </c>
      <c r="I312" s="42" t="str">
        <f t="shared" si="70"/>
        <v/>
      </c>
      <c r="J312" s="18"/>
      <c r="K312" s="76"/>
      <c r="M312" s="132">
        <f t="shared" ca="1" si="61"/>
        <v>99.52844375269018</v>
      </c>
      <c r="N312" s="38">
        <f t="shared" si="71"/>
        <v>2.9156249999999999</v>
      </c>
      <c r="O312" s="36">
        <f t="shared" si="72"/>
        <v>77.75</v>
      </c>
      <c r="P312" s="38">
        <f ca="1">IF(ISERROR(IF(O312&lt;fi_h/20,0,(OFFSET('Base de dados'!$A$5,IF(O312&lt;20,1,IF(O312&gt;1000,10,MATCH(O312,Cargas,1))),Coluna_fih,1,1))*(1+0.13*0.25)*(PI()*(fi_h/1000)^2/4)*SQRT(2*9.81*(O312/100-fi_h/2/1000))*1000)),"",IF(O312&lt;fi_h/20,0,(OFFSET('Base de dados'!$A$5,IF(O312&lt;20,1,IF(O312&gt;1000,10,MATCH(O312,Cargas,1))),Coluna_fih,1,1))*(PI()*(fi_h/1000)^2/4)*SQRT(2*9.81*(O312/100-fi_h/2/1000))*1000))</f>
        <v>2.3409437526901864</v>
      </c>
      <c r="Q312" s="38">
        <f ca="1">IF(O312="","",IF(Tipo_Vertedor="Retangular",IF(O312&lt;=cota_s*100,0,IF(Tipo_Vertedor="Retangular",Cd_sr*Lef_sr*((O312/100-cota_s)^(3/2))*1000)),IF(O312&lt;=cota_s*100+fi_s/20,0,(OFFSET('Base de dados'!$A$4,IF(O312&lt;20,1,IF(O312&gt;1000,10,MATCH(O312,Cargas,1))),Coluna_fis,1,1))*(PI()*(fi_s/1000)^2/4)*(2*9.81*(O312/100-cota_s-fi_s/2/1000))^0.5*1000)))</f>
        <v>0</v>
      </c>
      <c r="R312" s="38">
        <f t="shared" ca="1" si="62"/>
        <v>2.3409437526901864</v>
      </c>
      <c r="S312" s="38">
        <f t="shared" ca="1" si="63"/>
        <v>97.1875</v>
      </c>
      <c r="AD312" s="38" t="str">
        <f t="shared" si="73"/>
        <v/>
      </c>
      <c r="AE312" s="38" t="str">
        <f t="shared" si="74"/>
        <v/>
      </c>
      <c r="AF312" s="38" t="str">
        <f>IF(ISERROR(IF('Hidrograma afluente'!I319="",0,'Hidrograma afluente'!I319)+Simulação!G312),"",IF('Hidrograma afluente'!I319="",0,'Hidrograma afluente'!I319)+Simulação!G312)</f>
        <v/>
      </c>
      <c r="AG312" s="36" t="s">
        <v>182</v>
      </c>
      <c r="AH312" s="36" t="s">
        <v>182</v>
      </c>
      <c r="AI312" s="48" t="s">
        <v>182</v>
      </c>
      <c r="AJ312" s="36" t="s">
        <v>182</v>
      </c>
      <c r="AK312" s="38" t="str">
        <f>IF(A312="","",IF('Hidrograma afluente'!I319="",0,'Hidrograma afluente'!I319)+Simulação!B312)</f>
        <v/>
      </c>
    </row>
    <row r="313" spans="1:37" s="36" customFormat="1">
      <c r="A313" s="23" t="str">
        <f t="shared" si="64"/>
        <v/>
      </c>
      <c r="B313" s="24" t="str">
        <f>IF(A313="","",IF(A313&gt;tc_lot_i+tc,0,IF('Hidrograma afluente'!B320="","",'Hidrograma afluente'!B320)))</f>
        <v/>
      </c>
      <c r="C313" s="41" t="str">
        <f t="shared" si="65"/>
        <v/>
      </c>
      <c r="D313" s="41" t="str">
        <f t="shared" si="66"/>
        <v/>
      </c>
      <c r="E313" s="41" t="str">
        <f t="shared" si="67"/>
        <v/>
      </c>
      <c r="F313" s="41" t="str">
        <f t="shared" si="68"/>
        <v/>
      </c>
      <c r="G313" s="41" t="str">
        <f t="shared" si="69"/>
        <v/>
      </c>
      <c r="H313" s="43" t="str">
        <f t="shared" si="75"/>
        <v/>
      </c>
      <c r="I313" s="42" t="str">
        <f t="shared" si="70"/>
        <v/>
      </c>
      <c r="J313" s="18"/>
      <c r="K313" s="76"/>
      <c r="M313" s="132">
        <f t="shared" ca="1" si="61"/>
        <v>99.844791333855127</v>
      </c>
      <c r="N313" s="38">
        <f t="shared" si="71"/>
        <v>2.9250000000000003</v>
      </c>
      <c r="O313" s="36">
        <f t="shared" si="72"/>
        <v>78</v>
      </c>
      <c r="P313" s="38">
        <f ca="1">IF(ISERROR(IF(O313&lt;fi_h/20,0,(OFFSET('Base de dados'!$A$5,IF(O313&lt;20,1,IF(O313&gt;1000,10,MATCH(O313,Cargas,1))),Coluna_fih,1,1))*(1+0.13*0.25)*(PI()*(fi_h/1000)^2/4)*SQRT(2*9.81*(O313/100-fi_h/2/1000))*1000)),"",IF(O313&lt;fi_h/20,0,(OFFSET('Base de dados'!$A$5,IF(O313&lt;20,1,IF(O313&gt;1000,10,MATCH(O313,Cargas,1))),Coluna_fih,1,1))*(PI()*(fi_h/1000)^2/4)*SQRT(2*9.81*(O313/100-fi_h/2/1000))*1000))</f>
        <v>2.3447913338551145</v>
      </c>
      <c r="Q313" s="38">
        <f ca="1">IF(O313="","",IF(Tipo_Vertedor="Retangular",IF(O313&lt;=cota_s*100,0,IF(Tipo_Vertedor="Retangular",Cd_sr*Lef_sr*((O313/100-cota_s)^(3/2))*1000)),IF(O313&lt;=cota_s*100+fi_s/20,0,(OFFSET('Base de dados'!$A$4,IF(O313&lt;20,1,IF(O313&gt;1000,10,MATCH(O313,Cargas,1))),Coluna_fis,1,1))*(PI()*(fi_s/1000)^2/4)*(2*9.81*(O313/100-cota_s-fi_s/2/1000))^0.5*1000)))</f>
        <v>0</v>
      </c>
      <c r="R313" s="38">
        <f t="shared" ca="1" si="62"/>
        <v>2.3447913338551145</v>
      </c>
      <c r="S313" s="38">
        <f t="shared" ca="1" si="63"/>
        <v>97.500000000000014</v>
      </c>
      <c r="AD313" s="38" t="str">
        <f t="shared" si="73"/>
        <v/>
      </c>
      <c r="AE313" s="38" t="str">
        <f t="shared" si="74"/>
        <v/>
      </c>
      <c r="AF313" s="38" t="str">
        <f>IF(ISERROR(IF('Hidrograma afluente'!I320="",0,'Hidrograma afluente'!I320)+Simulação!G313),"",IF('Hidrograma afluente'!I320="",0,'Hidrograma afluente'!I320)+Simulação!G313)</f>
        <v/>
      </c>
      <c r="AG313" s="36" t="s">
        <v>182</v>
      </c>
      <c r="AH313" s="36" t="s">
        <v>182</v>
      </c>
      <c r="AI313" s="48" t="s">
        <v>182</v>
      </c>
      <c r="AJ313" s="36" t="s">
        <v>182</v>
      </c>
      <c r="AK313" s="38" t="str">
        <f>IF(A313="","",IF('Hidrograma afluente'!I320="",0,'Hidrograma afluente'!I320)+Simulação!B313)</f>
        <v/>
      </c>
    </row>
    <row r="314" spans="1:37" s="36" customFormat="1">
      <c r="A314" s="23" t="str">
        <f t="shared" si="64"/>
        <v/>
      </c>
      <c r="B314" s="24" t="str">
        <f>IF(A314="","",IF(A314&gt;tc_lot_i+tc,0,IF('Hidrograma afluente'!B321="","",'Hidrograma afluente'!B321)))</f>
        <v/>
      </c>
      <c r="C314" s="41" t="str">
        <f t="shared" si="65"/>
        <v/>
      </c>
      <c r="D314" s="41" t="str">
        <f t="shared" si="66"/>
        <v/>
      </c>
      <c r="E314" s="41" t="str">
        <f t="shared" si="67"/>
        <v/>
      </c>
      <c r="F314" s="41" t="str">
        <f t="shared" si="68"/>
        <v/>
      </c>
      <c r="G314" s="41" t="str">
        <f t="shared" si="69"/>
        <v/>
      </c>
      <c r="H314" s="43" t="str">
        <f t="shared" si="75"/>
        <v/>
      </c>
      <c r="I314" s="42" t="str">
        <f t="shared" si="70"/>
        <v/>
      </c>
      <c r="J314" s="18"/>
      <c r="K314" s="76"/>
      <c r="M314" s="132">
        <f t="shared" ca="1" si="61"/>
        <v>100.16113261183712</v>
      </c>
      <c r="N314" s="38">
        <f t="shared" si="71"/>
        <v>2.9343749999999997</v>
      </c>
      <c r="O314" s="36">
        <f t="shared" si="72"/>
        <v>78.25</v>
      </c>
      <c r="P314" s="38">
        <f ca="1">IF(ISERROR(IF(O314&lt;fi_h/20,0,(OFFSET('Base de dados'!$A$5,IF(O314&lt;20,1,IF(O314&gt;1000,10,MATCH(O314,Cargas,1))),Coluna_fih,1,1))*(1+0.13*0.25)*(PI()*(fi_h/1000)^2/4)*SQRT(2*9.81*(O314/100-fi_h/2/1000))*1000)),"",IF(O314&lt;fi_h/20,0,(OFFSET('Base de dados'!$A$5,IF(O314&lt;20,1,IF(O314&gt;1000,10,MATCH(O314,Cargas,1))),Coluna_fih,1,1))*(PI()*(fi_h/1000)^2/4)*SQRT(2*9.81*(O314/100-fi_h/2/1000))*1000))</f>
        <v>2.3486326118371261</v>
      </c>
      <c r="Q314" s="38">
        <f ca="1">IF(O314="","",IF(Tipo_Vertedor="Retangular",IF(O314&lt;=cota_s*100,0,IF(Tipo_Vertedor="Retangular",Cd_sr*Lef_sr*((O314/100-cota_s)^(3/2))*1000)),IF(O314&lt;=cota_s*100+fi_s/20,0,(OFFSET('Base de dados'!$A$4,IF(O314&lt;20,1,IF(O314&gt;1000,10,MATCH(O314,Cargas,1))),Coluna_fis,1,1))*(PI()*(fi_s/1000)^2/4)*(2*9.81*(O314/100-cota_s-fi_s/2/1000))^0.5*1000)))</f>
        <v>0</v>
      </c>
      <c r="R314" s="38">
        <f t="shared" ca="1" si="62"/>
        <v>2.3486326118371261</v>
      </c>
      <c r="S314" s="38">
        <f t="shared" ca="1" si="63"/>
        <v>97.812499999999986</v>
      </c>
      <c r="AD314" s="38" t="str">
        <f t="shared" si="73"/>
        <v/>
      </c>
      <c r="AE314" s="38" t="str">
        <f t="shared" si="74"/>
        <v/>
      </c>
      <c r="AF314" s="38" t="str">
        <f>IF(ISERROR(IF('Hidrograma afluente'!I321="",0,'Hidrograma afluente'!I321)+Simulação!G314),"",IF('Hidrograma afluente'!I321="",0,'Hidrograma afluente'!I321)+Simulação!G314)</f>
        <v/>
      </c>
      <c r="AG314" s="36" t="s">
        <v>182</v>
      </c>
      <c r="AH314" s="36" t="s">
        <v>182</v>
      </c>
      <c r="AI314" s="48" t="s">
        <v>182</v>
      </c>
      <c r="AJ314" s="36" t="s">
        <v>182</v>
      </c>
      <c r="AK314" s="38" t="str">
        <f>IF(A314="","",IF('Hidrograma afluente'!I321="",0,'Hidrograma afluente'!I321)+Simulação!B314)</f>
        <v/>
      </c>
    </row>
    <row r="315" spans="1:37" s="36" customFormat="1">
      <c r="A315" s="23" t="str">
        <f t="shared" si="64"/>
        <v/>
      </c>
      <c r="B315" s="24" t="str">
        <f>IF(A315="","",IF(A315&gt;tc_lot_i+tc,0,IF('Hidrograma afluente'!B322="","",'Hidrograma afluente'!B322)))</f>
        <v/>
      </c>
      <c r="C315" s="41" t="str">
        <f t="shared" si="65"/>
        <v/>
      </c>
      <c r="D315" s="41" t="str">
        <f t="shared" si="66"/>
        <v/>
      </c>
      <c r="E315" s="41" t="str">
        <f t="shared" si="67"/>
        <v/>
      </c>
      <c r="F315" s="41" t="str">
        <f t="shared" si="68"/>
        <v/>
      </c>
      <c r="G315" s="41" t="str">
        <f t="shared" si="69"/>
        <v/>
      </c>
      <c r="H315" s="43" t="str">
        <f t="shared" si="75"/>
        <v/>
      </c>
      <c r="I315" s="42" t="str">
        <f t="shared" si="70"/>
        <v/>
      </c>
      <c r="J315" s="18"/>
      <c r="K315" s="76"/>
      <c r="M315" s="132">
        <f t="shared" ca="1" si="61"/>
        <v>100.47746761751308</v>
      </c>
      <c r="N315" s="38">
        <f t="shared" si="71"/>
        <v>2.9437500000000001</v>
      </c>
      <c r="O315" s="36">
        <f t="shared" si="72"/>
        <v>78.5</v>
      </c>
      <c r="P315" s="38">
        <f ca="1">IF(ISERROR(IF(O315&lt;fi_h/20,0,(OFFSET('Base de dados'!$A$5,IF(O315&lt;20,1,IF(O315&gt;1000,10,MATCH(O315,Cargas,1))),Coluna_fih,1,1))*(1+0.13*0.25)*(PI()*(fi_h/1000)^2/4)*SQRT(2*9.81*(O315/100-fi_h/2/1000))*1000)),"",IF(O315&lt;fi_h/20,0,(OFFSET('Base de dados'!$A$5,IF(O315&lt;20,1,IF(O315&gt;1000,10,MATCH(O315,Cargas,1))),Coluna_fih,1,1))*(PI()*(fi_h/1000)^2/4)*SQRT(2*9.81*(O315/100-fi_h/2/1000))*1000))</f>
        <v>2.3524676175130907</v>
      </c>
      <c r="Q315" s="38">
        <f ca="1">IF(O315="","",IF(Tipo_Vertedor="Retangular",IF(O315&lt;=cota_s*100,0,IF(Tipo_Vertedor="Retangular",Cd_sr*Lef_sr*((O315/100-cota_s)^(3/2))*1000)),IF(O315&lt;=cota_s*100+fi_s/20,0,(OFFSET('Base de dados'!$A$4,IF(O315&lt;20,1,IF(O315&gt;1000,10,MATCH(O315,Cargas,1))),Coluna_fis,1,1))*(PI()*(fi_s/1000)^2/4)*(2*9.81*(O315/100-cota_s-fi_s/2/1000))^0.5*1000)))</f>
        <v>0</v>
      </c>
      <c r="R315" s="38">
        <f t="shared" ca="1" si="62"/>
        <v>2.3524676175130907</v>
      </c>
      <c r="S315" s="38">
        <f t="shared" ca="1" si="63"/>
        <v>98.125</v>
      </c>
      <c r="AD315" s="38" t="str">
        <f t="shared" si="73"/>
        <v/>
      </c>
      <c r="AE315" s="38" t="str">
        <f t="shared" si="74"/>
        <v/>
      </c>
      <c r="AF315" s="38" t="str">
        <f>IF(ISERROR(IF('Hidrograma afluente'!I322="",0,'Hidrograma afluente'!I322)+Simulação!G315),"",IF('Hidrograma afluente'!I322="",0,'Hidrograma afluente'!I322)+Simulação!G315)</f>
        <v/>
      </c>
      <c r="AG315" s="36" t="s">
        <v>182</v>
      </c>
      <c r="AH315" s="36" t="s">
        <v>182</v>
      </c>
      <c r="AI315" s="48" t="s">
        <v>182</v>
      </c>
      <c r="AJ315" s="36" t="s">
        <v>182</v>
      </c>
      <c r="AK315" s="38" t="str">
        <f>IF(A315="","",IF('Hidrograma afluente'!I322="",0,'Hidrograma afluente'!I322)+Simulação!B315)</f>
        <v/>
      </c>
    </row>
    <row r="316" spans="1:37" s="36" customFormat="1">
      <c r="A316" s="23" t="str">
        <f t="shared" si="64"/>
        <v/>
      </c>
      <c r="B316" s="24" t="str">
        <f>IF(A316="","",IF(A316&gt;tc_lot_i+tc,0,IF('Hidrograma afluente'!B323="","",'Hidrograma afluente'!B323)))</f>
        <v/>
      </c>
      <c r="C316" s="41" t="str">
        <f t="shared" si="65"/>
        <v/>
      </c>
      <c r="D316" s="41" t="str">
        <f t="shared" si="66"/>
        <v/>
      </c>
      <c r="E316" s="41" t="str">
        <f t="shared" si="67"/>
        <v/>
      </c>
      <c r="F316" s="41" t="str">
        <f t="shared" si="68"/>
        <v/>
      </c>
      <c r="G316" s="41" t="str">
        <f t="shared" si="69"/>
        <v/>
      </c>
      <c r="H316" s="43" t="str">
        <f t="shared" si="75"/>
        <v/>
      </c>
      <c r="I316" s="42" t="str">
        <f t="shared" si="70"/>
        <v/>
      </c>
      <c r="J316" s="18"/>
      <c r="K316" s="76"/>
      <c r="M316" s="132">
        <f t="shared" ca="1" si="61"/>
        <v>100.7937963815086</v>
      </c>
      <c r="N316" s="38">
        <f t="shared" si="71"/>
        <v>2.953125</v>
      </c>
      <c r="O316" s="36">
        <f t="shared" si="72"/>
        <v>78.75</v>
      </c>
      <c r="P316" s="38">
        <f ca="1">IF(ISERROR(IF(O316&lt;fi_h/20,0,(OFFSET('Base de dados'!$A$5,IF(O316&lt;20,1,IF(O316&gt;1000,10,MATCH(O316,Cargas,1))),Coluna_fih,1,1))*(1+0.13*0.25)*(PI()*(fi_h/1000)^2/4)*SQRT(2*9.81*(O316/100-fi_h/2/1000))*1000)),"",IF(O316&lt;fi_h/20,0,(OFFSET('Base de dados'!$A$5,IF(O316&lt;20,1,IF(O316&gt;1000,10,MATCH(O316,Cargas,1))),Coluna_fih,1,1))*(PI()*(fi_h/1000)^2/4)*SQRT(2*9.81*(O316/100-fi_h/2/1000))*1000))</f>
        <v>2.3562963815086064</v>
      </c>
      <c r="Q316" s="38">
        <f ca="1">IF(O316="","",IF(Tipo_Vertedor="Retangular",IF(O316&lt;=cota_s*100,0,IF(Tipo_Vertedor="Retangular",Cd_sr*Lef_sr*((O316/100-cota_s)^(3/2))*1000)),IF(O316&lt;=cota_s*100+fi_s/20,0,(OFFSET('Base de dados'!$A$4,IF(O316&lt;20,1,IF(O316&gt;1000,10,MATCH(O316,Cargas,1))),Coluna_fis,1,1))*(PI()*(fi_s/1000)^2/4)*(2*9.81*(O316/100-cota_s-fi_s/2/1000))^0.5*1000)))</f>
        <v>0</v>
      </c>
      <c r="R316" s="38">
        <f t="shared" ca="1" si="62"/>
        <v>2.3562963815086064</v>
      </c>
      <c r="S316" s="38">
        <f t="shared" ca="1" si="63"/>
        <v>98.4375</v>
      </c>
      <c r="AD316" s="38" t="str">
        <f t="shared" si="73"/>
        <v/>
      </c>
      <c r="AE316" s="38" t="str">
        <f t="shared" si="74"/>
        <v/>
      </c>
      <c r="AF316" s="38" t="str">
        <f>IF(ISERROR(IF('Hidrograma afluente'!I323="",0,'Hidrograma afluente'!I323)+Simulação!G316),"",IF('Hidrograma afluente'!I323="",0,'Hidrograma afluente'!I323)+Simulação!G316)</f>
        <v/>
      </c>
      <c r="AG316" s="36" t="s">
        <v>182</v>
      </c>
      <c r="AH316" s="36" t="s">
        <v>182</v>
      </c>
      <c r="AI316" s="48" t="s">
        <v>182</v>
      </c>
      <c r="AJ316" s="36" t="s">
        <v>182</v>
      </c>
      <c r="AK316" s="38" t="str">
        <f>IF(A316="","",IF('Hidrograma afluente'!I323="",0,'Hidrograma afluente'!I323)+Simulação!B316)</f>
        <v/>
      </c>
    </row>
    <row r="317" spans="1:37" s="36" customFormat="1">
      <c r="A317" s="23" t="str">
        <f t="shared" si="64"/>
        <v/>
      </c>
      <c r="B317" s="24" t="str">
        <f>IF(A317="","",IF(A317&gt;tc_lot_i+tc,0,IF('Hidrograma afluente'!B324="","",'Hidrograma afluente'!B324)))</f>
        <v/>
      </c>
      <c r="C317" s="41" t="str">
        <f t="shared" si="65"/>
        <v/>
      </c>
      <c r="D317" s="41" t="str">
        <f t="shared" si="66"/>
        <v/>
      </c>
      <c r="E317" s="41" t="str">
        <f t="shared" si="67"/>
        <v/>
      </c>
      <c r="F317" s="41" t="str">
        <f t="shared" si="68"/>
        <v/>
      </c>
      <c r="G317" s="41" t="str">
        <f t="shared" si="69"/>
        <v/>
      </c>
      <c r="H317" s="43" t="str">
        <f t="shared" si="75"/>
        <v/>
      </c>
      <c r="I317" s="42" t="str">
        <f t="shared" si="70"/>
        <v/>
      </c>
      <c r="J317" s="18"/>
      <c r="K317" s="76"/>
      <c r="M317" s="132">
        <f t="shared" ca="1" si="61"/>
        <v>101.11011893420087</v>
      </c>
      <c r="N317" s="38">
        <f t="shared" si="71"/>
        <v>2.9625000000000004</v>
      </c>
      <c r="O317" s="36">
        <f t="shared" si="72"/>
        <v>79</v>
      </c>
      <c r="P317" s="38">
        <f ca="1">IF(ISERROR(IF(O317&lt;fi_h/20,0,(OFFSET('Base de dados'!$A$5,IF(O317&lt;20,1,IF(O317&gt;1000,10,MATCH(O317,Cargas,1))),Coluna_fih,1,1))*(1+0.13*0.25)*(PI()*(fi_h/1000)^2/4)*SQRT(2*9.81*(O317/100-fi_h/2/1000))*1000)),"",IF(O317&lt;fi_h/20,0,(OFFSET('Base de dados'!$A$5,IF(O317&lt;20,1,IF(O317&gt;1000,10,MATCH(O317,Cargas,1))),Coluna_fih,1,1))*(PI()*(fi_h/1000)^2/4)*SQRT(2*9.81*(O317/100-fi_h/2/1000))*1000))</f>
        <v>2.3601189342008566</v>
      </c>
      <c r="Q317" s="38">
        <f ca="1">IF(O317="","",IF(Tipo_Vertedor="Retangular",IF(O317&lt;=cota_s*100,0,IF(Tipo_Vertedor="Retangular",Cd_sr*Lef_sr*((O317/100-cota_s)^(3/2))*1000)),IF(O317&lt;=cota_s*100+fi_s/20,0,(OFFSET('Base de dados'!$A$4,IF(O317&lt;20,1,IF(O317&gt;1000,10,MATCH(O317,Cargas,1))),Coluna_fis,1,1))*(PI()*(fi_s/1000)^2/4)*(2*9.81*(O317/100-cota_s-fi_s/2/1000))^0.5*1000)))</f>
        <v>0</v>
      </c>
      <c r="R317" s="38">
        <f t="shared" ca="1" si="62"/>
        <v>2.3601189342008566</v>
      </c>
      <c r="S317" s="38">
        <f t="shared" ca="1" si="63"/>
        <v>98.750000000000014</v>
      </c>
      <c r="AD317" s="38" t="str">
        <f t="shared" si="73"/>
        <v/>
      </c>
      <c r="AE317" s="38" t="str">
        <f t="shared" si="74"/>
        <v/>
      </c>
      <c r="AF317" s="38" t="str">
        <f>IF(ISERROR(IF('Hidrograma afluente'!I324="",0,'Hidrograma afluente'!I324)+Simulação!G317),"",IF('Hidrograma afluente'!I324="",0,'Hidrograma afluente'!I324)+Simulação!G317)</f>
        <v/>
      </c>
      <c r="AG317" s="36" t="s">
        <v>182</v>
      </c>
      <c r="AH317" s="36" t="s">
        <v>182</v>
      </c>
      <c r="AI317" s="48" t="s">
        <v>182</v>
      </c>
      <c r="AJ317" s="36" t="s">
        <v>182</v>
      </c>
      <c r="AK317" s="38" t="str">
        <f>IF(A317="","",IF('Hidrograma afluente'!I324="",0,'Hidrograma afluente'!I324)+Simulação!B317)</f>
        <v/>
      </c>
    </row>
    <row r="318" spans="1:37" s="36" customFormat="1">
      <c r="A318" s="23" t="str">
        <f t="shared" si="64"/>
        <v/>
      </c>
      <c r="B318" s="24" t="str">
        <f>IF(A318="","",IF(A318&gt;tc_lot_i+tc,0,IF('Hidrograma afluente'!B325="","",'Hidrograma afluente'!B325)))</f>
        <v/>
      </c>
      <c r="C318" s="41" t="str">
        <f t="shared" si="65"/>
        <v/>
      </c>
      <c r="D318" s="41" t="str">
        <f t="shared" si="66"/>
        <v/>
      </c>
      <c r="E318" s="41" t="str">
        <f t="shared" si="67"/>
        <v/>
      </c>
      <c r="F318" s="41" t="str">
        <f t="shared" si="68"/>
        <v/>
      </c>
      <c r="G318" s="41" t="str">
        <f t="shared" si="69"/>
        <v/>
      </c>
      <c r="H318" s="43" t="str">
        <f t="shared" si="75"/>
        <v/>
      </c>
      <c r="I318" s="42" t="str">
        <f t="shared" si="70"/>
        <v/>
      </c>
      <c r="J318" s="18"/>
      <c r="K318" s="76"/>
      <c r="M318" s="132">
        <f t="shared" ca="1" si="61"/>
        <v>101.42643530572143</v>
      </c>
      <c r="N318" s="38">
        <f t="shared" si="71"/>
        <v>2.9718749999999998</v>
      </c>
      <c r="O318" s="36">
        <f t="shared" si="72"/>
        <v>79.25</v>
      </c>
      <c r="P318" s="38">
        <f ca="1">IF(ISERROR(IF(O318&lt;fi_h/20,0,(OFFSET('Base de dados'!$A$5,IF(O318&lt;20,1,IF(O318&gt;1000,10,MATCH(O318,Cargas,1))),Coluna_fih,1,1))*(1+0.13*0.25)*(PI()*(fi_h/1000)^2/4)*SQRT(2*9.81*(O318/100-fi_h/2/1000))*1000)),"",IF(O318&lt;fi_h/20,0,(OFFSET('Base de dados'!$A$5,IF(O318&lt;20,1,IF(O318&gt;1000,10,MATCH(O318,Cargas,1))),Coluna_fih,1,1))*(PI()*(fi_h/1000)^2/4)*SQRT(2*9.81*(O318/100-fi_h/2/1000))*1000))</f>
        <v>2.3639353057214199</v>
      </c>
      <c r="Q318" s="38">
        <f ca="1">IF(O318="","",IF(Tipo_Vertedor="Retangular",IF(O318&lt;=cota_s*100,0,IF(Tipo_Vertedor="Retangular",Cd_sr*Lef_sr*((O318/100-cota_s)^(3/2))*1000)),IF(O318&lt;=cota_s*100+fi_s/20,0,(OFFSET('Base de dados'!$A$4,IF(O318&lt;20,1,IF(O318&gt;1000,10,MATCH(O318,Cargas,1))),Coluna_fis,1,1))*(PI()*(fi_s/1000)^2/4)*(2*9.81*(O318/100-cota_s-fi_s/2/1000))^0.5*1000)))</f>
        <v>0</v>
      </c>
      <c r="R318" s="38">
        <f t="shared" ca="1" si="62"/>
        <v>2.3639353057214199</v>
      </c>
      <c r="S318" s="38">
        <f t="shared" ca="1" si="63"/>
        <v>99.0625</v>
      </c>
      <c r="AD318" s="38" t="str">
        <f t="shared" si="73"/>
        <v/>
      </c>
      <c r="AE318" s="38" t="str">
        <f t="shared" si="74"/>
        <v/>
      </c>
      <c r="AF318" s="38" t="str">
        <f>IF(ISERROR(IF('Hidrograma afluente'!I325="",0,'Hidrograma afluente'!I325)+Simulação!G318),"",IF('Hidrograma afluente'!I325="",0,'Hidrograma afluente'!I325)+Simulação!G318)</f>
        <v/>
      </c>
      <c r="AG318" s="36" t="s">
        <v>182</v>
      </c>
      <c r="AH318" s="36" t="s">
        <v>182</v>
      </c>
      <c r="AI318" s="48" t="s">
        <v>182</v>
      </c>
      <c r="AJ318" s="36" t="s">
        <v>182</v>
      </c>
      <c r="AK318" s="38" t="str">
        <f>IF(A318="","",IF('Hidrograma afluente'!I325="",0,'Hidrograma afluente'!I325)+Simulação!B318)</f>
        <v/>
      </c>
    </row>
    <row r="319" spans="1:37" s="36" customFormat="1">
      <c r="A319" s="23" t="str">
        <f t="shared" si="64"/>
        <v/>
      </c>
      <c r="B319" s="24" t="str">
        <f>IF(A319="","",IF(A319&gt;tc_lot_i+tc,0,IF('Hidrograma afluente'!B326="","",'Hidrograma afluente'!B326)))</f>
        <v/>
      </c>
      <c r="C319" s="41" t="str">
        <f t="shared" si="65"/>
        <v/>
      </c>
      <c r="D319" s="41" t="str">
        <f t="shared" si="66"/>
        <v/>
      </c>
      <c r="E319" s="41" t="str">
        <f t="shared" si="67"/>
        <v/>
      </c>
      <c r="F319" s="41" t="str">
        <f t="shared" si="68"/>
        <v/>
      </c>
      <c r="G319" s="41" t="str">
        <f t="shared" si="69"/>
        <v/>
      </c>
      <c r="H319" s="43" t="str">
        <f t="shared" si="75"/>
        <v/>
      </c>
      <c r="I319" s="42" t="str">
        <f t="shared" si="70"/>
        <v/>
      </c>
      <c r="J319" s="18"/>
      <c r="K319" s="76"/>
      <c r="M319" s="132">
        <f t="shared" ca="1" si="61"/>
        <v>101.74274552595904</v>
      </c>
      <c r="N319" s="38">
        <f t="shared" si="71"/>
        <v>2.9812500000000002</v>
      </c>
      <c r="O319" s="36">
        <f t="shared" si="72"/>
        <v>79.5</v>
      </c>
      <c r="P319" s="38">
        <f ca="1">IF(ISERROR(IF(O319&lt;fi_h/20,0,(OFFSET('Base de dados'!$A$5,IF(O319&lt;20,1,IF(O319&gt;1000,10,MATCH(O319,Cargas,1))),Coluna_fih,1,1))*(1+0.13*0.25)*(PI()*(fi_h/1000)^2/4)*SQRT(2*9.81*(O319/100-fi_h/2/1000))*1000)),"",IF(O319&lt;fi_h/20,0,(OFFSET('Base de dados'!$A$5,IF(O319&lt;20,1,IF(O319&gt;1000,10,MATCH(O319,Cargas,1))),Coluna_fih,1,1))*(PI()*(fi_h/1000)^2/4)*SQRT(2*9.81*(O319/100-fi_h/2/1000))*1000))</f>
        <v>2.367745525959041</v>
      </c>
      <c r="Q319" s="38">
        <f ca="1">IF(O319="","",IF(Tipo_Vertedor="Retangular",IF(O319&lt;=cota_s*100,0,IF(Tipo_Vertedor="Retangular",Cd_sr*Lef_sr*((O319/100-cota_s)^(3/2))*1000)),IF(O319&lt;=cota_s*100+fi_s/20,0,(OFFSET('Base de dados'!$A$4,IF(O319&lt;20,1,IF(O319&gt;1000,10,MATCH(O319,Cargas,1))),Coluna_fis,1,1))*(PI()*(fi_s/1000)^2/4)*(2*9.81*(O319/100-cota_s-fi_s/2/1000))^0.5*1000)))</f>
        <v>0</v>
      </c>
      <c r="R319" s="38">
        <f t="shared" ca="1" si="62"/>
        <v>2.367745525959041</v>
      </c>
      <c r="S319" s="38">
        <f t="shared" ca="1" si="63"/>
        <v>99.375</v>
      </c>
      <c r="AD319" s="38" t="str">
        <f t="shared" si="73"/>
        <v/>
      </c>
      <c r="AE319" s="38" t="str">
        <f t="shared" si="74"/>
        <v/>
      </c>
      <c r="AF319" s="38" t="str">
        <f>IF(ISERROR(IF('Hidrograma afluente'!I326="",0,'Hidrograma afluente'!I326)+Simulação!G319),"",IF('Hidrograma afluente'!I326="",0,'Hidrograma afluente'!I326)+Simulação!G319)</f>
        <v/>
      </c>
      <c r="AG319" s="36" t="s">
        <v>182</v>
      </c>
      <c r="AH319" s="36" t="s">
        <v>182</v>
      </c>
      <c r="AI319" s="48" t="s">
        <v>182</v>
      </c>
      <c r="AJ319" s="36" t="s">
        <v>182</v>
      </c>
      <c r="AK319" s="38" t="str">
        <f>IF(A319="","",IF('Hidrograma afluente'!I326="",0,'Hidrograma afluente'!I326)+Simulação!B319)</f>
        <v/>
      </c>
    </row>
    <row r="320" spans="1:37" s="36" customFormat="1">
      <c r="A320" s="23" t="str">
        <f t="shared" si="64"/>
        <v/>
      </c>
      <c r="B320" s="24" t="str">
        <f>IF(A320="","",IF(A320&gt;tc_lot_i+tc,0,IF('Hidrograma afluente'!B327="","",'Hidrograma afluente'!B327)))</f>
        <v/>
      </c>
      <c r="C320" s="41" t="str">
        <f t="shared" si="65"/>
        <v/>
      </c>
      <c r="D320" s="41" t="str">
        <f t="shared" si="66"/>
        <v/>
      </c>
      <c r="E320" s="41" t="str">
        <f t="shared" si="67"/>
        <v/>
      </c>
      <c r="F320" s="41" t="str">
        <f t="shared" si="68"/>
        <v/>
      </c>
      <c r="G320" s="41" t="str">
        <f t="shared" si="69"/>
        <v/>
      </c>
      <c r="H320" s="43" t="str">
        <f t="shared" si="75"/>
        <v/>
      </c>
      <c r="I320" s="42" t="str">
        <f t="shared" si="70"/>
        <v/>
      </c>
      <c r="J320" s="18"/>
      <c r="K320" s="76"/>
      <c r="M320" s="132">
        <f t="shared" ca="1" si="61"/>
        <v>102.05904962456236</v>
      </c>
      <c r="N320" s="38">
        <f t="shared" si="71"/>
        <v>2.9906250000000001</v>
      </c>
      <c r="O320" s="36">
        <f t="shared" si="72"/>
        <v>79.75</v>
      </c>
      <c r="P320" s="38">
        <f ca="1">IF(ISERROR(IF(O320&lt;fi_h/20,0,(OFFSET('Base de dados'!$A$5,IF(O320&lt;20,1,IF(O320&gt;1000,10,MATCH(O320,Cargas,1))),Coluna_fih,1,1))*(1+0.13*0.25)*(PI()*(fi_h/1000)^2/4)*SQRT(2*9.81*(O320/100-fi_h/2/1000))*1000)),"",IF(O320&lt;fi_h/20,0,(OFFSET('Base de dados'!$A$5,IF(O320&lt;20,1,IF(O320&gt;1000,10,MATCH(O320,Cargas,1))),Coluna_fih,1,1))*(PI()*(fi_h/1000)^2/4)*SQRT(2*9.81*(O320/100-fi_h/2/1000))*1000))</f>
        <v>2.371549624562364</v>
      </c>
      <c r="Q320" s="38">
        <f ca="1">IF(O320="","",IF(Tipo_Vertedor="Retangular",IF(O320&lt;=cota_s*100,0,IF(Tipo_Vertedor="Retangular",Cd_sr*Lef_sr*((O320/100-cota_s)^(3/2))*1000)),IF(O320&lt;=cota_s*100+fi_s/20,0,(OFFSET('Base de dados'!$A$4,IF(O320&lt;20,1,IF(O320&gt;1000,10,MATCH(O320,Cargas,1))),Coluna_fis,1,1))*(PI()*(fi_s/1000)^2/4)*(2*9.81*(O320/100-cota_s-fi_s/2/1000))^0.5*1000)))</f>
        <v>0</v>
      </c>
      <c r="R320" s="38">
        <f t="shared" ca="1" si="62"/>
        <v>2.371549624562364</v>
      </c>
      <c r="S320" s="38">
        <f t="shared" ca="1" si="63"/>
        <v>99.6875</v>
      </c>
      <c r="AD320" s="38" t="str">
        <f t="shared" si="73"/>
        <v/>
      </c>
      <c r="AE320" s="38" t="str">
        <f t="shared" si="74"/>
        <v/>
      </c>
      <c r="AF320" s="38" t="str">
        <f>IF(ISERROR(IF('Hidrograma afluente'!I327="",0,'Hidrograma afluente'!I327)+Simulação!G320),"",IF('Hidrograma afluente'!I327="",0,'Hidrograma afluente'!I327)+Simulação!G320)</f>
        <v/>
      </c>
      <c r="AG320" s="36" t="s">
        <v>182</v>
      </c>
      <c r="AH320" s="36" t="s">
        <v>182</v>
      </c>
      <c r="AI320" s="48" t="s">
        <v>182</v>
      </c>
      <c r="AJ320" s="36" t="s">
        <v>182</v>
      </c>
      <c r="AK320" s="38" t="str">
        <f>IF(A320="","",IF('Hidrograma afluente'!I327="",0,'Hidrograma afluente'!I327)+Simulação!B320)</f>
        <v/>
      </c>
    </row>
    <row r="321" spans="1:37" s="36" customFormat="1">
      <c r="A321" s="23" t="str">
        <f t="shared" si="64"/>
        <v/>
      </c>
      <c r="B321" s="24" t="str">
        <f>IF(A321="","",IF(A321&gt;tc_lot_i+tc,0,IF('Hidrograma afluente'!B328="","",'Hidrograma afluente'!B328)))</f>
        <v/>
      </c>
      <c r="C321" s="41" t="str">
        <f t="shared" si="65"/>
        <v/>
      </c>
      <c r="D321" s="41" t="str">
        <f t="shared" si="66"/>
        <v/>
      </c>
      <c r="E321" s="41" t="str">
        <f t="shared" si="67"/>
        <v/>
      </c>
      <c r="F321" s="41" t="str">
        <f t="shared" si="68"/>
        <v/>
      </c>
      <c r="G321" s="41" t="str">
        <f t="shared" si="69"/>
        <v/>
      </c>
      <c r="H321" s="43" t="str">
        <f t="shared" si="75"/>
        <v/>
      </c>
      <c r="I321" s="42" t="str">
        <f t="shared" si="70"/>
        <v/>
      </c>
      <c r="J321" s="18"/>
      <c r="K321" s="76"/>
      <c r="M321" s="132">
        <f t="shared" ca="1" si="61"/>
        <v>102.3715348739106</v>
      </c>
      <c r="N321" s="38">
        <f t="shared" si="71"/>
        <v>3</v>
      </c>
      <c r="O321" s="36">
        <f t="shared" si="72"/>
        <v>80</v>
      </c>
      <c r="P321" s="38">
        <f ca="1">IF(ISERROR(IF(O321&lt;fi_h/20,0,(OFFSET('Base de dados'!$A$5,IF(O321&lt;20,1,IF(O321&gt;1000,10,MATCH(O321,Cargas,1))),Coluna_fih,1,1))*(1+0.13*0.25)*(PI()*(fi_h/1000)^2/4)*SQRT(2*9.81*(O321/100-fi_h/2/1000))*1000)),"",IF(O321&lt;fi_h/20,0,(OFFSET('Base de dados'!$A$5,IF(O321&lt;20,1,IF(O321&gt;1000,10,MATCH(O321,Cargas,1))),Coluna_fih,1,1))*(PI()*(fi_h/1000)^2/4)*SQRT(2*9.81*(O321/100-fi_h/2/1000))*1000))</f>
        <v>2.3715348739106106</v>
      </c>
      <c r="Q321" s="38">
        <f ca="1">IF(O321="","",IF(Tipo_Vertedor="Retangular",IF(O321&lt;=cota_s*100,0,IF(Tipo_Vertedor="Retangular",Cd_sr*Lef_sr*((O321/100-cota_s)^(3/2))*1000)),IF(O321&lt;=cota_s*100+fi_s/20,0,(OFFSET('Base de dados'!$A$4,IF(O321&lt;20,1,IF(O321&gt;1000,10,MATCH(O321,Cargas,1))),Coluna_fis,1,1))*(PI()*(fi_s/1000)^2/4)*(2*9.81*(O321/100-cota_s-fi_s/2/1000))^0.5*1000)))</f>
        <v>0</v>
      </c>
      <c r="R321" s="38">
        <f t="shared" ca="1" si="62"/>
        <v>2.3715348739106106</v>
      </c>
      <c r="S321" s="38">
        <f t="shared" ca="1" si="63"/>
        <v>100</v>
      </c>
      <c r="AD321" s="38" t="str">
        <f t="shared" si="73"/>
        <v/>
      </c>
      <c r="AE321" s="38" t="str">
        <f t="shared" si="74"/>
        <v/>
      </c>
      <c r="AF321" s="38" t="str">
        <f>IF(ISERROR(IF('Hidrograma afluente'!I328="",0,'Hidrograma afluente'!I328)+Simulação!G321),"",IF('Hidrograma afluente'!I328="",0,'Hidrograma afluente'!I328)+Simulação!G321)</f>
        <v/>
      </c>
      <c r="AG321" s="36" t="s">
        <v>182</v>
      </c>
      <c r="AH321" s="36" t="s">
        <v>182</v>
      </c>
      <c r="AI321" s="48" t="s">
        <v>182</v>
      </c>
      <c r="AJ321" s="36" t="s">
        <v>182</v>
      </c>
      <c r="AK321" s="38" t="str">
        <f>IF(A321="","",IF('Hidrograma afluente'!I328="",0,'Hidrograma afluente'!I328)+Simulação!B321)</f>
        <v/>
      </c>
    </row>
    <row r="322" spans="1:37" s="36" customFormat="1">
      <c r="A322" s="23" t="str">
        <f t="shared" si="64"/>
        <v/>
      </c>
      <c r="B322" s="24" t="str">
        <f>IF(A322="","",IF(A322&gt;tc_lot_i+tc,0,IF('Hidrograma afluente'!B329="","",'Hidrograma afluente'!B329)))</f>
        <v/>
      </c>
      <c r="C322" s="41" t="str">
        <f t="shared" si="65"/>
        <v/>
      </c>
      <c r="D322" s="41" t="str">
        <f t="shared" si="66"/>
        <v/>
      </c>
      <c r="E322" s="41" t="str">
        <f t="shared" si="67"/>
        <v/>
      </c>
      <c r="F322" s="41" t="str">
        <f t="shared" si="68"/>
        <v/>
      </c>
      <c r="G322" s="41" t="str">
        <f t="shared" si="69"/>
        <v/>
      </c>
      <c r="H322" s="43" t="str">
        <f t="shared" si="75"/>
        <v/>
      </c>
      <c r="I322" s="42" t="str">
        <f t="shared" si="70"/>
        <v/>
      </c>
      <c r="J322" s="18"/>
      <c r="K322" s="76"/>
      <c r="M322" s="132">
        <f t="shared" ca="1" si="61"/>
        <v>102.68782073065786</v>
      </c>
      <c r="N322" s="38">
        <f t="shared" si="71"/>
        <v>3.0093749999999999</v>
      </c>
      <c r="O322" s="36">
        <f t="shared" si="72"/>
        <v>80.25</v>
      </c>
      <c r="P322" s="38">
        <f ca="1">IF(ISERROR(IF(O322&lt;fi_h/20,0,(OFFSET('Base de dados'!$A$5,IF(O322&lt;20,1,IF(O322&gt;1000,10,MATCH(O322,Cargas,1))),Coluna_fih,1,1))*(1+0.13*0.25)*(PI()*(fi_h/1000)^2/4)*SQRT(2*9.81*(O322/100-fi_h/2/1000))*1000)),"",IF(O322&lt;fi_h/20,0,(OFFSET('Base de dados'!$A$5,IF(O322&lt;20,1,IF(O322&gt;1000,10,MATCH(O322,Cargas,1))),Coluna_fih,1,1))*(PI()*(fi_h/1000)^2/4)*SQRT(2*9.81*(O322/100-fi_h/2/1000))*1000))</f>
        <v>2.3753207306578674</v>
      </c>
      <c r="Q322" s="38">
        <f ca="1">IF(O322="","",IF(Tipo_Vertedor="Retangular",IF(O322&lt;=cota_s*100,0,IF(Tipo_Vertedor="Retangular",Cd_sr*Lef_sr*((O322/100-cota_s)^(3/2))*1000)),IF(O322&lt;=cota_s*100+fi_s/20,0,(OFFSET('Base de dados'!$A$4,IF(O322&lt;20,1,IF(O322&gt;1000,10,MATCH(O322,Cargas,1))),Coluna_fis,1,1))*(PI()*(fi_s/1000)^2/4)*(2*9.81*(O322/100-cota_s-fi_s/2/1000))^0.5*1000)))</f>
        <v>0</v>
      </c>
      <c r="R322" s="38">
        <f t="shared" ca="1" si="62"/>
        <v>2.3753207306578674</v>
      </c>
      <c r="S322" s="38">
        <f t="shared" ca="1" si="63"/>
        <v>100.3125</v>
      </c>
      <c r="AD322" s="38" t="str">
        <f t="shared" si="73"/>
        <v/>
      </c>
      <c r="AE322" s="38" t="str">
        <f t="shared" si="74"/>
        <v/>
      </c>
      <c r="AF322" s="38" t="str">
        <f>IF(ISERROR(IF('Hidrograma afluente'!I329="",0,'Hidrograma afluente'!I329)+Simulação!G322),"",IF('Hidrograma afluente'!I329="",0,'Hidrograma afluente'!I329)+Simulação!G322)</f>
        <v/>
      </c>
      <c r="AG322" s="36" t="s">
        <v>182</v>
      </c>
      <c r="AH322" s="36" t="s">
        <v>182</v>
      </c>
      <c r="AI322" s="48" t="s">
        <v>182</v>
      </c>
      <c r="AJ322" s="36" t="s">
        <v>182</v>
      </c>
      <c r="AK322" s="38" t="str">
        <f>IF(A322="","",IF('Hidrograma afluente'!I329="",0,'Hidrograma afluente'!I329)+Simulação!B322)</f>
        <v/>
      </c>
    </row>
    <row r="323" spans="1:37" s="36" customFormat="1">
      <c r="A323" s="23" t="str">
        <f t="shared" si="64"/>
        <v/>
      </c>
      <c r="B323" s="24" t="str">
        <f>IF(A323="","",IF(A323&gt;tc_lot_i+tc,0,IF('Hidrograma afluente'!B330="","",'Hidrograma afluente'!B330)))</f>
        <v/>
      </c>
      <c r="C323" s="41" t="str">
        <f t="shared" si="65"/>
        <v/>
      </c>
      <c r="D323" s="41" t="str">
        <f t="shared" si="66"/>
        <v/>
      </c>
      <c r="E323" s="41" t="str">
        <f t="shared" si="67"/>
        <v/>
      </c>
      <c r="F323" s="41" t="str">
        <f t="shared" si="68"/>
        <v/>
      </c>
      <c r="G323" s="41" t="str">
        <f t="shared" si="69"/>
        <v/>
      </c>
      <c r="H323" s="43" t="str">
        <f t="shared" si="75"/>
        <v/>
      </c>
      <c r="I323" s="42" t="str">
        <f t="shared" si="70"/>
        <v/>
      </c>
      <c r="J323" s="18"/>
      <c r="K323" s="76"/>
      <c r="M323" s="132">
        <f t="shared" ca="1" si="61"/>
        <v>103.00410056298844</v>
      </c>
      <c r="N323" s="38">
        <f t="shared" si="71"/>
        <v>3.0187500000000003</v>
      </c>
      <c r="O323" s="36">
        <f t="shared" si="72"/>
        <v>80.5</v>
      </c>
      <c r="P323" s="38">
        <f ca="1">IF(ISERROR(IF(O323&lt;fi_h/20,0,(OFFSET('Base de dados'!$A$5,IF(O323&lt;20,1,IF(O323&gt;1000,10,MATCH(O323,Cargas,1))),Coluna_fih,1,1))*(1+0.13*0.25)*(PI()*(fi_h/1000)^2/4)*SQRT(2*9.81*(O323/100-fi_h/2/1000))*1000)),"",IF(O323&lt;fi_h/20,0,(OFFSET('Base de dados'!$A$5,IF(O323&lt;20,1,IF(O323&gt;1000,10,MATCH(O323,Cargas,1))),Coluna_fih,1,1))*(PI()*(fi_h/1000)^2/4)*SQRT(2*9.81*(O323/100-fi_h/2/1000))*1000))</f>
        <v>2.3791005629884237</v>
      </c>
      <c r="Q323" s="38">
        <f ca="1">IF(O323="","",IF(Tipo_Vertedor="Retangular",IF(O323&lt;=cota_s*100,0,IF(Tipo_Vertedor="Retangular",Cd_sr*Lef_sr*((O323/100-cota_s)^(3/2))*1000)),IF(O323&lt;=cota_s*100+fi_s/20,0,(OFFSET('Base de dados'!$A$4,IF(O323&lt;20,1,IF(O323&gt;1000,10,MATCH(O323,Cargas,1))),Coluna_fis,1,1))*(PI()*(fi_s/1000)^2/4)*(2*9.81*(O323/100-cota_s-fi_s/2/1000))^0.5*1000)))</f>
        <v>0</v>
      </c>
      <c r="R323" s="38">
        <f t="shared" ca="1" si="62"/>
        <v>2.3791005629884237</v>
      </c>
      <c r="S323" s="38">
        <f t="shared" ca="1" si="63"/>
        <v>100.62500000000001</v>
      </c>
      <c r="AD323" s="38" t="str">
        <f t="shared" si="73"/>
        <v/>
      </c>
      <c r="AE323" s="38" t="str">
        <f t="shared" si="74"/>
        <v/>
      </c>
      <c r="AF323" s="38" t="str">
        <f>IF(ISERROR(IF('Hidrograma afluente'!I330="",0,'Hidrograma afluente'!I330)+Simulação!G323),"",IF('Hidrograma afluente'!I330="",0,'Hidrograma afluente'!I330)+Simulação!G323)</f>
        <v/>
      </c>
      <c r="AG323" s="36" t="s">
        <v>182</v>
      </c>
      <c r="AH323" s="36" t="s">
        <v>182</v>
      </c>
      <c r="AI323" s="48" t="s">
        <v>182</v>
      </c>
      <c r="AJ323" s="36" t="s">
        <v>182</v>
      </c>
      <c r="AK323" s="38" t="str">
        <f>IF(A323="","",IF('Hidrograma afluente'!I330="",0,'Hidrograma afluente'!I330)+Simulação!B323)</f>
        <v/>
      </c>
    </row>
    <row r="324" spans="1:37" s="36" customFormat="1">
      <c r="A324" s="23" t="str">
        <f t="shared" si="64"/>
        <v/>
      </c>
      <c r="B324" s="24" t="str">
        <f>IF(A324="","",IF(A324&gt;tc_lot_i+tc,0,IF('Hidrograma afluente'!B331="","",'Hidrograma afluente'!B331)))</f>
        <v/>
      </c>
      <c r="C324" s="41" t="str">
        <f t="shared" si="65"/>
        <v/>
      </c>
      <c r="D324" s="41" t="str">
        <f t="shared" si="66"/>
        <v/>
      </c>
      <c r="E324" s="41" t="str">
        <f t="shared" si="67"/>
        <v/>
      </c>
      <c r="F324" s="41" t="str">
        <f t="shared" si="68"/>
        <v/>
      </c>
      <c r="G324" s="41" t="str">
        <f t="shared" si="69"/>
        <v/>
      </c>
      <c r="H324" s="43" t="str">
        <f t="shared" si="75"/>
        <v/>
      </c>
      <c r="I324" s="42" t="str">
        <f t="shared" si="70"/>
        <v/>
      </c>
      <c r="J324" s="18"/>
      <c r="K324" s="76"/>
      <c r="M324" s="132">
        <f t="shared" ca="1" si="61"/>
        <v>103.32037439957095</v>
      </c>
      <c r="N324" s="38">
        <f t="shared" si="71"/>
        <v>3.0281250000000002</v>
      </c>
      <c r="O324" s="36">
        <f t="shared" si="72"/>
        <v>80.75</v>
      </c>
      <c r="P324" s="38">
        <f ca="1">IF(ISERROR(IF(O324&lt;fi_h/20,0,(OFFSET('Base de dados'!$A$5,IF(O324&lt;20,1,IF(O324&gt;1000,10,MATCH(O324,Cargas,1))),Coluna_fih,1,1))*(1+0.13*0.25)*(PI()*(fi_h/1000)^2/4)*SQRT(2*9.81*(O324/100-fi_h/2/1000))*1000)),"",IF(O324&lt;fi_h/20,0,(OFFSET('Base de dados'!$A$5,IF(O324&lt;20,1,IF(O324&gt;1000,10,MATCH(O324,Cargas,1))),Coluna_fih,1,1))*(PI()*(fi_h/1000)^2/4)*SQRT(2*9.81*(O324/100-fi_h/2/1000))*1000))</f>
        <v>2.3828743995709556</v>
      </c>
      <c r="Q324" s="38">
        <f ca="1">IF(O324="","",IF(Tipo_Vertedor="Retangular",IF(O324&lt;=cota_s*100,0,IF(Tipo_Vertedor="Retangular",Cd_sr*Lef_sr*((O324/100-cota_s)^(3/2))*1000)),IF(O324&lt;=cota_s*100+fi_s/20,0,(OFFSET('Base de dados'!$A$4,IF(O324&lt;20,1,IF(O324&gt;1000,10,MATCH(O324,Cargas,1))),Coluna_fis,1,1))*(PI()*(fi_s/1000)^2/4)*(2*9.81*(O324/100-cota_s-fi_s/2/1000))^0.5*1000)))</f>
        <v>0</v>
      </c>
      <c r="R324" s="38">
        <f t="shared" ca="1" si="62"/>
        <v>2.3828743995709556</v>
      </c>
      <c r="S324" s="38">
        <f t="shared" ca="1" si="63"/>
        <v>100.9375</v>
      </c>
      <c r="AD324" s="38" t="str">
        <f t="shared" si="73"/>
        <v/>
      </c>
      <c r="AE324" s="38" t="str">
        <f t="shared" si="74"/>
        <v/>
      </c>
      <c r="AF324" s="38" t="str">
        <f>IF(ISERROR(IF('Hidrograma afluente'!I331="",0,'Hidrograma afluente'!I331)+Simulação!G324),"",IF('Hidrograma afluente'!I331="",0,'Hidrograma afluente'!I331)+Simulação!G324)</f>
        <v/>
      </c>
      <c r="AG324" s="36" t="s">
        <v>182</v>
      </c>
      <c r="AH324" s="36" t="s">
        <v>182</v>
      </c>
      <c r="AI324" s="48" t="s">
        <v>182</v>
      </c>
      <c r="AJ324" s="36" t="s">
        <v>182</v>
      </c>
      <c r="AK324" s="38" t="str">
        <f>IF(A324="","",IF('Hidrograma afluente'!I331="",0,'Hidrograma afluente'!I331)+Simulação!B324)</f>
        <v/>
      </c>
    </row>
    <row r="325" spans="1:37" s="36" customFormat="1">
      <c r="A325" s="23" t="str">
        <f t="shared" si="64"/>
        <v/>
      </c>
      <c r="B325" s="24" t="str">
        <f>IF(A325="","",IF(A325&gt;tc_lot_i+tc,0,IF('Hidrograma afluente'!B332="","",'Hidrograma afluente'!B332)))</f>
        <v/>
      </c>
      <c r="C325" s="41" t="str">
        <f t="shared" si="65"/>
        <v/>
      </c>
      <c r="D325" s="41" t="str">
        <f t="shared" si="66"/>
        <v/>
      </c>
      <c r="E325" s="41" t="str">
        <f t="shared" si="67"/>
        <v/>
      </c>
      <c r="F325" s="41" t="str">
        <f t="shared" si="68"/>
        <v/>
      </c>
      <c r="G325" s="41" t="str">
        <f t="shared" si="69"/>
        <v/>
      </c>
      <c r="H325" s="43" t="str">
        <f t="shared" si="75"/>
        <v/>
      </c>
      <c r="I325" s="42" t="str">
        <f t="shared" si="70"/>
        <v/>
      </c>
      <c r="J325" s="18"/>
      <c r="K325" s="76"/>
      <c r="M325" s="132">
        <f t="shared" ref="M325:M388" ca="1" si="76">IF(O325="","",2*N325*1000/(Passo*60)+R325)</f>
        <v>103.63664226884748</v>
      </c>
      <c r="N325" s="38">
        <f t="shared" si="71"/>
        <v>3.0375000000000001</v>
      </c>
      <c r="O325" s="36">
        <f t="shared" si="72"/>
        <v>81</v>
      </c>
      <c r="P325" s="38">
        <f ca="1">IF(ISERROR(IF(O325&lt;fi_h/20,0,(OFFSET('Base de dados'!$A$5,IF(O325&lt;20,1,IF(O325&gt;1000,10,MATCH(O325,Cargas,1))),Coluna_fih,1,1))*(1+0.13*0.25)*(PI()*(fi_h/1000)^2/4)*SQRT(2*9.81*(O325/100-fi_h/2/1000))*1000)),"",IF(O325&lt;fi_h/20,0,(OFFSET('Base de dados'!$A$5,IF(O325&lt;20,1,IF(O325&gt;1000,10,MATCH(O325,Cargas,1))),Coluna_fih,1,1))*(PI()*(fi_h/1000)^2/4)*SQRT(2*9.81*(O325/100-fi_h/2/1000))*1000))</f>
        <v>2.3866422688474809</v>
      </c>
      <c r="Q325" s="38">
        <f ca="1">IF(O325="","",IF(Tipo_Vertedor="Retangular",IF(O325&lt;=cota_s*100,0,IF(Tipo_Vertedor="Retangular",Cd_sr*Lef_sr*((O325/100-cota_s)^(3/2))*1000)),IF(O325&lt;=cota_s*100+fi_s/20,0,(OFFSET('Base de dados'!$A$4,IF(O325&lt;20,1,IF(O325&gt;1000,10,MATCH(O325,Cargas,1))),Coluna_fis,1,1))*(PI()*(fi_s/1000)^2/4)*(2*9.81*(O325/100-cota_s-fi_s/2/1000))^0.5*1000)))</f>
        <v>0</v>
      </c>
      <c r="R325" s="38">
        <f t="shared" ref="R325:R388" ca="1" si="77">IF(O325="","",Q325+P325)</f>
        <v>2.3866422688474809</v>
      </c>
      <c r="S325" s="38">
        <f t="shared" ref="S325:S388" ca="1" si="78">IF(M325="","",2*N325*1000/(Passo*60))</f>
        <v>101.25</v>
      </c>
      <c r="AD325" s="38" t="str">
        <f t="shared" si="73"/>
        <v/>
      </c>
      <c r="AE325" s="38" t="str">
        <f t="shared" si="74"/>
        <v/>
      </c>
      <c r="AF325" s="38" t="str">
        <f>IF(ISERROR(IF('Hidrograma afluente'!I332="",0,'Hidrograma afluente'!I332)+Simulação!G325),"",IF('Hidrograma afluente'!I332="",0,'Hidrograma afluente'!I332)+Simulação!G325)</f>
        <v/>
      </c>
      <c r="AG325" s="36" t="s">
        <v>182</v>
      </c>
      <c r="AH325" s="36" t="s">
        <v>182</v>
      </c>
      <c r="AI325" s="48" t="s">
        <v>182</v>
      </c>
      <c r="AJ325" s="36" t="s">
        <v>182</v>
      </c>
      <c r="AK325" s="38" t="str">
        <f>IF(A325="","",IF('Hidrograma afluente'!I332="",0,'Hidrograma afluente'!I332)+Simulação!B325)</f>
        <v/>
      </c>
    </row>
    <row r="326" spans="1:37" s="36" customFormat="1">
      <c r="A326" s="23" t="str">
        <f t="shared" ref="A326:A389" si="79">IF(ISERROR(IF(A325+Passo&lt;=tempo_simul,A325+Passo,"")),"",IF(A325+Passo&lt;=tempo_simul,A325+Passo,""))</f>
        <v/>
      </c>
      <c r="B326" s="24" t="str">
        <f>IF(A326="","",IF(A326&gt;tc_lot_i+tc,0,IF('Hidrograma afluente'!B333="","",'Hidrograma afluente'!B333)))</f>
        <v/>
      </c>
      <c r="C326" s="41" t="str">
        <f t="shared" ref="C326:C389" si="80">IF(B327=0,0,IF(B327="","",B327))</f>
        <v/>
      </c>
      <c r="D326" s="41" t="str">
        <f t="shared" ref="D326:D389" si="81">IF(A326="","",IF(ISERROR(VLOOKUP(H325,tabela_auxiliar,7,1)),0,VLOOKUP(H325,tabela_auxiliar,7,1)))</f>
        <v/>
      </c>
      <c r="E326" s="41" t="str">
        <f t="shared" ref="E326:E389" si="82">IF(A326="","",IF(ISERROR(VLOOKUP(H325,tabela_auxiliar,4,TRUE)),0,VLOOKUP(H325,tabela_auxiliar,4,TRUE)))</f>
        <v/>
      </c>
      <c r="F326" s="41" t="str">
        <f t="shared" ref="F326:F389" si="83">IF(A326="","",IF(ISERROR(VLOOKUP(H325,tabela_auxiliar,5,TRUE)),0,VLOOKUP(H325,tabela_auxiliar,5,TRUE)))</f>
        <v/>
      </c>
      <c r="G326" s="41" t="str">
        <f t="shared" ref="G326:G389" si="84">IF(A326="","",IF(ISERROR(VLOOKUP(H325,tabela_auxiliar,6,TRUE)),0,VLOOKUP(H325,tabela_auxiliar,6,TRUE)))</f>
        <v/>
      </c>
      <c r="H326" s="43" t="str">
        <f t="shared" si="75"/>
        <v/>
      </c>
      <c r="I326" s="42" t="str">
        <f t="shared" ref="I326:I389" si="85">IF(A326="","",IF(ISERROR(VLOOKUP(H325,tabela_auxiliar,3,TRUE)),0,VLOOKUP(H325,tabela_auxiliar,3,TRUE)))</f>
        <v/>
      </c>
      <c r="J326" s="18"/>
      <c r="K326" s="76"/>
      <c r="M326" s="132">
        <f t="shared" ca="1" si="76"/>
        <v>103.95290419903586</v>
      </c>
      <c r="N326" s="38">
        <f t="shared" ref="N326:N389" si="86">IF(O326="","",b_0*(O326/100)^c_0)</f>
        <v>3.046875</v>
      </c>
      <c r="O326" s="36">
        <f t="shared" ref="O326:O389" si="87">IF(ISERROR(IF(O325+passo_altura&gt;h_max_puls*100,"",O325+passo_altura)),"",IF(O325+passo_altura&gt;h_max_puls*100,"",O325+passo_altura))</f>
        <v>81.25</v>
      </c>
      <c r="P326" s="38">
        <f ca="1">IF(ISERROR(IF(O326&lt;fi_h/20,0,(OFFSET('Base de dados'!$A$5,IF(O326&lt;20,1,IF(O326&gt;1000,10,MATCH(O326,Cargas,1))),Coluna_fih,1,1))*(1+0.13*0.25)*(PI()*(fi_h/1000)^2/4)*SQRT(2*9.81*(O326/100-fi_h/2/1000))*1000)),"",IF(O326&lt;fi_h/20,0,(OFFSET('Base de dados'!$A$5,IF(O326&lt;20,1,IF(O326&gt;1000,10,MATCH(O326,Cargas,1))),Coluna_fih,1,1))*(PI()*(fi_h/1000)^2/4)*SQRT(2*9.81*(O326/100-fi_h/2/1000))*1000))</f>
        <v>2.3904041990358573</v>
      </c>
      <c r="Q326" s="38">
        <f ca="1">IF(O326="","",IF(Tipo_Vertedor="Retangular",IF(O326&lt;=cota_s*100,0,IF(Tipo_Vertedor="Retangular",Cd_sr*Lef_sr*((O326/100-cota_s)^(3/2))*1000)),IF(O326&lt;=cota_s*100+fi_s/20,0,(OFFSET('Base de dados'!$A$4,IF(O326&lt;20,1,IF(O326&gt;1000,10,MATCH(O326,Cargas,1))),Coluna_fis,1,1))*(PI()*(fi_s/1000)^2/4)*(2*9.81*(O326/100-cota_s-fi_s/2/1000))^0.5*1000)))</f>
        <v>0</v>
      </c>
      <c r="R326" s="38">
        <f t="shared" ca="1" si="77"/>
        <v>2.3904041990358573</v>
      </c>
      <c r="S326" s="38">
        <f t="shared" ca="1" si="78"/>
        <v>101.5625</v>
      </c>
      <c r="AD326" s="38" t="str">
        <f t="shared" ref="AD326:AD389" si="88">IF(A326="","",AVERAGE(B326+B325)*Passo*60/1000+AD325)</f>
        <v/>
      </c>
      <c r="AE326" s="38" t="str">
        <f t="shared" ref="AE326:AE389" si="89">IF(A326="","",AE325+AVERAGE(G326+G325)*Passo*60/1000)</f>
        <v/>
      </c>
      <c r="AF326" s="38" t="str">
        <f>IF(ISERROR(IF('Hidrograma afluente'!I333="",0,'Hidrograma afluente'!I333)+Simulação!G326),"",IF('Hidrograma afluente'!I333="",0,'Hidrograma afluente'!I333)+Simulação!G326)</f>
        <v/>
      </c>
      <c r="AG326" s="36" t="s">
        <v>182</v>
      </c>
      <c r="AH326" s="36" t="s">
        <v>182</v>
      </c>
      <c r="AI326" s="48" t="s">
        <v>182</v>
      </c>
      <c r="AJ326" s="36" t="s">
        <v>182</v>
      </c>
      <c r="AK326" s="38" t="str">
        <f>IF(A326="","",IF('Hidrograma afluente'!I333="",0,'Hidrograma afluente'!I333)+Simulação!B326)</f>
        <v/>
      </c>
    </row>
    <row r="327" spans="1:37" s="36" customFormat="1">
      <c r="A327" s="23" t="str">
        <f t="shared" si="79"/>
        <v/>
      </c>
      <c r="B327" s="24" t="str">
        <f>IF(A327="","",IF(A327&gt;tc_lot_i+tc,0,IF('Hidrograma afluente'!B334="","",'Hidrograma afluente'!B334)))</f>
        <v/>
      </c>
      <c r="C327" s="41" t="str">
        <f t="shared" si="80"/>
        <v/>
      </c>
      <c r="D327" s="41" t="str">
        <f t="shared" si="81"/>
        <v/>
      </c>
      <c r="E327" s="41" t="str">
        <f t="shared" si="82"/>
        <v/>
      </c>
      <c r="F327" s="41" t="str">
        <f t="shared" si="83"/>
        <v/>
      </c>
      <c r="G327" s="41" t="str">
        <f t="shared" si="84"/>
        <v/>
      </c>
      <c r="H327" s="43" t="str">
        <f t="shared" si="75"/>
        <v/>
      </c>
      <c r="I327" s="42" t="str">
        <f t="shared" si="85"/>
        <v/>
      </c>
      <c r="J327" s="18"/>
      <c r="K327" s="76"/>
      <c r="M327" s="132">
        <f t="shared" ca="1" si="76"/>
        <v>104.26916021813226</v>
      </c>
      <c r="N327" s="38">
        <f t="shared" si="86"/>
        <v>3.0562499999999999</v>
      </c>
      <c r="O327" s="36">
        <f t="shared" si="87"/>
        <v>81.5</v>
      </c>
      <c r="P327" s="38">
        <f ca="1">IF(ISERROR(IF(O327&lt;fi_h/20,0,(OFFSET('Base de dados'!$A$5,IF(O327&lt;20,1,IF(O327&gt;1000,10,MATCH(O327,Cargas,1))),Coluna_fih,1,1))*(1+0.13*0.25)*(PI()*(fi_h/1000)^2/4)*SQRT(2*9.81*(O327/100-fi_h/2/1000))*1000)),"",IF(O327&lt;fi_h/20,0,(OFFSET('Base de dados'!$A$5,IF(O327&lt;20,1,IF(O327&gt;1000,10,MATCH(O327,Cargas,1))),Coluna_fih,1,1))*(PI()*(fi_h/1000)^2/4)*SQRT(2*9.81*(O327/100-fi_h/2/1000))*1000))</f>
        <v>2.3941602181322508</v>
      </c>
      <c r="Q327" s="38">
        <f ca="1">IF(O327="","",IF(Tipo_Vertedor="Retangular",IF(O327&lt;=cota_s*100,0,IF(Tipo_Vertedor="Retangular",Cd_sr*Lef_sr*((O327/100-cota_s)^(3/2))*1000)),IF(O327&lt;=cota_s*100+fi_s/20,0,(OFFSET('Base de dados'!$A$4,IF(O327&lt;20,1,IF(O327&gt;1000,10,MATCH(O327,Cargas,1))),Coluna_fis,1,1))*(PI()*(fi_s/1000)^2/4)*(2*9.81*(O327/100-cota_s-fi_s/2/1000))^0.5*1000)))</f>
        <v>0</v>
      </c>
      <c r="R327" s="38">
        <f t="shared" ca="1" si="77"/>
        <v>2.3941602181322508</v>
      </c>
      <c r="S327" s="38">
        <f t="shared" ca="1" si="78"/>
        <v>101.875</v>
      </c>
      <c r="AD327" s="38" t="str">
        <f t="shared" si="88"/>
        <v/>
      </c>
      <c r="AE327" s="38" t="str">
        <f t="shared" si="89"/>
        <v/>
      </c>
      <c r="AF327" s="38" t="str">
        <f>IF(ISERROR(IF('Hidrograma afluente'!I334="",0,'Hidrograma afluente'!I334)+Simulação!G327),"",IF('Hidrograma afluente'!I334="",0,'Hidrograma afluente'!I334)+Simulação!G327)</f>
        <v/>
      </c>
      <c r="AG327" s="36" t="s">
        <v>182</v>
      </c>
      <c r="AH327" s="36" t="s">
        <v>182</v>
      </c>
      <c r="AI327" s="48" t="s">
        <v>182</v>
      </c>
      <c r="AJ327" s="36" t="s">
        <v>182</v>
      </c>
      <c r="AK327" s="38" t="str">
        <f>IF(A327="","",IF('Hidrograma afluente'!I334="",0,'Hidrograma afluente'!I334)+Simulação!B327)</f>
        <v/>
      </c>
    </row>
    <row r="328" spans="1:37" s="36" customFormat="1">
      <c r="A328" s="23" t="str">
        <f t="shared" si="79"/>
        <v/>
      </c>
      <c r="B328" s="24" t="str">
        <f>IF(A328="","",IF(A328&gt;tc_lot_i+tc,0,IF('Hidrograma afluente'!B335="","",'Hidrograma afluente'!B335)))</f>
        <v/>
      </c>
      <c r="C328" s="41" t="str">
        <f t="shared" si="80"/>
        <v/>
      </c>
      <c r="D328" s="41" t="str">
        <f t="shared" si="81"/>
        <v/>
      </c>
      <c r="E328" s="41" t="str">
        <f t="shared" si="82"/>
        <v/>
      </c>
      <c r="F328" s="41" t="str">
        <f t="shared" si="83"/>
        <v/>
      </c>
      <c r="G328" s="41" t="str">
        <f t="shared" si="84"/>
        <v/>
      </c>
      <c r="H328" s="43" t="str">
        <f t="shared" si="75"/>
        <v/>
      </c>
      <c r="I328" s="42" t="str">
        <f t="shared" si="85"/>
        <v/>
      </c>
      <c r="J328" s="18"/>
      <c r="K328" s="76"/>
      <c r="M328" s="132">
        <f t="shared" ca="1" si="76"/>
        <v>104.58541035391356</v>
      </c>
      <c r="N328" s="38">
        <f t="shared" si="86"/>
        <v>3.0656249999999998</v>
      </c>
      <c r="O328" s="36">
        <f t="shared" si="87"/>
        <v>81.75</v>
      </c>
      <c r="P328" s="38">
        <f ca="1">IF(ISERROR(IF(O328&lt;fi_h/20,0,(OFFSET('Base de dados'!$A$5,IF(O328&lt;20,1,IF(O328&gt;1000,10,MATCH(O328,Cargas,1))),Coluna_fih,1,1))*(1+0.13*0.25)*(PI()*(fi_h/1000)^2/4)*SQRT(2*9.81*(O328/100-fi_h/2/1000))*1000)),"",IF(O328&lt;fi_h/20,0,(OFFSET('Base de dados'!$A$5,IF(O328&lt;20,1,IF(O328&gt;1000,10,MATCH(O328,Cargas,1))),Coluna_fih,1,1))*(PI()*(fi_h/1000)^2/4)*SQRT(2*9.81*(O328/100-fi_h/2/1000))*1000))</f>
        <v>2.3979103539135642</v>
      </c>
      <c r="Q328" s="38">
        <f ca="1">IF(O328="","",IF(Tipo_Vertedor="Retangular",IF(O328&lt;=cota_s*100,0,IF(Tipo_Vertedor="Retangular",Cd_sr*Lef_sr*((O328/100-cota_s)^(3/2))*1000)),IF(O328&lt;=cota_s*100+fi_s/20,0,(OFFSET('Base de dados'!$A$4,IF(O328&lt;20,1,IF(O328&gt;1000,10,MATCH(O328,Cargas,1))),Coluna_fis,1,1))*(PI()*(fi_s/1000)^2/4)*(2*9.81*(O328/100-cota_s-fi_s/2/1000))^0.5*1000)))</f>
        <v>0</v>
      </c>
      <c r="R328" s="38">
        <f t="shared" ca="1" si="77"/>
        <v>2.3979103539135642</v>
      </c>
      <c r="S328" s="38">
        <f t="shared" ca="1" si="78"/>
        <v>102.1875</v>
      </c>
      <c r="AD328" s="38" t="str">
        <f t="shared" si="88"/>
        <v/>
      </c>
      <c r="AE328" s="38" t="str">
        <f t="shared" si="89"/>
        <v/>
      </c>
      <c r="AF328" s="38" t="str">
        <f>IF(ISERROR(IF('Hidrograma afluente'!I335="",0,'Hidrograma afluente'!I335)+Simulação!G328),"",IF('Hidrograma afluente'!I335="",0,'Hidrograma afluente'!I335)+Simulação!G328)</f>
        <v/>
      </c>
      <c r="AG328" s="36" t="s">
        <v>182</v>
      </c>
      <c r="AH328" s="36" t="s">
        <v>182</v>
      </c>
      <c r="AI328" s="48" t="s">
        <v>182</v>
      </c>
      <c r="AJ328" s="36" t="s">
        <v>182</v>
      </c>
      <c r="AK328" s="38" t="str">
        <f>IF(A328="","",IF('Hidrograma afluente'!I335="",0,'Hidrograma afluente'!I335)+Simulação!B328)</f>
        <v/>
      </c>
    </row>
    <row r="329" spans="1:37" s="36" customFormat="1">
      <c r="A329" s="23" t="str">
        <f t="shared" si="79"/>
        <v/>
      </c>
      <c r="B329" s="24" t="str">
        <f>IF(A329="","",IF(A329&gt;tc_lot_i+tc,0,IF('Hidrograma afluente'!B336="","",'Hidrograma afluente'!B336)))</f>
        <v/>
      </c>
      <c r="C329" s="41" t="str">
        <f t="shared" si="80"/>
        <v/>
      </c>
      <c r="D329" s="41" t="str">
        <f t="shared" si="81"/>
        <v/>
      </c>
      <c r="E329" s="41" t="str">
        <f t="shared" si="82"/>
        <v/>
      </c>
      <c r="F329" s="41" t="str">
        <f t="shared" si="83"/>
        <v/>
      </c>
      <c r="G329" s="41" t="str">
        <f t="shared" si="84"/>
        <v/>
      </c>
      <c r="H329" s="43" t="str">
        <f t="shared" si="75"/>
        <v/>
      </c>
      <c r="I329" s="42" t="str">
        <f t="shared" si="85"/>
        <v/>
      </c>
      <c r="J329" s="18"/>
      <c r="K329" s="76"/>
      <c r="M329" s="132">
        <f t="shared" ca="1" si="76"/>
        <v>104.90165463393981</v>
      </c>
      <c r="N329" s="38">
        <f t="shared" si="86"/>
        <v>3.0749999999999997</v>
      </c>
      <c r="O329" s="36">
        <f t="shared" si="87"/>
        <v>82</v>
      </c>
      <c r="P329" s="38">
        <f ca="1">IF(ISERROR(IF(O329&lt;fi_h/20,0,(OFFSET('Base de dados'!$A$5,IF(O329&lt;20,1,IF(O329&gt;1000,10,MATCH(O329,Cargas,1))),Coluna_fih,1,1))*(1+0.13*0.25)*(PI()*(fi_h/1000)^2/4)*SQRT(2*9.81*(O329/100-fi_h/2/1000))*1000)),"",IF(O329&lt;fi_h/20,0,(OFFSET('Base de dados'!$A$5,IF(O329&lt;20,1,IF(O329&gt;1000,10,MATCH(O329,Cargas,1))),Coluna_fih,1,1))*(PI()*(fi_h/1000)^2/4)*SQRT(2*9.81*(O329/100-fi_h/2/1000))*1000))</f>
        <v>2.4016546339398346</v>
      </c>
      <c r="Q329" s="38">
        <f ca="1">IF(O329="","",IF(Tipo_Vertedor="Retangular",IF(O329&lt;=cota_s*100,0,IF(Tipo_Vertedor="Retangular",Cd_sr*Lef_sr*((O329/100-cota_s)^(3/2))*1000)),IF(O329&lt;=cota_s*100+fi_s/20,0,(OFFSET('Base de dados'!$A$4,IF(O329&lt;20,1,IF(O329&gt;1000,10,MATCH(O329,Cargas,1))),Coluna_fis,1,1))*(PI()*(fi_s/1000)^2/4)*(2*9.81*(O329/100-cota_s-fi_s/2/1000))^0.5*1000)))</f>
        <v>0</v>
      </c>
      <c r="R329" s="38">
        <f t="shared" ca="1" si="77"/>
        <v>2.4016546339398346</v>
      </c>
      <c r="S329" s="38">
        <f t="shared" ca="1" si="78"/>
        <v>102.49999999999999</v>
      </c>
      <c r="AD329" s="38" t="str">
        <f t="shared" si="88"/>
        <v/>
      </c>
      <c r="AE329" s="38" t="str">
        <f t="shared" si="89"/>
        <v/>
      </c>
      <c r="AF329" s="38" t="str">
        <f>IF(ISERROR(IF('Hidrograma afluente'!I336="",0,'Hidrograma afluente'!I336)+Simulação!G329),"",IF('Hidrograma afluente'!I336="",0,'Hidrograma afluente'!I336)+Simulação!G329)</f>
        <v/>
      </c>
      <c r="AG329" s="36" t="s">
        <v>182</v>
      </c>
      <c r="AH329" s="36" t="s">
        <v>182</v>
      </c>
      <c r="AI329" s="48" t="s">
        <v>182</v>
      </c>
      <c r="AJ329" s="36" t="s">
        <v>182</v>
      </c>
      <c r="AK329" s="38" t="str">
        <f>IF(A329="","",IF('Hidrograma afluente'!I336="",0,'Hidrograma afluente'!I336)+Simulação!B329)</f>
        <v/>
      </c>
    </row>
    <row r="330" spans="1:37" s="36" customFormat="1">
      <c r="A330" s="23" t="str">
        <f t="shared" si="79"/>
        <v/>
      </c>
      <c r="B330" s="24" t="str">
        <f>IF(A330="","",IF(A330&gt;tc_lot_i+tc,0,IF('Hidrograma afluente'!B337="","",'Hidrograma afluente'!B337)))</f>
        <v/>
      </c>
      <c r="C330" s="41" t="str">
        <f t="shared" si="80"/>
        <v/>
      </c>
      <c r="D330" s="41" t="str">
        <f t="shared" si="81"/>
        <v/>
      </c>
      <c r="E330" s="41" t="str">
        <f t="shared" si="82"/>
        <v/>
      </c>
      <c r="F330" s="41" t="str">
        <f t="shared" si="83"/>
        <v/>
      </c>
      <c r="G330" s="41" t="str">
        <f t="shared" si="84"/>
        <v/>
      </c>
      <c r="H330" s="43" t="str">
        <f t="shared" si="75"/>
        <v/>
      </c>
      <c r="I330" s="42" t="str">
        <f t="shared" si="85"/>
        <v/>
      </c>
      <c r="J330" s="18"/>
      <c r="K330" s="76"/>
      <c r="M330" s="132">
        <f t="shared" ca="1" si="76"/>
        <v>105.2178930855566</v>
      </c>
      <c r="N330" s="38">
        <f t="shared" si="86"/>
        <v>3.0843750000000001</v>
      </c>
      <c r="O330" s="36">
        <f t="shared" si="87"/>
        <v>82.25</v>
      </c>
      <c r="P330" s="38">
        <f ca="1">IF(ISERROR(IF(O330&lt;fi_h/20,0,(OFFSET('Base de dados'!$A$5,IF(O330&lt;20,1,IF(O330&gt;1000,10,MATCH(O330,Cargas,1))),Coluna_fih,1,1))*(1+0.13*0.25)*(PI()*(fi_h/1000)^2/4)*SQRT(2*9.81*(O330/100-fi_h/2/1000))*1000)),"",IF(O330&lt;fi_h/20,0,(OFFSET('Base de dados'!$A$5,IF(O330&lt;20,1,IF(O330&gt;1000,10,MATCH(O330,Cargas,1))),Coluna_fih,1,1))*(PI()*(fi_h/1000)^2/4)*SQRT(2*9.81*(O330/100-fi_h/2/1000))*1000))</f>
        <v>2.4053930855565979</v>
      </c>
      <c r="Q330" s="38">
        <f ca="1">IF(O330="","",IF(Tipo_Vertedor="Retangular",IF(O330&lt;=cota_s*100,0,IF(Tipo_Vertedor="Retangular",Cd_sr*Lef_sr*((O330/100-cota_s)^(3/2))*1000)),IF(O330&lt;=cota_s*100+fi_s/20,0,(OFFSET('Base de dados'!$A$4,IF(O330&lt;20,1,IF(O330&gt;1000,10,MATCH(O330,Cargas,1))),Coluna_fis,1,1))*(PI()*(fi_s/1000)^2/4)*(2*9.81*(O330/100-cota_s-fi_s/2/1000))^0.5*1000)))</f>
        <v>0</v>
      </c>
      <c r="R330" s="38">
        <f t="shared" ca="1" si="77"/>
        <v>2.4053930855565979</v>
      </c>
      <c r="S330" s="38">
        <f t="shared" ca="1" si="78"/>
        <v>102.8125</v>
      </c>
      <c r="AD330" s="38" t="str">
        <f t="shared" si="88"/>
        <v/>
      </c>
      <c r="AE330" s="38" t="str">
        <f t="shared" si="89"/>
        <v/>
      </c>
      <c r="AF330" s="38" t="str">
        <f>IF(ISERROR(IF('Hidrograma afluente'!I337="",0,'Hidrograma afluente'!I337)+Simulação!G330),"",IF('Hidrograma afluente'!I337="",0,'Hidrograma afluente'!I337)+Simulação!G330)</f>
        <v/>
      </c>
      <c r="AG330" s="36" t="s">
        <v>182</v>
      </c>
      <c r="AH330" s="36" t="s">
        <v>182</v>
      </c>
      <c r="AI330" s="48" t="s">
        <v>182</v>
      </c>
      <c r="AJ330" s="36" t="s">
        <v>182</v>
      </c>
      <c r="AK330" s="38" t="str">
        <f>IF(A330="","",IF('Hidrograma afluente'!I337="",0,'Hidrograma afluente'!I337)+Simulação!B330)</f>
        <v/>
      </c>
    </row>
    <row r="331" spans="1:37" s="36" customFormat="1">
      <c r="A331" s="23" t="str">
        <f t="shared" si="79"/>
        <v/>
      </c>
      <c r="B331" s="24" t="str">
        <f>IF(A331="","",IF(A331&gt;tc_lot_i+tc,0,IF('Hidrograma afluente'!B338="","",'Hidrograma afluente'!B338)))</f>
        <v/>
      </c>
      <c r="C331" s="41" t="str">
        <f t="shared" si="80"/>
        <v/>
      </c>
      <c r="D331" s="41" t="str">
        <f t="shared" si="81"/>
        <v/>
      </c>
      <c r="E331" s="41" t="str">
        <f t="shared" si="82"/>
        <v/>
      </c>
      <c r="F331" s="41" t="str">
        <f t="shared" si="83"/>
        <v/>
      </c>
      <c r="G331" s="41" t="str">
        <f t="shared" si="84"/>
        <v/>
      </c>
      <c r="H331" s="43" t="str">
        <f t="shared" si="75"/>
        <v/>
      </c>
      <c r="I331" s="42" t="str">
        <f t="shared" si="85"/>
        <v/>
      </c>
      <c r="J331" s="18"/>
      <c r="K331" s="76"/>
      <c r="M331" s="132">
        <f t="shared" ca="1" si="76"/>
        <v>105.53412573589722</v>
      </c>
      <c r="N331" s="38">
        <f t="shared" si="86"/>
        <v>3.09375</v>
      </c>
      <c r="O331" s="36">
        <f t="shared" si="87"/>
        <v>82.5</v>
      </c>
      <c r="P331" s="38">
        <f ca="1">IF(ISERROR(IF(O331&lt;fi_h/20,0,(OFFSET('Base de dados'!$A$5,IF(O331&lt;20,1,IF(O331&gt;1000,10,MATCH(O331,Cargas,1))),Coluna_fih,1,1))*(1+0.13*0.25)*(PI()*(fi_h/1000)^2/4)*SQRT(2*9.81*(O331/100-fi_h/2/1000))*1000)),"",IF(O331&lt;fi_h/20,0,(OFFSET('Base de dados'!$A$5,IF(O331&lt;20,1,IF(O331&gt;1000,10,MATCH(O331,Cargas,1))),Coluna_fih,1,1))*(PI()*(fi_h/1000)^2/4)*SQRT(2*9.81*(O331/100-fi_h/2/1000))*1000))</f>
        <v>2.4091257358972151</v>
      </c>
      <c r="Q331" s="38">
        <f ca="1">IF(O331="","",IF(Tipo_Vertedor="Retangular",IF(O331&lt;=cota_s*100,0,IF(Tipo_Vertedor="Retangular",Cd_sr*Lef_sr*((O331/100-cota_s)^(3/2))*1000)),IF(O331&lt;=cota_s*100+fi_s/20,0,(OFFSET('Base de dados'!$A$4,IF(O331&lt;20,1,IF(O331&gt;1000,10,MATCH(O331,Cargas,1))),Coluna_fis,1,1))*(PI()*(fi_s/1000)^2/4)*(2*9.81*(O331/100-cota_s-fi_s/2/1000))^0.5*1000)))</f>
        <v>0</v>
      </c>
      <c r="R331" s="38">
        <f t="shared" ca="1" si="77"/>
        <v>2.4091257358972151</v>
      </c>
      <c r="S331" s="38">
        <f t="shared" ca="1" si="78"/>
        <v>103.125</v>
      </c>
      <c r="AD331" s="38" t="str">
        <f t="shared" si="88"/>
        <v/>
      </c>
      <c r="AE331" s="38" t="str">
        <f t="shared" si="89"/>
        <v/>
      </c>
      <c r="AF331" s="38" t="str">
        <f>IF(ISERROR(IF('Hidrograma afluente'!I338="",0,'Hidrograma afluente'!I338)+Simulação!G331),"",IF('Hidrograma afluente'!I338="",0,'Hidrograma afluente'!I338)+Simulação!G331)</f>
        <v/>
      </c>
      <c r="AG331" s="36" t="s">
        <v>182</v>
      </c>
      <c r="AH331" s="36" t="s">
        <v>182</v>
      </c>
      <c r="AI331" s="48" t="s">
        <v>182</v>
      </c>
      <c r="AJ331" s="36" t="s">
        <v>182</v>
      </c>
      <c r="AK331" s="38" t="str">
        <f>IF(A331="","",IF('Hidrograma afluente'!I338="",0,'Hidrograma afluente'!I338)+Simulação!B331)</f>
        <v/>
      </c>
    </row>
    <row r="332" spans="1:37" s="36" customFormat="1">
      <c r="A332" s="23" t="str">
        <f t="shared" si="79"/>
        <v/>
      </c>
      <c r="B332" s="24" t="str">
        <f>IF(A332="","",IF(A332&gt;tc_lot_i+tc,0,IF('Hidrograma afluente'!B339="","",'Hidrograma afluente'!B339)))</f>
        <v/>
      </c>
      <c r="C332" s="41" t="str">
        <f t="shared" si="80"/>
        <v/>
      </c>
      <c r="D332" s="41" t="str">
        <f t="shared" si="81"/>
        <v/>
      </c>
      <c r="E332" s="41" t="str">
        <f t="shared" si="82"/>
        <v/>
      </c>
      <c r="F332" s="41" t="str">
        <f t="shared" si="83"/>
        <v/>
      </c>
      <c r="G332" s="41" t="str">
        <f t="shared" si="84"/>
        <v/>
      </c>
      <c r="H332" s="43" t="str">
        <f t="shared" si="75"/>
        <v/>
      </c>
      <c r="I332" s="42" t="str">
        <f t="shared" si="85"/>
        <v/>
      </c>
      <c r="J332" s="18"/>
      <c r="K332" s="76"/>
      <c r="M332" s="132">
        <f t="shared" ca="1" si="76"/>
        <v>105.85035261188517</v>
      </c>
      <c r="N332" s="38">
        <f t="shared" si="86"/>
        <v>3.1031249999999999</v>
      </c>
      <c r="O332" s="36">
        <f t="shared" si="87"/>
        <v>82.75</v>
      </c>
      <c r="P332" s="38">
        <f ca="1">IF(ISERROR(IF(O332&lt;fi_h/20,0,(OFFSET('Base de dados'!$A$5,IF(O332&lt;20,1,IF(O332&gt;1000,10,MATCH(O332,Cargas,1))),Coluna_fih,1,1))*(1+0.13*0.25)*(PI()*(fi_h/1000)^2/4)*SQRT(2*9.81*(O332/100-fi_h/2/1000))*1000)),"",IF(O332&lt;fi_h/20,0,(OFFSET('Base de dados'!$A$5,IF(O332&lt;20,1,IF(O332&gt;1000,10,MATCH(O332,Cargas,1))),Coluna_fih,1,1))*(PI()*(fi_h/1000)^2/4)*SQRT(2*9.81*(O332/100-fi_h/2/1000))*1000))</f>
        <v>2.4128526118851741</v>
      </c>
      <c r="Q332" s="38">
        <f ca="1">IF(O332="","",IF(Tipo_Vertedor="Retangular",IF(O332&lt;=cota_s*100,0,IF(Tipo_Vertedor="Retangular",Cd_sr*Lef_sr*((O332/100-cota_s)^(3/2))*1000)),IF(O332&lt;=cota_s*100+fi_s/20,0,(OFFSET('Base de dados'!$A$4,IF(O332&lt;20,1,IF(O332&gt;1000,10,MATCH(O332,Cargas,1))),Coluna_fis,1,1))*(PI()*(fi_s/1000)^2/4)*(2*9.81*(O332/100-cota_s-fi_s/2/1000))^0.5*1000)))</f>
        <v>0</v>
      </c>
      <c r="R332" s="38">
        <f t="shared" ca="1" si="77"/>
        <v>2.4128526118851741</v>
      </c>
      <c r="S332" s="38">
        <f t="shared" ca="1" si="78"/>
        <v>103.4375</v>
      </c>
      <c r="AD332" s="38" t="str">
        <f t="shared" si="88"/>
        <v/>
      </c>
      <c r="AE332" s="38" t="str">
        <f t="shared" si="89"/>
        <v/>
      </c>
      <c r="AF332" s="38" t="str">
        <f>IF(ISERROR(IF('Hidrograma afluente'!I339="",0,'Hidrograma afluente'!I339)+Simulação!G332),"",IF('Hidrograma afluente'!I339="",0,'Hidrograma afluente'!I339)+Simulação!G332)</f>
        <v/>
      </c>
      <c r="AG332" s="36" t="s">
        <v>182</v>
      </c>
      <c r="AH332" s="36" t="s">
        <v>182</v>
      </c>
      <c r="AI332" s="48" t="s">
        <v>182</v>
      </c>
      <c r="AJ332" s="36" t="s">
        <v>182</v>
      </c>
      <c r="AK332" s="38" t="str">
        <f>IF(A332="","",IF('Hidrograma afluente'!I339="",0,'Hidrograma afluente'!I339)+Simulação!B332)</f>
        <v/>
      </c>
    </row>
    <row r="333" spans="1:37" s="36" customFormat="1">
      <c r="A333" s="23" t="str">
        <f t="shared" si="79"/>
        <v/>
      </c>
      <c r="B333" s="24" t="str">
        <f>IF(A333="","",IF(A333&gt;tc_lot_i+tc,0,IF('Hidrograma afluente'!B340="","",'Hidrograma afluente'!B340)))</f>
        <v/>
      </c>
      <c r="C333" s="41" t="str">
        <f t="shared" si="80"/>
        <v/>
      </c>
      <c r="D333" s="41" t="str">
        <f t="shared" si="81"/>
        <v/>
      </c>
      <c r="E333" s="41" t="str">
        <f t="shared" si="82"/>
        <v/>
      </c>
      <c r="F333" s="41" t="str">
        <f t="shared" si="83"/>
        <v/>
      </c>
      <c r="G333" s="41" t="str">
        <f t="shared" si="84"/>
        <v/>
      </c>
      <c r="H333" s="43" t="str">
        <f t="shared" si="75"/>
        <v/>
      </c>
      <c r="I333" s="42" t="str">
        <f t="shared" si="85"/>
        <v/>
      </c>
      <c r="J333" s="18"/>
      <c r="K333" s="76"/>
      <c r="M333" s="132">
        <f t="shared" ca="1" si="76"/>
        <v>106.16657374023636</v>
      </c>
      <c r="N333" s="38">
        <f t="shared" si="86"/>
        <v>3.1124999999999998</v>
      </c>
      <c r="O333" s="36">
        <f t="shared" si="87"/>
        <v>83</v>
      </c>
      <c r="P333" s="38">
        <f ca="1">IF(ISERROR(IF(O333&lt;fi_h/20,0,(OFFSET('Base de dados'!$A$5,IF(O333&lt;20,1,IF(O333&gt;1000,10,MATCH(O333,Cargas,1))),Coluna_fih,1,1))*(1+0.13*0.25)*(PI()*(fi_h/1000)^2/4)*SQRT(2*9.81*(O333/100-fi_h/2/1000))*1000)),"",IF(O333&lt;fi_h/20,0,(OFFSET('Base de dados'!$A$5,IF(O333&lt;20,1,IF(O333&gt;1000,10,MATCH(O333,Cargas,1))),Coluna_fih,1,1))*(PI()*(fi_h/1000)^2/4)*SQRT(2*9.81*(O333/100-fi_h/2/1000))*1000))</f>
        <v>2.4165737402363527</v>
      </c>
      <c r="Q333" s="38">
        <f ca="1">IF(O333="","",IF(Tipo_Vertedor="Retangular",IF(O333&lt;=cota_s*100,0,IF(Tipo_Vertedor="Retangular",Cd_sr*Lef_sr*((O333/100-cota_s)^(3/2))*1000)),IF(O333&lt;=cota_s*100+fi_s/20,0,(OFFSET('Base de dados'!$A$4,IF(O333&lt;20,1,IF(O333&gt;1000,10,MATCH(O333,Cargas,1))),Coluna_fis,1,1))*(PI()*(fi_s/1000)^2/4)*(2*9.81*(O333/100-cota_s-fi_s/2/1000))^0.5*1000)))</f>
        <v>0</v>
      </c>
      <c r="R333" s="38">
        <f t="shared" ca="1" si="77"/>
        <v>2.4165737402363527</v>
      </c>
      <c r="S333" s="38">
        <f t="shared" ca="1" si="78"/>
        <v>103.75</v>
      </c>
      <c r="AD333" s="38" t="str">
        <f t="shared" si="88"/>
        <v/>
      </c>
      <c r="AE333" s="38" t="str">
        <f t="shared" si="89"/>
        <v/>
      </c>
      <c r="AF333" s="38" t="str">
        <f>IF(ISERROR(IF('Hidrograma afluente'!I340="",0,'Hidrograma afluente'!I340)+Simulação!G333),"",IF('Hidrograma afluente'!I340="",0,'Hidrograma afluente'!I340)+Simulação!G333)</f>
        <v/>
      </c>
      <c r="AG333" s="36" t="s">
        <v>182</v>
      </c>
      <c r="AH333" s="36" t="s">
        <v>182</v>
      </c>
      <c r="AI333" s="48" t="s">
        <v>182</v>
      </c>
      <c r="AJ333" s="36" t="s">
        <v>182</v>
      </c>
      <c r="AK333" s="38" t="str">
        <f>IF(A333="","",IF('Hidrograma afluente'!I340="",0,'Hidrograma afluente'!I340)+Simulação!B333)</f>
        <v/>
      </c>
    </row>
    <row r="334" spans="1:37" s="36" customFormat="1">
      <c r="A334" s="23" t="str">
        <f t="shared" si="79"/>
        <v/>
      </c>
      <c r="B334" s="24" t="str">
        <f>IF(A334="","",IF(A334&gt;tc_lot_i+tc,0,IF('Hidrograma afluente'!B341="","",'Hidrograma afluente'!B341)))</f>
        <v/>
      </c>
      <c r="C334" s="41" t="str">
        <f t="shared" si="80"/>
        <v/>
      </c>
      <c r="D334" s="41" t="str">
        <f t="shared" si="81"/>
        <v/>
      </c>
      <c r="E334" s="41" t="str">
        <f t="shared" si="82"/>
        <v/>
      </c>
      <c r="F334" s="41" t="str">
        <f t="shared" si="83"/>
        <v/>
      </c>
      <c r="G334" s="41" t="str">
        <f t="shared" si="84"/>
        <v/>
      </c>
      <c r="H334" s="43" t="str">
        <f t="shared" si="75"/>
        <v/>
      </c>
      <c r="I334" s="42" t="str">
        <f t="shared" si="85"/>
        <v/>
      </c>
      <c r="J334" s="18"/>
      <c r="K334" s="76"/>
      <c r="M334" s="132">
        <f t="shared" ca="1" si="76"/>
        <v>106.48278914746126</v>
      </c>
      <c r="N334" s="38">
        <f t="shared" si="86"/>
        <v>3.1218750000000002</v>
      </c>
      <c r="O334" s="36">
        <f t="shared" si="87"/>
        <v>83.25</v>
      </c>
      <c r="P334" s="38">
        <f ca="1">IF(ISERROR(IF(O334&lt;fi_h/20,0,(OFFSET('Base de dados'!$A$5,IF(O334&lt;20,1,IF(O334&gt;1000,10,MATCH(O334,Cargas,1))),Coluna_fih,1,1))*(1+0.13*0.25)*(PI()*(fi_h/1000)^2/4)*SQRT(2*9.81*(O334/100-fi_h/2/1000))*1000)),"",IF(O334&lt;fi_h/20,0,(OFFSET('Base de dados'!$A$5,IF(O334&lt;20,1,IF(O334&gt;1000,10,MATCH(O334,Cargas,1))),Coluna_fih,1,1))*(PI()*(fi_h/1000)^2/4)*SQRT(2*9.81*(O334/100-fi_h/2/1000))*1000))</f>
        <v>2.4202891474612542</v>
      </c>
      <c r="Q334" s="38">
        <f ca="1">IF(O334="","",IF(Tipo_Vertedor="Retangular",IF(O334&lt;=cota_s*100,0,IF(Tipo_Vertedor="Retangular",Cd_sr*Lef_sr*((O334/100-cota_s)^(3/2))*1000)),IF(O334&lt;=cota_s*100+fi_s/20,0,(OFFSET('Base de dados'!$A$4,IF(O334&lt;20,1,IF(O334&gt;1000,10,MATCH(O334,Cargas,1))),Coluna_fis,1,1))*(PI()*(fi_s/1000)^2/4)*(2*9.81*(O334/100-cota_s-fi_s/2/1000))^0.5*1000)))</f>
        <v>0</v>
      </c>
      <c r="R334" s="38">
        <f t="shared" ca="1" si="77"/>
        <v>2.4202891474612542</v>
      </c>
      <c r="S334" s="38">
        <f t="shared" ca="1" si="78"/>
        <v>104.0625</v>
      </c>
      <c r="AD334" s="38" t="str">
        <f t="shared" si="88"/>
        <v/>
      </c>
      <c r="AE334" s="38" t="str">
        <f t="shared" si="89"/>
        <v/>
      </c>
      <c r="AF334" s="38" t="str">
        <f>IF(ISERROR(IF('Hidrograma afluente'!I341="",0,'Hidrograma afluente'!I341)+Simulação!G334),"",IF('Hidrograma afluente'!I341="",0,'Hidrograma afluente'!I341)+Simulação!G334)</f>
        <v/>
      </c>
      <c r="AG334" s="36" t="s">
        <v>182</v>
      </c>
      <c r="AH334" s="36" t="s">
        <v>182</v>
      </c>
      <c r="AI334" s="48" t="s">
        <v>182</v>
      </c>
      <c r="AJ334" s="36" t="s">
        <v>182</v>
      </c>
      <c r="AK334" s="38" t="str">
        <f>IF(A334="","",IF('Hidrograma afluente'!I341="",0,'Hidrograma afluente'!I341)+Simulação!B334)</f>
        <v/>
      </c>
    </row>
    <row r="335" spans="1:37" s="36" customFormat="1">
      <c r="A335" s="23" t="str">
        <f t="shared" si="79"/>
        <v/>
      </c>
      <c r="B335" s="24" t="str">
        <f>IF(A335="","",IF(A335&gt;tc_lot_i+tc,0,IF('Hidrograma afluente'!B342="","",'Hidrograma afluente'!B342)))</f>
        <v/>
      </c>
      <c r="C335" s="41" t="str">
        <f t="shared" si="80"/>
        <v/>
      </c>
      <c r="D335" s="41" t="str">
        <f t="shared" si="81"/>
        <v/>
      </c>
      <c r="E335" s="41" t="str">
        <f t="shared" si="82"/>
        <v/>
      </c>
      <c r="F335" s="41" t="str">
        <f t="shared" si="83"/>
        <v/>
      </c>
      <c r="G335" s="41" t="str">
        <f t="shared" si="84"/>
        <v/>
      </c>
      <c r="H335" s="43" t="str">
        <f t="shared" si="75"/>
        <v/>
      </c>
      <c r="I335" s="42" t="str">
        <f t="shared" si="85"/>
        <v/>
      </c>
      <c r="J335" s="18"/>
      <c r="K335" s="76"/>
      <c r="M335" s="132">
        <f t="shared" ca="1" si="76"/>
        <v>106.7989988598672</v>
      </c>
      <c r="N335" s="38">
        <f t="shared" si="86"/>
        <v>3.1312499999999996</v>
      </c>
      <c r="O335" s="36">
        <f t="shared" si="87"/>
        <v>83.5</v>
      </c>
      <c r="P335" s="38">
        <f ca="1">IF(ISERROR(IF(O335&lt;fi_h/20,0,(OFFSET('Base de dados'!$A$5,IF(O335&lt;20,1,IF(O335&gt;1000,10,MATCH(O335,Cargas,1))),Coluna_fih,1,1))*(1+0.13*0.25)*(PI()*(fi_h/1000)^2/4)*SQRT(2*9.81*(O335/100-fi_h/2/1000))*1000)),"",IF(O335&lt;fi_h/20,0,(OFFSET('Base de dados'!$A$5,IF(O335&lt;20,1,IF(O335&gt;1000,10,MATCH(O335,Cargas,1))),Coluna_fih,1,1))*(PI()*(fi_h/1000)^2/4)*SQRT(2*9.81*(O335/100-fi_h/2/1000))*1000))</f>
        <v>2.4239988598672095</v>
      </c>
      <c r="Q335" s="38">
        <f ca="1">IF(O335="","",IF(Tipo_Vertedor="Retangular",IF(O335&lt;=cota_s*100,0,IF(Tipo_Vertedor="Retangular",Cd_sr*Lef_sr*((O335/100-cota_s)^(3/2))*1000)),IF(O335&lt;=cota_s*100+fi_s/20,0,(OFFSET('Base de dados'!$A$4,IF(O335&lt;20,1,IF(O335&gt;1000,10,MATCH(O335,Cargas,1))),Coluna_fis,1,1))*(PI()*(fi_s/1000)^2/4)*(2*9.81*(O335/100-cota_s-fi_s/2/1000))^0.5*1000)))</f>
        <v>0</v>
      </c>
      <c r="R335" s="38">
        <f t="shared" ca="1" si="77"/>
        <v>2.4239988598672095</v>
      </c>
      <c r="S335" s="38">
        <f t="shared" ca="1" si="78"/>
        <v>104.37499999999999</v>
      </c>
      <c r="AD335" s="38" t="str">
        <f t="shared" si="88"/>
        <v/>
      </c>
      <c r="AE335" s="38" t="str">
        <f t="shared" si="89"/>
        <v/>
      </c>
      <c r="AF335" s="38" t="str">
        <f>IF(ISERROR(IF('Hidrograma afluente'!I342="",0,'Hidrograma afluente'!I342)+Simulação!G335),"",IF('Hidrograma afluente'!I342="",0,'Hidrograma afluente'!I342)+Simulação!G335)</f>
        <v/>
      </c>
      <c r="AG335" s="36" t="s">
        <v>182</v>
      </c>
      <c r="AH335" s="36" t="s">
        <v>182</v>
      </c>
      <c r="AI335" s="48" t="s">
        <v>182</v>
      </c>
      <c r="AJ335" s="36" t="s">
        <v>182</v>
      </c>
      <c r="AK335" s="38" t="str">
        <f>IF(A335="","",IF('Hidrograma afluente'!I342="",0,'Hidrograma afluente'!I342)+Simulação!B335)</f>
        <v/>
      </c>
    </row>
    <row r="336" spans="1:37" s="36" customFormat="1">
      <c r="A336" s="23" t="str">
        <f t="shared" si="79"/>
        <v/>
      </c>
      <c r="B336" s="24" t="str">
        <f>IF(A336="","",IF(A336&gt;tc_lot_i+tc,0,IF('Hidrograma afluente'!B343="","",'Hidrograma afluente'!B343)))</f>
        <v/>
      </c>
      <c r="C336" s="41" t="str">
        <f t="shared" si="80"/>
        <v/>
      </c>
      <c r="D336" s="41" t="str">
        <f t="shared" si="81"/>
        <v/>
      </c>
      <c r="E336" s="41" t="str">
        <f t="shared" si="82"/>
        <v/>
      </c>
      <c r="F336" s="41" t="str">
        <f t="shared" si="83"/>
        <v/>
      </c>
      <c r="G336" s="41" t="str">
        <f t="shared" si="84"/>
        <v/>
      </c>
      <c r="H336" s="43" t="str">
        <f t="shared" si="75"/>
        <v/>
      </c>
      <c r="I336" s="42" t="str">
        <f t="shared" si="85"/>
        <v/>
      </c>
      <c r="J336" s="18"/>
      <c r="K336" s="76"/>
      <c r="M336" s="132">
        <f t="shared" ca="1" si="76"/>
        <v>107.11520290356056</v>
      </c>
      <c r="N336" s="38">
        <f t="shared" si="86"/>
        <v>3.140625</v>
      </c>
      <c r="O336" s="36">
        <f t="shared" si="87"/>
        <v>83.75</v>
      </c>
      <c r="P336" s="38">
        <f ca="1">IF(ISERROR(IF(O336&lt;fi_h/20,0,(OFFSET('Base de dados'!$A$5,IF(O336&lt;20,1,IF(O336&gt;1000,10,MATCH(O336,Cargas,1))),Coluna_fih,1,1))*(1+0.13*0.25)*(PI()*(fi_h/1000)^2/4)*SQRT(2*9.81*(O336/100-fi_h/2/1000))*1000)),"",IF(O336&lt;fi_h/20,0,(OFFSET('Base de dados'!$A$5,IF(O336&lt;20,1,IF(O336&gt;1000,10,MATCH(O336,Cargas,1))),Coluna_fih,1,1))*(PI()*(fi_h/1000)^2/4)*SQRT(2*9.81*(O336/100-fi_h/2/1000))*1000))</f>
        <v>2.4277029035605526</v>
      </c>
      <c r="Q336" s="38">
        <f ca="1">IF(O336="","",IF(Tipo_Vertedor="Retangular",IF(O336&lt;=cota_s*100,0,IF(Tipo_Vertedor="Retangular",Cd_sr*Lef_sr*((O336/100-cota_s)^(3/2))*1000)),IF(O336&lt;=cota_s*100+fi_s/20,0,(OFFSET('Base de dados'!$A$4,IF(O336&lt;20,1,IF(O336&gt;1000,10,MATCH(O336,Cargas,1))),Coluna_fis,1,1))*(PI()*(fi_s/1000)^2/4)*(2*9.81*(O336/100-cota_s-fi_s/2/1000))^0.5*1000)))</f>
        <v>0</v>
      </c>
      <c r="R336" s="38">
        <f t="shared" ca="1" si="77"/>
        <v>2.4277029035605526</v>
      </c>
      <c r="S336" s="38">
        <f t="shared" ca="1" si="78"/>
        <v>104.6875</v>
      </c>
      <c r="AD336" s="38" t="str">
        <f t="shared" si="88"/>
        <v/>
      </c>
      <c r="AE336" s="38" t="str">
        <f t="shared" si="89"/>
        <v/>
      </c>
      <c r="AF336" s="38" t="str">
        <f>IF(ISERROR(IF('Hidrograma afluente'!I343="",0,'Hidrograma afluente'!I343)+Simulação!G336),"",IF('Hidrograma afluente'!I343="",0,'Hidrograma afluente'!I343)+Simulação!G336)</f>
        <v/>
      </c>
      <c r="AG336" s="36" t="s">
        <v>182</v>
      </c>
      <c r="AH336" s="36" t="s">
        <v>182</v>
      </c>
      <c r="AI336" s="48" t="s">
        <v>182</v>
      </c>
      <c r="AJ336" s="36" t="s">
        <v>182</v>
      </c>
      <c r="AK336" s="38" t="str">
        <f>IF(A336="","",IF('Hidrograma afluente'!I343="",0,'Hidrograma afluente'!I343)+Simulação!B336)</f>
        <v/>
      </c>
    </row>
    <row r="337" spans="1:37" s="36" customFormat="1">
      <c r="A337" s="23" t="str">
        <f t="shared" si="79"/>
        <v/>
      </c>
      <c r="B337" s="24" t="str">
        <f>IF(A337="","",IF(A337&gt;tc_lot_i+tc,0,IF('Hidrograma afluente'!B344="","",'Hidrograma afluente'!B344)))</f>
        <v/>
      </c>
      <c r="C337" s="41" t="str">
        <f t="shared" si="80"/>
        <v/>
      </c>
      <c r="D337" s="41" t="str">
        <f t="shared" si="81"/>
        <v/>
      </c>
      <c r="E337" s="41" t="str">
        <f t="shared" si="82"/>
        <v/>
      </c>
      <c r="F337" s="41" t="str">
        <f t="shared" si="83"/>
        <v/>
      </c>
      <c r="G337" s="41" t="str">
        <f t="shared" si="84"/>
        <v/>
      </c>
      <c r="H337" s="43" t="str">
        <f t="shared" si="75"/>
        <v/>
      </c>
      <c r="I337" s="42" t="str">
        <f t="shared" si="85"/>
        <v/>
      </c>
      <c r="J337" s="18"/>
      <c r="K337" s="76"/>
      <c r="M337" s="132">
        <f t="shared" ca="1" si="76"/>
        <v>107.43140130444877</v>
      </c>
      <c r="N337" s="38">
        <f t="shared" si="86"/>
        <v>3.15</v>
      </c>
      <c r="O337" s="36">
        <f t="shared" si="87"/>
        <v>84</v>
      </c>
      <c r="P337" s="38">
        <f ca="1">IF(ISERROR(IF(O337&lt;fi_h/20,0,(OFFSET('Base de dados'!$A$5,IF(O337&lt;20,1,IF(O337&gt;1000,10,MATCH(O337,Cargas,1))),Coluna_fih,1,1))*(1+0.13*0.25)*(PI()*(fi_h/1000)^2/4)*SQRT(2*9.81*(O337/100-fi_h/2/1000))*1000)),"",IF(O337&lt;fi_h/20,0,(OFFSET('Base de dados'!$A$5,IF(O337&lt;20,1,IF(O337&gt;1000,10,MATCH(O337,Cargas,1))),Coluna_fih,1,1))*(PI()*(fi_h/1000)^2/4)*SQRT(2*9.81*(O337/100-fi_h/2/1000))*1000))</f>
        <v>2.4314013044487632</v>
      </c>
      <c r="Q337" s="38">
        <f ca="1">IF(O337="","",IF(Tipo_Vertedor="Retangular",IF(O337&lt;=cota_s*100,0,IF(Tipo_Vertedor="Retangular",Cd_sr*Lef_sr*((O337/100-cota_s)^(3/2))*1000)),IF(O337&lt;=cota_s*100+fi_s/20,0,(OFFSET('Base de dados'!$A$4,IF(O337&lt;20,1,IF(O337&gt;1000,10,MATCH(O337,Cargas,1))),Coluna_fis,1,1))*(PI()*(fi_s/1000)^2/4)*(2*9.81*(O337/100-cota_s-fi_s/2/1000))^0.5*1000)))</f>
        <v>0</v>
      </c>
      <c r="R337" s="38">
        <f t="shared" ca="1" si="77"/>
        <v>2.4314013044487632</v>
      </c>
      <c r="S337" s="38">
        <f t="shared" ca="1" si="78"/>
        <v>105</v>
      </c>
      <c r="AD337" s="38" t="str">
        <f t="shared" si="88"/>
        <v/>
      </c>
      <c r="AE337" s="38" t="str">
        <f t="shared" si="89"/>
        <v/>
      </c>
      <c r="AF337" s="38" t="str">
        <f>IF(ISERROR(IF('Hidrograma afluente'!I344="",0,'Hidrograma afluente'!I344)+Simulação!G337),"",IF('Hidrograma afluente'!I344="",0,'Hidrograma afluente'!I344)+Simulação!G337)</f>
        <v/>
      </c>
      <c r="AG337" s="36" t="s">
        <v>182</v>
      </c>
      <c r="AH337" s="36" t="s">
        <v>182</v>
      </c>
      <c r="AI337" s="48" t="s">
        <v>182</v>
      </c>
      <c r="AJ337" s="36" t="s">
        <v>182</v>
      </c>
      <c r="AK337" s="38" t="str">
        <f>IF(A337="","",IF('Hidrograma afluente'!I344="",0,'Hidrograma afluente'!I344)+Simulação!B337)</f>
        <v/>
      </c>
    </row>
    <row r="338" spans="1:37" s="36" customFormat="1">
      <c r="A338" s="23" t="str">
        <f t="shared" si="79"/>
        <v/>
      </c>
      <c r="B338" s="24" t="str">
        <f>IF(A338="","",IF(A338&gt;tc_lot_i+tc,0,IF('Hidrograma afluente'!B345="","",'Hidrograma afluente'!B345)))</f>
        <v/>
      </c>
      <c r="C338" s="41" t="str">
        <f t="shared" si="80"/>
        <v/>
      </c>
      <c r="D338" s="41" t="str">
        <f t="shared" si="81"/>
        <v/>
      </c>
      <c r="E338" s="41" t="str">
        <f t="shared" si="82"/>
        <v/>
      </c>
      <c r="F338" s="41" t="str">
        <f t="shared" si="83"/>
        <v/>
      </c>
      <c r="G338" s="41" t="str">
        <f t="shared" si="84"/>
        <v/>
      </c>
      <c r="H338" s="43" t="str">
        <f t="shared" si="75"/>
        <v/>
      </c>
      <c r="I338" s="42" t="str">
        <f t="shared" si="85"/>
        <v/>
      </c>
      <c r="J338" s="18"/>
      <c r="K338" s="76"/>
      <c r="M338" s="132">
        <f t="shared" ca="1" si="76"/>
        <v>107.74759408824259</v>
      </c>
      <c r="N338" s="38">
        <f t="shared" si="86"/>
        <v>3.1593750000000003</v>
      </c>
      <c r="O338" s="36">
        <f t="shared" si="87"/>
        <v>84.25</v>
      </c>
      <c r="P338" s="38">
        <f ca="1">IF(ISERROR(IF(O338&lt;fi_h/20,0,(OFFSET('Base de dados'!$A$5,IF(O338&lt;20,1,IF(O338&gt;1000,10,MATCH(O338,Cargas,1))),Coluna_fih,1,1))*(1+0.13*0.25)*(PI()*(fi_h/1000)^2/4)*SQRT(2*9.81*(O338/100-fi_h/2/1000))*1000)),"",IF(O338&lt;fi_h/20,0,(OFFSET('Base de dados'!$A$5,IF(O338&lt;20,1,IF(O338&gt;1000,10,MATCH(O338,Cargas,1))),Coluna_fih,1,1))*(PI()*(fi_h/1000)^2/4)*SQRT(2*9.81*(O338/100-fi_h/2/1000))*1000))</f>
        <v>2.4350940882425789</v>
      </c>
      <c r="Q338" s="38">
        <f ca="1">IF(O338="","",IF(Tipo_Vertedor="Retangular",IF(O338&lt;=cota_s*100,0,IF(Tipo_Vertedor="Retangular",Cd_sr*Lef_sr*((O338/100-cota_s)^(3/2))*1000)),IF(O338&lt;=cota_s*100+fi_s/20,0,(OFFSET('Base de dados'!$A$4,IF(O338&lt;20,1,IF(O338&gt;1000,10,MATCH(O338,Cargas,1))),Coluna_fis,1,1))*(PI()*(fi_s/1000)^2/4)*(2*9.81*(O338/100-cota_s-fi_s/2/1000))^0.5*1000)))</f>
        <v>0</v>
      </c>
      <c r="R338" s="38">
        <f t="shared" ca="1" si="77"/>
        <v>2.4350940882425789</v>
      </c>
      <c r="S338" s="38">
        <f t="shared" ca="1" si="78"/>
        <v>105.31250000000001</v>
      </c>
      <c r="AD338" s="38" t="str">
        <f t="shared" si="88"/>
        <v/>
      </c>
      <c r="AE338" s="38" t="str">
        <f t="shared" si="89"/>
        <v/>
      </c>
      <c r="AF338" s="38" t="str">
        <f>IF(ISERROR(IF('Hidrograma afluente'!I345="",0,'Hidrograma afluente'!I345)+Simulação!G338),"",IF('Hidrograma afluente'!I345="",0,'Hidrograma afluente'!I345)+Simulação!G338)</f>
        <v/>
      </c>
      <c r="AG338" s="36" t="s">
        <v>182</v>
      </c>
      <c r="AH338" s="36" t="s">
        <v>182</v>
      </c>
      <c r="AI338" s="48" t="s">
        <v>182</v>
      </c>
      <c r="AJ338" s="36" t="s">
        <v>182</v>
      </c>
      <c r="AK338" s="38" t="str">
        <f>IF(A338="","",IF('Hidrograma afluente'!I345="",0,'Hidrograma afluente'!I345)+Simulação!B338)</f>
        <v/>
      </c>
    </row>
    <row r="339" spans="1:37" s="36" customFormat="1">
      <c r="A339" s="23" t="str">
        <f t="shared" si="79"/>
        <v/>
      </c>
      <c r="B339" s="24" t="str">
        <f>IF(A339="","",IF(A339&gt;tc_lot_i+tc,0,IF('Hidrograma afluente'!B346="","",'Hidrograma afluente'!B346)))</f>
        <v/>
      </c>
      <c r="C339" s="41" t="str">
        <f t="shared" si="80"/>
        <v/>
      </c>
      <c r="D339" s="41" t="str">
        <f t="shared" si="81"/>
        <v/>
      </c>
      <c r="E339" s="41" t="str">
        <f t="shared" si="82"/>
        <v/>
      </c>
      <c r="F339" s="41" t="str">
        <f t="shared" si="83"/>
        <v/>
      </c>
      <c r="G339" s="41" t="str">
        <f t="shared" si="84"/>
        <v/>
      </c>
      <c r="H339" s="43" t="str">
        <f t="shared" si="75"/>
        <v/>
      </c>
      <c r="I339" s="42" t="str">
        <f t="shared" si="85"/>
        <v/>
      </c>
      <c r="J339" s="18"/>
      <c r="K339" s="76"/>
      <c r="M339" s="132">
        <f t="shared" ca="1" si="76"/>
        <v>108.06378128045807</v>
      </c>
      <c r="N339" s="38">
        <f t="shared" si="86"/>
        <v>3.1687499999999997</v>
      </c>
      <c r="O339" s="36">
        <f t="shared" si="87"/>
        <v>84.5</v>
      </c>
      <c r="P339" s="38">
        <f ca="1">IF(ISERROR(IF(O339&lt;fi_h/20,0,(OFFSET('Base de dados'!$A$5,IF(O339&lt;20,1,IF(O339&gt;1000,10,MATCH(O339,Cargas,1))),Coluna_fih,1,1))*(1+0.13*0.25)*(PI()*(fi_h/1000)^2/4)*SQRT(2*9.81*(O339/100-fi_h/2/1000))*1000)),"",IF(O339&lt;fi_h/20,0,(OFFSET('Base de dados'!$A$5,IF(O339&lt;20,1,IF(O339&gt;1000,10,MATCH(O339,Cargas,1))),Coluna_fih,1,1))*(PI()*(fi_h/1000)^2/4)*SQRT(2*9.81*(O339/100-fi_h/2/1000))*1000))</f>
        <v>2.4387812804580826</v>
      </c>
      <c r="Q339" s="38">
        <f ca="1">IF(O339="","",IF(Tipo_Vertedor="Retangular",IF(O339&lt;=cota_s*100,0,IF(Tipo_Vertedor="Retangular",Cd_sr*Lef_sr*((O339/100-cota_s)^(3/2))*1000)),IF(O339&lt;=cota_s*100+fi_s/20,0,(OFFSET('Base de dados'!$A$4,IF(O339&lt;20,1,IF(O339&gt;1000,10,MATCH(O339,Cargas,1))),Coluna_fis,1,1))*(PI()*(fi_s/1000)^2/4)*(2*9.81*(O339/100-cota_s-fi_s/2/1000))^0.5*1000)))</f>
        <v>0</v>
      </c>
      <c r="R339" s="38">
        <f t="shared" ca="1" si="77"/>
        <v>2.4387812804580826</v>
      </c>
      <c r="S339" s="38">
        <f t="shared" ca="1" si="78"/>
        <v>105.62499999999999</v>
      </c>
      <c r="AD339" s="38" t="str">
        <f t="shared" si="88"/>
        <v/>
      </c>
      <c r="AE339" s="38" t="str">
        <f t="shared" si="89"/>
        <v/>
      </c>
      <c r="AF339" s="38" t="str">
        <f>IF(ISERROR(IF('Hidrograma afluente'!I346="",0,'Hidrograma afluente'!I346)+Simulação!G339),"",IF('Hidrograma afluente'!I346="",0,'Hidrograma afluente'!I346)+Simulação!G339)</f>
        <v/>
      </c>
      <c r="AG339" s="36" t="s">
        <v>182</v>
      </c>
      <c r="AH339" s="36" t="s">
        <v>182</v>
      </c>
      <c r="AI339" s="48" t="s">
        <v>182</v>
      </c>
      <c r="AJ339" s="36" t="s">
        <v>182</v>
      </c>
      <c r="AK339" s="38" t="str">
        <f>IF(A339="","",IF('Hidrograma afluente'!I346="",0,'Hidrograma afluente'!I346)+Simulação!B339)</f>
        <v/>
      </c>
    </row>
    <row r="340" spans="1:37" s="36" customFormat="1">
      <c r="A340" s="23" t="str">
        <f t="shared" si="79"/>
        <v/>
      </c>
      <c r="B340" s="24" t="str">
        <f>IF(A340="","",IF(A340&gt;tc_lot_i+tc,0,IF('Hidrograma afluente'!B347="","",'Hidrograma afluente'!B347)))</f>
        <v/>
      </c>
      <c r="C340" s="41" t="str">
        <f t="shared" si="80"/>
        <v/>
      </c>
      <c r="D340" s="41" t="str">
        <f t="shared" si="81"/>
        <v/>
      </c>
      <c r="E340" s="41" t="str">
        <f t="shared" si="82"/>
        <v/>
      </c>
      <c r="F340" s="41" t="str">
        <f t="shared" si="83"/>
        <v/>
      </c>
      <c r="G340" s="41" t="str">
        <f t="shared" si="84"/>
        <v/>
      </c>
      <c r="H340" s="43" t="str">
        <f t="shared" si="75"/>
        <v/>
      </c>
      <c r="I340" s="42" t="str">
        <f t="shared" si="85"/>
        <v/>
      </c>
      <c r="J340" s="18"/>
      <c r="K340" s="76"/>
      <c r="M340" s="132">
        <f t="shared" ca="1" si="76"/>
        <v>108.37996290641875</v>
      </c>
      <c r="N340" s="38">
        <f t="shared" si="86"/>
        <v>3.1781250000000001</v>
      </c>
      <c r="O340" s="36">
        <f t="shared" si="87"/>
        <v>84.75</v>
      </c>
      <c r="P340" s="38">
        <f ca="1">IF(ISERROR(IF(O340&lt;fi_h/20,0,(OFFSET('Base de dados'!$A$5,IF(O340&lt;20,1,IF(O340&gt;1000,10,MATCH(O340,Cargas,1))),Coluna_fih,1,1))*(1+0.13*0.25)*(PI()*(fi_h/1000)^2/4)*SQRT(2*9.81*(O340/100-fi_h/2/1000))*1000)),"",IF(O340&lt;fi_h/20,0,(OFFSET('Base de dados'!$A$5,IF(O340&lt;20,1,IF(O340&gt;1000,10,MATCH(O340,Cargas,1))),Coluna_fih,1,1))*(PI()*(fi_h/1000)^2/4)*SQRT(2*9.81*(O340/100-fi_h/2/1000))*1000))</f>
        <v>2.4424629064187595</v>
      </c>
      <c r="Q340" s="38">
        <f ca="1">IF(O340="","",IF(Tipo_Vertedor="Retangular",IF(O340&lt;=cota_s*100,0,IF(Tipo_Vertedor="Retangular",Cd_sr*Lef_sr*((O340/100-cota_s)^(3/2))*1000)),IF(O340&lt;=cota_s*100+fi_s/20,0,(OFFSET('Base de dados'!$A$4,IF(O340&lt;20,1,IF(O340&gt;1000,10,MATCH(O340,Cargas,1))),Coluna_fis,1,1))*(PI()*(fi_s/1000)^2/4)*(2*9.81*(O340/100-cota_s-fi_s/2/1000))^0.5*1000)))</f>
        <v>0</v>
      </c>
      <c r="R340" s="38">
        <f t="shared" ca="1" si="77"/>
        <v>2.4424629064187595</v>
      </c>
      <c r="S340" s="38">
        <f t="shared" ca="1" si="78"/>
        <v>105.9375</v>
      </c>
      <c r="AD340" s="38" t="str">
        <f t="shared" si="88"/>
        <v/>
      </c>
      <c r="AE340" s="38" t="str">
        <f t="shared" si="89"/>
        <v/>
      </c>
      <c r="AF340" s="38" t="str">
        <f>IF(ISERROR(IF('Hidrograma afluente'!I347="",0,'Hidrograma afluente'!I347)+Simulação!G340),"",IF('Hidrograma afluente'!I347="",0,'Hidrograma afluente'!I347)+Simulação!G340)</f>
        <v/>
      </c>
      <c r="AG340" s="36" t="s">
        <v>182</v>
      </c>
      <c r="AH340" s="36" t="s">
        <v>182</v>
      </c>
      <c r="AI340" s="48" t="s">
        <v>182</v>
      </c>
      <c r="AJ340" s="36" t="s">
        <v>182</v>
      </c>
      <c r="AK340" s="38" t="str">
        <f>IF(A340="","",IF('Hidrograma afluente'!I347="",0,'Hidrograma afluente'!I347)+Simulação!B340)</f>
        <v/>
      </c>
    </row>
    <row r="341" spans="1:37" s="36" customFormat="1">
      <c r="A341" s="23" t="str">
        <f t="shared" si="79"/>
        <v/>
      </c>
      <c r="B341" s="24" t="str">
        <f>IF(A341="","",IF(A341&gt;tc_lot_i+tc,0,IF('Hidrograma afluente'!B348="","",'Hidrograma afluente'!B348)))</f>
        <v/>
      </c>
      <c r="C341" s="41" t="str">
        <f t="shared" si="80"/>
        <v/>
      </c>
      <c r="D341" s="41" t="str">
        <f t="shared" si="81"/>
        <v/>
      </c>
      <c r="E341" s="41" t="str">
        <f t="shared" si="82"/>
        <v/>
      </c>
      <c r="F341" s="41" t="str">
        <f t="shared" si="83"/>
        <v/>
      </c>
      <c r="G341" s="41" t="str">
        <f t="shared" si="84"/>
        <v/>
      </c>
      <c r="H341" s="43" t="str">
        <f t="shared" si="75"/>
        <v/>
      </c>
      <c r="I341" s="42" t="str">
        <f t="shared" si="85"/>
        <v/>
      </c>
      <c r="J341" s="18"/>
      <c r="K341" s="76"/>
      <c r="M341" s="132">
        <f t="shared" ca="1" si="76"/>
        <v>108.69613899125753</v>
      </c>
      <c r="N341" s="38">
        <f t="shared" si="86"/>
        <v>3.1875</v>
      </c>
      <c r="O341" s="36">
        <f t="shared" si="87"/>
        <v>85</v>
      </c>
      <c r="P341" s="38">
        <f ca="1">IF(ISERROR(IF(O341&lt;fi_h/20,0,(OFFSET('Base de dados'!$A$5,IF(O341&lt;20,1,IF(O341&gt;1000,10,MATCH(O341,Cargas,1))),Coluna_fih,1,1))*(1+0.13*0.25)*(PI()*(fi_h/1000)^2/4)*SQRT(2*9.81*(O341/100-fi_h/2/1000))*1000)),"",IF(O341&lt;fi_h/20,0,(OFFSET('Base de dados'!$A$5,IF(O341&lt;20,1,IF(O341&gt;1000,10,MATCH(O341,Cargas,1))),Coluna_fih,1,1))*(PI()*(fi_h/1000)^2/4)*SQRT(2*9.81*(O341/100-fi_h/2/1000))*1000))</f>
        <v>2.4461389912575249</v>
      </c>
      <c r="Q341" s="38">
        <f ca="1">IF(O341="","",IF(Tipo_Vertedor="Retangular",IF(O341&lt;=cota_s*100,0,IF(Tipo_Vertedor="Retangular",Cd_sr*Lef_sr*((O341/100-cota_s)^(3/2))*1000)),IF(O341&lt;=cota_s*100+fi_s/20,0,(OFFSET('Base de dados'!$A$4,IF(O341&lt;20,1,IF(O341&gt;1000,10,MATCH(O341,Cargas,1))),Coluna_fis,1,1))*(PI()*(fi_s/1000)^2/4)*(2*9.81*(O341/100-cota_s-fi_s/2/1000))^0.5*1000)))</f>
        <v>0</v>
      </c>
      <c r="R341" s="38">
        <f t="shared" ca="1" si="77"/>
        <v>2.4461389912575249</v>
      </c>
      <c r="S341" s="38">
        <f t="shared" ca="1" si="78"/>
        <v>106.25</v>
      </c>
      <c r="AD341" s="38" t="str">
        <f t="shared" si="88"/>
        <v/>
      </c>
      <c r="AE341" s="38" t="str">
        <f t="shared" si="89"/>
        <v/>
      </c>
      <c r="AF341" s="38" t="str">
        <f>IF(ISERROR(IF('Hidrograma afluente'!I348="",0,'Hidrograma afluente'!I348)+Simulação!G341),"",IF('Hidrograma afluente'!I348="",0,'Hidrograma afluente'!I348)+Simulação!G341)</f>
        <v/>
      </c>
      <c r="AG341" s="36" t="s">
        <v>182</v>
      </c>
      <c r="AH341" s="36" t="s">
        <v>182</v>
      </c>
      <c r="AI341" s="48" t="s">
        <v>182</v>
      </c>
      <c r="AJ341" s="36" t="s">
        <v>182</v>
      </c>
      <c r="AK341" s="38" t="str">
        <f>IF(A341="","",IF('Hidrograma afluente'!I348="",0,'Hidrograma afluente'!I348)+Simulação!B341)</f>
        <v/>
      </c>
    </row>
    <row r="342" spans="1:37" s="36" customFormat="1">
      <c r="A342" s="23" t="str">
        <f t="shared" si="79"/>
        <v/>
      </c>
      <c r="B342" s="24" t="str">
        <f>IF(A342="","",IF(A342&gt;tc_lot_i+tc,0,IF('Hidrograma afluente'!B349="","",'Hidrograma afluente'!B349)))</f>
        <v/>
      </c>
      <c r="C342" s="41" t="str">
        <f t="shared" si="80"/>
        <v/>
      </c>
      <c r="D342" s="41" t="str">
        <f t="shared" si="81"/>
        <v/>
      </c>
      <c r="E342" s="41" t="str">
        <f t="shared" si="82"/>
        <v/>
      </c>
      <c r="F342" s="41" t="str">
        <f t="shared" si="83"/>
        <v/>
      </c>
      <c r="G342" s="41" t="str">
        <f t="shared" si="84"/>
        <v/>
      </c>
      <c r="H342" s="43" t="str">
        <f t="shared" si="75"/>
        <v/>
      </c>
      <c r="I342" s="42" t="str">
        <f t="shared" si="85"/>
        <v/>
      </c>
      <c r="J342" s="18"/>
      <c r="K342" s="76"/>
      <c r="M342" s="132">
        <f t="shared" ca="1" si="76"/>
        <v>109.01230955991875</v>
      </c>
      <c r="N342" s="38">
        <f t="shared" si="86"/>
        <v>3.1968750000000004</v>
      </c>
      <c r="O342" s="36">
        <f t="shared" si="87"/>
        <v>85.25</v>
      </c>
      <c r="P342" s="38">
        <f ca="1">IF(ISERROR(IF(O342&lt;fi_h/20,0,(OFFSET('Base de dados'!$A$5,IF(O342&lt;20,1,IF(O342&gt;1000,10,MATCH(O342,Cargas,1))),Coluna_fih,1,1))*(1+0.13*0.25)*(PI()*(fi_h/1000)^2/4)*SQRT(2*9.81*(O342/100-fi_h/2/1000))*1000)),"",IF(O342&lt;fi_h/20,0,(OFFSET('Base de dados'!$A$5,IF(O342&lt;20,1,IF(O342&gt;1000,10,MATCH(O342,Cargas,1))),Coluna_fih,1,1))*(PI()*(fi_h/1000)^2/4)*SQRT(2*9.81*(O342/100-fi_h/2/1000))*1000))</f>
        <v>2.4498095599187271</v>
      </c>
      <c r="Q342" s="38">
        <f ca="1">IF(O342="","",IF(Tipo_Vertedor="Retangular",IF(O342&lt;=cota_s*100,0,IF(Tipo_Vertedor="Retangular",Cd_sr*Lef_sr*((O342/100-cota_s)^(3/2))*1000)),IF(O342&lt;=cota_s*100+fi_s/20,0,(OFFSET('Base de dados'!$A$4,IF(O342&lt;20,1,IF(O342&gt;1000,10,MATCH(O342,Cargas,1))),Coluna_fis,1,1))*(PI()*(fi_s/1000)^2/4)*(2*9.81*(O342/100-cota_s-fi_s/2/1000))^0.5*1000)))</f>
        <v>0</v>
      </c>
      <c r="R342" s="38">
        <f t="shared" ca="1" si="77"/>
        <v>2.4498095599187271</v>
      </c>
      <c r="S342" s="38">
        <f t="shared" ca="1" si="78"/>
        <v>106.56250000000001</v>
      </c>
      <c r="AD342" s="38" t="str">
        <f t="shared" si="88"/>
        <v/>
      </c>
      <c r="AE342" s="38" t="str">
        <f t="shared" si="89"/>
        <v/>
      </c>
      <c r="AF342" s="38" t="str">
        <f>IF(ISERROR(IF('Hidrograma afluente'!I349="",0,'Hidrograma afluente'!I349)+Simulação!G342),"",IF('Hidrograma afluente'!I349="",0,'Hidrograma afluente'!I349)+Simulação!G342)</f>
        <v/>
      </c>
      <c r="AG342" s="36" t="s">
        <v>182</v>
      </c>
      <c r="AH342" s="36" t="s">
        <v>182</v>
      </c>
      <c r="AI342" s="48" t="s">
        <v>182</v>
      </c>
      <c r="AJ342" s="36" t="s">
        <v>182</v>
      </c>
      <c r="AK342" s="38" t="str">
        <f>IF(A342="","",IF('Hidrograma afluente'!I349="",0,'Hidrograma afluente'!I349)+Simulação!B342)</f>
        <v/>
      </c>
    </row>
    <row r="343" spans="1:37" s="36" customFormat="1">
      <c r="A343" s="23" t="str">
        <f t="shared" si="79"/>
        <v/>
      </c>
      <c r="B343" s="24" t="str">
        <f>IF(A343="","",IF(A343&gt;tc_lot_i+tc,0,IF('Hidrograma afluente'!B350="","",'Hidrograma afluente'!B350)))</f>
        <v/>
      </c>
      <c r="C343" s="41" t="str">
        <f t="shared" si="80"/>
        <v/>
      </c>
      <c r="D343" s="41" t="str">
        <f t="shared" si="81"/>
        <v/>
      </c>
      <c r="E343" s="41" t="str">
        <f t="shared" si="82"/>
        <v/>
      </c>
      <c r="F343" s="41" t="str">
        <f t="shared" si="83"/>
        <v/>
      </c>
      <c r="G343" s="41" t="str">
        <f t="shared" si="84"/>
        <v/>
      </c>
      <c r="H343" s="43" t="str">
        <f t="shared" si="75"/>
        <v/>
      </c>
      <c r="I343" s="42" t="str">
        <f t="shared" si="85"/>
        <v/>
      </c>
      <c r="J343" s="18"/>
      <c r="K343" s="76"/>
      <c r="M343" s="132">
        <f t="shared" ca="1" si="76"/>
        <v>109.32847463716013</v>
      </c>
      <c r="N343" s="38">
        <f t="shared" si="86"/>
        <v>3.2062499999999998</v>
      </c>
      <c r="O343" s="36">
        <f t="shared" si="87"/>
        <v>85.5</v>
      </c>
      <c r="P343" s="38">
        <f ca="1">IF(ISERROR(IF(O343&lt;fi_h/20,0,(OFFSET('Base de dados'!$A$5,IF(O343&lt;20,1,IF(O343&gt;1000,10,MATCH(O343,Cargas,1))),Coluna_fih,1,1))*(1+0.13*0.25)*(PI()*(fi_h/1000)^2/4)*SQRT(2*9.81*(O343/100-fi_h/2/1000))*1000)),"",IF(O343&lt;fi_h/20,0,(OFFSET('Base de dados'!$A$5,IF(O343&lt;20,1,IF(O343&gt;1000,10,MATCH(O343,Cargas,1))),Coluna_fih,1,1))*(PI()*(fi_h/1000)^2/4)*SQRT(2*9.81*(O343/100-fi_h/2/1000))*1000))</f>
        <v>2.4534746371601228</v>
      </c>
      <c r="Q343" s="38">
        <f ca="1">IF(O343="","",IF(Tipo_Vertedor="Retangular",IF(O343&lt;=cota_s*100,0,IF(Tipo_Vertedor="Retangular",Cd_sr*Lef_sr*((O343/100-cota_s)^(3/2))*1000)),IF(O343&lt;=cota_s*100+fi_s/20,0,(OFFSET('Base de dados'!$A$4,IF(O343&lt;20,1,IF(O343&gt;1000,10,MATCH(O343,Cargas,1))),Coluna_fis,1,1))*(PI()*(fi_s/1000)^2/4)*(2*9.81*(O343/100-cota_s-fi_s/2/1000))^0.5*1000)))</f>
        <v>0</v>
      </c>
      <c r="R343" s="38">
        <f t="shared" ca="1" si="77"/>
        <v>2.4534746371601228</v>
      </c>
      <c r="S343" s="38">
        <f t="shared" ca="1" si="78"/>
        <v>106.875</v>
      </c>
      <c r="AD343" s="38" t="str">
        <f t="shared" si="88"/>
        <v/>
      </c>
      <c r="AE343" s="38" t="str">
        <f t="shared" si="89"/>
        <v/>
      </c>
      <c r="AF343" s="38" t="str">
        <f>IF(ISERROR(IF('Hidrograma afluente'!I350="",0,'Hidrograma afluente'!I350)+Simulação!G343),"",IF('Hidrograma afluente'!I350="",0,'Hidrograma afluente'!I350)+Simulação!G343)</f>
        <v/>
      </c>
      <c r="AG343" s="36" t="s">
        <v>182</v>
      </c>
      <c r="AH343" s="36" t="s">
        <v>182</v>
      </c>
      <c r="AI343" s="48" t="s">
        <v>182</v>
      </c>
      <c r="AJ343" s="36" t="s">
        <v>182</v>
      </c>
      <c r="AK343" s="38" t="str">
        <f>IF(A343="","",IF('Hidrograma afluente'!I350="",0,'Hidrograma afluente'!I350)+Simulação!B343)</f>
        <v/>
      </c>
    </row>
    <row r="344" spans="1:37" s="36" customFormat="1">
      <c r="A344" s="23" t="str">
        <f t="shared" si="79"/>
        <v/>
      </c>
      <c r="B344" s="24" t="str">
        <f>IF(A344="","",IF(A344&gt;tc_lot_i+tc,0,IF('Hidrograma afluente'!B351="","",'Hidrograma afluente'!B351)))</f>
        <v/>
      </c>
      <c r="C344" s="41" t="str">
        <f t="shared" si="80"/>
        <v/>
      </c>
      <c r="D344" s="41" t="str">
        <f t="shared" si="81"/>
        <v/>
      </c>
      <c r="E344" s="41" t="str">
        <f t="shared" si="82"/>
        <v/>
      </c>
      <c r="F344" s="41" t="str">
        <f t="shared" si="83"/>
        <v/>
      </c>
      <c r="G344" s="41" t="str">
        <f t="shared" si="84"/>
        <v/>
      </c>
      <c r="H344" s="43" t="str">
        <f t="shared" si="75"/>
        <v/>
      </c>
      <c r="I344" s="42" t="str">
        <f t="shared" si="85"/>
        <v/>
      </c>
      <c r="J344" s="18"/>
      <c r="K344" s="76"/>
      <c r="M344" s="132">
        <f t="shared" ca="1" si="76"/>
        <v>109.64463424755482</v>
      </c>
      <c r="N344" s="38">
        <f t="shared" si="86"/>
        <v>3.2156250000000002</v>
      </c>
      <c r="O344" s="36">
        <f t="shared" si="87"/>
        <v>85.75</v>
      </c>
      <c r="P344" s="38">
        <f ca="1">IF(ISERROR(IF(O344&lt;fi_h/20,0,(OFFSET('Base de dados'!$A$5,IF(O344&lt;20,1,IF(O344&gt;1000,10,MATCH(O344,Cargas,1))),Coluna_fih,1,1))*(1+0.13*0.25)*(PI()*(fi_h/1000)^2/4)*SQRT(2*9.81*(O344/100-fi_h/2/1000))*1000)),"",IF(O344&lt;fi_h/20,0,(OFFSET('Base de dados'!$A$5,IF(O344&lt;20,1,IF(O344&gt;1000,10,MATCH(O344,Cargas,1))),Coluna_fih,1,1))*(PI()*(fi_h/1000)^2/4)*SQRT(2*9.81*(O344/100-fi_h/2/1000))*1000))</f>
        <v>2.4571342475548232</v>
      </c>
      <c r="Q344" s="38">
        <f ca="1">IF(O344="","",IF(Tipo_Vertedor="Retangular",IF(O344&lt;=cota_s*100,0,IF(Tipo_Vertedor="Retangular",Cd_sr*Lef_sr*((O344/100-cota_s)^(3/2))*1000)),IF(O344&lt;=cota_s*100+fi_s/20,0,(OFFSET('Base de dados'!$A$4,IF(O344&lt;20,1,IF(O344&gt;1000,10,MATCH(O344,Cargas,1))),Coluna_fis,1,1))*(PI()*(fi_s/1000)^2/4)*(2*9.81*(O344/100-cota_s-fi_s/2/1000))^0.5*1000)))</f>
        <v>0</v>
      </c>
      <c r="R344" s="38">
        <f t="shared" ca="1" si="77"/>
        <v>2.4571342475548232</v>
      </c>
      <c r="S344" s="38">
        <f t="shared" ca="1" si="78"/>
        <v>107.1875</v>
      </c>
      <c r="AD344" s="38" t="str">
        <f t="shared" si="88"/>
        <v/>
      </c>
      <c r="AE344" s="38" t="str">
        <f t="shared" si="89"/>
        <v/>
      </c>
      <c r="AF344" s="38" t="str">
        <f>IF(ISERROR(IF('Hidrograma afluente'!I351="",0,'Hidrograma afluente'!I351)+Simulação!G344),"",IF('Hidrograma afluente'!I351="",0,'Hidrograma afluente'!I351)+Simulação!G344)</f>
        <v/>
      </c>
      <c r="AG344" s="36" t="s">
        <v>182</v>
      </c>
      <c r="AH344" s="36" t="s">
        <v>182</v>
      </c>
      <c r="AI344" s="48" t="s">
        <v>182</v>
      </c>
      <c r="AJ344" s="36" t="s">
        <v>182</v>
      </c>
      <c r="AK344" s="38" t="str">
        <f>IF(A344="","",IF('Hidrograma afluente'!I351="",0,'Hidrograma afluente'!I351)+Simulação!B344)</f>
        <v/>
      </c>
    </row>
    <row r="345" spans="1:37" s="36" customFormat="1">
      <c r="A345" s="23" t="str">
        <f t="shared" si="79"/>
        <v/>
      </c>
      <c r="B345" s="24" t="str">
        <f>IF(A345="","",IF(A345&gt;tc_lot_i+tc,0,IF('Hidrograma afluente'!B352="","",'Hidrograma afluente'!B352)))</f>
        <v/>
      </c>
      <c r="C345" s="41" t="str">
        <f t="shared" si="80"/>
        <v/>
      </c>
      <c r="D345" s="41" t="str">
        <f t="shared" si="81"/>
        <v/>
      </c>
      <c r="E345" s="41" t="str">
        <f t="shared" si="82"/>
        <v/>
      </c>
      <c r="F345" s="41" t="str">
        <f t="shared" si="83"/>
        <v/>
      </c>
      <c r="G345" s="41" t="str">
        <f t="shared" si="84"/>
        <v/>
      </c>
      <c r="H345" s="43" t="str">
        <f t="shared" si="75"/>
        <v/>
      </c>
      <c r="I345" s="42" t="str">
        <f t="shared" si="85"/>
        <v/>
      </c>
      <c r="J345" s="18"/>
      <c r="K345" s="76"/>
      <c r="M345" s="132">
        <f t="shared" ca="1" si="76"/>
        <v>109.96078841549321</v>
      </c>
      <c r="N345" s="38">
        <f t="shared" si="86"/>
        <v>3.2250000000000001</v>
      </c>
      <c r="O345" s="36">
        <f t="shared" si="87"/>
        <v>86</v>
      </c>
      <c r="P345" s="38">
        <f ca="1">IF(ISERROR(IF(O345&lt;fi_h/20,0,(OFFSET('Base de dados'!$A$5,IF(O345&lt;20,1,IF(O345&gt;1000,10,MATCH(O345,Cargas,1))),Coluna_fih,1,1))*(1+0.13*0.25)*(PI()*(fi_h/1000)^2/4)*SQRT(2*9.81*(O345/100-fi_h/2/1000))*1000)),"",IF(O345&lt;fi_h/20,0,(OFFSET('Base de dados'!$A$5,IF(O345&lt;20,1,IF(O345&gt;1000,10,MATCH(O345,Cargas,1))),Coluna_fih,1,1))*(PI()*(fi_h/1000)^2/4)*SQRT(2*9.81*(O345/100-fi_h/2/1000))*1000))</f>
        <v>2.4607884154932163</v>
      </c>
      <c r="Q345" s="38">
        <f ca="1">IF(O345="","",IF(Tipo_Vertedor="Retangular",IF(O345&lt;=cota_s*100,0,IF(Tipo_Vertedor="Retangular",Cd_sr*Lef_sr*((O345/100-cota_s)^(3/2))*1000)),IF(O345&lt;=cota_s*100+fi_s/20,0,(OFFSET('Base de dados'!$A$4,IF(O345&lt;20,1,IF(O345&gt;1000,10,MATCH(O345,Cargas,1))),Coluna_fis,1,1))*(PI()*(fi_s/1000)^2/4)*(2*9.81*(O345/100-cota_s-fi_s/2/1000))^0.5*1000)))</f>
        <v>0</v>
      </c>
      <c r="R345" s="38">
        <f t="shared" ca="1" si="77"/>
        <v>2.4607884154932163</v>
      </c>
      <c r="S345" s="38">
        <f t="shared" ca="1" si="78"/>
        <v>107.5</v>
      </c>
      <c r="AD345" s="38" t="str">
        <f t="shared" si="88"/>
        <v/>
      </c>
      <c r="AE345" s="38" t="str">
        <f t="shared" si="89"/>
        <v/>
      </c>
      <c r="AF345" s="38" t="str">
        <f>IF(ISERROR(IF('Hidrograma afluente'!I352="",0,'Hidrograma afluente'!I352)+Simulação!G345),"",IF('Hidrograma afluente'!I352="",0,'Hidrograma afluente'!I352)+Simulação!G345)</f>
        <v/>
      </c>
      <c r="AG345" s="36" t="s">
        <v>182</v>
      </c>
      <c r="AH345" s="36" t="s">
        <v>182</v>
      </c>
      <c r="AI345" s="48" t="s">
        <v>182</v>
      </c>
      <c r="AJ345" s="36" t="s">
        <v>182</v>
      </c>
      <c r="AK345" s="38" t="str">
        <f>IF(A345="","",IF('Hidrograma afluente'!I352="",0,'Hidrograma afluente'!I352)+Simulação!B345)</f>
        <v/>
      </c>
    </row>
    <row r="346" spans="1:37" s="36" customFormat="1">
      <c r="A346" s="23" t="str">
        <f t="shared" si="79"/>
        <v/>
      </c>
      <c r="B346" s="24" t="str">
        <f>IF(A346="","",IF(A346&gt;tc_lot_i+tc,0,IF('Hidrograma afluente'!B353="","",'Hidrograma afluente'!B353)))</f>
        <v/>
      </c>
      <c r="C346" s="41" t="str">
        <f t="shared" si="80"/>
        <v/>
      </c>
      <c r="D346" s="41" t="str">
        <f t="shared" si="81"/>
        <v/>
      </c>
      <c r="E346" s="41" t="str">
        <f t="shared" si="82"/>
        <v/>
      </c>
      <c r="F346" s="41" t="str">
        <f t="shared" si="83"/>
        <v/>
      </c>
      <c r="G346" s="41" t="str">
        <f t="shared" si="84"/>
        <v/>
      </c>
      <c r="H346" s="43" t="str">
        <f t="shared" si="75"/>
        <v/>
      </c>
      <c r="I346" s="42" t="str">
        <f t="shared" si="85"/>
        <v/>
      </c>
      <c r="J346" s="18"/>
      <c r="K346" s="76"/>
      <c r="M346" s="132">
        <f t="shared" ca="1" si="76"/>
        <v>110.27693716518486</v>
      </c>
      <c r="N346" s="38">
        <f t="shared" si="86"/>
        <v>3.234375</v>
      </c>
      <c r="O346" s="36">
        <f t="shared" si="87"/>
        <v>86.25</v>
      </c>
      <c r="P346" s="38">
        <f ca="1">IF(ISERROR(IF(O346&lt;fi_h/20,0,(OFFSET('Base de dados'!$A$5,IF(O346&lt;20,1,IF(O346&gt;1000,10,MATCH(O346,Cargas,1))),Coluna_fih,1,1))*(1+0.13*0.25)*(PI()*(fi_h/1000)^2/4)*SQRT(2*9.81*(O346/100-fi_h/2/1000))*1000)),"",IF(O346&lt;fi_h/20,0,(OFFSET('Base de dados'!$A$5,IF(O346&lt;20,1,IF(O346&gt;1000,10,MATCH(O346,Cargas,1))),Coluna_fih,1,1))*(PI()*(fi_h/1000)^2/4)*SQRT(2*9.81*(O346/100-fi_h/2/1000))*1000))</f>
        <v>2.4644371651848664</v>
      </c>
      <c r="Q346" s="38">
        <f ca="1">IF(O346="","",IF(Tipo_Vertedor="Retangular",IF(O346&lt;=cota_s*100,0,IF(Tipo_Vertedor="Retangular",Cd_sr*Lef_sr*((O346/100-cota_s)^(3/2))*1000)),IF(O346&lt;=cota_s*100+fi_s/20,0,(OFFSET('Base de dados'!$A$4,IF(O346&lt;20,1,IF(O346&gt;1000,10,MATCH(O346,Cargas,1))),Coluna_fis,1,1))*(PI()*(fi_s/1000)^2/4)*(2*9.81*(O346/100-cota_s-fi_s/2/1000))^0.5*1000)))</f>
        <v>0</v>
      </c>
      <c r="R346" s="38">
        <f t="shared" ca="1" si="77"/>
        <v>2.4644371651848664</v>
      </c>
      <c r="S346" s="38">
        <f t="shared" ca="1" si="78"/>
        <v>107.8125</v>
      </c>
      <c r="AD346" s="38" t="str">
        <f t="shared" si="88"/>
        <v/>
      </c>
      <c r="AE346" s="38" t="str">
        <f t="shared" si="89"/>
        <v/>
      </c>
      <c r="AF346" s="38" t="str">
        <f>IF(ISERROR(IF('Hidrograma afluente'!I353="",0,'Hidrograma afluente'!I353)+Simulação!G346),"",IF('Hidrograma afluente'!I353="",0,'Hidrograma afluente'!I353)+Simulação!G346)</f>
        <v/>
      </c>
      <c r="AG346" s="36" t="s">
        <v>182</v>
      </c>
      <c r="AH346" s="36" t="s">
        <v>182</v>
      </c>
      <c r="AI346" s="48" t="s">
        <v>182</v>
      </c>
      <c r="AJ346" s="36" t="s">
        <v>182</v>
      </c>
      <c r="AK346" s="38" t="str">
        <f>IF(A346="","",IF('Hidrograma afluente'!I353="",0,'Hidrograma afluente'!I353)+Simulação!B346)</f>
        <v/>
      </c>
    </row>
    <row r="347" spans="1:37" s="36" customFormat="1">
      <c r="A347" s="23" t="str">
        <f t="shared" si="79"/>
        <v/>
      </c>
      <c r="B347" s="24" t="str">
        <f>IF(A347="","",IF(A347&gt;tc_lot_i+tc,0,IF('Hidrograma afluente'!B354="","",'Hidrograma afluente'!B354)))</f>
        <v/>
      </c>
      <c r="C347" s="41" t="str">
        <f t="shared" si="80"/>
        <v/>
      </c>
      <c r="D347" s="41" t="str">
        <f t="shared" si="81"/>
        <v/>
      </c>
      <c r="E347" s="41" t="str">
        <f t="shared" si="82"/>
        <v/>
      </c>
      <c r="F347" s="41" t="str">
        <f t="shared" si="83"/>
        <v/>
      </c>
      <c r="G347" s="41" t="str">
        <f t="shared" si="84"/>
        <v/>
      </c>
      <c r="H347" s="43" t="str">
        <f t="shared" ref="H347:H410" si="90">IF(A347="","",IF(ISERROR(B347+C347+D347-G347),0,B347+C347+D347-G347))</f>
        <v/>
      </c>
      <c r="I347" s="42" t="str">
        <f t="shared" si="85"/>
        <v/>
      </c>
      <c r="J347" s="18"/>
      <c r="K347" s="76"/>
      <c r="M347" s="132">
        <f t="shared" ca="1" si="76"/>
        <v>110.59308052066038</v>
      </c>
      <c r="N347" s="38">
        <f t="shared" si="86"/>
        <v>3.2437499999999999</v>
      </c>
      <c r="O347" s="36">
        <f t="shared" si="87"/>
        <v>86.5</v>
      </c>
      <c r="P347" s="38">
        <f ca="1">IF(ISERROR(IF(O347&lt;fi_h/20,0,(OFFSET('Base de dados'!$A$5,IF(O347&lt;20,1,IF(O347&gt;1000,10,MATCH(O347,Cargas,1))),Coluna_fih,1,1))*(1+0.13*0.25)*(PI()*(fi_h/1000)^2/4)*SQRT(2*9.81*(O347/100-fi_h/2/1000))*1000)),"",IF(O347&lt;fi_h/20,0,(OFFSET('Base de dados'!$A$5,IF(O347&lt;20,1,IF(O347&gt;1000,10,MATCH(O347,Cargas,1))),Coluna_fih,1,1))*(PI()*(fi_h/1000)^2/4)*SQRT(2*9.81*(O347/100-fi_h/2/1000))*1000))</f>
        <v>2.4680805206603833</v>
      </c>
      <c r="Q347" s="38">
        <f ca="1">IF(O347="","",IF(Tipo_Vertedor="Retangular",IF(O347&lt;=cota_s*100,0,IF(Tipo_Vertedor="Retangular",Cd_sr*Lef_sr*((O347/100-cota_s)^(3/2))*1000)),IF(O347&lt;=cota_s*100+fi_s/20,0,(OFFSET('Base de dados'!$A$4,IF(O347&lt;20,1,IF(O347&gt;1000,10,MATCH(O347,Cargas,1))),Coluna_fis,1,1))*(PI()*(fi_s/1000)^2/4)*(2*9.81*(O347/100-cota_s-fi_s/2/1000))^0.5*1000)))</f>
        <v>0</v>
      </c>
      <c r="R347" s="38">
        <f t="shared" ca="1" si="77"/>
        <v>2.4680805206603833</v>
      </c>
      <c r="S347" s="38">
        <f t="shared" ca="1" si="78"/>
        <v>108.125</v>
      </c>
      <c r="AD347" s="38" t="str">
        <f t="shared" si="88"/>
        <v/>
      </c>
      <c r="AE347" s="38" t="str">
        <f t="shared" si="89"/>
        <v/>
      </c>
      <c r="AF347" s="38" t="str">
        <f>IF(ISERROR(IF('Hidrograma afluente'!I354="",0,'Hidrograma afluente'!I354)+Simulação!G347),"",IF('Hidrograma afluente'!I354="",0,'Hidrograma afluente'!I354)+Simulação!G347)</f>
        <v/>
      </c>
      <c r="AG347" s="36" t="s">
        <v>182</v>
      </c>
      <c r="AH347" s="36" t="s">
        <v>182</v>
      </c>
      <c r="AI347" s="48" t="s">
        <v>182</v>
      </c>
      <c r="AJ347" s="36" t="s">
        <v>182</v>
      </c>
      <c r="AK347" s="38" t="str">
        <f>IF(A347="","",IF('Hidrograma afluente'!I354="",0,'Hidrograma afluente'!I354)+Simulação!B347)</f>
        <v/>
      </c>
    </row>
    <row r="348" spans="1:37" s="36" customFormat="1">
      <c r="A348" s="23" t="str">
        <f t="shared" si="79"/>
        <v/>
      </c>
      <c r="B348" s="24" t="str">
        <f>IF(A348="","",IF(A348&gt;tc_lot_i+tc,0,IF('Hidrograma afluente'!B355="","",'Hidrograma afluente'!B355)))</f>
        <v/>
      </c>
      <c r="C348" s="41" t="str">
        <f t="shared" si="80"/>
        <v/>
      </c>
      <c r="D348" s="41" t="str">
        <f t="shared" si="81"/>
        <v/>
      </c>
      <c r="E348" s="41" t="str">
        <f t="shared" si="82"/>
        <v/>
      </c>
      <c r="F348" s="41" t="str">
        <f t="shared" si="83"/>
        <v/>
      </c>
      <c r="G348" s="41" t="str">
        <f t="shared" si="84"/>
        <v/>
      </c>
      <c r="H348" s="43" t="str">
        <f t="shared" si="90"/>
        <v/>
      </c>
      <c r="I348" s="42" t="str">
        <f t="shared" si="85"/>
        <v/>
      </c>
      <c r="J348" s="18"/>
      <c r="K348" s="76"/>
      <c r="M348" s="132">
        <f t="shared" ca="1" si="76"/>
        <v>110.90921850577328</v>
      </c>
      <c r="N348" s="38">
        <f t="shared" si="86"/>
        <v>3.2531250000000003</v>
      </c>
      <c r="O348" s="36">
        <f t="shared" si="87"/>
        <v>86.75</v>
      </c>
      <c r="P348" s="38">
        <f ca="1">IF(ISERROR(IF(O348&lt;fi_h/20,0,(OFFSET('Base de dados'!$A$5,IF(O348&lt;20,1,IF(O348&gt;1000,10,MATCH(O348,Cargas,1))),Coluna_fih,1,1))*(1+0.13*0.25)*(PI()*(fi_h/1000)^2/4)*SQRT(2*9.81*(O348/100-fi_h/2/1000))*1000)),"",IF(O348&lt;fi_h/20,0,(OFFSET('Base de dados'!$A$5,IF(O348&lt;20,1,IF(O348&gt;1000,10,MATCH(O348,Cargas,1))),Coluna_fih,1,1))*(PI()*(fi_h/1000)^2/4)*SQRT(2*9.81*(O348/100-fi_h/2/1000))*1000))</f>
        <v>2.4717185057732687</v>
      </c>
      <c r="Q348" s="38">
        <f ca="1">IF(O348="","",IF(Tipo_Vertedor="Retangular",IF(O348&lt;=cota_s*100,0,IF(Tipo_Vertedor="Retangular",Cd_sr*Lef_sr*((O348/100-cota_s)^(3/2))*1000)),IF(O348&lt;=cota_s*100+fi_s/20,0,(OFFSET('Base de dados'!$A$4,IF(O348&lt;20,1,IF(O348&gt;1000,10,MATCH(O348,Cargas,1))),Coluna_fis,1,1))*(PI()*(fi_s/1000)^2/4)*(2*9.81*(O348/100-cota_s-fi_s/2/1000))^0.5*1000)))</f>
        <v>0</v>
      </c>
      <c r="R348" s="38">
        <f t="shared" ca="1" si="77"/>
        <v>2.4717185057732687</v>
      </c>
      <c r="S348" s="38">
        <f t="shared" ca="1" si="78"/>
        <v>108.43750000000001</v>
      </c>
      <c r="AD348" s="38" t="str">
        <f t="shared" si="88"/>
        <v/>
      </c>
      <c r="AE348" s="38" t="str">
        <f t="shared" si="89"/>
        <v/>
      </c>
      <c r="AF348" s="38" t="str">
        <f>IF(ISERROR(IF('Hidrograma afluente'!I355="",0,'Hidrograma afluente'!I355)+Simulação!G348),"",IF('Hidrograma afluente'!I355="",0,'Hidrograma afluente'!I355)+Simulação!G348)</f>
        <v/>
      </c>
      <c r="AG348" s="36" t="s">
        <v>182</v>
      </c>
      <c r="AH348" s="36" t="s">
        <v>182</v>
      </c>
      <c r="AI348" s="48" t="s">
        <v>182</v>
      </c>
      <c r="AJ348" s="36" t="s">
        <v>182</v>
      </c>
      <c r="AK348" s="38" t="str">
        <f>IF(A348="","",IF('Hidrograma afluente'!I355="",0,'Hidrograma afluente'!I355)+Simulação!B348)</f>
        <v/>
      </c>
    </row>
    <row r="349" spans="1:37" s="36" customFormat="1">
      <c r="A349" s="23" t="str">
        <f t="shared" si="79"/>
        <v/>
      </c>
      <c r="B349" s="24" t="str">
        <f>IF(A349="","",IF(A349&gt;tc_lot_i+tc,0,IF('Hidrograma afluente'!B356="","",'Hidrograma afluente'!B356)))</f>
        <v/>
      </c>
      <c r="C349" s="41" t="str">
        <f t="shared" si="80"/>
        <v/>
      </c>
      <c r="D349" s="41" t="str">
        <f t="shared" si="81"/>
        <v/>
      </c>
      <c r="E349" s="41" t="str">
        <f t="shared" si="82"/>
        <v/>
      </c>
      <c r="F349" s="41" t="str">
        <f t="shared" si="83"/>
        <v/>
      </c>
      <c r="G349" s="41" t="str">
        <f t="shared" si="84"/>
        <v/>
      </c>
      <c r="H349" s="43" t="str">
        <f t="shared" si="90"/>
        <v/>
      </c>
      <c r="I349" s="42" t="str">
        <f t="shared" si="85"/>
        <v/>
      </c>
      <c r="J349" s="18"/>
      <c r="K349" s="76"/>
      <c r="M349" s="132">
        <f t="shared" ca="1" si="76"/>
        <v>111.22535114420174</v>
      </c>
      <c r="N349" s="38">
        <f t="shared" si="86"/>
        <v>3.2625000000000002</v>
      </c>
      <c r="O349" s="36">
        <f t="shared" si="87"/>
        <v>87</v>
      </c>
      <c r="P349" s="38">
        <f ca="1">IF(ISERROR(IF(O349&lt;fi_h/20,0,(OFFSET('Base de dados'!$A$5,IF(O349&lt;20,1,IF(O349&gt;1000,10,MATCH(O349,Cargas,1))),Coluna_fih,1,1))*(1+0.13*0.25)*(PI()*(fi_h/1000)^2/4)*SQRT(2*9.81*(O349/100-fi_h/2/1000))*1000)),"",IF(O349&lt;fi_h/20,0,(OFFSET('Base de dados'!$A$5,IF(O349&lt;20,1,IF(O349&gt;1000,10,MATCH(O349,Cargas,1))),Coluna_fih,1,1))*(PI()*(fi_h/1000)^2/4)*SQRT(2*9.81*(O349/100-fi_h/2/1000))*1000))</f>
        <v>2.4753511442017366</v>
      </c>
      <c r="Q349" s="38">
        <f ca="1">IF(O349="","",IF(Tipo_Vertedor="Retangular",IF(O349&lt;=cota_s*100,0,IF(Tipo_Vertedor="Retangular",Cd_sr*Lef_sr*((O349/100-cota_s)^(3/2))*1000)),IF(O349&lt;=cota_s*100+fi_s/20,0,(OFFSET('Base de dados'!$A$4,IF(O349&lt;20,1,IF(O349&gt;1000,10,MATCH(O349,Cargas,1))),Coluna_fis,1,1))*(PI()*(fi_s/1000)^2/4)*(2*9.81*(O349/100-cota_s-fi_s/2/1000))^0.5*1000)))</f>
        <v>0</v>
      </c>
      <c r="R349" s="38">
        <f t="shared" ca="1" si="77"/>
        <v>2.4753511442017366</v>
      </c>
      <c r="S349" s="38">
        <f t="shared" ca="1" si="78"/>
        <v>108.75</v>
      </c>
      <c r="AD349" s="38" t="str">
        <f t="shared" si="88"/>
        <v/>
      </c>
      <c r="AE349" s="38" t="str">
        <f t="shared" si="89"/>
        <v/>
      </c>
      <c r="AF349" s="38" t="str">
        <f>IF(ISERROR(IF('Hidrograma afluente'!I356="",0,'Hidrograma afluente'!I356)+Simulação!G349),"",IF('Hidrograma afluente'!I356="",0,'Hidrograma afluente'!I356)+Simulação!G349)</f>
        <v/>
      </c>
      <c r="AG349" s="36" t="s">
        <v>182</v>
      </c>
      <c r="AH349" s="36" t="s">
        <v>182</v>
      </c>
      <c r="AI349" s="48" t="s">
        <v>182</v>
      </c>
      <c r="AJ349" s="36" t="s">
        <v>182</v>
      </c>
      <c r="AK349" s="38" t="str">
        <f>IF(A349="","",IF('Hidrograma afluente'!I356="",0,'Hidrograma afluente'!I356)+Simulação!B349)</f>
        <v/>
      </c>
    </row>
    <row r="350" spans="1:37" s="36" customFormat="1">
      <c r="A350" s="23" t="str">
        <f t="shared" si="79"/>
        <v/>
      </c>
      <c r="B350" s="24" t="str">
        <f>IF(A350="","",IF(A350&gt;tc_lot_i+tc,0,IF('Hidrograma afluente'!B357="","",'Hidrograma afluente'!B357)))</f>
        <v/>
      </c>
      <c r="C350" s="41" t="str">
        <f t="shared" si="80"/>
        <v/>
      </c>
      <c r="D350" s="41" t="str">
        <f t="shared" si="81"/>
        <v/>
      </c>
      <c r="E350" s="41" t="str">
        <f t="shared" si="82"/>
        <v/>
      </c>
      <c r="F350" s="41" t="str">
        <f t="shared" si="83"/>
        <v/>
      </c>
      <c r="G350" s="41" t="str">
        <f t="shared" si="84"/>
        <v/>
      </c>
      <c r="H350" s="43" t="str">
        <f t="shared" si="90"/>
        <v/>
      </c>
      <c r="I350" s="42" t="str">
        <f t="shared" si="85"/>
        <v/>
      </c>
      <c r="J350" s="18"/>
      <c r="K350" s="76"/>
      <c r="M350" s="132">
        <f t="shared" ca="1" si="76"/>
        <v>111.54147845945052</v>
      </c>
      <c r="N350" s="38">
        <f t="shared" si="86"/>
        <v>3.2718750000000001</v>
      </c>
      <c r="O350" s="36">
        <f t="shared" si="87"/>
        <v>87.25</v>
      </c>
      <c r="P350" s="38">
        <f ca="1">IF(ISERROR(IF(O350&lt;fi_h/20,0,(OFFSET('Base de dados'!$A$5,IF(O350&lt;20,1,IF(O350&gt;1000,10,MATCH(O350,Cargas,1))),Coluna_fih,1,1))*(1+0.13*0.25)*(PI()*(fi_h/1000)^2/4)*SQRT(2*9.81*(O350/100-fi_h/2/1000))*1000)),"",IF(O350&lt;fi_h/20,0,(OFFSET('Base de dados'!$A$5,IF(O350&lt;20,1,IF(O350&gt;1000,10,MATCH(O350,Cargas,1))),Coluna_fih,1,1))*(PI()*(fi_h/1000)^2/4)*SQRT(2*9.81*(O350/100-fi_h/2/1000))*1000))</f>
        <v>2.4789784594505164</v>
      </c>
      <c r="Q350" s="38">
        <f ca="1">IF(O350="","",IF(Tipo_Vertedor="Retangular",IF(O350&lt;=cota_s*100,0,IF(Tipo_Vertedor="Retangular",Cd_sr*Lef_sr*((O350/100-cota_s)^(3/2))*1000)),IF(O350&lt;=cota_s*100+fi_s/20,0,(OFFSET('Base de dados'!$A$4,IF(O350&lt;20,1,IF(O350&gt;1000,10,MATCH(O350,Cargas,1))),Coluna_fis,1,1))*(PI()*(fi_s/1000)^2/4)*(2*9.81*(O350/100-cota_s-fi_s/2/1000))^0.5*1000)))</f>
        <v>0</v>
      </c>
      <c r="R350" s="38">
        <f t="shared" ca="1" si="77"/>
        <v>2.4789784594505164</v>
      </c>
      <c r="S350" s="38">
        <f t="shared" ca="1" si="78"/>
        <v>109.0625</v>
      </c>
      <c r="AD350" s="38" t="str">
        <f t="shared" si="88"/>
        <v/>
      </c>
      <c r="AE350" s="38" t="str">
        <f t="shared" si="89"/>
        <v/>
      </c>
      <c r="AF350" s="38" t="str">
        <f>IF(ISERROR(IF('Hidrograma afluente'!I357="",0,'Hidrograma afluente'!I357)+Simulação!G350),"",IF('Hidrograma afluente'!I357="",0,'Hidrograma afluente'!I357)+Simulação!G350)</f>
        <v/>
      </c>
      <c r="AG350" s="36" t="s">
        <v>182</v>
      </c>
      <c r="AH350" s="36" t="s">
        <v>182</v>
      </c>
      <c r="AI350" s="48" t="s">
        <v>182</v>
      </c>
      <c r="AJ350" s="36" t="s">
        <v>182</v>
      </c>
      <c r="AK350" s="38" t="str">
        <f>IF(A350="","",IF('Hidrograma afluente'!I357="",0,'Hidrograma afluente'!I357)+Simulação!B350)</f>
        <v/>
      </c>
    </row>
    <row r="351" spans="1:37" s="36" customFormat="1">
      <c r="A351" s="23" t="str">
        <f t="shared" si="79"/>
        <v/>
      </c>
      <c r="B351" s="24" t="str">
        <f>IF(A351="","",IF(A351&gt;tc_lot_i+tc,0,IF('Hidrograma afluente'!B358="","",'Hidrograma afluente'!B358)))</f>
        <v/>
      </c>
      <c r="C351" s="41" t="str">
        <f t="shared" si="80"/>
        <v/>
      </c>
      <c r="D351" s="41" t="str">
        <f t="shared" si="81"/>
        <v/>
      </c>
      <c r="E351" s="41" t="str">
        <f t="shared" si="82"/>
        <v/>
      </c>
      <c r="F351" s="41" t="str">
        <f t="shared" si="83"/>
        <v/>
      </c>
      <c r="G351" s="41" t="str">
        <f t="shared" si="84"/>
        <v/>
      </c>
      <c r="H351" s="43" t="str">
        <f t="shared" si="90"/>
        <v/>
      </c>
      <c r="I351" s="42" t="str">
        <f t="shared" si="85"/>
        <v/>
      </c>
      <c r="J351" s="18"/>
      <c r="K351" s="76"/>
      <c r="M351" s="132">
        <f t="shared" ca="1" si="76"/>
        <v>111.85760047485262</v>
      </c>
      <c r="N351" s="38">
        <f t="shared" si="86"/>
        <v>3.28125</v>
      </c>
      <c r="O351" s="36">
        <f t="shared" si="87"/>
        <v>87.5</v>
      </c>
      <c r="P351" s="38">
        <f ca="1">IF(ISERROR(IF(O351&lt;fi_h/20,0,(OFFSET('Base de dados'!$A$5,IF(O351&lt;20,1,IF(O351&gt;1000,10,MATCH(O351,Cargas,1))),Coluna_fih,1,1))*(1+0.13*0.25)*(PI()*(fi_h/1000)^2/4)*SQRT(2*9.81*(O351/100-fi_h/2/1000))*1000)),"",IF(O351&lt;fi_h/20,0,(OFFSET('Base de dados'!$A$5,IF(O351&lt;20,1,IF(O351&gt;1000,10,MATCH(O351,Cargas,1))),Coluna_fih,1,1))*(PI()*(fi_h/1000)^2/4)*SQRT(2*9.81*(O351/100-fi_h/2/1000))*1000))</f>
        <v>2.4826004748526218</v>
      </c>
      <c r="Q351" s="38">
        <f ca="1">IF(O351="","",IF(Tipo_Vertedor="Retangular",IF(O351&lt;=cota_s*100,0,IF(Tipo_Vertedor="Retangular",Cd_sr*Lef_sr*((O351/100-cota_s)^(3/2))*1000)),IF(O351&lt;=cota_s*100+fi_s/20,0,(OFFSET('Base de dados'!$A$4,IF(O351&lt;20,1,IF(O351&gt;1000,10,MATCH(O351,Cargas,1))),Coluna_fis,1,1))*(PI()*(fi_s/1000)^2/4)*(2*9.81*(O351/100-cota_s-fi_s/2/1000))^0.5*1000)))</f>
        <v>0</v>
      </c>
      <c r="R351" s="38">
        <f t="shared" ca="1" si="77"/>
        <v>2.4826004748526218</v>
      </c>
      <c r="S351" s="38">
        <f t="shared" ca="1" si="78"/>
        <v>109.375</v>
      </c>
      <c r="AD351" s="38" t="str">
        <f t="shared" si="88"/>
        <v/>
      </c>
      <c r="AE351" s="38" t="str">
        <f t="shared" si="89"/>
        <v/>
      </c>
      <c r="AF351" s="38" t="str">
        <f>IF(ISERROR(IF('Hidrograma afluente'!I358="",0,'Hidrograma afluente'!I358)+Simulação!G351),"",IF('Hidrograma afluente'!I358="",0,'Hidrograma afluente'!I358)+Simulação!G351)</f>
        <v/>
      </c>
      <c r="AG351" s="36" t="s">
        <v>182</v>
      </c>
      <c r="AH351" s="36" t="s">
        <v>182</v>
      </c>
      <c r="AI351" s="48" t="s">
        <v>182</v>
      </c>
      <c r="AJ351" s="36" t="s">
        <v>182</v>
      </c>
      <c r="AK351" s="38" t="str">
        <f>IF(A351="","",IF('Hidrograma afluente'!I358="",0,'Hidrograma afluente'!I358)+Simulação!B351)</f>
        <v/>
      </c>
    </row>
    <row r="352" spans="1:37" s="36" customFormat="1">
      <c r="A352" s="23" t="str">
        <f t="shared" si="79"/>
        <v/>
      </c>
      <c r="B352" s="24" t="str">
        <f>IF(A352="","",IF(A352&gt;tc_lot_i+tc,0,IF('Hidrograma afluente'!B359="","",'Hidrograma afluente'!B359)))</f>
        <v/>
      </c>
      <c r="C352" s="41" t="str">
        <f t="shared" si="80"/>
        <v/>
      </c>
      <c r="D352" s="41" t="str">
        <f t="shared" si="81"/>
        <v/>
      </c>
      <c r="E352" s="41" t="str">
        <f t="shared" si="82"/>
        <v/>
      </c>
      <c r="F352" s="41" t="str">
        <f t="shared" si="83"/>
        <v/>
      </c>
      <c r="G352" s="41" t="str">
        <f t="shared" si="84"/>
        <v/>
      </c>
      <c r="H352" s="43" t="str">
        <f t="shared" si="90"/>
        <v/>
      </c>
      <c r="I352" s="42" t="str">
        <f t="shared" si="85"/>
        <v/>
      </c>
      <c r="J352" s="18"/>
      <c r="K352" s="76"/>
      <c r="M352" s="132">
        <f t="shared" ca="1" si="76"/>
        <v>112.17371721357111</v>
      </c>
      <c r="N352" s="38">
        <f t="shared" si="86"/>
        <v>3.2906249999999999</v>
      </c>
      <c r="O352" s="36">
        <f t="shared" si="87"/>
        <v>87.75</v>
      </c>
      <c r="P352" s="38">
        <f ca="1">IF(ISERROR(IF(O352&lt;fi_h/20,0,(OFFSET('Base de dados'!$A$5,IF(O352&lt;20,1,IF(O352&gt;1000,10,MATCH(O352,Cargas,1))),Coluna_fih,1,1))*(1+0.13*0.25)*(PI()*(fi_h/1000)^2/4)*SQRT(2*9.81*(O352/100-fi_h/2/1000))*1000)),"",IF(O352&lt;fi_h/20,0,(OFFSET('Base de dados'!$A$5,IF(O352&lt;20,1,IF(O352&gt;1000,10,MATCH(O352,Cargas,1))),Coluna_fih,1,1))*(PI()*(fi_h/1000)^2/4)*SQRT(2*9.81*(O352/100-fi_h/2/1000))*1000))</f>
        <v>2.4862172135711056</v>
      </c>
      <c r="Q352" s="38">
        <f ca="1">IF(O352="","",IF(Tipo_Vertedor="Retangular",IF(O352&lt;=cota_s*100,0,IF(Tipo_Vertedor="Retangular",Cd_sr*Lef_sr*((O352/100-cota_s)^(3/2))*1000)),IF(O352&lt;=cota_s*100+fi_s/20,0,(OFFSET('Base de dados'!$A$4,IF(O352&lt;20,1,IF(O352&gt;1000,10,MATCH(O352,Cargas,1))),Coluna_fis,1,1))*(PI()*(fi_s/1000)^2/4)*(2*9.81*(O352/100-cota_s-fi_s/2/1000))^0.5*1000)))</f>
        <v>0</v>
      </c>
      <c r="R352" s="38">
        <f t="shared" ca="1" si="77"/>
        <v>2.4862172135711056</v>
      </c>
      <c r="S352" s="38">
        <f t="shared" ca="1" si="78"/>
        <v>109.6875</v>
      </c>
      <c r="AD352" s="38" t="str">
        <f t="shared" si="88"/>
        <v/>
      </c>
      <c r="AE352" s="38" t="str">
        <f t="shared" si="89"/>
        <v/>
      </c>
      <c r="AF352" s="38" t="str">
        <f>IF(ISERROR(IF('Hidrograma afluente'!I359="",0,'Hidrograma afluente'!I359)+Simulação!G352),"",IF('Hidrograma afluente'!I359="",0,'Hidrograma afluente'!I359)+Simulação!G352)</f>
        <v/>
      </c>
      <c r="AG352" s="36" t="s">
        <v>182</v>
      </c>
      <c r="AH352" s="36" t="s">
        <v>182</v>
      </c>
      <c r="AI352" s="48" t="s">
        <v>182</v>
      </c>
      <c r="AJ352" s="36" t="s">
        <v>182</v>
      </c>
      <c r="AK352" s="38" t="str">
        <f>IF(A352="","",IF('Hidrograma afluente'!I359="",0,'Hidrograma afluente'!I359)+Simulação!B352)</f>
        <v/>
      </c>
    </row>
    <row r="353" spans="1:37" s="36" customFormat="1">
      <c r="A353" s="23" t="str">
        <f t="shared" si="79"/>
        <v/>
      </c>
      <c r="B353" s="24" t="str">
        <f>IF(A353="","",IF(A353&gt;tc_lot_i+tc,0,IF('Hidrograma afluente'!B360="","",'Hidrograma afluente'!B360)))</f>
        <v/>
      </c>
      <c r="C353" s="41" t="str">
        <f t="shared" si="80"/>
        <v/>
      </c>
      <c r="D353" s="41" t="str">
        <f t="shared" si="81"/>
        <v/>
      </c>
      <c r="E353" s="41" t="str">
        <f t="shared" si="82"/>
        <v/>
      </c>
      <c r="F353" s="41" t="str">
        <f t="shared" si="83"/>
        <v/>
      </c>
      <c r="G353" s="41" t="str">
        <f t="shared" si="84"/>
        <v/>
      </c>
      <c r="H353" s="43" t="str">
        <f t="shared" si="90"/>
        <v/>
      </c>
      <c r="I353" s="42" t="str">
        <f t="shared" si="85"/>
        <v/>
      </c>
      <c r="J353" s="18"/>
      <c r="K353" s="76"/>
      <c r="M353" s="132">
        <f t="shared" ca="1" si="76"/>
        <v>112.48982869860079</v>
      </c>
      <c r="N353" s="38">
        <f t="shared" si="86"/>
        <v>3.3</v>
      </c>
      <c r="O353" s="36">
        <f t="shared" si="87"/>
        <v>88</v>
      </c>
      <c r="P353" s="38">
        <f ca="1">IF(ISERROR(IF(O353&lt;fi_h/20,0,(OFFSET('Base de dados'!$A$5,IF(O353&lt;20,1,IF(O353&gt;1000,10,MATCH(O353,Cargas,1))),Coluna_fih,1,1))*(1+0.13*0.25)*(PI()*(fi_h/1000)^2/4)*SQRT(2*9.81*(O353/100-fi_h/2/1000))*1000)),"",IF(O353&lt;fi_h/20,0,(OFFSET('Base de dados'!$A$5,IF(O353&lt;20,1,IF(O353&gt;1000,10,MATCH(O353,Cargas,1))),Coluna_fih,1,1))*(PI()*(fi_h/1000)^2/4)*SQRT(2*9.81*(O353/100-fi_h/2/1000))*1000))</f>
        <v>2.4898286986007854</v>
      </c>
      <c r="Q353" s="38">
        <f ca="1">IF(O353="","",IF(Tipo_Vertedor="Retangular",IF(O353&lt;=cota_s*100,0,IF(Tipo_Vertedor="Retangular",Cd_sr*Lef_sr*((O353/100-cota_s)^(3/2))*1000)),IF(O353&lt;=cota_s*100+fi_s/20,0,(OFFSET('Base de dados'!$A$4,IF(O353&lt;20,1,IF(O353&gt;1000,10,MATCH(O353,Cargas,1))),Coluna_fis,1,1))*(PI()*(fi_s/1000)^2/4)*(2*9.81*(O353/100-cota_s-fi_s/2/1000))^0.5*1000)))</f>
        <v>0</v>
      </c>
      <c r="R353" s="38">
        <f t="shared" ca="1" si="77"/>
        <v>2.4898286986007854</v>
      </c>
      <c r="S353" s="38">
        <f t="shared" ca="1" si="78"/>
        <v>110</v>
      </c>
      <c r="AD353" s="38" t="str">
        <f t="shared" si="88"/>
        <v/>
      </c>
      <c r="AE353" s="38" t="str">
        <f t="shared" si="89"/>
        <v/>
      </c>
      <c r="AF353" s="38" t="str">
        <f>IF(ISERROR(IF('Hidrograma afluente'!I360="",0,'Hidrograma afluente'!I360)+Simulação!G353),"",IF('Hidrograma afluente'!I360="",0,'Hidrograma afluente'!I360)+Simulação!G353)</f>
        <v/>
      </c>
      <c r="AG353" s="36" t="s">
        <v>182</v>
      </c>
      <c r="AH353" s="36" t="s">
        <v>182</v>
      </c>
      <c r="AI353" s="48" t="s">
        <v>182</v>
      </c>
      <c r="AJ353" s="36" t="s">
        <v>182</v>
      </c>
      <c r="AK353" s="38" t="str">
        <f>IF(A353="","",IF('Hidrograma afluente'!I360="",0,'Hidrograma afluente'!I360)+Simulação!B353)</f>
        <v/>
      </c>
    </row>
    <row r="354" spans="1:37" s="36" customFormat="1">
      <c r="A354" s="23" t="str">
        <f t="shared" si="79"/>
        <v/>
      </c>
      <c r="B354" s="24" t="str">
        <f>IF(A354="","",IF(A354&gt;tc_lot_i+tc,0,IF('Hidrograma afluente'!B361="","",'Hidrograma afluente'!B361)))</f>
        <v/>
      </c>
      <c r="C354" s="41" t="str">
        <f t="shared" si="80"/>
        <v/>
      </c>
      <c r="D354" s="41" t="str">
        <f t="shared" si="81"/>
        <v/>
      </c>
      <c r="E354" s="41" t="str">
        <f t="shared" si="82"/>
        <v/>
      </c>
      <c r="F354" s="41" t="str">
        <f t="shared" si="83"/>
        <v/>
      </c>
      <c r="G354" s="41" t="str">
        <f t="shared" si="84"/>
        <v/>
      </c>
      <c r="H354" s="43" t="str">
        <f t="shared" si="90"/>
        <v/>
      </c>
      <c r="I354" s="42" t="str">
        <f t="shared" si="85"/>
        <v/>
      </c>
      <c r="J354" s="18"/>
      <c r="K354" s="76"/>
      <c r="M354" s="132">
        <f t="shared" ca="1" si="76"/>
        <v>112.80593495276993</v>
      </c>
      <c r="N354" s="38">
        <f t="shared" si="86"/>
        <v>3.3093749999999997</v>
      </c>
      <c r="O354" s="36">
        <f t="shared" si="87"/>
        <v>88.25</v>
      </c>
      <c r="P354" s="38">
        <f ca="1">IF(ISERROR(IF(O354&lt;fi_h/20,0,(OFFSET('Base de dados'!$A$5,IF(O354&lt;20,1,IF(O354&gt;1000,10,MATCH(O354,Cargas,1))),Coluna_fih,1,1))*(1+0.13*0.25)*(PI()*(fi_h/1000)^2/4)*SQRT(2*9.81*(O354/100-fi_h/2/1000))*1000)),"",IF(O354&lt;fi_h/20,0,(OFFSET('Base de dados'!$A$5,IF(O354&lt;20,1,IF(O354&gt;1000,10,MATCH(O354,Cargas,1))),Coluna_fih,1,1))*(PI()*(fi_h/1000)^2/4)*SQRT(2*9.81*(O354/100-fi_h/2/1000))*1000))</f>
        <v>2.4934349527699511</v>
      </c>
      <c r="Q354" s="38">
        <f ca="1">IF(O354="","",IF(Tipo_Vertedor="Retangular",IF(O354&lt;=cota_s*100,0,IF(Tipo_Vertedor="Retangular",Cd_sr*Lef_sr*((O354/100-cota_s)^(3/2))*1000)),IF(O354&lt;=cota_s*100+fi_s/20,0,(OFFSET('Base de dados'!$A$4,IF(O354&lt;20,1,IF(O354&gt;1000,10,MATCH(O354,Cargas,1))),Coluna_fis,1,1))*(PI()*(fi_s/1000)^2/4)*(2*9.81*(O354/100-cota_s-fi_s/2/1000))^0.5*1000)))</f>
        <v>0</v>
      </c>
      <c r="R354" s="38">
        <f t="shared" ca="1" si="77"/>
        <v>2.4934349527699511</v>
      </c>
      <c r="S354" s="38">
        <f t="shared" ca="1" si="78"/>
        <v>110.31249999999999</v>
      </c>
      <c r="AD354" s="38" t="str">
        <f t="shared" si="88"/>
        <v/>
      </c>
      <c r="AE354" s="38" t="str">
        <f t="shared" si="89"/>
        <v/>
      </c>
      <c r="AF354" s="38" t="str">
        <f>IF(ISERROR(IF('Hidrograma afluente'!I361="",0,'Hidrograma afluente'!I361)+Simulação!G354),"",IF('Hidrograma afluente'!I361="",0,'Hidrograma afluente'!I361)+Simulação!G354)</f>
        <v/>
      </c>
      <c r="AG354" s="36" t="s">
        <v>182</v>
      </c>
      <c r="AH354" s="36" t="s">
        <v>182</v>
      </c>
      <c r="AI354" s="48" t="s">
        <v>182</v>
      </c>
      <c r="AJ354" s="36" t="s">
        <v>182</v>
      </c>
      <c r="AK354" s="38" t="str">
        <f>IF(A354="","",IF('Hidrograma afluente'!I361="",0,'Hidrograma afluente'!I361)+Simulação!B354)</f>
        <v/>
      </c>
    </row>
    <row r="355" spans="1:37" s="36" customFormat="1">
      <c r="A355" s="23" t="str">
        <f t="shared" si="79"/>
        <v/>
      </c>
      <c r="B355" s="24" t="str">
        <f>IF(A355="","",IF(A355&gt;tc_lot_i+tc,0,IF('Hidrograma afluente'!B362="","",'Hidrograma afluente'!B362)))</f>
        <v/>
      </c>
      <c r="C355" s="41" t="str">
        <f t="shared" si="80"/>
        <v/>
      </c>
      <c r="D355" s="41" t="str">
        <f t="shared" si="81"/>
        <v/>
      </c>
      <c r="E355" s="41" t="str">
        <f t="shared" si="82"/>
        <v/>
      </c>
      <c r="F355" s="41" t="str">
        <f t="shared" si="83"/>
        <v/>
      </c>
      <c r="G355" s="41" t="str">
        <f t="shared" si="84"/>
        <v/>
      </c>
      <c r="H355" s="43" t="str">
        <f t="shared" si="90"/>
        <v/>
      </c>
      <c r="I355" s="42" t="str">
        <f t="shared" si="85"/>
        <v/>
      </c>
      <c r="J355" s="18"/>
      <c r="K355" s="76"/>
      <c r="M355" s="132">
        <f t="shared" ca="1" si="76"/>
        <v>113.12203599874205</v>
      </c>
      <c r="N355" s="38">
        <f t="shared" si="86"/>
        <v>3.3187500000000001</v>
      </c>
      <c r="O355" s="36">
        <f t="shared" si="87"/>
        <v>88.5</v>
      </c>
      <c r="P355" s="38">
        <f ca="1">IF(ISERROR(IF(O355&lt;fi_h/20,0,(OFFSET('Base de dados'!$A$5,IF(O355&lt;20,1,IF(O355&gt;1000,10,MATCH(O355,Cargas,1))),Coluna_fih,1,1))*(1+0.13*0.25)*(PI()*(fi_h/1000)^2/4)*SQRT(2*9.81*(O355/100-fi_h/2/1000))*1000)),"",IF(O355&lt;fi_h/20,0,(OFFSET('Base de dados'!$A$5,IF(O355&lt;20,1,IF(O355&gt;1000,10,MATCH(O355,Cargas,1))),Coluna_fih,1,1))*(PI()*(fi_h/1000)^2/4)*SQRT(2*9.81*(O355/100-fi_h/2/1000))*1000))</f>
        <v>2.4970359987420476</v>
      </c>
      <c r="Q355" s="38">
        <f ca="1">IF(O355="","",IF(Tipo_Vertedor="Retangular",IF(O355&lt;=cota_s*100,0,IF(Tipo_Vertedor="Retangular",Cd_sr*Lef_sr*((O355/100-cota_s)^(3/2))*1000)),IF(O355&lt;=cota_s*100+fi_s/20,0,(OFFSET('Base de dados'!$A$4,IF(O355&lt;20,1,IF(O355&gt;1000,10,MATCH(O355,Cargas,1))),Coluna_fis,1,1))*(PI()*(fi_s/1000)^2/4)*(2*9.81*(O355/100-cota_s-fi_s/2/1000))^0.5*1000)))</f>
        <v>0</v>
      </c>
      <c r="R355" s="38">
        <f t="shared" ca="1" si="77"/>
        <v>2.4970359987420476</v>
      </c>
      <c r="S355" s="38">
        <f t="shared" ca="1" si="78"/>
        <v>110.625</v>
      </c>
      <c r="AD355" s="38" t="str">
        <f t="shared" si="88"/>
        <v/>
      </c>
      <c r="AE355" s="38" t="str">
        <f t="shared" si="89"/>
        <v/>
      </c>
      <c r="AF355" s="38" t="str">
        <f>IF(ISERROR(IF('Hidrograma afluente'!I362="",0,'Hidrograma afluente'!I362)+Simulação!G355),"",IF('Hidrograma afluente'!I362="",0,'Hidrograma afluente'!I362)+Simulação!G355)</f>
        <v/>
      </c>
      <c r="AG355" s="36" t="s">
        <v>182</v>
      </c>
      <c r="AH355" s="36" t="s">
        <v>182</v>
      </c>
      <c r="AI355" s="48" t="s">
        <v>182</v>
      </c>
      <c r="AJ355" s="36" t="s">
        <v>182</v>
      </c>
      <c r="AK355" s="38" t="str">
        <f>IF(A355="","",IF('Hidrograma afluente'!I362="",0,'Hidrograma afluente'!I362)+Simulação!B355)</f>
        <v/>
      </c>
    </row>
    <row r="356" spans="1:37" s="36" customFormat="1">
      <c r="A356" s="23" t="str">
        <f t="shared" si="79"/>
        <v/>
      </c>
      <c r="B356" s="24" t="str">
        <f>IF(A356="","",IF(A356&gt;tc_lot_i+tc,0,IF('Hidrograma afluente'!B363="","",'Hidrograma afluente'!B363)))</f>
        <v/>
      </c>
      <c r="C356" s="41" t="str">
        <f t="shared" si="80"/>
        <v/>
      </c>
      <c r="D356" s="41" t="str">
        <f t="shared" si="81"/>
        <v/>
      </c>
      <c r="E356" s="41" t="str">
        <f t="shared" si="82"/>
        <v/>
      </c>
      <c r="F356" s="41" t="str">
        <f t="shared" si="83"/>
        <v/>
      </c>
      <c r="G356" s="41" t="str">
        <f t="shared" si="84"/>
        <v/>
      </c>
      <c r="H356" s="43" t="str">
        <f t="shared" si="90"/>
        <v/>
      </c>
      <c r="I356" s="42" t="str">
        <f t="shared" si="85"/>
        <v/>
      </c>
      <c r="J356" s="18"/>
      <c r="K356" s="76"/>
      <c r="M356" s="132">
        <f t="shared" ca="1" si="76"/>
        <v>113.43813185901733</v>
      </c>
      <c r="N356" s="38">
        <f t="shared" si="86"/>
        <v>3.328125</v>
      </c>
      <c r="O356" s="36">
        <f t="shared" si="87"/>
        <v>88.75</v>
      </c>
      <c r="P356" s="38">
        <f ca="1">IF(ISERROR(IF(O356&lt;fi_h/20,0,(OFFSET('Base de dados'!$A$5,IF(O356&lt;20,1,IF(O356&gt;1000,10,MATCH(O356,Cargas,1))),Coluna_fih,1,1))*(1+0.13*0.25)*(PI()*(fi_h/1000)^2/4)*SQRT(2*9.81*(O356/100-fi_h/2/1000))*1000)),"",IF(O356&lt;fi_h/20,0,(OFFSET('Base de dados'!$A$5,IF(O356&lt;20,1,IF(O356&gt;1000,10,MATCH(O356,Cargas,1))),Coluna_fih,1,1))*(PI()*(fi_h/1000)^2/4)*SQRT(2*9.81*(O356/100-fi_h/2/1000))*1000))</f>
        <v>2.5006318590173371</v>
      </c>
      <c r="Q356" s="38">
        <f ca="1">IF(O356="","",IF(Tipo_Vertedor="Retangular",IF(O356&lt;=cota_s*100,0,IF(Tipo_Vertedor="Retangular",Cd_sr*Lef_sr*((O356/100-cota_s)^(3/2))*1000)),IF(O356&lt;=cota_s*100+fi_s/20,0,(OFFSET('Base de dados'!$A$4,IF(O356&lt;20,1,IF(O356&gt;1000,10,MATCH(O356,Cargas,1))),Coluna_fis,1,1))*(PI()*(fi_s/1000)^2/4)*(2*9.81*(O356/100-cota_s-fi_s/2/1000))^0.5*1000)))</f>
        <v>0</v>
      </c>
      <c r="R356" s="38">
        <f t="shared" ca="1" si="77"/>
        <v>2.5006318590173371</v>
      </c>
      <c r="S356" s="38">
        <f t="shared" ca="1" si="78"/>
        <v>110.9375</v>
      </c>
      <c r="AD356" s="38" t="str">
        <f t="shared" si="88"/>
        <v/>
      </c>
      <c r="AE356" s="38" t="str">
        <f t="shared" si="89"/>
        <v/>
      </c>
      <c r="AF356" s="38" t="str">
        <f>IF(ISERROR(IF('Hidrograma afluente'!I363="",0,'Hidrograma afluente'!I363)+Simulação!G356),"",IF('Hidrograma afluente'!I363="",0,'Hidrograma afluente'!I363)+Simulação!G356)</f>
        <v/>
      </c>
      <c r="AG356" s="36" t="s">
        <v>182</v>
      </c>
      <c r="AH356" s="36" t="s">
        <v>182</v>
      </c>
      <c r="AI356" s="48" t="s">
        <v>182</v>
      </c>
      <c r="AJ356" s="36" t="s">
        <v>182</v>
      </c>
      <c r="AK356" s="38" t="str">
        <f>IF(A356="","",IF('Hidrograma afluente'!I363="",0,'Hidrograma afluente'!I363)+Simulação!B356)</f>
        <v/>
      </c>
    </row>
    <row r="357" spans="1:37" s="36" customFormat="1">
      <c r="A357" s="23" t="str">
        <f t="shared" si="79"/>
        <v/>
      </c>
      <c r="B357" s="24" t="str">
        <f>IF(A357="","",IF(A357&gt;tc_lot_i+tc,0,IF('Hidrograma afluente'!B364="","",'Hidrograma afluente'!B364)))</f>
        <v/>
      </c>
      <c r="C357" s="41" t="str">
        <f t="shared" si="80"/>
        <v/>
      </c>
      <c r="D357" s="41" t="str">
        <f t="shared" si="81"/>
        <v/>
      </c>
      <c r="E357" s="41" t="str">
        <f t="shared" si="82"/>
        <v/>
      </c>
      <c r="F357" s="41" t="str">
        <f t="shared" si="83"/>
        <v/>
      </c>
      <c r="G357" s="41" t="str">
        <f t="shared" si="84"/>
        <v/>
      </c>
      <c r="H357" s="43" t="str">
        <f t="shared" si="90"/>
        <v/>
      </c>
      <c r="I357" s="42" t="str">
        <f t="shared" si="85"/>
        <v/>
      </c>
      <c r="J357" s="18"/>
      <c r="K357" s="76"/>
      <c r="M357" s="132">
        <f t="shared" ca="1" si="76"/>
        <v>113.75422255593453</v>
      </c>
      <c r="N357" s="38">
        <f t="shared" si="86"/>
        <v>3.3374999999999999</v>
      </c>
      <c r="O357" s="36">
        <f t="shared" si="87"/>
        <v>89</v>
      </c>
      <c r="P357" s="38">
        <f ca="1">IF(ISERROR(IF(O357&lt;fi_h/20,0,(OFFSET('Base de dados'!$A$5,IF(O357&lt;20,1,IF(O357&gt;1000,10,MATCH(O357,Cargas,1))),Coluna_fih,1,1))*(1+0.13*0.25)*(PI()*(fi_h/1000)^2/4)*SQRT(2*9.81*(O357/100-fi_h/2/1000))*1000)),"",IF(O357&lt;fi_h/20,0,(OFFSET('Base de dados'!$A$5,IF(O357&lt;20,1,IF(O357&gt;1000,10,MATCH(O357,Cargas,1))),Coluna_fih,1,1))*(PI()*(fi_h/1000)^2/4)*SQRT(2*9.81*(O357/100-fi_h/2/1000))*1000))</f>
        <v>2.5042225559345384</v>
      </c>
      <c r="Q357" s="38">
        <f ca="1">IF(O357="","",IF(Tipo_Vertedor="Retangular",IF(O357&lt;=cota_s*100,0,IF(Tipo_Vertedor="Retangular",Cd_sr*Lef_sr*((O357/100-cota_s)^(3/2))*1000)),IF(O357&lt;=cota_s*100+fi_s/20,0,(OFFSET('Base de dados'!$A$4,IF(O357&lt;20,1,IF(O357&gt;1000,10,MATCH(O357,Cargas,1))),Coluna_fis,1,1))*(PI()*(fi_s/1000)^2/4)*(2*9.81*(O357/100-cota_s-fi_s/2/1000))^0.5*1000)))</f>
        <v>0</v>
      </c>
      <c r="R357" s="38">
        <f t="shared" ca="1" si="77"/>
        <v>2.5042225559345384</v>
      </c>
      <c r="S357" s="38">
        <f t="shared" ca="1" si="78"/>
        <v>111.25</v>
      </c>
      <c r="AD357" s="38" t="str">
        <f t="shared" si="88"/>
        <v/>
      </c>
      <c r="AE357" s="38" t="str">
        <f t="shared" si="89"/>
        <v/>
      </c>
      <c r="AF357" s="38" t="str">
        <f>IF(ISERROR(IF('Hidrograma afluente'!I364="",0,'Hidrograma afluente'!I364)+Simulação!G357),"",IF('Hidrograma afluente'!I364="",0,'Hidrograma afluente'!I364)+Simulação!G357)</f>
        <v/>
      </c>
      <c r="AG357" s="36" t="s">
        <v>182</v>
      </c>
      <c r="AH357" s="36" t="s">
        <v>182</v>
      </c>
      <c r="AI357" s="48" t="s">
        <v>182</v>
      </c>
      <c r="AJ357" s="36" t="s">
        <v>182</v>
      </c>
      <c r="AK357" s="38" t="str">
        <f>IF(A357="","",IF('Hidrograma afluente'!I364="",0,'Hidrograma afluente'!I364)+Simulação!B357)</f>
        <v/>
      </c>
    </row>
    <row r="358" spans="1:37" s="36" customFormat="1">
      <c r="A358" s="23" t="str">
        <f t="shared" si="79"/>
        <v/>
      </c>
      <c r="B358" s="24" t="str">
        <f>IF(A358="","",IF(A358&gt;tc_lot_i+tc,0,IF('Hidrograma afluente'!B365="","",'Hidrograma afluente'!B365)))</f>
        <v/>
      </c>
      <c r="C358" s="41" t="str">
        <f t="shared" si="80"/>
        <v/>
      </c>
      <c r="D358" s="41" t="str">
        <f t="shared" si="81"/>
        <v/>
      </c>
      <c r="E358" s="41" t="str">
        <f t="shared" si="82"/>
        <v/>
      </c>
      <c r="F358" s="41" t="str">
        <f t="shared" si="83"/>
        <v/>
      </c>
      <c r="G358" s="41" t="str">
        <f t="shared" si="84"/>
        <v/>
      </c>
      <c r="H358" s="43" t="str">
        <f t="shared" si="90"/>
        <v/>
      </c>
      <c r="I358" s="42" t="str">
        <f t="shared" si="85"/>
        <v/>
      </c>
      <c r="J358" s="18"/>
      <c r="K358" s="76"/>
      <c r="M358" s="132">
        <f t="shared" ca="1" si="76"/>
        <v>114.07030811167245</v>
      </c>
      <c r="N358" s="38">
        <f t="shared" si="86"/>
        <v>3.3468749999999998</v>
      </c>
      <c r="O358" s="36">
        <f t="shared" si="87"/>
        <v>89.25</v>
      </c>
      <c r="P358" s="38">
        <f ca="1">IF(ISERROR(IF(O358&lt;fi_h/20,0,(OFFSET('Base de dados'!$A$5,IF(O358&lt;20,1,IF(O358&gt;1000,10,MATCH(O358,Cargas,1))),Coluna_fih,1,1))*(1+0.13*0.25)*(PI()*(fi_h/1000)^2/4)*SQRT(2*9.81*(O358/100-fi_h/2/1000))*1000)),"",IF(O358&lt;fi_h/20,0,(OFFSET('Base de dados'!$A$5,IF(O358&lt;20,1,IF(O358&gt;1000,10,MATCH(O358,Cargas,1))),Coluna_fih,1,1))*(PI()*(fi_h/1000)^2/4)*SQRT(2*9.81*(O358/100-fi_h/2/1000))*1000))</f>
        <v>2.5078081116724462</v>
      </c>
      <c r="Q358" s="38">
        <f ca="1">IF(O358="","",IF(Tipo_Vertedor="Retangular",IF(O358&lt;=cota_s*100,0,IF(Tipo_Vertedor="Retangular",Cd_sr*Lef_sr*((O358/100-cota_s)^(3/2))*1000)),IF(O358&lt;=cota_s*100+fi_s/20,0,(OFFSET('Base de dados'!$A$4,IF(O358&lt;20,1,IF(O358&gt;1000,10,MATCH(O358,Cargas,1))),Coluna_fis,1,1))*(PI()*(fi_s/1000)^2/4)*(2*9.81*(O358/100-cota_s-fi_s/2/1000))^0.5*1000)))</f>
        <v>0</v>
      </c>
      <c r="R358" s="38">
        <f t="shared" ca="1" si="77"/>
        <v>2.5078081116724462</v>
      </c>
      <c r="S358" s="38">
        <f t="shared" ca="1" si="78"/>
        <v>111.5625</v>
      </c>
      <c r="AD358" s="38" t="str">
        <f t="shared" si="88"/>
        <v/>
      </c>
      <c r="AE358" s="38" t="str">
        <f t="shared" si="89"/>
        <v/>
      </c>
      <c r="AF358" s="38" t="str">
        <f>IF(ISERROR(IF('Hidrograma afluente'!I365="",0,'Hidrograma afluente'!I365)+Simulação!G358),"",IF('Hidrograma afluente'!I365="",0,'Hidrograma afluente'!I365)+Simulação!G358)</f>
        <v/>
      </c>
      <c r="AG358" s="36" t="s">
        <v>182</v>
      </c>
      <c r="AH358" s="36" t="s">
        <v>182</v>
      </c>
      <c r="AI358" s="48" t="s">
        <v>182</v>
      </c>
      <c r="AJ358" s="36" t="s">
        <v>182</v>
      </c>
      <c r="AK358" s="38" t="str">
        <f>IF(A358="","",IF('Hidrograma afluente'!I365="",0,'Hidrograma afluente'!I365)+Simulação!B358)</f>
        <v/>
      </c>
    </row>
    <row r="359" spans="1:37" s="36" customFormat="1">
      <c r="A359" s="23" t="str">
        <f t="shared" si="79"/>
        <v/>
      </c>
      <c r="B359" s="24" t="str">
        <f>IF(A359="","",IF(A359&gt;tc_lot_i+tc,0,IF('Hidrograma afluente'!B366="","",'Hidrograma afluente'!B366)))</f>
        <v/>
      </c>
      <c r="C359" s="41" t="str">
        <f t="shared" si="80"/>
        <v/>
      </c>
      <c r="D359" s="41" t="str">
        <f t="shared" si="81"/>
        <v/>
      </c>
      <c r="E359" s="41" t="str">
        <f t="shared" si="82"/>
        <v/>
      </c>
      <c r="F359" s="41" t="str">
        <f t="shared" si="83"/>
        <v/>
      </c>
      <c r="G359" s="41" t="str">
        <f t="shared" si="84"/>
        <v/>
      </c>
      <c r="H359" s="43" t="str">
        <f t="shared" si="90"/>
        <v/>
      </c>
      <c r="I359" s="42" t="str">
        <f t="shared" si="85"/>
        <v/>
      </c>
      <c r="J359" s="18"/>
      <c r="K359" s="76"/>
      <c r="M359" s="132">
        <f t="shared" ca="1" si="76"/>
        <v>114.38638854825153</v>
      </c>
      <c r="N359" s="38">
        <f t="shared" si="86"/>
        <v>3.3562500000000002</v>
      </c>
      <c r="O359" s="36">
        <f t="shared" si="87"/>
        <v>89.5</v>
      </c>
      <c r="P359" s="38">
        <f ca="1">IF(ISERROR(IF(O359&lt;fi_h/20,0,(OFFSET('Base de dados'!$A$5,IF(O359&lt;20,1,IF(O359&gt;1000,10,MATCH(O359,Cargas,1))),Coluna_fih,1,1))*(1+0.13*0.25)*(PI()*(fi_h/1000)^2/4)*SQRT(2*9.81*(O359/100-fi_h/2/1000))*1000)),"",IF(O359&lt;fi_h/20,0,(OFFSET('Base de dados'!$A$5,IF(O359&lt;20,1,IF(O359&gt;1000,10,MATCH(O359,Cargas,1))),Coluna_fih,1,1))*(PI()*(fi_h/1000)^2/4)*SQRT(2*9.81*(O359/100-fi_h/2/1000))*1000))</f>
        <v>2.5113885482515306</v>
      </c>
      <c r="Q359" s="38">
        <f ca="1">IF(O359="","",IF(Tipo_Vertedor="Retangular",IF(O359&lt;=cota_s*100,0,IF(Tipo_Vertedor="Retangular",Cd_sr*Lef_sr*((O359/100-cota_s)^(3/2))*1000)),IF(O359&lt;=cota_s*100+fi_s/20,0,(OFFSET('Base de dados'!$A$4,IF(O359&lt;20,1,IF(O359&gt;1000,10,MATCH(O359,Cargas,1))),Coluna_fis,1,1))*(PI()*(fi_s/1000)^2/4)*(2*9.81*(O359/100-cota_s-fi_s/2/1000))^0.5*1000)))</f>
        <v>0</v>
      </c>
      <c r="R359" s="38">
        <f t="shared" ca="1" si="77"/>
        <v>2.5113885482515306</v>
      </c>
      <c r="S359" s="38">
        <f t="shared" ca="1" si="78"/>
        <v>111.875</v>
      </c>
      <c r="AD359" s="38" t="str">
        <f t="shared" si="88"/>
        <v/>
      </c>
      <c r="AE359" s="38" t="str">
        <f t="shared" si="89"/>
        <v/>
      </c>
      <c r="AF359" s="38" t="str">
        <f>IF(ISERROR(IF('Hidrograma afluente'!I366="",0,'Hidrograma afluente'!I366)+Simulação!G359),"",IF('Hidrograma afluente'!I366="",0,'Hidrograma afluente'!I366)+Simulação!G359)</f>
        <v/>
      </c>
      <c r="AG359" s="36" t="s">
        <v>182</v>
      </c>
      <c r="AH359" s="36" t="s">
        <v>182</v>
      </c>
      <c r="AI359" s="48" t="s">
        <v>182</v>
      </c>
      <c r="AJ359" s="36" t="s">
        <v>182</v>
      </c>
      <c r="AK359" s="38" t="str">
        <f>IF(A359="","",IF('Hidrograma afluente'!I366="",0,'Hidrograma afluente'!I366)+Simulação!B359)</f>
        <v/>
      </c>
    </row>
    <row r="360" spans="1:37" s="36" customFormat="1">
      <c r="A360" s="23" t="str">
        <f t="shared" si="79"/>
        <v/>
      </c>
      <c r="B360" s="24" t="str">
        <f>IF(A360="","",IF(A360&gt;tc_lot_i+tc,0,IF('Hidrograma afluente'!B367="","",'Hidrograma afluente'!B367)))</f>
        <v/>
      </c>
      <c r="C360" s="41" t="str">
        <f t="shared" si="80"/>
        <v/>
      </c>
      <c r="D360" s="41" t="str">
        <f t="shared" si="81"/>
        <v/>
      </c>
      <c r="E360" s="41" t="str">
        <f t="shared" si="82"/>
        <v/>
      </c>
      <c r="F360" s="41" t="str">
        <f t="shared" si="83"/>
        <v/>
      </c>
      <c r="G360" s="41" t="str">
        <f t="shared" si="84"/>
        <v/>
      </c>
      <c r="H360" s="43" t="str">
        <f t="shared" si="90"/>
        <v/>
      </c>
      <c r="I360" s="42" t="str">
        <f t="shared" si="85"/>
        <v/>
      </c>
      <c r="J360" s="18"/>
      <c r="K360" s="76"/>
      <c r="M360" s="132">
        <f t="shared" ca="1" si="76"/>
        <v>114.7024638875355</v>
      </c>
      <c r="N360" s="38">
        <f t="shared" si="86"/>
        <v>3.3656249999999996</v>
      </c>
      <c r="O360" s="36">
        <f t="shared" si="87"/>
        <v>89.75</v>
      </c>
      <c r="P360" s="38">
        <f ca="1">IF(ISERROR(IF(O360&lt;fi_h/20,0,(OFFSET('Base de dados'!$A$5,IF(O360&lt;20,1,IF(O360&gt;1000,10,MATCH(O360,Cargas,1))),Coluna_fih,1,1))*(1+0.13*0.25)*(PI()*(fi_h/1000)^2/4)*SQRT(2*9.81*(O360/100-fi_h/2/1000))*1000)),"",IF(O360&lt;fi_h/20,0,(OFFSET('Base de dados'!$A$5,IF(O360&lt;20,1,IF(O360&gt;1000,10,MATCH(O360,Cargas,1))),Coluna_fih,1,1))*(PI()*(fi_h/1000)^2/4)*SQRT(2*9.81*(O360/100-fi_h/2/1000))*1000))</f>
        <v>2.514963887535512</v>
      </c>
      <c r="Q360" s="38">
        <f ca="1">IF(O360="","",IF(Tipo_Vertedor="Retangular",IF(O360&lt;=cota_s*100,0,IF(Tipo_Vertedor="Retangular",Cd_sr*Lef_sr*((O360/100-cota_s)^(3/2))*1000)),IF(O360&lt;=cota_s*100+fi_s/20,0,(OFFSET('Base de dados'!$A$4,IF(O360&lt;20,1,IF(O360&gt;1000,10,MATCH(O360,Cargas,1))),Coluna_fis,1,1))*(PI()*(fi_s/1000)^2/4)*(2*9.81*(O360/100-cota_s-fi_s/2/1000))^0.5*1000)))</f>
        <v>0</v>
      </c>
      <c r="R360" s="38">
        <f t="shared" ca="1" si="77"/>
        <v>2.514963887535512</v>
      </c>
      <c r="S360" s="38">
        <f t="shared" ca="1" si="78"/>
        <v>112.18749999999999</v>
      </c>
      <c r="AD360" s="38" t="str">
        <f t="shared" si="88"/>
        <v/>
      </c>
      <c r="AE360" s="38" t="str">
        <f t="shared" si="89"/>
        <v/>
      </c>
      <c r="AF360" s="38" t="str">
        <f>IF(ISERROR(IF('Hidrograma afluente'!I367="",0,'Hidrograma afluente'!I367)+Simulação!G360),"",IF('Hidrograma afluente'!I367="",0,'Hidrograma afluente'!I367)+Simulação!G360)</f>
        <v/>
      </c>
      <c r="AG360" s="36" t="s">
        <v>182</v>
      </c>
      <c r="AH360" s="36" t="s">
        <v>182</v>
      </c>
      <c r="AI360" s="48" t="s">
        <v>182</v>
      </c>
      <c r="AJ360" s="36" t="s">
        <v>182</v>
      </c>
      <c r="AK360" s="38" t="str">
        <f>IF(A360="","",IF('Hidrograma afluente'!I367="",0,'Hidrograma afluente'!I367)+Simulação!B360)</f>
        <v/>
      </c>
    </row>
    <row r="361" spans="1:37" s="36" customFormat="1">
      <c r="A361" s="23" t="str">
        <f t="shared" si="79"/>
        <v/>
      </c>
      <c r="B361" s="24" t="str">
        <f>IF(A361="","",IF(A361&gt;tc_lot_i+tc,0,IF('Hidrograma afluente'!B368="","",'Hidrograma afluente'!B368)))</f>
        <v/>
      </c>
      <c r="C361" s="41" t="str">
        <f t="shared" si="80"/>
        <v/>
      </c>
      <c r="D361" s="41" t="str">
        <f t="shared" si="81"/>
        <v/>
      </c>
      <c r="E361" s="41" t="str">
        <f t="shared" si="82"/>
        <v/>
      </c>
      <c r="F361" s="41" t="str">
        <f t="shared" si="83"/>
        <v/>
      </c>
      <c r="G361" s="41" t="str">
        <f t="shared" si="84"/>
        <v/>
      </c>
      <c r="H361" s="43" t="str">
        <f t="shared" si="90"/>
        <v/>
      </c>
      <c r="I361" s="42" t="str">
        <f t="shared" si="85"/>
        <v/>
      </c>
      <c r="J361" s="18"/>
      <c r="K361" s="76"/>
      <c r="M361" s="132">
        <f t="shared" ca="1" si="76"/>
        <v>115.01853415123293</v>
      </c>
      <c r="N361" s="38">
        <f t="shared" si="86"/>
        <v>3.375</v>
      </c>
      <c r="O361" s="36">
        <f t="shared" si="87"/>
        <v>90</v>
      </c>
      <c r="P361" s="38">
        <f ca="1">IF(ISERROR(IF(O361&lt;fi_h/20,0,(OFFSET('Base de dados'!$A$5,IF(O361&lt;20,1,IF(O361&gt;1000,10,MATCH(O361,Cargas,1))),Coluna_fih,1,1))*(1+0.13*0.25)*(PI()*(fi_h/1000)^2/4)*SQRT(2*9.81*(O361/100-fi_h/2/1000))*1000)),"",IF(O361&lt;fi_h/20,0,(OFFSET('Base de dados'!$A$5,IF(O361&lt;20,1,IF(O361&gt;1000,10,MATCH(O361,Cargas,1))),Coluna_fih,1,1))*(PI()*(fi_h/1000)^2/4)*SQRT(2*9.81*(O361/100-fi_h/2/1000))*1000))</f>
        <v>2.5185341512329238</v>
      </c>
      <c r="Q361" s="38">
        <f ca="1">IF(O361="","",IF(Tipo_Vertedor="Retangular",IF(O361&lt;=cota_s*100,0,IF(Tipo_Vertedor="Retangular",Cd_sr*Lef_sr*((O361/100-cota_s)^(3/2))*1000)),IF(O361&lt;=cota_s*100+fi_s/20,0,(OFFSET('Base de dados'!$A$4,IF(O361&lt;20,1,IF(O361&gt;1000,10,MATCH(O361,Cargas,1))),Coluna_fis,1,1))*(PI()*(fi_s/1000)^2/4)*(2*9.81*(O361/100-cota_s-fi_s/2/1000))^0.5*1000)))</f>
        <v>0</v>
      </c>
      <c r="R361" s="38">
        <f t="shared" ca="1" si="77"/>
        <v>2.5185341512329238</v>
      </c>
      <c r="S361" s="38">
        <f t="shared" ca="1" si="78"/>
        <v>112.5</v>
      </c>
      <c r="AD361" s="38" t="str">
        <f t="shared" si="88"/>
        <v/>
      </c>
      <c r="AE361" s="38" t="str">
        <f t="shared" si="89"/>
        <v/>
      </c>
      <c r="AF361" s="38" t="str">
        <f>IF(ISERROR(IF('Hidrograma afluente'!I368="",0,'Hidrograma afluente'!I368)+Simulação!G361),"",IF('Hidrograma afluente'!I368="",0,'Hidrograma afluente'!I368)+Simulação!G361)</f>
        <v/>
      </c>
      <c r="AG361" s="36" t="s">
        <v>182</v>
      </c>
      <c r="AH361" s="36" t="s">
        <v>182</v>
      </c>
      <c r="AI361" s="48" t="s">
        <v>182</v>
      </c>
      <c r="AJ361" s="36" t="s">
        <v>182</v>
      </c>
      <c r="AK361" s="38" t="str">
        <f>IF(A361="","",IF('Hidrograma afluente'!I368="",0,'Hidrograma afluente'!I368)+Simulação!B361)</f>
        <v/>
      </c>
    </row>
    <row r="362" spans="1:37" s="36" customFormat="1">
      <c r="A362" s="23" t="str">
        <f t="shared" si="79"/>
        <v/>
      </c>
      <c r="B362" s="24" t="str">
        <f>IF(A362="","",IF(A362&gt;tc_lot_i+tc,0,IF('Hidrograma afluente'!B369="","",'Hidrograma afluente'!B369)))</f>
        <v/>
      </c>
      <c r="C362" s="41" t="str">
        <f t="shared" si="80"/>
        <v/>
      </c>
      <c r="D362" s="41" t="str">
        <f t="shared" si="81"/>
        <v/>
      </c>
      <c r="E362" s="41" t="str">
        <f t="shared" si="82"/>
        <v/>
      </c>
      <c r="F362" s="41" t="str">
        <f t="shared" si="83"/>
        <v/>
      </c>
      <c r="G362" s="41" t="str">
        <f t="shared" si="84"/>
        <v/>
      </c>
      <c r="H362" s="43" t="str">
        <f t="shared" si="90"/>
        <v/>
      </c>
      <c r="I362" s="42" t="str">
        <f t="shared" si="85"/>
        <v/>
      </c>
      <c r="J362" s="18"/>
      <c r="K362" s="76"/>
      <c r="M362" s="132">
        <f t="shared" ca="1" si="76"/>
        <v>115.33459936089865</v>
      </c>
      <c r="N362" s="38">
        <f t="shared" si="86"/>
        <v>3.3843749999999999</v>
      </c>
      <c r="O362" s="36">
        <f t="shared" si="87"/>
        <v>90.25</v>
      </c>
      <c r="P362" s="38">
        <f ca="1">IF(ISERROR(IF(O362&lt;fi_h/20,0,(OFFSET('Base de dados'!$A$5,IF(O362&lt;20,1,IF(O362&gt;1000,10,MATCH(O362,Cargas,1))),Coluna_fih,1,1))*(1+0.13*0.25)*(PI()*(fi_h/1000)^2/4)*SQRT(2*9.81*(O362/100-fi_h/2/1000))*1000)),"",IF(O362&lt;fi_h/20,0,(OFFSET('Base de dados'!$A$5,IF(O362&lt;20,1,IF(O362&gt;1000,10,MATCH(O362,Cargas,1))),Coluna_fih,1,1))*(PI()*(fi_h/1000)^2/4)*SQRT(2*9.81*(O362/100-fi_h/2/1000))*1000))</f>
        <v>2.5220993608986451</v>
      </c>
      <c r="Q362" s="38">
        <f ca="1">IF(O362="","",IF(Tipo_Vertedor="Retangular",IF(O362&lt;=cota_s*100,0,IF(Tipo_Vertedor="Retangular",Cd_sr*Lef_sr*((O362/100-cota_s)^(3/2))*1000)),IF(O362&lt;=cota_s*100+fi_s/20,0,(OFFSET('Base de dados'!$A$4,IF(O362&lt;20,1,IF(O362&gt;1000,10,MATCH(O362,Cargas,1))),Coluna_fis,1,1))*(PI()*(fi_s/1000)^2/4)*(2*9.81*(O362/100-cota_s-fi_s/2/1000))^0.5*1000)))</f>
        <v>0</v>
      </c>
      <c r="R362" s="38">
        <f t="shared" ca="1" si="77"/>
        <v>2.5220993608986451</v>
      </c>
      <c r="S362" s="38">
        <f t="shared" ca="1" si="78"/>
        <v>112.8125</v>
      </c>
      <c r="AD362" s="38" t="str">
        <f t="shared" si="88"/>
        <v/>
      </c>
      <c r="AE362" s="38" t="str">
        <f t="shared" si="89"/>
        <v/>
      </c>
      <c r="AF362" s="38" t="str">
        <f>IF(ISERROR(IF('Hidrograma afluente'!I369="",0,'Hidrograma afluente'!I369)+Simulação!G362),"",IF('Hidrograma afluente'!I369="",0,'Hidrograma afluente'!I369)+Simulação!G362)</f>
        <v/>
      </c>
      <c r="AG362" s="36" t="s">
        <v>182</v>
      </c>
      <c r="AH362" s="36" t="s">
        <v>182</v>
      </c>
      <c r="AI362" s="48" t="s">
        <v>182</v>
      </c>
      <c r="AJ362" s="36" t="s">
        <v>182</v>
      </c>
      <c r="AK362" s="38" t="str">
        <f>IF(A362="","",IF('Hidrograma afluente'!I369="",0,'Hidrograma afluente'!I369)+Simulação!B362)</f>
        <v/>
      </c>
    </row>
    <row r="363" spans="1:37" s="36" customFormat="1">
      <c r="A363" s="23" t="str">
        <f t="shared" si="79"/>
        <v/>
      </c>
      <c r="B363" s="24" t="str">
        <f>IF(A363="","",IF(A363&gt;tc_lot_i+tc,0,IF('Hidrograma afluente'!B370="","",'Hidrograma afluente'!B370)))</f>
        <v/>
      </c>
      <c r="C363" s="41" t="str">
        <f t="shared" si="80"/>
        <v/>
      </c>
      <c r="D363" s="41" t="str">
        <f t="shared" si="81"/>
        <v/>
      </c>
      <c r="E363" s="41" t="str">
        <f t="shared" si="82"/>
        <v/>
      </c>
      <c r="F363" s="41" t="str">
        <f t="shared" si="83"/>
        <v/>
      </c>
      <c r="G363" s="41" t="str">
        <f t="shared" si="84"/>
        <v/>
      </c>
      <c r="H363" s="43" t="str">
        <f t="shared" si="90"/>
        <v/>
      </c>
      <c r="I363" s="42" t="str">
        <f t="shared" si="85"/>
        <v/>
      </c>
      <c r="J363" s="18"/>
      <c r="K363" s="76"/>
      <c r="M363" s="132">
        <f t="shared" ca="1" si="76"/>
        <v>115.65065953793544</v>
      </c>
      <c r="N363" s="38">
        <f t="shared" si="86"/>
        <v>3.3937500000000003</v>
      </c>
      <c r="O363" s="36">
        <f t="shared" si="87"/>
        <v>90.5</v>
      </c>
      <c r="P363" s="38">
        <f ca="1">IF(ISERROR(IF(O363&lt;fi_h/20,0,(OFFSET('Base de dados'!$A$5,IF(O363&lt;20,1,IF(O363&gt;1000,10,MATCH(O363,Cargas,1))),Coluna_fih,1,1))*(1+0.13*0.25)*(PI()*(fi_h/1000)^2/4)*SQRT(2*9.81*(O363/100-fi_h/2/1000))*1000)),"",IF(O363&lt;fi_h/20,0,(OFFSET('Base de dados'!$A$5,IF(O363&lt;20,1,IF(O363&gt;1000,10,MATCH(O363,Cargas,1))),Coluna_fih,1,1))*(PI()*(fi_h/1000)^2/4)*SQRT(2*9.81*(O363/100-fi_h/2/1000))*1000))</f>
        <v>2.5256595379354212</v>
      </c>
      <c r="Q363" s="38">
        <f ca="1">IF(O363="","",IF(Tipo_Vertedor="Retangular",IF(O363&lt;=cota_s*100,0,IF(Tipo_Vertedor="Retangular",Cd_sr*Lef_sr*((O363/100-cota_s)^(3/2))*1000)),IF(O363&lt;=cota_s*100+fi_s/20,0,(OFFSET('Base de dados'!$A$4,IF(O363&lt;20,1,IF(O363&gt;1000,10,MATCH(O363,Cargas,1))),Coluna_fis,1,1))*(PI()*(fi_s/1000)^2/4)*(2*9.81*(O363/100-cota_s-fi_s/2/1000))^0.5*1000)))</f>
        <v>0</v>
      </c>
      <c r="R363" s="38">
        <f t="shared" ca="1" si="77"/>
        <v>2.5256595379354212</v>
      </c>
      <c r="S363" s="38">
        <f t="shared" ca="1" si="78"/>
        <v>113.12500000000001</v>
      </c>
      <c r="AD363" s="38" t="str">
        <f t="shared" si="88"/>
        <v/>
      </c>
      <c r="AE363" s="38" t="str">
        <f t="shared" si="89"/>
        <v/>
      </c>
      <c r="AF363" s="38" t="str">
        <f>IF(ISERROR(IF('Hidrograma afluente'!I370="",0,'Hidrograma afluente'!I370)+Simulação!G363),"",IF('Hidrograma afluente'!I370="",0,'Hidrograma afluente'!I370)+Simulação!G363)</f>
        <v/>
      </c>
      <c r="AG363" s="36" t="s">
        <v>182</v>
      </c>
      <c r="AH363" s="36" t="s">
        <v>182</v>
      </c>
      <c r="AI363" s="48" t="s">
        <v>182</v>
      </c>
      <c r="AJ363" s="36" t="s">
        <v>182</v>
      </c>
      <c r="AK363" s="38" t="str">
        <f>IF(A363="","",IF('Hidrograma afluente'!I370="",0,'Hidrograma afluente'!I370)+Simulação!B363)</f>
        <v/>
      </c>
    </row>
    <row r="364" spans="1:37" s="36" customFormat="1">
      <c r="A364" s="23" t="str">
        <f t="shared" si="79"/>
        <v/>
      </c>
      <c r="B364" s="24" t="str">
        <f>IF(A364="","",IF(A364&gt;tc_lot_i+tc,0,IF('Hidrograma afluente'!B371="","",'Hidrograma afluente'!B371)))</f>
        <v/>
      </c>
      <c r="C364" s="41" t="str">
        <f t="shared" si="80"/>
        <v/>
      </c>
      <c r="D364" s="41" t="str">
        <f t="shared" si="81"/>
        <v/>
      </c>
      <c r="E364" s="41" t="str">
        <f t="shared" si="82"/>
        <v/>
      </c>
      <c r="F364" s="41" t="str">
        <f t="shared" si="83"/>
        <v/>
      </c>
      <c r="G364" s="41" t="str">
        <f t="shared" si="84"/>
        <v/>
      </c>
      <c r="H364" s="43" t="str">
        <f t="shared" si="90"/>
        <v/>
      </c>
      <c r="I364" s="42" t="str">
        <f t="shared" si="85"/>
        <v/>
      </c>
      <c r="J364" s="18"/>
      <c r="K364" s="76"/>
      <c r="M364" s="132">
        <f t="shared" ca="1" si="76"/>
        <v>115.96671470359534</v>
      </c>
      <c r="N364" s="38">
        <f t="shared" si="86"/>
        <v>3.4031249999999997</v>
      </c>
      <c r="O364" s="36">
        <f t="shared" si="87"/>
        <v>90.75</v>
      </c>
      <c r="P364" s="38">
        <f ca="1">IF(ISERROR(IF(O364&lt;fi_h/20,0,(OFFSET('Base de dados'!$A$5,IF(O364&lt;20,1,IF(O364&gt;1000,10,MATCH(O364,Cargas,1))),Coluna_fih,1,1))*(1+0.13*0.25)*(PI()*(fi_h/1000)^2/4)*SQRT(2*9.81*(O364/100-fi_h/2/1000))*1000)),"",IF(O364&lt;fi_h/20,0,(OFFSET('Base de dados'!$A$5,IF(O364&lt;20,1,IF(O364&gt;1000,10,MATCH(O364,Cargas,1))),Coluna_fih,1,1))*(PI()*(fi_h/1000)^2/4)*SQRT(2*9.81*(O364/100-fi_h/2/1000))*1000))</f>
        <v>2.5292147035953607</v>
      </c>
      <c r="Q364" s="38">
        <f ca="1">IF(O364="","",IF(Tipo_Vertedor="Retangular",IF(O364&lt;=cota_s*100,0,IF(Tipo_Vertedor="Retangular",Cd_sr*Lef_sr*((O364/100-cota_s)^(3/2))*1000)),IF(O364&lt;=cota_s*100+fi_s/20,0,(OFFSET('Base de dados'!$A$4,IF(O364&lt;20,1,IF(O364&gt;1000,10,MATCH(O364,Cargas,1))),Coluna_fis,1,1))*(PI()*(fi_s/1000)^2/4)*(2*9.81*(O364/100-cota_s-fi_s/2/1000))^0.5*1000)))</f>
        <v>0</v>
      </c>
      <c r="R364" s="38">
        <f t="shared" ca="1" si="77"/>
        <v>2.5292147035953607</v>
      </c>
      <c r="S364" s="38">
        <f t="shared" ca="1" si="78"/>
        <v>113.43749999999999</v>
      </c>
      <c r="AD364" s="38" t="str">
        <f t="shared" si="88"/>
        <v/>
      </c>
      <c r="AE364" s="38" t="str">
        <f t="shared" si="89"/>
        <v/>
      </c>
      <c r="AF364" s="38" t="str">
        <f>IF(ISERROR(IF('Hidrograma afluente'!I371="",0,'Hidrograma afluente'!I371)+Simulação!G364),"",IF('Hidrograma afluente'!I371="",0,'Hidrograma afluente'!I371)+Simulação!G364)</f>
        <v/>
      </c>
      <c r="AG364" s="36" t="s">
        <v>182</v>
      </c>
      <c r="AH364" s="36" t="s">
        <v>182</v>
      </c>
      <c r="AI364" s="48" t="s">
        <v>182</v>
      </c>
      <c r="AJ364" s="36" t="s">
        <v>182</v>
      </c>
      <c r="AK364" s="38" t="str">
        <f>IF(A364="","",IF('Hidrograma afluente'!I371="",0,'Hidrograma afluente'!I371)+Simulação!B364)</f>
        <v/>
      </c>
    </row>
    <row r="365" spans="1:37" s="36" customFormat="1">
      <c r="A365" s="23" t="str">
        <f t="shared" si="79"/>
        <v/>
      </c>
      <c r="B365" s="24" t="str">
        <f>IF(A365="","",IF(A365&gt;tc_lot_i+tc,0,IF('Hidrograma afluente'!B372="","",'Hidrograma afluente'!B372)))</f>
        <v/>
      </c>
      <c r="C365" s="41" t="str">
        <f t="shared" si="80"/>
        <v/>
      </c>
      <c r="D365" s="41" t="str">
        <f t="shared" si="81"/>
        <v/>
      </c>
      <c r="E365" s="41" t="str">
        <f t="shared" si="82"/>
        <v/>
      </c>
      <c r="F365" s="41" t="str">
        <f t="shared" si="83"/>
        <v/>
      </c>
      <c r="G365" s="41" t="str">
        <f t="shared" si="84"/>
        <v/>
      </c>
      <c r="H365" s="43" t="str">
        <f t="shared" si="90"/>
        <v/>
      </c>
      <c r="I365" s="42" t="str">
        <f t="shared" si="85"/>
        <v/>
      </c>
      <c r="J365" s="18"/>
      <c r="K365" s="76"/>
      <c r="M365" s="132">
        <f t="shared" ca="1" si="76"/>
        <v>116.28276487898142</v>
      </c>
      <c r="N365" s="38">
        <f t="shared" si="86"/>
        <v>3.4125000000000001</v>
      </c>
      <c r="O365" s="36">
        <f t="shared" si="87"/>
        <v>91</v>
      </c>
      <c r="P365" s="38">
        <f ca="1">IF(ISERROR(IF(O365&lt;fi_h/20,0,(OFFSET('Base de dados'!$A$5,IF(O365&lt;20,1,IF(O365&gt;1000,10,MATCH(O365,Cargas,1))),Coluna_fih,1,1))*(1+0.13*0.25)*(PI()*(fi_h/1000)^2/4)*SQRT(2*9.81*(O365/100-fi_h/2/1000))*1000)),"",IF(O365&lt;fi_h/20,0,(OFFSET('Base de dados'!$A$5,IF(O365&lt;20,1,IF(O365&gt;1000,10,MATCH(O365,Cargas,1))),Coluna_fih,1,1))*(PI()*(fi_h/1000)^2/4)*SQRT(2*9.81*(O365/100-fi_h/2/1000))*1000))</f>
        <v>2.5327648789814221</v>
      </c>
      <c r="Q365" s="38">
        <f ca="1">IF(O365="","",IF(Tipo_Vertedor="Retangular",IF(O365&lt;=cota_s*100,0,IF(Tipo_Vertedor="Retangular",Cd_sr*Lef_sr*((O365/100-cota_s)^(3/2))*1000)),IF(O365&lt;=cota_s*100+fi_s/20,0,(OFFSET('Base de dados'!$A$4,IF(O365&lt;20,1,IF(O365&gt;1000,10,MATCH(O365,Cargas,1))),Coluna_fis,1,1))*(PI()*(fi_s/1000)^2/4)*(2*9.81*(O365/100-cota_s-fi_s/2/1000))^0.5*1000)))</f>
        <v>0</v>
      </c>
      <c r="R365" s="38">
        <f t="shared" ca="1" si="77"/>
        <v>2.5327648789814221</v>
      </c>
      <c r="S365" s="38">
        <f t="shared" ca="1" si="78"/>
        <v>113.75</v>
      </c>
      <c r="AD365" s="38" t="str">
        <f t="shared" si="88"/>
        <v/>
      </c>
      <c r="AE365" s="38" t="str">
        <f t="shared" si="89"/>
        <v/>
      </c>
      <c r="AF365" s="38" t="str">
        <f>IF(ISERROR(IF('Hidrograma afluente'!I372="",0,'Hidrograma afluente'!I372)+Simulação!G365),"",IF('Hidrograma afluente'!I372="",0,'Hidrograma afluente'!I372)+Simulação!G365)</f>
        <v/>
      </c>
      <c r="AG365" s="36" t="s">
        <v>182</v>
      </c>
      <c r="AH365" s="36" t="s">
        <v>182</v>
      </c>
      <c r="AI365" s="48" t="s">
        <v>182</v>
      </c>
      <c r="AJ365" s="36" t="s">
        <v>182</v>
      </c>
      <c r="AK365" s="38" t="str">
        <f>IF(A365="","",IF('Hidrograma afluente'!I372="",0,'Hidrograma afluente'!I372)+Simulação!B365)</f>
        <v/>
      </c>
    </row>
    <row r="366" spans="1:37" s="36" customFormat="1">
      <c r="A366" s="23" t="str">
        <f t="shared" si="79"/>
        <v/>
      </c>
      <c r="B366" s="24" t="str">
        <f>IF(A366="","",IF(A366&gt;tc_lot_i+tc,0,IF('Hidrograma afluente'!B373="","",'Hidrograma afluente'!B373)))</f>
        <v/>
      </c>
      <c r="C366" s="41" t="str">
        <f t="shared" si="80"/>
        <v/>
      </c>
      <c r="D366" s="41" t="str">
        <f t="shared" si="81"/>
        <v/>
      </c>
      <c r="E366" s="41" t="str">
        <f t="shared" si="82"/>
        <v/>
      </c>
      <c r="F366" s="41" t="str">
        <f t="shared" si="83"/>
        <v/>
      </c>
      <c r="G366" s="41" t="str">
        <f t="shared" si="84"/>
        <v/>
      </c>
      <c r="H366" s="43" t="str">
        <f t="shared" si="90"/>
        <v/>
      </c>
      <c r="I366" s="42" t="str">
        <f t="shared" si="85"/>
        <v/>
      </c>
      <c r="J366" s="18"/>
      <c r="K366" s="76"/>
      <c r="M366" s="132">
        <f t="shared" ca="1" si="76"/>
        <v>116.59881008504887</v>
      </c>
      <c r="N366" s="38">
        <f t="shared" si="86"/>
        <v>3.421875</v>
      </c>
      <c r="O366" s="36">
        <f t="shared" si="87"/>
        <v>91.25</v>
      </c>
      <c r="P366" s="38">
        <f ca="1">IF(ISERROR(IF(O366&lt;fi_h/20,0,(OFFSET('Base de dados'!$A$5,IF(O366&lt;20,1,IF(O366&gt;1000,10,MATCH(O366,Cargas,1))),Coluna_fih,1,1))*(1+0.13*0.25)*(PI()*(fi_h/1000)^2/4)*SQRT(2*9.81*(O366/100-fi_h/2/1000))*1000)),"",IF(O366&lt;fi_h/20,0,(OFFSET('Base de dados'!$A$5,IF(O366&lt;20,1,IF(O366&gt;1000,10,MATCH(O366,Cargas,1))),Coluna_fih,1,1))*(PI()*(fi_h/1000)^2/4)*SQRT(2*9.81*(O366/100-fi_h/2/1000))*1000))</f>
        <v>2.5363100850488665</v>
      </c>
      <c r="Q366" s="38">
        <f ca="1">IF(O366="","",IF(Tipo_Vertedor="Retangular",IF(O366&lt;=cota_s*100,0,IF(Tipo_Vertedor="Retangular",Cd_sr*Lef_sr*((O366/100-cota_s)^(3/2))*1000)),IF(O366&lt;=cota_s*100+fi_s/20,0,(OFFSET('Base de dados'!$A$4,IF(O366&lt;20,1,IF(O366&gt;1000,10,MATCH(O366,Cargas,1))),Coluna_fis,1,1))*(PI()*(fi_s/1000)^2/4)*(2*9.81*(O366/100-cota_s-fi_s/2/1000))^0.5*1000)))</f>
        <v>0</v>
      </c>
      <c r="R366" s="38">
        <f t="shared" ca="1" si="77"/>
        <v>2.5363100850488665</v>
      </c>
      <c r="S366" s="38">
        <f t="shared" ca="1" si="78"/>
        <v>114.0625</v>
      </c>
      <c r="AD366" s="38" t="str">
        <f t="shared" si="88"/>
        <v/>
      </c>
      <c r="AE366" s="38" t="str">
        <f t="shared" si="89"/>
        <v/>
      </c>
      <c r="AF366" s="38" t="str">
        <f>IF(ISERROR(IF('Hidrograma afluente'!I373="",0,'Hidrograma afluente'!I373)+Simulação!G366),"",IF('Hidrograma afluente'!I373="",0,'Hidrograma afluente'!I373)+Simulação!G366)</f>
        <v/>
      </c>
      <c r="AG366" s="36" t="s">
        <v>182</v>
      </c>
      <c r="AH366" s="36" t="s">
        <v>182</v>
      </c>
      <c r="AI366" s="48" t="s">
        <v>182</v>
      </c>
      <c r="AJ366" s="36" t="s">
        <v>182</v>
      </c>
      <c r="AK366" s="38" t="str">
        <f>IF(A366="","",IF('Hidrograma afluente'!I373="",0,'Hidrograma afluente'!I373)+Simulação!B366)</f>
        <v/>
      </c>
    </row>
    <row r="367" spans="1:37" s="36" customFormat="1">
      <c r="A367" s="23" t="str">
        <f t="shared" si="79"/>
        <v/>
      </c>
      <c r="B367" s="24" t="str">
        <f>IF(A367="","",IF(A367&gt;tc_lot_i+tc,0,IF('Hidrograma afluente'!B374="","",'Hidrograma afluente'!B374)))</f>
        <v/>
      </c>
      <c r="C367" s="41" t="str">
        <f t="shared" si="80"/>
        <v/>
      </c>
      <c r="D367" s="41" t="str">
        <f t="shared" si="81"/>
        <v/>
      </c>
      <c r="E367" s="41" t="str">
        <f t="shared" si="82"/>
        <v/>
      </c>
      <c r="F367" s="41" t="str">
        <f t="shared" si="83"/>
        <v/>
      </c>
      <c r="G367" s="41" t="str">
        <f t="shared" si="84"/>
        <v/>
      </c>
      <c r="H367" s="43" t="str">
        <f t="shared" si="90"/>
        <v/>
      </c>
      <c r="I367" s="42" t="str">
        <f t="shared" si="85"/>
        <v/>
      </c>
      <c r="J367" s="18"/>
      <c r="K367" s="76"/>
      <c r="M367" s="132">
        <f t="shared" ca="1" si="76"/>
        <v>116.91485034260671</v>
      </c>
      <c r="N367" s="38">
        <f t="shared" si="86"/>
        <v>3.4312500000000004</v>
      </c>
      <c r="O367" s="36">
        <f t="shared" si="87"/>
        <v>91.5</v>
      </c>
      <c r="P367" s="38">
        <f ca="1">IF(ISERROR(IF(O367&lt;fi_h/20,0,(OFFSET('Base de dados'!$A$5,IF(O367&lt;20,1,IF(O367&gt;1000,10,MATCH(O367,Cargas,1))),Coluna_fih,1,1))*(1+0.13*0.25)*(PI()*(fi_h/1000)^2/4)*SQRT(2*9.81*(O367/100-fi_h/2/1000))*1000)),"",IF(O367&lt;fi_h/20,0,(OFFSET('Base de dados'!$A$5,IF(O367&lt;20,1,IF(O367&gt;1000,10,MATCH(O367,Cargas,1))),Coluna_fih,1,1))*(PI()*(fi_h/1000)^2/4)*SQRT(2*9.81*(O367/100-fi_h/2/1000))*1000))</f>
        <v>2.5398503426067043</v>
      </c>
      <c r="Q367" s="38">
        <f ca="1">IF(O367="","",IF(Tipo_Vertedor="Retangular",IF(O367&lt;=cota_s*100,0,IF(Tipo_Vertedor="Retangular",Cd_sr*Lef_sr*((O367/100-cota_s)^(3/2))*1000)),IF(O367&lt;=cota_s*100+fi_s/20,0,(OFFSET('Base de dados'!$A$4,IF(O367&lt;20,1,IF(O367&gt;1000,10,MATCH(O367,Cargas,1))),Coluna_fis,1,1))*(PI()*(fi_s/1000)^2/4)*(2*9.81*(O367/100-cota_s-fi_s/2/1000))^0.5*1000)))</f>
        <v>0</v>
      </c>
      <c r="R367" s="38">
        <f t="shared" ca="1" si="77"/>
        <v>2.5398503426067043</v>
      </c>
      <c r="S367" s="38">
        <f t="shared" ca="1" si="78"/>
        <v>114.37500000000001</v>
      </c>
      <c r="AD367" s="38" t="str">
        <f t="shared" si="88"/>
        <v/>
      </c>
      <c r="AE367" s="38" t="str">
        <f t="shared" si="89"/>
        <v/>
      </c>
      <c r="AF367" s="38" t="str">
        <f>IF(ISERROR(IF('Hidrograma afluente'!I374="",0,'Hidrograma afluente'!I374)+Simulação!G367),"",IF('Hidrograma afluente'!I374="",0,'Hidrograma afluente'!I374)+Simulação!G367)</f>
        <v/>
      </c>
      <c r="AG367" s="36" t="s">
        <v>182</v>
      </c>
      <c r="AH367" s="36" t="s">
        <v>182</v>
      </c>
      <c r="AI367" s="48" t="s">
        <v>182</v>
      </c>
      <c r="AJ367" s="36" t="s">
        <v>182</v>
      </c>
      <c r="AK367" s="38" t="str">
        <f>IF(A367="","",IF('Hidrograma afluente'!I374="",0,'Hidrograma afluente'!I374)+Simulação!B367)</f>
        <v/>
      </c>
    </row>
    <row r="368" spans="1:37" s="36" customFormat="1">
      <c r="A368" s="23" t="str">
        <f t="shared" si="79"/>
        <v/>
      </c>
      <c r="B368" s="24" t="str">
        <f>IF(A368="","",IF(A368&gt;tc_lot_i+tc,0,IF('Hidrograma afluente'!B375="","",'Hidrograma afluente'!B375)))</f>
        <v/>
      </c>
      <c r="C368" s="41" t="str">
        <f t="shared" si="80"/>
        <v/>
      </c>
      <c r="D368" s="41" t="str">
        <f t="shared" si="81"/>
        <v/>
      </c>
      <c r="E368" s="41" t="str">
        <f t="shared" si="82"/>
        <v/>
      </c>
      <c r="F368" s="41" t="str">
        <f t="shared" si="83"/>
        <v/>
      </c>
      <c r="G368" s="41" t="str">
        <f t="shared" si="84"/>
        <v/>
      </c>
      <c r="H368" s="43" t="str">
        <f t="shared" si="90"/>
        <v/>
      </c>
      <c r="I368" s="42" t="str">
        <f t="shared" si="85"/>
        <v/>
      </c>
      <c r="J368" s="18"/>
      <c r="K368" s="76"/>
      <c r="M368" s="132">
        <f t="shared" ca="1" si="76"/>
        <v>117.23088567231912</v>
      </c>
      <c r="N368" s="38">
        <f t="shared" si="86"/>
        <v>3.4406249999999998</v>
      </c>
      <c r="O368" s="36">
        <f t="shared" si="87"/>
        <v>91.75</v>
      </c>
      <c r="P368" s="38">
        <f ca="1">IF(ISERROR(IF(O368&lt;fi_h/20,0,(OFFSET('Base de dados'!$A$5,IF(O368&lt;20,1,IF(O368&gt;1000,10,MATCH(O368,Cargas,1))),Coluna_fih,1,1))*(1+0.13*0.25)*(PI()*(fi_h/1000)^2/4)*SQRT(2*9.81*(O368/100-fi_h/2/1000))*1000)),"",IF(O368&lt;fi_h/20,0,(OFFSET('Base de dados'!$A$5,IF(O368&lt;20,1,IF(O368&gt;1000,10,MATCH(O368,Cargas,1))),Coluna_fih,1,1))*(PI()*(fi_h/1000)^2/4)*SQRT(2*9.81*(O368/100-fi_h/2/1000))*1000))</f>
        <v>2.5433856723191242</v>
      </c>
      <c r="Q368" s="38">
        <f ca="1">IF(O368="","",IF(Tipo_Vertedor="Retangular",IF(O368&lt;=cota_s*100,0,IF(Tipo_Vertedor="Retangular",Cd_sr*Lef_sr*((O368/100-cota_s)^(3/2))*1000)),IF(O368&lt;=cota_s*100+fi_s/20,0,(OFFSET('Base de dados'!$A$4,IF(O368&lt;20,1,IF(O368&gt;1000,10,MATCH(O368,Cargas,1))),Coluna_fis,1,1))*(PI()*(fi_s/1000)^2/4)*(2*9.81*(O368/100-cota_s-fi_s/2/1000))^0.5*1000)))</f>
        <v>0</v>
      </c>
      <c r="R368" s="38">
        <f t="shared" ca="1" si="77"/>
        <v>2.5433856723191242</v>
      </c>
      <c r="S368" s="38">
        <f t="shared" ca="1" si="78"/>
        <v>114.6875</v>
      </c>
      <c r="AD368" s="38" t="str">
        <f t="shared" si="88"/>
        <v/>
      </c>
      <c r="AE368" s="38" t="str">
        <f t="shared" si="89"/>
        <v/>
      </c>
      <c r="AF368" s="38" t="str">
        <f>IF(ISERROR(IF('Hidrograma afluente'!I375="",0,'Hidrograma afluente'!I375)+Simulação!G368),"",IF('Hidrograma afluente'!I375="",0,'Hidrograma afluente'!I375)+Simulação!G368)</f>
        <v/>
      </c>
      <c r="AG368" s="36" t="s">
        <v>182</v>
      </c>
      <c r="AH368" s="36" t="s">
        <v>182</v>
      </c>
      <c r="AI368" s="48" t="s">
        <v>182</v>
      </c>
      <c r="AJ368" s="36" t="s">
        <v>182</v>
      </c>
      <c r="AK368" s="38" t="str">
        <f>IF(A368="","",IF('Hidrograma afluente'!I375="",0,'Hidrograma afluente'!I375)+Simulação!B368)</f>
        <v/>
      </c>
    </row>
    <row r="369" spans="1:37" s="36" customFormat="1">
      <c r="A369" s="23" t="str">
        <f t="shared" si="79"/>
        <v/>
      </c>
      <c r="B369" s="24" t="str">
        <f>IF(A369="","",IF(A369&gt;tc_lot_i+tc,0,IF('Hidrograma afluente'!B376="","",'Hidrograma afluente'!B376)))</f>
        <v/>
      </c>
      <c r="C369" s="41" t="str">
        <f t="shared" si="80"/>
        <v/>
      </c>
      <c r="D369" s="41" t="str">
        <f t="shared" si="81"/>
        <v/>
      </c>
      <c r="E369" s="41" t="str">
        <f t="shared" si="82"/>
        <v/>
      </c>
      <c r="F369" s="41" t="str">
        <f t="shared" si="83"/>
        <v/>
      </c>
      <c r="G369" s="41" t="str">
        <f t="shared" si="84"/>
        <v/>
      </c>
      <c r="H369" s="43" t="str">
        <f t="shared" si="90"/>
        <v/>
      </c>
      <c r="I369" s="42" t="str">
        <f t="shared" si="85"/>
        <v/>
      </c>
      <c r="J369" s="18"/>
      <c r="K369" s="76"/>
      <c r="M369" s="132">
        <f t="shared" ca="1" si="76"/>
        <v>117.54691609470689</v>
      </c>
      <c r="N369" s="38">
        <f t="shared" si="86"/>
        <v>3.45</v>
      </c>
      <c r="O369" s="36">
        <f t="shared" si="87"/>
        <v>92</v>
      </c>
      <c r="P369" s="38">
        <f ca="1">IF(ISERROR(IF(O369&lt;fi_h/20,0,(OFFSET('Base de dados'!$A$5,IF(O369&lt;20,1,IF(O369&gt;1000,10,MATCH(O369,Cargas,1))),Coluna_fih,1,1))*(1+0.13*0.25)*(PI()*(fi_h/1000)^2/4)*SQRT(2*9.81*(O369/100-fi_h/2/1000))*1000)),"",IF(O369&lt;fi_h/20,0,(OFFSET('Base de dados'!$A$5,IF(O369&lt;20,1,IF(O369&gt;1000,10,MATCH(O369,Cargas,1))),Coluna_fih,1,1))*(PI()*(fi_h/1000)^2/4)*SQRT(2*9.81*(O369/100-fi_h/2/1000))*1000))</f>
        <v>2.546916094706893</v>
      </c>
      <c r="Q369" s="38">
        <f ca="1">IF(O369="","",IF(Tipo_Vertedor="Retangular",IF(O369&lt;=cota_s*100,0,IF(Tipo_Vertedor="Retangular",Cd_sr*Lef_sr*((O369/100-cota_s)^(3/2))*1000)),IF(O369&lt;=cota_s*100+fi_s/20,0,(OFFSET('Base de dados'!$A$4,IF(O369&lt;20,1,IF(O369&gt;1000,10,MATCH(O369,Cargas,1))),Coluna_fis,1,1))*(PI()*(fi_s/1000)^2/4)*(2*9.81*(O369/100-cota_s-fi_s/2/1000))^0.5*1000)))</f>
        <v>0</v>
      </c>
      <c r="R369" s="38">
        <f t="shared" ca="1" si="77"/>
        <v>2.546916094706893</v>
      </c>
      <c r="S369" s="38">
        <f t="shared" ca="1" si="78"/>
        <v>115</v>
      </c>
      <c r="AD369" s="38" t="str">
        <f t="shared" si="88"/>
        <v/>
      </c>
      <c r="AE369" s="38" t="str">
        <f t="shared" si="89"/>
        <v/>
      </c>
      <c r="AF369" s="38" t="str">
        <f>IF(ISERROR(IF('Hidrograma afluente'!I376="",0,'Hidrograma afluente'!I376)+Simulação!G369),"",IF('Hidrograma afluente'!I376="",0,'Hidrograma afluente'!I376)+Simulação!G369)</f>
        <v/>
      </c>
      <c r="AG369" s="36" t="s">
        <v>182</v>
      </c>
      <c r="AH369" s="36" t="s">
        <v>182</v>
      </c>
      <c r="AI369" s="48" t="s">
        <v>182</v>
      </c>
      <c r="AJ369" s="36" t="s">
        <v>182</v>
      </c>
      <c r="AK369" s="38" t="str">
        <f>IF(A369="","",IF('Hidrograma afluente'!I376="",0,'Hidrograma afluente'!I376)+Simulação!B369)</f>
        <v/>
      </c>
    </row>
    <row r="370" spans="1:37" s="36" customFormat="1">
      <c r="A370" s="23" t="str">
        <f t="shared" si="79"/>
        <v/>
      </c>
      <c r="B370" s="24" t="str">
        <f>IF(A370="","",IF(A370&gt;tc_lot_i+tc,0,IF('Hidrograma afluente'!B377="","",'Hidrograma afluente'!B377)))</f>
        <v/>
      </c>
      <c r="C370" s="41" t="str">
        <f t="shared" si="80"/>
        <v/>
      </c>
      <c r="D370" s="41" t="str">
        <f t="shared" si="81"/>
        <v/>
      </c>
      <c r="E370" s="41" t="str">
        <f t="shared" si="82"/>
        <v/>
      </c>
      <c r="F370" s="41" t="str">
        <f t="shared" si="83"/>
        <v/>
      </c>
      <c r="G370" s="41" t="str">
        <f t="shared" si="84"/>
        <v/>
      </c>
      <c r="H370" s="43" t="str">
        <f t="shared" si="90"/>
        <v/>
      </c>
      <c r="I370" s="42" t="str">
        <f t="shared" si="85"/>
        <v/>
      </c>
      <c r="J370" s="18"/>
      <c r="K370" s="76"/>
      <c r="M370" s="132">
        <f t="shared" ca="1" si="76"/>
        <v>117.86294163014875</v>
      </c>
      <c r="N370" s="38">
        <f t="shared" si="86"/>
        <v>3.4593750000000001</v>
      </c>
      <c r="O370" s="36">
        <f t="shared" si="87"/>
        <v>92.25</v>
      </c>
      <c r="P370" s="38">
        <f ca="1">IF(ISERROR(IF(O370&lt;fi_h/20,0,(OFFSET('Base de dados'!$A$5,IF(O370&lt;20,1,IF(O370&gt;1000,10,MATCH(O370,Cargas,1))),Coluna_fih,1,1))*(1+0.13*0.25)*(PI()*(fi_h/1000)^2/4)*SQRT(2*9.81*(O370/100-fi_h/2/1000))*1000)),"",IF(O370&lt;fi_h/20,0,(OFFSET('Base de dados'!$A$5,IF(O370&lt;20,1,IF(O370&gt;1000,10,MATCH(O370,Cargas,1))),Coluna_fih,1,1))*(PI()*(fi_h/1000)^2/4)*SQRT(2*9.81*(O370/100-fi_h/2/1000))*1000))</f>
        <v>2.5504416301487511</v>
      </c>
      <c r="Q370" s="38">
        <f ca="1">IF(O370="","",IF(Tipo_Vertedor="Retangular",IF(O370&lt;=cota_s*100,0,IF(Tipo_Vertedor="Retangular",Cd_sr*Lef_sr*((O370/100-cota_s)^(3/2))*1000)),IF(O370&lt;=cota_s*100+fi_s/20,0,(OFFSET('Base de dados'!$A$4,IF(O370&lt;20,1,IF(O370&gt;1000,10,MATCH(O370,Cargas,1))),Coluna_fis,1,1))*(PI()*(fi_s/1000)^2/4)*(2*9.81*(O370/100-cota_s-fi_s/2/1000))^0.5*1000)))</f>
        <v>0</v>
      </c>
      <c r="R370" s="38">
        <f t="shared" ca="1" si="77"/>
        <v>2.5504416301487511</v>
      </c>
      <c r="S370" s="38">
        <f t="shared" ca="1" si="78"/>
        <v>115.3125</v>
      </c>
      <c r="AD370" s="38" t="str">
        <f t="shared" si="88"/>
        <v/>
      </c>
      <c r="AE370" s="38" t="str">
        <f t="shared" si="89"/>
        <v/>
      </c>
      <c r="AF370" s="38" t="str">
        <f>IF(ISERROR(IF('Hidrograma afluente'!I377="",0,'Hidrograma afluente'!I377)+Simulação!G370),"",IF('Hidrograma afluente'!I377="",0,'Hidrograma afluente'!I377)+Simulação!G370)</f>
        <v/>
      </c>
      <c r="AG370" s="36" t="s">
        <v>182</v>
      </c>
      <c r="AH370" s="36" t="s">
        <v>182</v>
      </c>
      <c r="AI370" s="48" t="s">
        <v>182</v>
      </c>
      <c r="AJ370" s="36" t="s">
        <v>182</v>
      </c>
      <c r="AK370" s="38" t="str">
        <f>IF(A370="","",IF('Hidrograma afluente'!I377="",0,'Hidrograma afluente'!I377)+Simulação!B370)</f>
        <v/>
      </c>
    </row>
    <row r="371" spans="1:37" s="36" customFormat="1">
      <c r="A371" s="23" t="str">
        <f t="shared" si="79"/>
        <v/>
      </c>
      <c r="B371" s="24" t="str">
        <f>IF(A371="","",IF(A371&gt;tc_lot_i+tc,0,IF('Hidrograma afluente'!B378="","",'Hidrograma afluente'!B378)))</f>
        <v/>
      </c>
      <c r="C371" s="41" t="str">
        <f t="shared" si="80"/>
        <v/>
      </c>
      <c r="D371" s="41" t="str">
        <f t="shared" si="81"/>
        <v/>
      </c>
      <c r="E371" s="41" t="str">
        <f t="shared" si="82"/>
        <v/>
      </c>
      <c r="F371" s="41" t="str">
        <f t="shared" si="83"/>
        <v/>
      </c>
      <c r="G371" s="41" t="str">
        <f t="shared" si="84"/>
        <v/>
      </c>
      <c r="H371" s="43" t="str">
        <f t="shared" si="90"/>
        <v/>
      </c>
      <c r="I371" s="42" t="str">
        <f t="shared" si="85"/>
        <v/>
      </c>
      <c r="J371" s="18"/>
      <c r="K371" s="76"/>
      <c r="M371" s="132">
        <f t="shared" ca="1" si="76"/>
        <v>118.17896229888278</v>
      </c>
      <c r="N371" s="38">
        <f t="shared" si="86"/>
        <v>3.46875</v>
      </c>
      <c r="O371" s="36">
        <f t="shared" si="87"/>
        <v>92.5</v>
      </c>
      <c r="P371" s="38">
        <f ca="1">IF(ISERROR(IF(O371&lt;fi_h/20,0,(OFFSET('Base de dados'!$A$5,IF(O371&lt;20,1,IF(O371&gt;1000,10,MATCH(O371,Cargas,1))),Coluna_fih,1,1))*(1+0.13*0.25)*(PI()*(fi_h/1000)^2/4)*SQRT(2*9.81*(O371/100-fi_h/2/1000))*1000)),"",IF(O371&lt;fi_h/20,0,(OFFSET('Base de dados'!$A$5,IF(O371&lt;20,1,IF(O371&gt;1000,10,MATCH(O371,Cargas,1))),Coluna_fih,1,1))*(PI()*(fi_h/1000)^2/4)*SQRT(2*9.81*(O371/100-fi_h/2/1000))*1000))</f>
        <v>2.5539622988827824</v>
      </c>
      <c r="Q371" s="38">
        <f ca="1">IF(O371="","",IF(Tipo_Vertedor="Retangular",IF(O371&lt;=cota_s*100,0,IF(Tipo_Vertedor="Retangular",Cd_sr*Lef_sr*((O371/100-cota_s)^(3/2))*1000)),IF(O371&lt;=cota_s*100+fi_s/20,0,(OFFSET('Base de dados'!$A$4,IF(O371&lt;20,1,IF(O371&gt;1000,10,MATCH(O371,Cargas,1))),Coluna_fis,1,1))*(PI()*(fi_s/1000)^2/4)*(2*9.81*(O371/100-cota_s-fi_s/2/1000))^0.5*1000)))</f>
        <v>0</v>
      </c>
      <c r="R371" s="38">
        <f t="shared" ca="1" si="77"/>
        <v>2.5539622988827824</v>
      </c>
      <c r="S371" s="38">
        <f t="shared" ca="1" si="78"/>
        <v>115.625</v>
      </c>
      <c r="AD371" s="38" t="str">
        <f t="shared" si="88"/>
        <v/>
      </c>
      <c r="AE371" s="38" t="str">
        <f t="shared" si="89"/>
        <v/>
      </c>
      <c r="AF371" s="38" t="str">
        <f>IF(ISERROR(IF('Hidrograma afluente'!I378="",0,'Hidrograma afluente'!I378)+Simulação!G371),"",IF('Hidrograma afluente'!I378="",0,'Hidrograma afluente'!I378)+Simulação!G371)</f>
        <v/>
      </c>
      <c r="AG371" s="36" t="s">
        <v>182</v>
      </c>
      <c r="AH371" s="36" t="s">
        <v>182</v>
      </c>
      <c r="AI371" s="48" t="s">
        <v>182</v>
      </c>
      <c r="AJ371" s="36" t="s">
        <v>182</v>
      </c>
      <c r="AK371" s="38" t="str">
        <f>IF(A371="","",IF('Hidrograma afluente'!I378="",0,'Hidrograma afluente'!I378)+Simulação!B371)</f>
        <v/>
      </c>
    </row>
    <row r="372" spans="1:37" s="36" customFormat="1">
      <c r="A372" s="23" t="str">
        <f t="shared" si="79"/>
        <v/>
      </c>
      <c r="B372" s="24" t="str">
        <f>IF(A372="","",IF(A372&gt;tc_lot_i+tc,0,IF('Hidrograma afluente'!B379="","",'Hidrograma afluente'!B379)))</f>
        <v/>
      </c>
      <c r="C372" s="41" t="str">
        <f t="shared" si="80"/>
        <v/>
      </c>
      <c r="D372" s="41" t="str">
        <f t="shared" si="81"/>
        <v/>
      </c>
      <c r="E372" s="41" t="str">
        <f t="shared" si="82"/>
        <v/>
      </c>
      <c r="F372" s="41" t="str">
        <f t="shared" si="83"/>
        <v/>
      </c>
      <c r="G372" s="41" t="str">
        <f t="shared" si="84"/>
        <v/>
      </c>
      <c r="H372" s="43" t="str">
        <f t="shared" si="90"/>
        <v/>
      </c>
      <c r="I372" s="42" t="str">
        <f t="shared" si="85"/>
        <v/>
      </c>
      <c r="J372" s="18"/>
      <c r="K372" s="76"/>
      <c r="M372" s="132">
        <f t="shared" ca="1" si="76"/>
        <v>118.49497812100778</v>
      </c>
      <c r="N372" s="38">
        <f t="shared" si="86"/>
        <v>3.4781249999999999</v>
      </c>
      <c r="O372" s="36">
        <f t="shared" si="87"/>
        <v>92.75</v>
      </c>
      <c r="P372" s="38">
        <f ca="1">IF(ISERROR(IF(O372&lt;fi_h/20,0,(OFFSET('Base de dados'!$A$5,IF(O372&lt;20,1,IF(O372&gt;1000,10,MATCH(O372,Cargas,1))),Coluna_fih,1,1))*(1+0.13*0.25)*(PI()*(fi_h/1000)^2/4)*SQRT(2*9.81*(O372/100-fi_h/2/1000))*1000)),"",IF(O372&lt;fi_h/20,0,(OFFSET('Base de dados'!$A$5,IF(O372&lt;20,1,IF(O372&gt;1000,10,MATCH(O372,Cargas,1))),Coluna_fih,1,1))*(PI()*(fi_h/1000)^2/4)*SQRT(2*9.81*(O372/100-fi_h/2/1000))*1000))</f>
        <v>2.5574781210077706</v>
      </c>
      <c r="Q372" s="38">
        <f ca="1">IF(O372="","",IF(Tipo_Vertedor="Retangular",IF(O372&lt;=cota_s*100,0,IF(Tipo_Vertedor="Retangular",Cd_sr*Lef_sr*((O372/100-cota_s)^(3/2))*1000)),IF(O372&lt;=cota_s*100+fi_s/20,0,(OFFSET('Base de dados'!$A$4,IF(O372&lt;20,1,IF(O372&gt;1000,10,MATCH(O372,Cargas,1))),Coluna_fis,1,1))*(PI()*(fi_s/1000)^2/4)*(2*9.81*(O372/100-cota_s-fi_s/2/1000))^0.5*1000)))</f>
        <v>0</v>
      </c>
      <c r="R372" s="38">
        <f t="shared" ca="1" si="77"/>
        <v>2.5574781210077706</v>
      </c>
      <c r="S372" s="38">
        <f t="shared" ca="1" si="78"/>
        <v>115.9375</v>
      </c>
      <c r="AD372" s="38" t="str">
        <f t="shared" si="88"/>
        <v/>
      </c>
      <c r="AE372" s="38" t="str">
        <f t="shared" si="89"/>
        <v/>
      </c>
      <c r="AF372" s="38" t="str">
        <f>IF(ISERROR(IF('Hidrograma afluente'!I379="",0,'Hidrograma afluente'!I379)+Simulação!G372),"",IF('Hidrograma afluente'!I379="",0,'Hidrograma afluente'!I379)+Simulação!G372)</f>
        <v/>
      </c>
      <c r="AG372" s="36" t="s">
        <v>182</v>
      </c>
      <c r="AH372" s="36" t="s">
        <v>182</v>
      </c>
      <c r="AI372" s="48" t="s">
        <v>182</v>
      </c>
      <c r="AJ372" s="36" t="s">
        <v>182</v>
      </c>
      <c r="AK372" s="38" t="str">
        <f>IF(A372="","",IF('Hidrograma afluente'!I379="",0,'Hidrograma afluente'!I379)+Simulação!B372)</f>
        <v/>
      </c>
    </row>
    <row r="373" spans="1:37" s="36" customFormat="1">
      <c r="A373" s="23" t="str">
        <f t="shared" si="79"/>
        <v/>
      </c>
      <c r="B373" s="24" t="str">
        <f>IF(A373="","",IF(A373&gt;tc_lot_i+tc,0,IF('Hidrograma afluente'!B380="","",'Hidrograma afluente'!B380)))</f>
        <v/>
      </c>
      <c r="C373" s="41" t="str">
        <f t="shared" si="80"/>
        <v/>
      </c>
      <c r="D373" s="41" t="str">
        <f t="shared" si="81"/>
        <v/>
      </c>
      <c r="E373" s="41" t="str">
        <f t="shared" si="82"/>
        <v/>
      </c>
      <c r="F373" s="41" t="str">
        <f t="shared" si="83"/>
        <v/>
      </c>
      <c r="G373" s="41" t="str">
        <f t="shared" si="84"/>
        <v/>
      </c>
      <c r="H373" s="43" t="str">
        <f t="shared" si="90"/>
        <v/>
      </c>
      <c r="I373" s="42" t="str">
        <f t="shared" si="85"/>
        <v/>
      </c>
      <c r="J373" s="18"/>
      <c r="K373" s="76"/>
      <c r="M373" s="132">
        <f t="shared" ca="1" si="76"/>
        <v>118.81098911648455</v>
      </c>
      <c r="N373" s="38">
        <f t="shared" si="86"/>
        <v>3.4875000000000003</v>
      </c>
      <c r="O373" s="36">
        <f t="shared" si="87"/>
        <v>93</v>
      </c>
      <c r="P373" s="38">
        <f ca="1">IF(ISERROR(IF(O373&lt;fi_h/20,0,(OFFSET('Base de dados'!$A$5,IF(O373&lt;20,1,IF(O373&gt;1000,10,MATCH(O373,Cargas,1))),Coluna_fih,1,1))*(1+0.13*0.25)*(PI()*(fi_h/1000)^2/4)*SQRT(2*9.81*(O373/100-fi_h/2/1000))*1000)),"",IF(O373&lt;fi_h/20,0,(OFFSET('Base de dados'!$A$5,IF(O373&lt;20,1,IF(O373&gt;1000,10,MATCH(O373,Cargas,1))),Coluna_fih,1,1))*(PI()*(fi_h/1000)^2/4)*SQRT(2*9.81*(O373/100-fi_h/2/1000))*1000))</f>
        <v>2.560989116484536</v>
      </c>
      <c r="Q373" s="38">
        <f ca="1">IF(O373="","",IF(Tipo_Vertedor="Retangular",IF(O373&lt;=cota_s*100,0,IF(Tipo_Vertedor="Retangular",Cd_sr*Lef_sr*((O373/100-cota_s)^(3/2))*1000)),IF(O373&lt;=cota_s*100+fi_s/20,0,(OFFSET('Base de dados'!$A$4,IF(O373&lt;20,1,IF(O373&gt;1000,10,MATCH(O373,Cargas,1))),Coluna_fis,1,1))*(PI()*(fi_s/1000)^2/4)*(2*9.81*(O373/100-cota_s-fi_s/2/1000))^0.5*1000)))</f>
        <v>0</v>
      </c>
      <c r="R373" s="38">
        <f t="shared" ca="1" si="77"/>
        <v>2.560989116484536</v>
      </c>
      <c r="S373" s="38">
        <f t="shared" ca="1" si="78"/>
        <v>116.25000000000001</v>
      </c>
      <c r="AD373" s="38" t="str">
        <f t="shared" si="88"/>
        <v/>
      </c>
      <c r="AE373" s="38" t="str">
        <f t="shared" si="89"/>
        <v/>
      </c>
      <c r="AF373" s="38" t="str">
        <f>IF(ISERROR(IF('Hidrograma afluente'!I380="",0,'Hidrograma afluente'!I380)+Simulação!G373),"",IF('Hidrograma afluente'!I380="",0,'Hidrograma afluente'!I380)+Simulação!G373)</f>
        <v/>
      </c>
      <c r="AG373" s="36" t="s">
        <v>182</v>
      </c>
      <c r="AH373" s="36" t="s">
        <v>182</v>
      </c>
      <c r="AI373" s="48" t="s">
        <v>182</v>
      </c>
      <c r="AJ373" s="36" t="s">
        <v>182</v>
      </c>
      <c r="AK373" s="38" t="str">
        <f>IF(A373="","",IF('Hidrograma afluente'!I380="",0,'Hidrograma afluente'!I380)+Simulação!B373)</f>
        <v/>
      </c>
    </row>
    <row r="374" spans="1:37" s="36" customFormat="1">
      <c r="A374" s="23" t="str">
        <f t="shared" si="79"/>
        <v/>
      </c>
      <c r="B374" s="24" t="str">
        <f>IF(A374="","",IF(A374&gt;tc_lot_i+tc,0,IF('Hidrograma afluente'!B381="","",'Hidrograma afluente'!B381)))</f>
        <v/>
      </c>
      <c r="C374" s="41" t="str">
        <f t="shared" si="80"/>
        <v/>
      </c>
      <c r="D374" s="41" t="str">
        <f t="shared" si="81"/>
        <v/>
      </c>
      <c r="E374" s="41" t="str">
        <f t="shared" si="82"/>
        <v/>
      </c>
      <c r="F374" s="41" t="str">
        <f t="shared" si="83"/>
        <v/>
      </c>
      <c r="G374" s="41" t="str">
        <f t="shared" si="84"/>
        <v/>
      </c>
      <c r="H374" s="43" t="str">
        <f t="shared" si="90"/>
        <v/>
      </c>
      <c r="I374" s="42" t="str">
        <f t="shared" si="85"/>
        <v/>
      </c>
      <c r="J374" s="18"/>
      <c r="K374" s="76"/>
      <c r="M374" s="132">
        <f t="shared" ca="1" si="76"/>
        <v>119.12699530513726</v>
      </c>
      <c r="N374" s="38">
        <f t="shared" si="86"/>
        <v>3.4968750000000002</v>
      </c>
      <c r="O374" s="36">
        <f t="shared" si="87"/>
        <v>93.25</v>
      </c>
      <c r="P374" s="38">
        <f ca="1">IF(ISERROR(IF(O374&lt;fi_h/20,0,(OFFSET('Base de dados'!$A$5,IF(O374&lt;20,1,IF(O374&gt;1000,10,MATCH(O374,Cargas,1))),Coluna_fih,1,1))*(1+0.13*0.25)*(PI()*(fi_h/1000)^2/4)*SQRT(2*9.81*(O374/100-fi_h/2/1000))*1000)),"",IF(O374&lt;fi_h/20,0,(OFFSET('Base de dados'!$A$5,IF(O374&lt;20,1,IF(O374&gt;1000,10,MATCH(O374,Cargas,1))),Coluna_fih,1,1))*(PI()*(fi_h/1000)^2/4)*SQRT(2*9.81*(O374/100-fi_h/2/1000))*1000))</f>
        <v>2.5644953051372608</v>
      </c>
      <c r="Q374" s="38">
        <f ca="1">IF(O374="","",IF(Tipo_Vertedor="Retangular",IF(O374&lt;=cota_s*100,0,IF(Tipo_Vertedor="Retangular",Cd_sr*Lef_sr*((O374/100-cota_s)^(3/2))*1000)),IF(O374&lt;=cota_s*100+fi_s/20,0,(OFFSET('Base de dados'!$A$4,IF(O374&lt;20,1,IF(O374&gt;1000,10,MATCH(O374,Cargas,1))),Coluna_fis,1,1))*(PI()*(fi_s/1000)^2/4)*(2*9.81*(O374/100-cota_s-fi_s/2/1000))^0.5*1000)))</f>
        <v>0</v>
      </c>
      <c r="R374" s="38">
        <f t="shared" ca="1" si="77"/>
        <v>2.5644953051372608</v>
      </c>
      <c r="S374" s="38">
        <f t="shared" ca="1" si="78"/>
        <v>116.5625</v>
      </c>
      <c r="AD374" s="38" t="str">
        <f t="shared" si="88"/>
        <v/>
      </c>
      <c r="AE374" s="38" t="str">
        <f t="shared" si="89"/>
        <v/>
      </c>
      <c r="AF374" s="38" t="str">
        <f>IF(ISERROR(IF('Hidrograma afluente'!I381="",0,'Hidrograma afluente'!I381)+Simulação!G374),"",IF('Hidrograma afluente'!I381="",0,'Hidrograma afluente'!I381)+Simulação!G374)</f>
        <v/>
      </c>
      <c r="AG374" s="36" t="s">
        <v>182</v>
      </c>
      <c r="AH374" s="36" t="s">
        <v>182</v>
      </c>
      <c r="AI374" s="48" t="s">
        <v>182</v>
      </c>
      <c r="AJ374" s="36" t="s">
        <v>182</v>
      </c>
      <c r="AK374" s="38" t="str">
        <f>IF(A374="","",IF('Hidrograma afluente'!I381="",0,'Hidrograma afluente'!I381)+Simulação!B374)</f>
        <v/>
      </c>
    </row>
    <row r="375" spans="1:37" s="36" customFormat="1">
      <c r="A375" s="23" t="str">
        <f t="shared" si="79"/>
        <v/>
      </c>
      <c r="B375" s="24" t="str">
        <f>IF(A375="","",IF(A375&gt;tc_lot_i+tc,0,IF('Hidrograma afluente'!B382="","",'Hidrograma afluente'!B382)))</f>
        <v/>
      </c>
      <c r="C375" s="41" t="str">
        <f t="shared" si="80"/>
        <v/>
      </c>
      <c r="D375" s="41" t="str">
        <f t="shared" si="81"/>
        <v/>
      </c>
      <c r="E375" s="41" t="str">
        <f t="shared" si="82"/>
        <v/>
      </c>
      <c r="F375" s="41" t="str">
        <f t="shared" si="83"/>
        <v/>
      </c>
      <c r="G375" s="41" t="str">
        <f t="shared" si="84"/>
        <v/>
      </c>
      <c r="H375" s="43" t="str">
        <f t="shared" si="90"/>
        <v/>
      </c>
      <c r="I375" s="42" t="str">
        <f t="shared" si="85"/>
        <v/>
      </c>
      <c r="J375" s="18"/>
      <c r="K375" s="76"/>
      <c r="M375" s="132">
        <f t="shared" ca="1" si="76"/>
        <v>119.4429967066548</v>
      </c>
      <c r="N375" s="38">
        <f t="shared" si="86"/>
        <v>3.5062500000000001</v>
      </c>
      <c r="O375" s="36">
        <f t="shared" si="87"/>
        <v>93.5</v>
      </c>
      <c r="P375" s="38">
        <f ca="1">IF(ISERROR(IF(O375&lt;fi_h/20,0,(OFFSET('Base de dados'!$A$5,IF(O375&lt;20,1,IF(O375&gt;1000,10,MATCH(O375,Cargas,1))),Coluna_fih,1,1))*(1+0.13*0.25)*(PI()*(fi_h/1000)^2/4)*SQRT(2*9.81*(O375/100-fi_h/2/1000))*1000)),"",IF(O375&lt;fi_h/20,0,(OFFSET('Base de dados'!$A$5,IF(O375&lt;20,1,IF(O375&gt;1000,10,MATCH(O375,Cargas,1))),Coluna_fih,1,1))*(PI()*(fi_h/1000)^2/4)*SQRT(2*9.81*(O375/100-fi_h/2/1000))*1000))</f>
        <v>2.5679967066547924</v>
      </c>
      <c r="Q375" s="38">
        <f ca="1">IF(O375="","",IF(Tipo_Vertedor="Retangular",IF(O375&lt;=cota_s*100,0,IF(Tipo_Vertedor="Retangular",Cd_sr*Lef_sr*((O375/100-cota_s)^(3/2))*1000)),IF(O375&lt;=cota_s*100+fi_s/20,0,(OFFSET('Base de dados'!$A$4,IF(O375&lt;20,1,IF(O375&gt;1000,10,MATCH(O375,Cargas,1))),Coluna_fis,1,1))*(PI()*(fi_s/1000)^2/4)*(2*9.81*(O375/100-cota_s-fi_s/2/1000))^0.5*1000)))</f>
        <v>0</v>
      </c>
      <c r="R375" s="38">
        <f t="shared" ca="1" si="77"/>
        <v>2.5679967066547924</v>
      </c>
      <c r="S375" s="38">
        <f t="shared" ca="1" si="78"/>
        <v>116.875</v>
      </c>
      <c r="AD375" s="38" t="str">
        <f t="shared" si="88"/>
        <v/>
      </c>
      <c r="AE375" s="38" t="str">
        <f t="shared" si="89"/>
        <v/>
      </c>
      <c r="AF375" s="38" t="str">
        <f>IF(ISERROR(IF('Hidrograma afluente'!I382="",0,'Hidrograma afluente'!I382)+Simulação!G375),"",IF('Hidrograma afluente'!I382="",0,'Hidrograma afluente'!I382)+Simulação!G375)</f>
        <v/>
      </c>
      <c r="AG375" s="36" t="s">
        <v>182</v>
      </c>
      <c r="AH375" s="36" t="s">
        <v>182</v>
      </c>
      <c r="AI375" s="48" t="s">
        <v>182</v>
      </c>
      <c r="AJ375" s="36" t="s">
        <v>182</v>
      </c>
      <c r="AK375" s="38" t="str">
        <f>IF(A375="","",IF('Hidrograma afluente'!I382="",0,'Hidrograma afluente'!I382)+Simulação!B375)</f>
        <v/>
      </c>
    </row>
    <row r="376" spans="1:37" s="36" customFormat="1">
      <c r="A376" s="23" t="str">
        <f t="shared" si="79"/>
        <v/>
      </c>
      <c r="B376" s="24" t="str">
        <f>IF(A376="","",IF(A376&gt;tc_lot_i+tc,0,IF('Hidrograma afluente'!B383="","",'Hidrograma afluente'!B383)))</f>
        <v/>
      </c>
      <c r="C376" s="41" t="str">
        <f t="shared" si="80"/>
        <v/>
      </c>
      <c r="D376" s="41" t="str">
        <f t="shared" si="81"/>
        <v/>
      </c>
      <c r="E376" s="41" t="str">
        <f t="shared" si="82"/>
        <v/>
      </c>
      <c r="F376" s="41" t="str">
        <f t="shared" si="83"/>
        <v/>
      </c>
      <c r="G376" s="41" t="str">
        <f t="shared" si="84"/>
        <v/>
      </c>
      <c r="H376" s="43" t="str">
        <f t="shared" si="90"/>
        <v/>
      </c>
      <c r="I376" s="42" t="str">
        <f t="shared" si="85"/>
        <v/>
      </c>
      <c r="J376" s="18"/>
      <c r="K376" s="76"/>
      <c r="M376" s="132">
        <f t="shared" ca="1" si="76"/>
        <v>119.75899334059193</v>
      </c>
      <c r="N376" s="38">
        <f t="shared" si="86"/>
        <v>3.515625</v>
      </c>
      <c r="O376" s="36">
        <f t="shared" si="87"/>
        <v>93.75</v>
      </c>
      <c r="P376" s="38">
        <f ca="1">IF(ISERROR(IF(O376&lt;fi_h/20,0,(OFFSET('Base de dados'!$A$5,IF(O376&lt;20,1,IF(O376&gt;1000,10,MATCH(O376,Cargas,1))),Coluna_fih,1,1))*(1+0.13*0.25)*(PI()*(fi_h/1000)^2/4)*SQRT(2*9.81*(O376/100-fi_h/2/1000))*1000)),"",IF(O376&lt;fi_h/20,0,(OFFSET('Base de dados'!$A$5,IF(O376&lt;20,1,IF(O376&gt;1000,10,MATCH(O376,Cargas,1))),Coluna_fih,1,1))*(PI()*(fi_h/1000)^2/4)*SQRT(2*9.81*(O376/100-fi_h/2/1000))*1000))</f>
        <v>2.5714933405919345</v>
      </c>
      <c r="Q376" s="38">
        <f ca="1">IF(O376="","",IF(Tipo_Vertedor="Retangular",IF(O376&lt;=cota_s*100,0,IF(Tipo_Vertedor="Retangular",Cd_sr*Lef_sr*((O376/100-cota_s)^(3/2))*1000)),IF(O376&lt;=cota_s*100+fi_s/20,0,(OFFSET('Base de dados'!$A$4,IF(O376&lt;20,1,IF(O376&gt;1000,10,MATCH(O376,Cargas,1))),Coluna_fis,1,1))*(PI()*(fi_s/1000)^2/4)*(2*9.81*(O376/100-cota_s-fi_s/2/1000))^0.5*1000)))</f>
        <v>0</v>
      </c>
      <c r="R376" s="38">
        <f t="shared" ca="1" si="77"/>
        <v>2.5714933405919345</v>
      </c>
      <c r="S376" s="38">
        <f t="shared" ca="1" si="78"/>
        <v>117.1875</v>
      </c>
      <c r="AD376" s="38" t="str">
        <f t="shared" si="88"/>
        <v/>
      </c>
      <c r="AE376" s="38" t="str">
        <f t="shared" si="89"/>
        <v/>
      </c>
      <c r="AF376" s="38" t="str">
        <f>IF(ISERROR(IF('Hidrograma afluente'!I383="",0,'Hidrograma afluente'!I383)+Simulação!G376),"",IF('Hidrograma afluente'!I383="",0,'Hidrograma afluente'!I383)+Simulação!G376)</f>
        <v/>
      </c>
      <c r="AG376" s="36" t="s">
        <v>182</v>
      </c>
      <c r="AH376" s="36" t="s">
        <v>182</v>
      </c>
      <c r="AI376" s="48" t="s">
        <v>182</v>
      </c>
      <c r="AJ376" s="36" t="s">
        <v>182</v>
      </c>
      <c r="AK376" s="38" t="str">
        <f>IF(A376="","",IF('Hidrograma afluente'!I383="",0,'Hidrograma afluente'!I383)+Simulação!B376)</f>
        <v/>
      </c>
    </row>
    <row r="377" spans="1:37" s="36" customFormat="1">
      <c r="A377" s="23" t="str">
        <f t="shared" si="79"/>
        <v/>
      </c>
      <c r="B377" s="24" t="str">
        <f>IF(A377="","",IF(A377&gt;tc_lot_i+tc,0,IF('Hidrograma afluente'!B384="","",'Hidrograma afluente'!B384)))</f>
        <v/>
      </c>
      <c r="C377" s="41" t="str">
        <f t="shared" si="80"/>
        <v/>
      </c>
      <c r="D377" s="41" t="str">
        <f t="shared" si="81"/>
        <v/>
      </c>
      <c r="E377" s="41" t="str">
        <f t="shared" si="82"/>
        <v/>
      </c>
      <c r="F377" s="41" t="str">
        <f t="shared" si="83"/>
        <v/>
      </c>
      <c r="G377" s="41" t="str">
        <f t="shared" si="84"/>
        <v/>
      </c>
      <c r="H377" s="43" t="str">
        <f t="shared" si="90"/>
        <v/>
      </c>
      <c r="I377" s="42" t="str">
        <f t="shared" si="85"/>
        <v/>
      </c>
      <c r="J377" s="18"/>
      <c r="K377" s="76"/>
      <c r="M377" s="132">
        <f t="shared" ca="1" si="76"/>
        <v>120.07498522637073</v>
      </c>
      <c r="N377" s="38">
        <f t="shared" si="86"/>
        <v>3.5249999999999999</v>
      </c>
      <c r="O377" s="36">
        <f t="shared" si="87"/>
        <v>94</v>
      </c>
      <c r="P377" s="38">
        <f ca="1">IF(ISERROR(IF(O377&lt;fi_h/20,0,(OFFSET('Base de dados'!$A$5,IF(O377&lt;20,1,IF(O377&gt;1000,10,MATCH(O377,Cargas,1))),Coluna_fih,1,1))*(1+0.13*0.25)*(PI()*(fi_h/1000)^2/4)*SQRT(2*9.81*(O377/100-fi_h/2/1000))*1000)),"",IF(O377&lt;fi_h/20,0,(OFFSET('Base de dados'!$A$5,IF(O377&lt;20,1,IF(O377&gt;1000,10,MATCH(O377,Cargas,1))),Coluna_fih,1,1))*(PI()*(fi_h/1000)^2/4)*SQRT(2*9.81*(O377/100-fi_h/2/1000))*1000))</f>
        <v>2.5749852263707216</v>
      </c>
      <c r="Q377" s="38">
        <f ca="1">IF(O377="","",IF(Tipo_Vertedor="Retangular",IF(O377&lt;=cota_s*100,0,IF(Tipo_Vertedor="Retangular",Cd_sr*Lef_sr*((O377/100-cota_s)^(3/2))*1000)),IF(O377&lt;=cota_s*100+fi_s/20,0,(OFFSET('Base de dados'!$A$4,IF(O377&lt;20,1,IF(O377&gt;1000,10,MATCH(O377,Cargas,1))),Coluna_fis,1,1))*(PI()*(fi_s/1000)^2/4)*(2*9.81*(O377/100-cota_s-fi_s/2/1000))^0.5*1000)))</f>
        <v>0</v>
      </c>
      <c r="R377" s="38">
        <f t="shared" ca="1" si="77"/>
        <v>2.5749852263707216</v>
      </c>
      <c r="S377" s="38">
        <f t="shared" ca="1" si="78"/>
        <v>117.5</v>
      </c>
      <c r="AD377" s="38" t="str">
        <f t="shared" si="88"/>
        <v/>
      </c>
      <c r="AE377" s="38" t="str">
        <f t="shared" si="89"/>
        <v/>
      </c>
      <c r="AF377" s="38" t="str">
        <f>IF(ISERROR(IF('Hidrograma afluente'!I384="",0,'Hidrograma afluente'!I384)+Simulação!G377),"",IF('Hidrograma afluente'!I384="",0,'Hidrograma afluente'!I384)+Simulação!G377)</f>
        <v/>
      </c>
      <c r="AG377" s="36" t="s">
        <v>182</v>
      </c>
      <c r="AH377" s="36" t="s">
        <v>182</v>
      </c>
      <c r="AI377" s="48" t="s">
        <v>182</v>
      </c>
      <c r="AJ377" s="36" t="s">
        <v>182</v>
      </c>
      <c r="AK377" s="38" t="str">
        <f>IF(A377="","",IF('Hidrograma afluente'!I384="",0,'Hidrograma afluente'!I384)+Simulação!B377)</f>
        <v/>
      </c>
    </row>
    <row r="378" spans="1:37" s="36" customFormat="1">
      <c r="A378" s="23" t="str">
        <f t="shared" si="79"/>
        <v/>
      </c>
      <c r="B378" s="24" t="str">
        <f>IF(A378="","",IF(A378&gt;tc_lot_i+tc,0,IF('Hidrograma afluente'!B385="","",'Hidrograma afluente'!B385)))</f>
        <v/>
      </c>
      <c r="C378" s="41" t="str">
        <f t="shared" si="80"/>
        <v/>
      </c>
      <c r="D378" s="41" t="str">
        <f t="shared" si="81"/>
        <v/>
      </c>
      <c r="E378" s="41" t="str">
        <f t="shared" si="82"/>
        <v/>
      </c>
      <c r="F378" s="41" t="str">
        <f t="shared" si="83"/>
        <v/>
      </c>
      <c r="G378" s="41" t="str">
        <f t="shared" si="84"/>
        <v/>
      </c>
      <c r="H378" s="43" t="str">
        <f t="shared" si="90"/>
        <v/>
      </c>
      <c r="I378" s="42" t="str">
        <f t="shared" si="85"/>
        <v/>
      </c>
      <c r="J378" s="18"/>
      <c r="K378" s="76"/>
      <c r="M378" s="132">
        <f t="shared" ca="1" si="76"/>
        <v>120.39097238328168</v>
      </c>
      <c r="N378" s="38">
        <f t="shared" si="86"/>
        <v>3.5343749999999998</v>
      </c>
      <c r="O378" s="36">
        <f t="shared" si="87"/>
        <v>94.25</v>
      </c>
      <c r="P378" s="38">
        <f ca="1">IF(ISERROR(IF(O378&lt;fi_h/20,0,(OFFSET('Base de dados'!$A$5,IF(O378&lt;20,1,IF(O378&gt;1000,10,MATCH(O378,Cargas,1))),Coluna_fih,1,1))*(1+0.13*0.25)*(PI()*(fi_h/1000)^2/4)*SQRT(2*9.81*(O378/100-fi_h/2/1000))*1000)),"",IF(O378&lt;fi_h/20,0,(OFFSET('Base de dados'!$A$5,IF(O378&lt;20,1,IF(O378&gt;1000,10,MATCH(O378,Cargas,1))),Coluna_fih,1,1))*(PI()*(fi_h/1000)^2/4)*SQRT(2*9.81*(O378/100-fi_h/2/1000))*1000))</f>
        <v>2.5784723832816754</v>
      </c>
      <c r="Q378" s="38">
        <f ca="1">IF(O378="","",IF(Tipo_Vertedor="Retangular",IF(O378&lt;=cota_s*100,0,IF(Tipo_Vertedor="Retangular",Cd_sr*Lef_sr*((O378/100-cota_s)^(3/2))*1000)),IF(O378&lt;=cota_s*100+fi_s/20,0,(OFFSET('Base de dados'!$A$4,IF(O378&lt;20,1,IF(O378&gt;1000,10,MATCH(O378,Cargas,1))),Coluna_fis,1,1))*(PI()*(fi_s/1000)^2/4)*(2*9.81*(O378/100-cota_s-fi_s/2/1000))^0.5*1000)))</f>
        <v>0</v>
      </c>
      <c r="R378" s="38">
        <f t="shared" ca="1" si="77"/>
        <v>2.5784723832816754</v>
      </c>
      <c r="S378" s="38">
        <f t="shared" ca="1" si="78"/>
        <v>117.8125</v>
      </c>
      <c r="AD378" s="38" t="str">
        <f t="shared" si="88"/>
        <v/>
      </c>
      <c r="AE378" s="38" t="str">
        <f t="shared" si="89"/>
        <v/>
      </c>
      <c r="AF378" s="38" t="str">
        <f>IF(ISERROR(IF('Hidrograma afluente'!I385="",0,'Hidrograma afluente'!I385)+Simulação!G378),"",IF('Hidrograma afluente'!I385="",0,'Hidrograma afluente'!I385)+Simulação!G378)</f>
        <v/>
      </c>
      <c r="AG378" s="36" t="s">
        <v>182</v>
      </c>
      <c r="AH378" s="36" t="s">
        <v>182</v>
      </c>
      <c r="AI378" s="48" t="s">
        <v>182</v>
      </c>
      <c r="AJ378" s="36" t="s">
        <v>182</v>
      </c>
      <c r="AK378" s="38" t="str">
        <f>IF(A378="","",IF('Hidrograma afluente'!I385="",0,'Hidrograma afluente'!I385)+Simulação!B378)</f>
        <v/>
      </c>
    </row>
    <row r="379" spans="1:37" s="36" customFormat="1">
      <c r="A379" s="23" t="str">
        <f t="shared" si="79"/>
        <v/>
      </c>
      <c r="B379" s="24" t="str">
        <f>IF(A379="","",IF(A379&gt;tc_lot_i+tc,0,IF('Hidrograma afluente'!B386="","",'Hidrograma afluente'!B386)))</f>
        <v/>
      </c>
      <c r="C379" s="41" t="str">
        <f t="shared" si="80"/>
        <v/>
      </c>
      <c r="D379" s="41" t="str">
        <f t="shared" si="81"/>
        <v/>
      </c>
      <c r="E379" s="41" t="str">
        <f t="shared" si="82"/>
        <v/>
      </c>
      <c r="F379" s="41" t="str">
        <f t="shared" si="83"/>
        <v/>
      </c>
      <c r="G379" s="41" t="str">
        <f t="shared" si="84"/>
        <v/>
      </c>
      <c r="H379" s="43" t="str">
        <f t="shared" si="90"/>
        <v/>
      </c>
      <c r="I379" s="42" t="str">
        <f t="shared" si="85"/>
        <v/>
      </c>
      <c r="J379" s="18"/>
      <c r="K379" s="76"/>
      <c r="M379" s="132">
        <f t="shared" ca="1" si="76"/>
        <v>120.70695483048503</v>
      </c>
      <c r="N379" s="38">
        <f t="shared" si="86"/>
        <v>3.5437499999999997</v>
      </c>
      <c r="O379" s="36">
        <f t="shared" si="87"/>
        <v>94.5</v>
      </c>
      <c r="P379" s="38">
        <f ca="1">IF(ISERROR(IF(O379&lt;fi_h/20,0,(OFFSET('Base de dados'!$A$5,IF(O379&lt;20,1,IF(O379&gt;1000,10,MATCH(O379,Cargas,1))),Coluna_fih,1,1))*(1+0.13*0.25)*(PI()*(fi_h/1000)^2/4)*SQRT(2*9.81*(O379/100-fi_h/2/1000))*1000)),"",IF(O379&lt;fi_h/20,0,(OFFSET('Base de dados'!$A$5,IF(O379&lt;20,1,IF(O379&gt;1000,10,MATCH(O379,Cargas,1))),Coluna_fih,1,1))*(PI()*(fi_h/1000)^2/4)*SQRT(2*9.81*(O379/100-fi_h/2/1000))*1000))</f>
        <v>2.5819548304850519</v>
      </c>
      <c r="Q379" s="38">
        <f ca="1">IF(O379="","",IF(Tipo_Vertedor="Retangular",IF(O379&lt;=cota_s*100,0,IF(Tipo_Vertedor="Retangular",Cd_sr*Lef_sr*((O379/100-cota_s)^(3/2))*1000)),IF(O379&lt;=cota_s*100+fi_s/20,0,(OFFSET('Base de dados'!$A$4,IF(O379&lt;20,1,IF(O379&gt;1000,10,MATCH(O379,Cargas,1))),Coluna_fis,1,1))*(PI()*(fi_s/1000)^2/4)*(2*9.81*(O379/100-cota_s-fi_s/2/1000))^0.5*1000)))</f>
        <v>0</v>
      </c>
      <c r="R379" s="38">
        <f t="shared" ca="1" si="77"/>
        <v>2.5819548304850519</v>
      </c>
      <c r="S379" s="38">
        <f t="shared" ca="1" si="78"/>
        <v>118.12499999999999</v>
      </c>
      <c r="AD379" s="38" t="str">
        <f t="shared" si="88"/>
        <v/>
      </c>
      <c r="AE379" s="38" t="str">
        <f t="shared" si="89"/>
        <v/>
      </c>
      <c r="AF379" s="38" t="str">
        <f>IF(ISERROR(IF('Hidrograma afluente'!I386="",0,'Hidrograma afluente'!I386)+Simulação!G379),"",IF('Hidrograma afluente'!I386="",0,'Hidrograma afluente'!I386)+Simulação!G379)</f>
        <v/>
      </c>
      <c r="AG379" s="36" t="s">
        <v>182</v>
      </c>
      <c r="AH379" s="36" t="s">
        <v>182</v>
      </c>
      <c r="AI379" s="48" t="s">
        <v>182</v>
      </c>
      <c r="AJ379" s="36" t="s">
        <v>182</v>
      </c>
      <c r="AK379" s="38" t="str">
        <f>IF(A379="","",IF('Hidrograma afluente'!I386="",0,'Hidrograma afluente'!I386)+Simulação!B379)</f>
        <v/>
      </c>
    </row>
    <row r="380" spans="1:37" s="36" customFormat="1">
      <c r="A380" s="23" t="str">
        <f t="shared" si="79"/>
        <v/>
      </c>
      <c r="B380" s="24" t="str">
        <f>IF(A380="","",IF(A380&gt;tc_lot_i+tc,0,IF('Hidrograma afluente'!B387="","",'Hidrograma afluente'!B387)))</f>
        <v/>
      </c>
      <c r="C380" s="41" t="str">
        <f t="shared" si="80"/>
        <v/>
      </c>
      <c r="D380" s="41" t="str">
        <f t="shared" si="81"/>
        <v/>
      </c>
      <c r="E380" s="41" t="str">
        <f t="shared" si="82"/>
        <v/>
      </c>
      <c r="F380" s="41" t="str">
        <f t="shared" si="83"/>
        <v/>
      </c>
      <c r="G380" s="41" t="str">
        <f t="shared" si="84"/>
        <v/>
      </c>
      <c r="H380" s="43" t="str">
        <f t="shared" si="90"/>
        <v/>
      </c>
      <c r="I380" s="42" t="str">
        <f t="shared" si="85"/>
        <v/>
      </c>
      <c r="J380" s="18"/>
      <c r="K380" s="76"/>
      <c r="M380" s="132">
        <f t="shared" ca="1" si="76"/>
        <v>121.02293258701206</v>
      </c>
      <c r="N380" s="38">
        <f t="shared" si="86"/>
        <v>3.5531250000000001</v>
      </c>
      <c r="O380" s="36">
        <f t="shared" si="87"/>
        <v>94.75</v>
      </c>
      <c r="P380" s="38">
        <f ca="1">IF(ISERROR(IF(O380&lt;fi_h/20,0,(OFFSET('Base de dados'!$A$5,IF(O380&lt;20,1,IF(O380&gt;1000,10,MATCH(O380,Cargas,1))),Coluna_fih,1,1))*(1+0.13*0.25)*(PI()*(fi_h/1000)^2/4)*SQRT(2*9.81*(O380/100-fi_h/2/1000))*1000)),"",IF(O380&lt;fi_h/20,0,(OFFSET('Base de dados'!$A$5,IF(O380&lt;20,1,IF(O380&gt;1000,10,MATCH(O380,Cargas,1))),Coluna_fih,1,1))*(PI()*(fi_h/1000)^2/4)*SQRT(2*9.81*(O380/100-fi_h/2/1000))*1000))</f>
        <v>2.5854325870120651</v>
      </c>
      <c r="Q380" s="38">
        <f ca="1">IF(O380="","",IF(Tipo_Vertedor="Retangular",IF(O380&lt;=cota_s*100,0,IF(Tipo_Vertedor="Retangular",Cd_sr*Lef_sr*((O380/100-cota_s)^(3/2))*1000)),IF(O380&lt;=cota_s*100+fi_s/20,0,(OFFSET('Base de dados'!$A$4,IF(O380&lt;20,1,IF(O380&gt;1000,10,MATCH(O380,Cargas,1))),Coluna_fis,1,1))*(PI()*(fi_s/1000)^2/4)*(2*9.81*(O380/100-cota_s-fi_s/2/1000))^0.5*1000)))</f>
        <v>0</v>
      </c>
      <c r="R380" s="38">
        <f t="shared" ca="1" si="77"/>
        <v>2.5854325870120651</v>
      </c>
      <c r="S380" s="38">
        <f t="shared" ca="1" si="78"/>
        <v>118.4375</v>
      </c>
      <c r="AD380" s="38" t="str">
        <f t="shared" si="88"/>
        <v/>
      </c>
      <c r="AE380" s="38" t="str">
        <f t="shared" si="89"/>
        <v/>
      </c>
      <c r="AF380" s="38" t="str">
        <f>IF(ISERROR(IF('Hidrograma afluente'!I387="",0,'Hidrograma afluente'!I387)+Simulação!G380),"",IF('Hidrograma afluente'!I387="",0,'Hidrograma afluente'!I387)+Simulação!G380)</f>
        <v/>
      </c>
      <c r="AG380" s="36" t="s">
        <v>182</v>
      </c>
      <c r="AH380" s="36" t="s">
        <v>182</v>
      </c>
      <c r="AI380" s="48" t="s">
        <v>182</v>
      </c>
      <c r="AJ380" s="36" t="s">
        <v>182</v>
      </c>
      <c r="AK380" s="38" t="str">
        <f>IF(A380="","",IF('Hidrograma afluente'!I387="",0,'Hidrograma afluente'!I387)+Simulação!B380)</f>
        <v/>
      </c>
    </row>
    <row r="381" spans="1:37" s="36" customFormat="1">
      <c r="A381" s="23" t="str">
        <f t="shared" si="79"/>
        <v/>
      </c>
      <c r="B381" s="24" t="str">
        <f>IF(A381="","",IF(A381&gt;tc_lot_i+tc,0,IF('Hidrograma afluente'!B388="","",'Hidrograma afluente'!B388)))</f>
        <v/>
      </c>
      <c r="C381" s="41" t="str">
        <f t="shared" si="80"/>
        <v/>
      </c>
      <c r="D381" s="41" t="str">
        <f t="shared" si="81"/>
        <v/>
      </c>
      <c r="E381" s="41" t="str">
        <f t="shared" si="82"/>
        <v/>
      </c>
      <c r="F381" s="41" t="str">
        <f t="shared" si="83"/>
        <v/>
      </c>
      <c r="G381" s="41" t="str">
        <f t="shared" si="84"/>
        <v/>
      </c>
      <c r="H381" s="43" t="str">
        <f t="shared" si="90"/>
        <v/>
      </c>
      <c r="I381" s="42" t="str">
        <f t="shared" si="85"/>
        <v/>
      </c>
      <c r="J381" s="18"/>
      <c r="K381" s="76"/>
      <c r="M381" s="132">
        <f t="shared" ca="1" si="76"/>
        <v>121.3389056717661</v>
      </c>
      <c r="N381" s="38">
        <f t="shared" si="86"/>
        <v>3.5625</v>
      </c>
      <c r="O381" s="36">
        <f t="shared" si="87"/>
        <v>95</v>
      </c>
      <c r="P381" s="38">
        <f ca="1">IF(ISERROR(IF(O381&lt;fi_h/20,0,(OFFSET('Base de dados'!$A$5,IF(O381&lt;20,1,IF(O381&gt;1000,10,MATCH(O381,Cargas,1))),Coluna_fih,1,1))*(1+0.13*0.25)*(PI()*(fi_h/1000)^2/4)*SQRT(2*9.81*(O381/100-fi_h/2/1000))*1000)),"",IF(O381&lt;fi_h/20,0,(OFFSET('Base de dados'!$A$5,IF(O381&lt;20,1,IF(O381&gt;1000,10,MATCH(O381,Cargas,1))),Coluna_fih,1,1))*(PI()*(fi_h/1000)^2/4)*SQRT(2*9.81*(O381/100-fi_h/2/1000))*1000))</f>
        <v>2.588905671766105</v>
      </c>
      <c r="Q381" s="38">
        <f ca="1">IF(O381="","",IF(Tipo_Vertedor="Retangular",IF(O381&lt;=cota_s*100,0,IF(Tipo_Vertedor="Retangular",Cd_sr*Lef_sr*((O381/100-cota_s)^(3/2))*1000)),IF(O381&lt;=cota_s*100+fi_s/20,0,(OFFSET('Base de dados'!$A$4,IF(O381&lt;20,1,IF(O381&gt;1000,10,MATCH(O381,Cargas,1))),Coluna_fis,1,1))*(PI()*(fi_s/1000)^2/4)*(2*9.81*(O381/100-cota_s-fi_s/2/1000))^0.5*1000)))</f>
        <v>0</v>
      </c>
      <c r="R381" s="38">
        <f t="shared" ca="1" si="77"/>
        <v>2.588905671766105</v>
      </c>
      <c r="S381" s="38">
        <f t="shared" ca="1" si="78"/>
        <v>118.75</v>
      </c>
      <c r="AD381" s="38" t="str">
        <f t="shared" si="88"/>
        <v/>
      </c>
      <c r="AE381" s="38" t="str">
        <f t="shared" si="89"/>
        <v/>
      </c>
      <c r="AF381" s="38" t="str">
        <f>IF(ISERROR(IF('Hidrograma afluente'!I388="",0,'Hidrograma afluente'!I388)+Simulação!G381),"",IF('Hidrograma afluente'!I388="",0,'Hidrograma afluente'!I388)+Simulação!G381)</f>
        <v/>
      </c>
      <c r="AG381" s="36" t="s">
        <v>182</v>
      </c>
      <c r="AH381" s="36" t="s">
        <v>182</v>
      </c>
      <c r="AI381" s="48" t="s">
        <v>182</v>
      </c>
      <c r="AJ381" s="36" t="s">
        <v>182</v>
      </c>
      <c r="AK381" s="38" t="str">
        <f>IF(A381="","",IF('Hidrograma afluente'!I388="",0,'Hidrograma afluente'!I388)+Simulação!B381)</f>
        <v/>
      </c>
    </row>
    <row r="382" spans="1:37" s="36" customFormat="1">
      <c r="A382" s="23" t="str">
        <f t="shared" si="79"/>
        <v/>
      </c>
      <c r="B382" s="24" t="str">
        <f>IF(A382="","",IF(A382&gt;tc_lot_i+tc,0,IF('Hidrograma afluente'!B389="","",'Hidrograma afluente'!B389)))</f>
        <v/>
      </c>
      <c r="C382" s="41" t="str">
        <f t="shared" si="80"/>
        <v/>
      </c>
      <c r="D382" s="41" t="str">
        <f t="shared" si="81"/>
        <v/>
      </c>
      <c r="E382" s="41" t="str">
        <f t="shared" si="82"/>
        <v/>
      </c>
      <c r="F382" s="41" t="str">
        <f t="shared" si="83"/>
        <v/>
      </c>
      <c r="G382" s="41" t="str">
        <f t="shared" si="84"/>
        <v/>
      </c>
      <c r="H382" s="43" t="str">
        <f t="shared" si="90"/>
        <v/>
      </c>
      <c r="I382" s="42" t="str">
        <f t="shared" si="85"/>
        <v/>
      </c>
      <c r="J382" s="18"/>
      <c r="K382" s="76"/>
      <c r="M382" s="132">
        <f t="shared" ca="1" si="76"/>
        <v>121.65487410352394</v>
      </c>
      <c r="N382" s="38">
        <f t="shared" si="86"/>
        <v>3.5718749999999999</v>
      </c>
      <c r="O382" s="36">
        <f t="shared" si="87"/>
        <v>95.25</v>
      </c>
      <c r="P382" s="38">
        <f ca="1">IF(ISERROR(IF(O382&lt;fi_h/20,0,(OFFSET('Base de dados'!$A$5,IF(O382&lt;20,1,IF(O382&gt;1000,10,MATCH(O382,Cargas,1))),Coluna_fih,1,1))*(1+0.13*0.25)*(PI()*(fi_h/1000)^2/4)*SQRT(2*9.81*(O382/100-fi_h/2/1000))*1000)),"",IF(O382&lt;fi_h/20,0,(OFFSET('Base de dados'!$A$5,IF(O382&lt;20,1,IF(O382&gt;1000,10,MATCH(O382,Cargas,1))),Coluna_fih,1,1))*(PI()*(fi_h/1000)^2/4)*SQRT(2*9.81*(O382/100-fi_h/2/1000))*1000))</f>
        <v>2.5923741035239334</v>
      </c>
      <c r="Q382" s="38">
        <f ca="1">IF(O382="","",IF(Tipo_Vertedor="Retangular",IF(O382&lt;=cota_s*100,0,IF(Tipo_Vertedor="Retangular",Cd_sr*Lef_sr*((O382/100-cota_s)^(3/2))*1000)),IF(O382&lt;=cota_s*100+fi_s/20,0,(OFFSET('Base de dados'!$A$4,IF(O382&lt;20,1,IF(O382&gt;1000,10,MATCH(O382,Cargas,1))),Coluna_fis,1,1))*(PI()*(fi_s/1000)^2/4)*(2*9.81*(O382/100-cota_s-fi_s/2/1000))^0.5*1000)))</f>
        <v>0</v>
      </c>
      <c r="R382" s="38">
        <f t="shared" ca="1" si="77"/>
        <v>2.5923741035239334</v>
      </c>
      <c r="S382" s="38">
        <f t="shared" ca="1" si="78"/>
        <v>119.0625</v>
      </c>
      <c r="AD382" s="38" t="str">
        <f t="shared" si="88"/>
        <v/>
      </c>
      <c r="AE382" s="38" t="str">
        <f t="shared" si="89"/>
        <v/>
      </c>
      <c r="AF382" s="38" t="str">
        <f>IF(ISERROR(IF('Hidrograma afluente'!I389="",0,'Hidrograma afluente'!I389)+Simulação!G382),"",IF('Hidrograma afluente'!I389="",0,'Hidrograma afluente'!I389)+Simulação!G382)</f>
        <v/>
      </c>
      <c r="AG382" s="36" t="s">
        <v>182</v>
      </c>
      <c r="AH382" s="36" t="s">
        <v>182</v>
      </c>
      <c r="AI382" s="48" t="s">
        <v>182</v>
      </c>
      <c r="AJ382" s="36" t="s">
        <v>182</v>
      </c>
      <c r="AK382" s="38" t="str">
        <f>IF(A382="","",IF('Hidrograma afluente'!I389="",0,'Hidrograma afluente'!I389)+Simulação!B382)</f>
        <v/>
      </c>
    </row>
    <row r="383" spans="1:37" s="36" customFormat="1">
      <c r="A383" s="23" t="str">
        <f t="shared" si="79"/>
        <v/>
      </c>
      <c r="B383" s="24" t="str">
        <f>IF(A383="","",IF(A383&gt;tc_lot_i+tc,0,IF('Hidrograma afluente'!B390="","",'Hidrograma afluente'!B390)))</f>
        <v/>
      </c>
      <c r="C383" s="41" t="str">
        <f t="shared" si="80"/>
        <v/>
      </c>
      <c r="D383" s="41" t="str">
        <f t="shared" si="81"/>
        <v/>
      </c>
      <c r="E383" s="41" t="str">
        <f t="shared" si="82"/>
        <v/>
      </c>
      <c r="F383" s="41" t="str">
        <f t="shared" si="83"/>
        <v/>
      </c>
      <c r="G383" s="41" t="str">
        <f t="shared" si="84"/>
        <v/>
      </c>
      <c r="H383" s="43" t="str">
        <f t="shared" si="90"/>
        <v/>
      </c>
      <c r="I383" s="42" t="str">
        <f t="shared" si="85"/>
        <v/>
      </c>
      <c r="J383" s="18"/>
      <c r="K383" s="76"/>
      <c r="M383" s="132">
        <f t="shared" ca="1" si="76"/>
        <v>121.97083790093687</v>
      </c>
      <c r="N383" s="38">
        <f t="shared" si="86"/>
        <v>3.5812499999999998</v>
      </c>
      <c r="O383" s="36">
        <f t="shared" si="87"/>
        <v>95.5</v>
      </c>
      <c r="P383" s="38">
        <f ca="1">IF(ISERROR(IF(O383&lt;fi_h/20,0,(OFFSET('Base de dados'!$A$5,IF(O383&lt;20,1,IF(O383&gt;1000,10,MATCH(O383,Cargas,1))),Coluna_fih,1,1))*(1+0.13*0.25)*(PI()*(fi_h/1000)^2/4)*SQRT(2*9.81*(O383/100-fi_h/2/1000))*1000)),"",IF(O383&lt;fi_h/20,0,(OFFSET('Base de dados'!$A$5,IF(O383&lt;20,1,IF(O383&gt;1000,10,MATCH(O383,Cargas,1))),Coluna_fih,1,1))*(PI()*(fi_h/1000)^2/4)*SQRT(2*9.81*(O383/100-fi_h/2/1000))*1000))</f>
        <v>2.5958379009368682</v>
      </c>
      <c r="Q383" s="38">
        <f ca="1">IF(O383="","",IF(Tipo_Vertedor="Retangular",IF(O383&lt;=cota_s*100,0,IF(Tipo_Vertedor="Retangular",Cd_sr*Lef_sr*((O383/100-cota_s)^(3/2))*1000)),IF(O383&lt;=cota_s*100+fi_s/20,0,(OFFSET('Base de dados'!$A$4,IF(O383&lt;20,1,IF(O383&gt;1000,10,MATCH(O383,Cargas,1))),Coluna_fis,1,1))*(PI()*(fi_s/1000)^2/4)*(2*9.81*(O383/100-cota_s-fi_s/2/1000))^0.5*1000)))</f>
        <v>0</v>
      </c>
      <c r="R383" s="38">
        <f t="shared" ca="1" si="77"/>
        <v>2.5958379009368682</v>
      </c>
      <c r="S383" s="38">
        <f t="shared" ca="1" si="78"/>
        <v>119.375</v>
      </c>
      <c r="AD383" s="38" t="str">
        <f t="shared" si="88"/>
        <v/>
      </c>
      <c r="AE383" s="38" t="str">
        <f t="shared" si="89"/>
        <v/>
      </c>
      <c r="AF383" s="38" t="str">
        <f>IF(ISERROR(IF('Hidrograma afluente'!I390="",0,'Hidrograma afluente'!I390)+Simulação!G383),"",IF('Hidrograma afluente'!I390="",0,'Hidrograma afluente'!I390)+Simulação!G383)</f>
        <v/>
      </c>
      <c r="AG383" s="36" t="s">
        <v>182</v>
      </c>
      <c r="AH383" s="36" t="s">
        <v>182</v>
      </c>
      <c r="AI383" s="48" t="s">
        <v>182</v>
      </c>
      <c r="AJ383" s="36" t="s">
        <v>182</v>
      </c>
      <c r="AK383" s="38" t="str">
        <f>IF(A383="","",IF('Hidrograma afluente'!I390="",0,'Hidrograma afluente'!I390)+Simulação!B383)</f>
        <v/>
      </c>
    </row>
    <row r="384" spans="1:37" s="36" customFormat="1">
      <c r="A384" s="23" t="str">
        <f t="shared" si="79"/>
        <v/>
      </c>
      <c r="B384" s="24" t="str">
        <f>IF(A384="","",IF(A384&gt;tc_lot_i+tc,0,IF('Hidrograma afluente'!B391="","",'Hidrograma afluente'!B391)))</f>
        <v/>
      </c>
      <c r="C384" s="41" t="str">
        <f t="shared" si="80"/>
        <v/>
      </c>
      <c r="D384" s="41" t="str">
        <f t="shared" si="81"/>
        <v/>
      </c>
      <c r="E384" s="41" t="str">
        <f t="shared" si="82"/>
        <v/>
      </c>
      <c r="F384" s="41" t="str">
        <f t="shared" si="83"/>
        <v/>
      </c>
      <c r="G384" s="41" t="str">
        <f t="shared" si="84"/>
        <v/>
      </c>
      <c r="H384" s="43" t="str">
        <f t="shared" si="90"/>
        <v/>
      </c>
      <c r="I384" s="42" t="str">
        <f t="shared" si="85"/>
        <v/>
      </c>
      <c r="J384" s="18"/>
      <c r="K384" s="76"/>
      <c r="M384" s="132">
        <f t="shared" ca="1" si="76"/>
        <v>122.28679708253196</v>
      </c>
      <c r="N384" s="38">
        <f t="shared" si="86"/>
        <v>3.5906250000000002</v>
      </c>
      <c r="O384" s="36">
        <f t="shared" si="87"/>
        <v>95.75</v>
      </c>
      <c r="P384" s="38">
        <f ca="1">IF(ISERROR(IF(O384&lt;fi_h/20,0,(OFFSET('Base de dados'!$A$5,IF(O384&lt;20,1,IF(O384&gt;1000,10,MATCH(O384,Cargas,1))),Coluna_fih,1,1))*(1+0.13*0.25)*(PI()*(fi_h/1000)^2/4)*SQRT(2*9.81*(O384/100-fi_h/2/1000))*1000)),"",IF(O384&lt;fi_h/20,0,(OFFSET('Base de dados'!$A$5,IF(O384&lt;20,1,IF(O384&gt;1000,10,MATCH(O384,Cargas,1))),Coluna_fih,1,1))*(PI()*(fi_h/1000)^2/4)*SQRT(2*9.81*(O384/100-fi_h/2/1000))*1000))</f>
        <v>2.599297082531955</v>
      </c>
      <c r="Q384" s="38">
        <f ca="1">IF(O384="","",IF(Tipo_Vertedor="Retangular",IF(O384&lt;=cota_s*100,0,IF(Tipo_Vertedor="Retangular",Cd_sr*Lef_sr*((O384/100-cota_s)^(3/2))*1000)),IF(O384&lt;=cota_s*100+fi_s/20,0,(OFFSET('Base de dados'!$A$4,IF(O384&lt;20,1,IF(O384&gt;1000,10,MATCH(O384,Cargas,1))),Coluna_fis,1,1))*(PI()*(fi_s/1000)^2/4)*(2*9.81*(O384/100-cota_s-fi_s/2/1000))^0.5*1000)))</f>
        <v>0</v>
      </c>
      <c r="R384" s="38">
        <f t="shared" ca="1" si="77"/>
        <v>2.599297082531955</v>
      </c>
      <c r="S384" s="38">
        <f t="shared" ca="1" si="78"/>
        <v>119.6875</v>
      </c>
      <c r="AD384" s="38" t="str">
        <f t="shared" si="88"/>
        <v/>
      </c>
      <c r="AE384" s="38" t="str">
        <f t="shared" si="89"/>
        <v/>
      </c>
      <c r="AF384" s="38" t="str">
        <f>IF(ISERROR(IF('Hidrograma afluente'!I391="",0,'Hidrograma afluente'!I391)+Simulação!G384),"",IF('Hidrograma afluente'!I391="",0,'Hidrograma afluente'!I391)+Simulação!G384)</f>
        <v/>
      </c>
      <c r="AG384" s="36" t="s">
        <v>182</v>
      </c>
      <c r="AH384" s="36" t="s">
        <v>182</v>
      </c>
      <c r="AI384" s="48" t="s">
        <v>182</v>
      </c>
      <c r="AJ384" s="36" t="s">
        <v>182</v>
      </c>
      <c r="AK384" s="38" t="str">
        <f>IF(A384="","",IF('Hidrograma afluente'!I391="",0,'Hidrograma afluente'!I391)+Simulação!B384)</f>
        <v/>
      </c>
    </row>
    <row r="385" spans="1:37" s="36" customFormat="1">
      <c r="A385" s="23" t="str">
        <f t="shared" si="79"/>
        <v/>
      </c>
      <c r="B385" s="24" t="str">
        <f>IF(A385="","",IF(A385&gt;tc_lot_i+tc,0,IF('Hidrograma afluente'!B392="","",'Hidrograma afluente'!B392)))</f>
        <v/>
      </c>
      <c r="C385" s="41" t="str">
        <f t="shared" si="80"/>
        <v/>
      </c>
      <c r="D385" s="41" t="str">
        <f t="shared" si="81"/>
        <v/>
      </c>
      <c r="E385" s="41" t="str">
        <f t="shared" si="82"/>
        <v/>
      </c>
      <c r="F385" s="41" t="str">
        <f t="shared" si="83"/>
        <v/>
      </c>
      <c r="G385" s="41" t="str">
        <f t="shared" si="84"/>
        <v/>
      </c>
      <c r="H385" s="43" t="str">
        <f t="shared" si="90"/>
        <v/>
      </c>
      <c r="I385" s="42" t="str">
        <f t="shared" si="85"/>
        <v/>
      </c>
      <c r="J385" s="18"/>
      <c r="K385" s="76"/>
      <c r="M385" s="132">
        <f t="shared" ca="1" si="76"/>
        <v>122.6027516667131</v>
      </c>
      <c r="N385" s="38">
        <f t="shared" si="86"/>
        <v>3.5999999999999996</v>
      </c>
      <c r="O385" s="36">
        <f t="shared" si="87"/>
        <v>96</v>
      </c>
      <c r="P385" s="38">
        <f ca="1">IF(ISERROR(IF(O385&lt;fi_h/20,0,(OFFSET('Base de dados'!$A$5,IF(O385&lt;20,1,IF(O385&gt;1000,10,MATCH(O385,Cargas,1))),Coluna_fih,1,1))*(1+0.13*0.25)*(PI()*(fi_h/1000)^2/4)*SQRT(2*9.81*(O385/100-fi_h/2/1000))*1000)),"",IF(O385&lt;fi_h/20,0,(OFFSET('Base de dados'!$A$5,IF(O385&lt;20,1,IF(O385&gt;1000,10,MATCH(O385,Cargas,1))),Coluna_fih,1,1))*(PI()*(fi_h/1000)^2/4)*SQRT(2*9.81*(O385/100-fi_h/2/1000))*1000))</f>
        <v>2.6027516667131234</v>
      </c>
      <c r="Q385" s="38">
        <f ca="1">IF(O385="","",IF(Tipo_Vertedor="Retangular",IF(O385&lt;=cota_s*100,0,IF(Tipo_Vertedor="Retangular",Cd_sr*Lef_sr*((O385/100-cota_s)^(3/2))*1000)),IF(O385&lt;=cota_s*100+fi_s/20,0,(OFFSET('Base de dados'!$A$4,IF(O385&lt;20,1,IF(O385&gt;1000,10,MATCH(O385,Cargas,1))),Coluna_fis,1,1))*(PI()*(fi_s/1000)^2/4)*(2*9.81*(O385/100-cota_s-fi_s/2/1000))^0.5*1000)))</f>
        <v>0</v>
      </c>
      <c r="R385" s="38">
        <f t="shared" ca="1" si="77"/>
        <v>2.6027516667131234</v>
      </c>
      <c r="S385" s="38">
        <f t="shared" ca="1" si="78"/>
        <v>119.99999999999999</v>
      </c>
      <c r="AD385" s="38" t="str">
        <f t="shared" si="88"/>
        <v/>
      </c>
      <c r="AE385" s="38" t="str">
        <f t="shared" si="89"/>
        <v/>
      </c>
      <c r="AF385" s="38" t="str">
        <f>IF(ISERROR(IF('Hidrograma afluente'!I392="",0,'Hidrograma afluente'!I392)+Simulação!G385),"",IF('Hidrograma afluente'!I392="",0,'Hidrograma afluente'!I392)+Simulação!G385)</f>
        <v/>
      </c>
      <c r="AG385" s="36" t="s">
        <v>182</v>
      </c>
      <c r="AH385" s="36" t="s">
        <v>182</v>
      </c>
      <c r="AI385" s="48" t="s">
        <v>182</v>
      </c>
      <c r="AJ385" s="36" t="s">
        <v>182</v>
      </c>
      <c r="AK385" s="38" t="str">
        <f>IF(A385="","",IF('Hidrograma afluente'!I392="",0,'Hidrograma afluente'!I392)+Simulação!B385)</f>
        <v/>
      </c>
    </row>
    <row r="386" spans="1:37" s="36" customFormat="1">
      <c r="A386" s="23" t="str">
        <f t="shared" si="79"/>
        <v/>
      </c>
      <c r="B386" s="24" t="str">
        <f>IF(A386="","",IF(A386&gt;tc_lot_i+tc,0,IF('Hidrograma afluente'!B393="","",'Hidrograma afluente'!B393)))</f>
        <v/>
      </c>
      <c r="C386" s="41" t="str">
        <f t="shared" si="80"/>
        <v/>
      </c>
      <c r="D386" s="41" t="str">
        <f t="shared" si="81"/>
        <v/>
      </c>
      <c r="E386" s="41" t="str">
        <f t="shared" si="82"/>
        <v/>
      </c>
      <c r="F386" s="41" t="str">
        <f t="shared" si="83"/>
        <v/>
      </c>
      <c r="G386" s="41" t="str">
        <f t="shared" si="84"/>
        <v/>
      </c>
      <c r="H386" s="43" t="str">
        <f t="shared" si="90"/>
        <v/>
      </c>
      <c r="I386" s="42" t="str">
        <f t="shared" si="85"/>
        <v/>
      </c>
      <c r="J386" s="18"/>
      <c r="K386" s="76"/>
      <c r="M386" s="132">
        <f t="shared" ca="1" si="76"/>
        <v>122.91870167176232</v>
      </c>
      <c r="N386" s="38">
        <f t="shared" si="86"/>
        <v>3.609375</v>
      </c>
      <c r="O386" s="36">
        <f t="shared" si="87"/>
        <v>96.25</v>
      </c>
      <c r="P386" s="38">
        <f ca="1">IF(ISERROR(IF(O386&lt;fi_h/20,0,(OFFSET('Base de dados'!$A$5,IF(O386&lt;20,1,IF(O386&gt;1000,10,MATCH(O386,Cargas,1))),Coluna_fih,1,1))*(1+0.13*0.25)*(PI()*(fi_h/1000)^2/4)*SQRT(2*9.81*(O386/100-fi_h/2/1000))*1000)),"",IF(O386&lt;fi_h/20,0,(OFFSET('Base de dados'!$A$5,IF(O386&lt;20,1,IF(O386&gt;1000,10,MATCH(O386,Cargas,1))),Coluna_fih,1,1))*(PI()*(fi_h/1000)^2/4)*SQRT(2*9.81*(O386/100-fi_h/2/1000))*1000))</f>
        <v>2.6062016717623275</v>
      </c>
      <c r="Q386" s="38">
        <f ca="1">IF(O386="","",IF(Tipo_Vertedor="Retangular",IF(O386&lt;=cota_s*100,0,IF(Tipo_Vertedor="Retangular",Cd_sr*Lef_sr*((O386/100-cota_s)^(3/2))*1000)),IF(O386&lt;=cota_s*100+fi_s/20,0,(OFFSET('Base de dados'!$A$4,IF(O386&lt;20,1,IF(O386&gt;1000,10,MATCH(O386,Cargas,1))),Coluna_fis,1,1))*(PI()*(fi_s/1000)^2/4)*(2*9.81*(O386/100-cota_s-fi_s/2/1000))^0.5*1000)))</f>
        <v>0</v>
      </c>
      <c r="R386" s="38">
        <f t="shared" ca="1" si="77"/>
        <v>2.6062016717623275</v>
      </c>
      <c r="S386" s="38">
        <f t="shared" ca="1" si="78"/>
        <v>120.3125</v>
      </c>
      <c r="AD386" s="38" t="str">
        <f t="shared" si="88"/>
        <v/>
      </c>
      <c r="AE386" s="38" t="str">
        <f t="shared" si="89"/>
        <v/>
      </c>
      <c r="AF386" s="38" t="str">
        <f>IF(ISERROR(IF('Hidrograma afluente'!I393="",0,'Hidrograma afluente'!I393)+Simulação!G386),"",IF('Hidrograma afluente'!I393="",0,'Hidrograma afluente'!I393)+Simulação!G386)</f>
        <v/>
      </c>
      <c r="AG386" s="36" t="s">
        <v>182</v>
      </c>
      <c r="AH386" s="36" t="s">
        <v>182</v>
      </c>
      <c r="AI386" s="48" t="s">
        <v>182</v>
      </c>
      <c r="AJ386" s="36" t="s">
        <v>182</v>
      </c>
      <c r="AK386" s="38" t="str">
        <f>IF(A386="","",IF('Hidrograma afluente'!I393="",0,'Hidrograma afluente'!I393)+Simulação!B386)</f>
        <v/>
      </c>
    </row>
    <row r="387" spans="1:37" s="36" customFormat="1">
      <c r="A387" s="23" t="str">
        <f t="shared" si="79"/>
        <v/>
      </c>
      <c r="B387" s="24" t="str">
        <f>IF(A387="","",IF(A387&gt;tc_lot_i+tc,0,IF('Hidrograma afluente'!B394="","",'Hidrograma afluente'!B394)))</f>
        <v/>
      </c>
      <c r="C387" s="41" t="str">
        <f t="shared" si="80"/>
        <v/>
      </c>
      <c r="D387" s="41" t="str">
        <f t="shared" si="81"/>
        <v/>
      </c>
      <c r="E387" s="41" t="str">
        <f t="shared" si="82"/>
        <v/>
      </c>
      <c r="F387" s="41" t="str">
        <f t="shared" si="83"/>
        <v/>
      </c>
      <c r="G387" s="41" t="str">
        <f t="shared" si="84"/>
        <v/>
      </c>
      <c r="H387" s="43" t="str">
        <f t="shared" si="90"/>
        <v/>
      </c>
      <c r="I387" s="42" t="str">
        <f t="shared" si="85"/>
        <v/>
      </c>
      <c r="J387" s="18"/>
      <c r="K387" s="76"/>
      <c r="M387" s="132">
        <f t="shared" ca="1" si="76"/>
        <v>123.23464711584067</v>
      </c>
      <c r="N387" s="38">
        <f t="shared" si="86"/>
        <v>3.6187499999999999</v>
      </c>
      <c r="O387" s="36">
        <f t="shared" si="87"/>
        <v>96.5</v>
      </c>
      <c r="P387" s="38">
        <f ca="1">IF(ISERROR(IF(O387&lt;fi_h/20,0,(OFFSET('Base de dados'!$A$5,IF(O387&lt;20,1,IF(O387&gt;1000,10,MATCH(O387,Cargas,1))),Coluna_fih,1,1))*(1+0.13*0.25)*(PI()*(fi_h/1000)^2/4)*SQRT(2*9.81*(O387/100-fi_h/2/1000))*1000)),"",IF(O387&lt;fi_h/20,0,(OFFSET('Base de dados'!$A$5,IF(O387&lt;20,1,IF(O387&gt;1000,10,MATCH(O387,Cargas,1))),Coluna_fih,1,1))*(PI()*(fi_h/1000)^2/4)*SQRT(2*9.81*(O387/100-fi_h/2/1000))*1000))</f>
        <v>2.609647115840676</v>
      </c>
      <c r="Q387" s="38">
        <f ca="1">IF(O387="","",IF(Tipo_Vertedor="Retangular",IF(O387&lt;=cota_s*100,0,IF(Tipo_Vertedor="Retangular",Cd_sr*Lef_sr*((O387/100-cota_s)^(3/2))*1000)),IF(O387&lt;=cota_s*100+fi_s/20,0,(OFFSET('Base de dados'!$A$4,IF(O387&lt;20,1,IF(O387&gt;1000,10,MATCH(O387,Cargas,1))),Coluna_fis,1,1))*(PI()*(fi_s/1000)^2/4)*(2*9.81*(O387/100-cota_s-fi_s/2/1000))^0.5*1000)))</f>
        <v>0</v>
      </c>
      <c r="R387" s="38">
        <f t="shared" ca="1" si="77"/>
        <v>2.609647115840676</v>
      </c>
      <c r="S387" s="38">
        <f t="shared" ca="1" si="78"/>
        <v>120.625</v>
      </c>
      <c r="AD387" s="38" t="str">
        <f t="shared" si="88"/>
        <v/>
      </c>
      <c r="AE387" s="38" t="str">
        <f t="shared" si="89"/>
        <v/>
      </c>
      <c r="AF387" s="38" t="str">
        <f>IF(ISERROR(IF('Hidrograma afluente'!I394="",0,'Hidrograma afluente'!I394)+Simulação!G387),"",IF('Hidrograma afluente'!I394="",0,'Hidrograma afluente'!I394)+Simulação!G387)</f>
        <v/>
      </c>
      <c r="AG387" s="36" t="s">
        <v>182</v>
      </c>
      <c r="AH387" s="36" t="s">
        <v>182</v>
      </c>
      <c r="AI387" s="48" t="s">
        <v>182</v>
      </c>
      <c r="AJ387" s="36" t="s">
        <v>182</v>
      </c>
      <c r="AK387" s="38" t="str">
        <f>IF(A387="","",IF('Hidrograma afluente'!I394="",0,'Hidrograma afluente'!I394)+Simulação!B387)</f>
        <v/>
      </c>
    </row>
    <row r="388" spans="1:37" s="36" customFormat="1">
      <c r="A388" s="23" t="str">
        <f t="shared" si="79"/>
        <v/>
      </c>
      <c r="B388" s="24" t="str">
        <f>IF(A388="","",IF(A388&gt;tc_lot_i+tc,0,IF('Hidrograma afluente'!B395="","",'Hidrograma afluente'!B395)))</f>
        <v/>
      </c>
      <c r="C388" s="41" t="str">
        <f t="shared" si="80"/>
        <v/>
      </c>
      <c r="D388" s="41" t="str">
        <f t="shared" si="81"/>
        <v/>
      </c>
      <c r="E388" s="41" t="str">
        <f t="shared" si="82"/>
        <v/>
      </c>
      <c r="F388" s="41" t="str">
        <f t="shared" si="83"/>
        <v/>
      </c>
      <c r="G388" s="41" t="str">
        <f t="shared" si="84"/>
        <v/>
      </c>
      <c r="H388" s="43" t="str">
        <f t="shared" si="90"/>
        <v/>
      </c>
      <c r="I388" s="42" t="str">
        <f t="shared" si="85"/>
        <v/>
      </c>
      <c r="J388" s="18"/>
      <c r="K388" s="76"/>
      <c r="M388" s="132">
        <f t="shared" ca="1" si="76"/>
        <v>123.55058801698956</v>
      </c>
      <c r="N388" s="38">
        <f t="shared" si="86"/>
        <v>3.6281250000000003</v>
      </c>
      <c r="O388" s="36">
        <f t="shared" si="87"/>
        <v>96.75</v>
      </c>
      <c r="P388" s="38">
        <f ca="1">IF(ISERROR(IF(O388&lt;fi_h/20,0,(OFFSET('Base de dados'!$A$5,IF(O388&lt;20,1,IF(O388&gt;1000,10,MATCH(O388,Cargas,1))),Coluna_fih,1,1))*(1+0.13*0.25)*(PI()*(fi_h/1000)^2/4)*SQRT(2*9.81*(O388/100-fi_h/2/1000))*1000)),"",IF(O388&lt;fi_h/20,0,(OFFSET('Base de dados'!$A$5,IF(O388&lt;20,1,IF(O388&gt;1000,10,MATCH(O388,Cargas,1))),Coluna_fih,1,1))*(PI()*(fi_h/1000)^2/4)*SQRT(2*9.81*(O388/100-fi_h/2/1000))*1000))</f>
        <v>2.6130880169895478</v>
      </c>
      <c r="Q388" s="38">
        <f ca="1">IF(O388="","",IF(Tipo_Vertedor="Retangular",IF(O388&lt;=cota_s*100,0,IF(Tipo_Vertedor="Retangular",Cd_sr*Lef_sr*((O388/100-cota_s)^(3/2))*1000)),IF(O388&lt;=cota_s*100+fi_s/20,0,(OFFSET('Base de dados'!$A$4,IF(O388&lt;20,1,IF(O388&gt;1000,10,MATCH(O388,Cargas,1))),Coluna_fis,1,1))*(PI()*(fi_s/1000)^2/4)*(2*9.81*(O388/100-cota_s-fi_s/2/1000))^0.5*1000)))</f>
        <v>0</v>
      </c>
      <c r="R388" s="38">
        <f t="shared" ca="1" si="77"/>
        <v>2.6130880169895478</v>
      </c>
      <c r="S388" s="38">
        <f t="shared" ca="1" si="78"/>
        <v>120.93750000000001</v>
      </c>
      <c r="AD388" s="38" t="str">
        <f t="shared" si="88"/>
        <v/>
      </c>
      <c r="AE388" s="38" t="str">
        <f t="shared" si="89"/>
        <v/>
      </c>
      <c r="AF388" s="38" t="str">
        <f>IF(ISERROR(IF('Hidrograma afluente'!I395="",0,'Hidrograma afluente'!I395)+Simulação!G388),"",IF('Hidrograma afluente'!I395="",0,'Hidrograma afluente'!I395)+Simulação!G388)</f>
        <v/>
      </c>
      <c r="AG388" s="36" t="s">
        <v>182</v>
      </c>
      <c r="AH388" s="36" t="s">
        <v>182</v>
      </c>
      <c r="AI388" s="48" t="s">
        <v>182</v>
      </c>
      <c r="AJ388" s="36" t="s">
        <v>182</v>
      </c>
      <c r="AK388" s="38" t="str">
        <f>IF(A388="","",IF('Hidrograma afluente'!I395="",0,'Hidrograma afluente'!I395)+Simulação!B388)</f>
        <v/>
      </c>
    </row>
    <row r="389" spans="1:37" s="36" customFormat="1">
      <c r="A389" s="23" t="str">
        <f t="shared" si="79"/>
        <v/>
      </c>
      <c r="B389" s="24" t="str">
        <f>IF(A389="","",IF(A389&gt;tc_lot_i+tc,0,IF('Hidrograma afluente'!B396="","",'Hidrograma afluente'!B396)))</f>
        <v/>
      </c>
      <c r="C389" s="41" t="str">
        <f t="shared" si="80"/>
        <v/>
      </c>
      <c r="D389" s="41" t="str">
        <f t="shared" si="81"/>
        <v/>
      </c>
      <c r="E389" s="41" t="str">
        <f t="shared" si="82"/>
        <v/>
      </c>
      <c r="F389" s="41" t="str">
        <f t="shared" si="83"/>
        <v/>
      </c>
      <c r="G389" s="41" t="str">
        <f t="shared" si="84"/>
        <v/>
      </c>
      <c r="H389" s="43" t="str">
        <f t="shared" si="90"/>
        <v/>
      </c>
      <c r="I389" s="42" t="str">
        <f t="shared" si="85"/>
        <v/>
      </c>
      <c r="J389" s="18"/>
      <c r="K389" s="76"/>
      <c r="M389" s="132">
        <f t="shared" ref="M389:M452" ca="1" si="91">IF(O389="","",2*N389*1000/(Passo*60)+R389)</f>
        <v>123.86652439313168</v>
      </c>
      <c r="N389" s="38">
        <f t="shared" si="86"/>
        <v>3.6374999999999997</v>
      </c>
      <c r="O389" s="36">
        <f t="shared" si="87"/>
        <v>97</v>
      </c>
      <c r="P389" s="38">
        <f ca="1">IF(ISERROR(IF(O389&lt;fi_h/20,0,(OFFSET('Base de dados'!$A$5,IF(O389&lt;20,1,IF(O389&gt;1000,10,MATCH(O389,Cargas,1))),Coluna_fih,1,1))*(1+0.13*0.25)*(PI()*(fi_h/1000)^2/4)*SQRT(2*9.81*(O389/100-fi_h/2/1000))*1000)),"",IF(O389&lt;fi_h/20,0,(OFFSET('Base de dados'!$A$5,IF(O389&lt;20,1,IF(O389&gt;1000,10,MATCH(O389,Cargas,1))),Coluna_fih,1,1))*(PI()*(fi_h/1000)^2/4)*SQRT(2*9.81*(O389/100-fi_h/2/1000))*1000))</f>
        <v>2.6165243931316935</v>
      </c>
      <c r="Q389" s="38">
        <f ca="1">IF(O389="","",IF(Tipo_Vertedor="Retangular",IF(O389&lt;=cota_s*100,0,IF(Tipo_Vertedor="Retangular",Cd_sr*Lef_sr*((O389/100-cota_s)^(3/2))*1000)),IF(O389&lt;=cota_s*100+fi_s/20,0,(OFFSET('Base de dados'!$A$4,IF(O389&lt;20,1,IF(O389&gt;1000,10,MATCH(O389,Cargas,1))),Coluna_fis,1,1))*(PI()*(fi_s/1000)^2/4)*(2*9.81*(O389/100-cota_s-fi_s/2/1000))^0.5*1000)))</f>
        <v>0</v>
      </c>
      <c r="R389" s="38">
        <f t="shared" ref="R389:R452" ca="1" si="92">IF(O389="","",Q389+P389)</f>
        <v>2.6165243931316935</v>
      </c>
      <c r="S389" s="38">
        <f t="shared" ref="S389:S452" ca="1" si="93">IF(M389="","",2*N389*1000/(Passo*60))</f>
        <v>121.24999999999999</v>
      </c>
      <c r="AD389" s="38" t="str">
        <f t="shared" si="88"/>
        <v/>
      </c>
      <c r="AE389" s="38" t="str">
        <f t="shared" si="89"/>
        <v/>
      </c>
      <c r="AF389" s="38" t="str">
        <f>IF(ISERROR(IF('Hidrograma afluente'!I396="",0,'Hidrograma afluente'!I396)+Simulação!G389),"",IF('Hidrograma afluente'!I396="",0,'Hidrograma afluente'!I396)+Simulação!G389)</f>
        <v/>
      </c>
      <c r="AG389" s="36" t="s">
        <v>182</v>
      </c>
      <c r="AH389" s="36" t="s">
        <v>182</v>
      </c>
      <c r="AI389" s="48" t="s">
        <v>182</v>
      </c>
      <c r="AJ389" s="36" t="s">
        <v>182</v>
      </c>
      <c r="AK389" s="38" t="str">
        <f>IF(A389="","",IF('Hidrograma afluente'!I396="",0,'Hidrograma afluente'!I396)+Simulação!B389)</f>
        <v/>
      </c>
    </row>
    <row r="390" spans="1:37" s="36" customFormat="1">
      <c r="A390" s="23" t="str">
        <f t="shared" ref="A390:A423" si="94">IF(ISERROR(IF(A389+Passo&lt;=tempo_simul,A389+Passo,"")),"",IF(A389+Passo&lt;=tempo_simul,A389+Passo,""))</f>
        <v/>
      </c>
      <c r="B390" s="24" t="str">
        <f>IF(A390="","",IF(A390&gt;tc_lot_i+tc,0,IF('Hidrograma afluente'!B397="","",'Hidrograma afluente'!B397)))</f>
        <v/>
      </c>
      <c r="C390" s="41" t="str">
        <f t="shared" ref="C390:C423" si="95">IF(B391=0,0,IF(B391="","",B391))</f>
        <v/>
      </c>
      <c r="D390" s="41" t="str">
        <f t="shared" ref="D390:D453" si="96">IF(A390="","",IF(ISERROR(VLOOKUP(H389,tabela_auxiliar,7,1)),0,VLOOKUP(H389,tabela_auxiliar,7,1)))</f>
        <v/>
      </c>
      <c r="E390" s="41" t="str">
        <f t="shared" ref="E390:E453" si="97">IF(A390="","",IF(ISERROR(VLOOKUP(H389,tabela_auxiliar,4,TRUE)),0,VLOOKUP(H389,tabela_auxiliar,4,TRUE)))</f>
        <v/>
      </c>
      <c r="F390" s="41" t="str">
        <f t="shared" ref="F390:F453" si="98">IF(A390="","",IF(ISERROR(VLOOKUP(H389,tabela_auxiliar,5,TRUE)),0,VLOOKUP(H389,tabela_auxiliar,5,TRUE)))</f>
        <v/>
      </c>
      <c r="G390" s="41" t="str">
        <f t="shared" ref="G390:G453" si="99">IF(A390="","",IF(ISERROR(VLOOKUP(H389,tabela_auxiliar,6,TRUE)),0,VLOOKUP(H389,tabela_auxiliar,6,TRUE)))</f>
        <v/>
      </c>
      <c r="H390" s="43" t="str">
        <f t="shared" si="90"/>
        <v/>
      </c>
      <c r="I390" s="42" t="str">
        <f t="shared" ref="I390:I453" si="100">IF(A390="","",IF(ISERROR(VLOOKUP(H389,tabela_auxiliar,3,TRUE)),0,VLOOKUP(H389,tabela_auxiliar,3,TRUE)))</f>
        <v/>
      </c>
      <c r="J390" s="18"/>
      <c r="K390" s="76"/>
      <c r="M390" s="132">
        <f t="shared" ca="1" si="91"/>
        <v>124.18245626207232</v>
      </c>
      <c r="N390" s="38">
        <f t="shared" ref="N390:N453" si="101">IF(O390="","",b_0*(O390/100)^c_0)</f>
        <v>3.6468750000000001</v>
      </c>
      <c r="O390" s="36">
        <f t="shared" ref="O390:O453" si="102">IF(ISERROR(IF(O389+passo_altura&gt;h_max_puls*100,"",O389+passo_altura)),"",IF(O389+passo_altura&gt;h_max_puls*100,"",O389+passo_altura))</f>
        <v>97.25</v>
      </c>
      <c r="P390" s="38">
        <f ca="1">IF(ISERROR(IF(O390&lt;fi_h/20,0,(OFFSET('Base de dados'!$A$5,IF(O390&lt;20,1,IF(O390&gt;1000,10,MATCH(O390,Cargas,1))),Coluna_fih,1,1))*(1+0.13*0.25)*(PI()*(fi_h/1000)^2/4)*SQRT(2*9.81*(O390/100-fi_h/2/1000))*1000)),"",IF(O390&lt;fi_h/20,0,(OFFSET('Base de dados'!$A$5,IF(O390&lt;20,1,IF(O390&gt;1000,10,MATCH(O390,Cargas,1))),Coluna_fih,1,1))*(PI()*(fi_h/1000)^2/4)*SQRT(2*9.81*(O390/100-fi_h/2/1000))*1000))</f>
        <v>2.619956262072324</v>
      </c>
      <c r="Q390" s="38">
        <f ca="1">IF(O390="","",IF(Tipo_Vertedor="Retangular",IF(O390&lt;=cota_s*100,0,IF(Tipo_Vertedor="Retangular",Cd_sr*Lef_sr*((O390/100-cota_s)^(3/2))*1000)),IF(O390&lt;=cota_s*100+fi_s/20,0,(OFFSET('Base de dados'!$A$4,IF(O390&lt;20,1,IF(O390&gt;1000,10,MATCH(O390,Cargas,1))),Coluna_fis,1,1))*(PI()*(fi_s/1000)^2/4)*(2*9.81*(O390/100-cota_s-fi_s/2/1000))^0.5*1000)))</f>
        <v>0</v>
      </c>
      <c r="R390" s="38">
        <f t="shared" ca="1" si="92"/>
        <v>2.619956262072324</v>
      </c>
      <c r="S390" s="38">
        <f t="shared" ca="1" si="93"/>
        <v>121.5625</v>
      </c>
      <c r="AD390" s="38" t="str">
        <f t="shared" ref="AD390:AD457" si="103">IF(A390="","",AVERAGE(B390+B389)*Passo*60/1000+AD389)</f>
        <v/>
      </c>
      <c r="AE390" s="38" t="str">
        <f t="shared" ref="AE390:AE457" si="104">IF(A390="","",AE389+AVERAGE(G390+G389)*Passo*60/1000)</f>
        <v/>
      </c>
      <c r="AF390" s="38" t="str">
        <f>IF(ISERROR(IF('Hidrograma afluente'!I397="",0,'Hidrograma afluente'!I397)+Simulação!G390),"",IF('Hidrograma afluente'!I397="",0,'Hidrograma afluente'!I397)+Simulação!G390)</f>
        <v/>
      </c>
      <c r="AG390" s="36" t="s">
        <v>182</v>
      </c>
      <c r="AH390" s="36" t="s">
        <v>182</v>
      </c>
      <c r="AI390" s="48" t="s">
        <v>182</v>
      </c>
      <c r="AJ390" s="36" t="s">
        <v>182</v>
      </c>
      <c r="AK390" s="38" t="str">
        <f>IF(A390="","",IF('Hidrograma afluente'!I397="",0,'Hidrograma afluente'!I397)+Simulação!B390)</f>
        <v/>
      </c>
    </row>
    <row r="391" spans="1:37" s="36" customFormat="1">
      <c r="A391" s="23" t="str">
        <f t="shared" si="94"/>
        <v/>
      </c>
      <c r="B391" s="24" t="str">
        <f>IF(A391="","",IF(A391&gt;tc_lot_i+tc,0,IF('Hidrograma afluente'!B398="","",'Hidrograma afluente'!B398)))</f>
        <v/>
      </c>
      <c r="C391" s="41" t="str">
        <f t="shared" si="95"/>
        <v/>
      </c>
      <c r="D391" s="41" t="str">
        <f t="shared" si="96"/>
        <v/>
      </c>
      <c r="E391" s="41" t="str">
        <f t="shared" si="97"/>
        <v/>
      </c>
      <c r="F391" s="41" t="str">
        <f t="shared" si="98"/>
        <v/>
      </c>
      <c r="G391" s="41" t="str">
        <f t="shared" si="99"/>
        <v/>
      </c>
      <c r="H391" s="43" t="str">
        <f t="shared" si="90"/>
        <v/>
      </c>
      <c r="I391" s="42" t="str">
        <f t="shared" si="100"/>
        <v/>
      </c>
      <c r="J391" s="18"/>
      <c r="K391" s="76"/>
      <c r="M391" s="132">
        <f t="shared" ca="1" si="91"/>
        <v>124.49838364150018</v>
      </c>
      <c r="N391" s="38">
        <f t="shared" si="101"/>
        <v>3.65625</v>
      </c>
      <c r="O391" s="36">
        <f t="shared" si="102"/>
        <v>97.5</v>
      </c>
      <c r="P391" s="38">
        <f ca="1">IF(ISERROR(IF(O391&lt;fi_h/20,0,(OFFSET('Base de dados'!$A$5,IF(O391&lt;20,1,IF(O391&gt;1000,10,MATCH(O391,Cargas,1))),Coluna_fih,1,1))*(1+0.13*0.25)*(PI()*(fi_h/1000)^2/4)*SQRT(2*9.81*(O391/100-fi_h/2/1000))*1000)),"",IF(O391&lt;fi_h/20,0,(OFFSET('Base de dados'!$A$5,IF(O391&lt;20,1,IF(O391&gt;1000,10,MATCH(O391,Cargas,1))),Coluna_fih,1,1))*(PI()*(fi_h/1000)^2/4)*SQRT(2*9.81*(O391/100-fi_h/2/1000))*1000))</f>
        <v>2.623383641500189</v>
      </c>
      <c r="Q391" s="38">
        <f ca="1">IF(O391="","",IF(Tipo_Vertedor="Retangular",IF(O391&lt;=cota_s*100,0,IF(Tipo_Vertedor="Retangular",Cd_sr*Lef_sr*((O391/100-cota_s)^(3/2))*1000)),IF(O391&lt;=cota_s*100+fi_s/20,0,(OFFSET('Base de dados'!$A$4,IF(O391&lt;20,1,IF(O391&gt;1000,10,MATCH(O391,Cargas,1))),Coluna_fis,1,1))*(PI()*(fi_s/1000)^2/4)*(2*9.81*(O391/100-cota_s-fi_s/2/1000))^0.5*1000)))</f>
        <v>0</v>
      </c>
      <c r="R391" s="38">
        <f t="shared" ca="1" si="92"/>
        <v>2.623383641500189</v>
      </c>
      <c r="S391" s="38">
        <f t="shared" ca="1" si="93"/>
        <v>121.875</v>
      </c>
      <c r="AD391" s="38" t="str">
        <f t="shared" si="103"/>
        <v/>
      </c>
      <c r="AE391" s="38" t="str">
        <f t="shared" si="104"/>
        <v/>
      </c>
      <c r="AF391" s="38" t="str">
        <f>IF(ISERROR(IF('Hidrograma afluente'!I398="",0,'Hidrograma afluente'!I398)+Simulação!G391),"",IF('Hidrograma afluente'!I398="",0,'Hidrograma afluente'!I398)+Simulação!G391)</f>
        <v/>
      </c>
      <c r="AG391" s="36" t="s">
        <v>182</v>
      </c>
      <c r="AH391" s="36" t="s">
        <v>182</v>
      </c>
      <c r="AI391" s="48" t="s">
        <v>182</v>
      </c>
      <c r="AJ391" s="36" t="s">
        <v>182</v>
      </c>
      <c r="AK391" s="38" t="str">
        <f>IF(A391="","",IF('Hidrograma afluente'!I398="",0,'Hidrograma afluente'!I398)+Simulação!B391)</f>
        <v/>
      </c>
    </row>
    <row r="392" spans="1:37" s="36" customFormat="1">
      <c r="A392" s="23" t="str">
        <f t="shared" si="94"/>
        <v/>
      </c>
      <c r="B392" s="24" t="str">
        <f>IF(A392="","",IF(A392&gt;tc_lot_i+tc,0,IF('Hidrograma afluente'!B399="","",'Hidrograma afluente'!B399)))</f>
        <v/>
      </c>
      <c r="C392" s="41" t="str">
        <f t="shared" si="95"/>
        <v/>
      </c>
      <c r="D392" s="41" t="str">
        <f t="shared" si="96"/>
        <v/>
      </c>
      <c r="E392" s="41" t="str">
        <f t="shared" si="97"/>
        <v/>
      </c>
      <c r="F392" s="41" t="str">
        <f t="shared" si="98"/>
        <v/>
      </c>
      <c r="G392" s="41" t="str">
        <f t="shared" si="99"/>
        <v/>
      </c>
      <c r="H392" s="43" t="str">
        <f t="shared" si="90"/>
        <v/>
      </c>
      <c r="I392" s="42" t="str">
        <f t="shared" si="100"/>
        <v/>
      </c>
      <c r="J392" s="18"/>
      <c r="K392" s="76"/>
      <c r="M392" s="132">
        <f t="shared" ca="1" si="91"/>
        <v>124.81430654898865</v>
      </c>
      <c r="N392" s="38">
        <f t="shared" si="101"/>
        <v>3.6656250000000004</v>
      </c>
      <c r="O392" s="36">
        <f t="shared" si="102"/>
        <v>97.75</v>
      </c>
      <c r="P392" s="38">
        <f ca="1">IF(ISERROR(IF(O392&lt;fi_h/20,0,(OFFSET('Base de dados'!$A$5,IF(O392&lt;20,1,IF(O392&gt;1000,10,MATCH(O392,Cargas,1))),Coluna_fih,1,1))*(1+0.13*0.25)*(PI()*(fi_h/1000)^2/4)*SQRT(2*9.81*(O392/100-fi_h/2/1000))*1000)),"",IF(O392&lt;fi_h/20,0,(OFFSET('Base de dados'!$A$5,IF(O392&lt;20,1,IF(O392&gt;1000,10,MATCH(O392,Cargas,1))),Coluna_fih,1,1))*(PI()*(fi_h/1000)^2/4)*SQRT(2*9.81*(O392/100-fi_h/2/1000))*1000))</f>
        <v>2.6268065489886383</v>
      </c>
      <c r="Q392" s="38">
        <f ca="1">IF(O392="","",IF(Tipo_Vertedor="Retangular",IF(O392&lt;=cota_s*100,0,IF(Tipo_Vertedor="Retangular",Cd_sr*Lef_sr*((O392/100-cota_s)^(3/2))*1000)),IF(O392&lt;=cota_s*100+fi_s/20,0,(OFFSET('Base de dados'!$A$4,IF(O392&lt;20,1,IF(O392&gt;1000,10,MATCH(O392,Cargas,1))),Coluna_fis,1,1))*(PI()*(fi_s/1000)^2/4)*(2*9.81*(O392/100-cota_s-fi_s/2/1000))^0.5*1000)))</f>
        <v>0</v>
      </c>
      <c r="R392" s="38">
        <f t="shared" ca="1" si="92"/>
        <v>2.6268065489886383</v>
      </c>
      <c r="S392" s="38">
        <f t="shared" ca="1" si="93"/>
        <v>122.18750000000001</v>
      </c>
      <c r="AD392" s="38" t="str">
        <f t="shared" si="103"/>
        <v/>
      </c>
      <c r="AE392" s="38" t="str">
        <f t="shared" si="104"/>
        <v/>
      </c>
      <c r="AF392" s="38" t="str">
        <f>IF(ISERROR(IF('Hidrograma afluente'!I399="",0,'Hidrograma afluente'!I399)+Simulação!G392),"",IF('Hidrograma afluente'!I399="",0,'Hidrograma afluente'!I399)+Simulação!G392)</f>
        <v/>
      </c>
      <c r="AG392" s="36" t="s">
        <v>182</v>
      </c>
      <c r="AH392" s="36" t="s">
        <v>182</v>
      </c>
      <c r="AI392" s="48" t="s">
        <v>182</v>
      </c>
      <c r="AJ392" s="36" t="s">
        <v>182</v>
      </c>
      <c r="AK392" s="38" t="str">
        <f>IF(A392="","",IF('Hidrograma afluente'!I399="",0,'Hidrograma afluente'!I399)+Simulação!B392)</f>
        <v/>
      </c>
    </row>
    <row r="393" spans="1:37" s="36" customFormat="1">
      <c r="A393" s="23" t="str">
        <f t="shared" si="94"/>
        <v/>
      </c>
      <c r="B393" s="24" t="str">
        <f>IF(A393="","",IF(A393&gt;tc_lot_i+tc,0,IF('Hidrograma afluente'!B400="","",'Hidrograma afluente'!B400)))</f>
        <v/>
      </c>
      <c r="C393" s="41" t="str">
        <f t="shared" si="95"/>
        <v/>
      </c>
      <c r="D393" s="41" t="str">
        <f t="shared" si="96"/>
        <v/>
      </c>
      <c r="E393" s="41" t="str">
        <f t="shared" si="97"/>
        <v/>
      </c>
      <c r="F393" s="41" t="str">
        <f t="shared" si="98"/>
        <v/>
      </c>
      <c r="G393" s="41" t="str">
        <f t="shared" si="99"/>
        <v/>
      </c>
      <c r="H393" s="43" t="str">
        <f t="shared" si="90"/>
        <v/>
      </c>
      <c r="I393" s="42" t="str">
        <f t="shared" si="100"/>
        <v/>
      </c>
      <c r="J393" s="18"/>
      <c r="K393" s="76"/>
      <c r="M393" s="132">
        <f t="shared" ca="1" si="91"/>
        <v>125.13022500199668</v>
      </c>
      <c r="N393" s="38">
        <f t="shared" si="101"/>
        <v>3.6749999999999998</v>
      </c>
      <c r="O393" s="36">
        <f t="shared" si="102"/>
        <v>98</v>
      </c>
      <c r="P393" s="38">
        <f ca="1">IF(ISERROR(IF(O393&lt;fi_h/20,0,(OFFSET('Base de dados'!$A$5,IF(O393&lt;20,1,IF(O393&gt;1000,10,MATCH(O393,Cargas,1))),Coluna_fih,1,1))*(1+0.13*0.25)*(PI()*(fi_h/1000)^2/4)*SQRT(2*9.81*(O393/100-fi_h/2/1000))*1000)),"",IF(O393&lt;fi_h/20,0,(OFFSET('Base de dados'!$A$5,IF(O393&lt;20,1,IF(O393&gt;1000,10,MATCH(O393,Cargas,1))),Coluna_fih,1,1))*(PI()*(fi_h/1000)^2/4)*SQRT(2*9.81*(O393/100-fi_h/2/1000))*1000))</f>
        <v>2.6302250019966746</v>
      </c>
      <c r="Q393" s="38">
        <f ca="1">IF(O393="","",IF(Tipo_Vertedor="Retangular",IF(O393&lt;=cota_s*100,0,IF(Tipo_Vertedor="Retangular",Cd_sr*Lef_sr*((O393/100-cota_s)^(3/2))*1000)),IF(O393&lt;=cota_s*100+fi_s/20,0,(OFFSET('Base de dados'!$A$4,IF(O393&lt;20,1,IF(O393&gt;1000,10,MATCH(O393,Cargas,1))),Coluna_fis,1,1))*(PI()*(fi_s/1000)^2/4)*(2*9.81*(O393/100-cota_s-fi_s/2/1000))^0.5*1000)))</f>
        <v>0</v>
      </c>
      <c r="R393" s="38">
        <f t="shared" ca="1" si="92"/>
        <v>2.6302250019966746</v>
      </c>
      <c r="S393" s="38">
        <f t="shared" ca="1" si="93"/>
        <v>122.5</v>
      </c>
      <c r="AD393" s="38" t="str">
        <f t="shared" si="103"/>
        <v/>
      </c>
      <c r="AE393" s="38" t="str">
        <f t="shared" si="104"/>
        <v/>
      </c>
      <c r="AF393" s="38" t="str">
        <f>IF(ISERROR(IF('Hidrograma afluente'!I400="",0,'Hidrograma afluente'!I400)+Simulação!G393),"",IF('Hidrograma afluente'!I400="",0,'Hidrograma afluente'!I400)+Simulação!G393)</f>
        <v/>
      </c>
      <c r="AG393" s="36" t="s">
        <v>182</v>
      </c>
      <c r="AH393" s="36" t="s">
        <v>182</v>
      </c>
      <c r="AI393" s="48" t="s">
        <v>182</v>
      </c>
      <c r="AJ393" s="36" t="s">
        <v>182</v>
      </c>
      <c r="AK393" s="38" t="str">
        <f>IF(A393="","",IF('Hidrograma afluente'!I400="",0,'Hidrograma afluente'!I400)+Simulação!B393)</f>
        <v/>
      </c>
    </row>
    <row r="394" spans="1:37" s="36" customFormat="1">
      <c r="A394" s="23" t="str">
        <f t="shared" si="94"/>
        <v/>
      </c>
      <c r="B394" s="24" t="str">
        <f>IF(A394="","",IF(A394&gt;tc_lot_i+tc,0,IF('Hidrograma afluente'!B401="","",'Hidrograma afluente'!B401)))</f>
        <v/>
      </c>
      <c r="C394" s="41" t="str">
        <f t="shared" si="95"/>
        <v/>
      </c>
      <c r="D394" s="41" t="str">
        <f t="shared" si="96"/>
        <v/>
      </c>
      <c r="E394" s="41" t="str">
        <f t="shared" si="97"/>
        <v/>
      </c>
      <c r="F394" s="41" t="str">
        <f t="shared" si="98"/>
        <v/>
      </c>
      <c r="G394" s="41" t="str">
        <f t="shared" si="99"/>
        <v/>
      </c>
      <c r="H394" s="43" t="str">
        <f t="shared" si="90"/>
        <v/>
      </c>
      <c r="I394" s="42" t="str">
        <f t="shared" si="100"/>
        <v/>
      </c>
      <c r="J394" s="18"/>
      <c r="K394" s="76"/>
      <c r="M394" s="132">
        <f t="shared" ca="1" si="91"/>
        <v>125.44613901787</v>
      </c>
      <c r="N394" s="38">
        <f t="shared" si="101"/>
        <v>3.6843750000000002</v>
      </c>
      <c r="O394" s="36">
        <f t="shared" si="102"/>
        <v>98.25</v>
      </c>
      <c r="P394" s="38">
        <f ca="1">IF(ISERROR(IF(O394&lt;fi_h/20,0,(OFFSET('Base de dados'!$A$5,IF(O394&lt;20,1,IF(O394&gt;1000,10,MATCH(O394,Cargas,1))),Coluna_fih,1,1))*(1+0.13*0.25)*(PI()*(fi_h/1000)^2/4)*SQRT(2*9.81*(O394/100-fi_h/2/1000))*1000)),"",IF(O394&lt;fi_h/20,0,(OFFSET('Base de dados'!$A$5,IF(O394&lt;20,1,IF(O394&gt;1000,10,MATCH(O394,Cargas,1))),Coluna_fih,1,1))*(PI()*(fi_h/1000)^2/4)*SQRT(2*9.81*(O394/100-fi_h/2/1000))*1000))</f>
        <v>2.6336390178699922</v>
      </c>
      <c r="Q394" s="38">
        <f ca="1">IF(O394="","",IF(Tipo_Vertedor="Retangular",IF(O394&lt;=cota_s*100,0,IF(Tipo_Vertedor="Retangular",Cd_sr*Lef_sr*((O394/100-cota_s)^(3/2))*1000)),IF(O394&lt;=cota_s*100+fi_s/20,0,(OFFSET('Base de dados'!$A$4,IF(O394&lt;20,1,IF(O394&gt;1000,10,MATCH(O394,Cargas,1))),Coluna_fis,1,1))*(PI()*(fi_s/1000)^2/4)*(2*9.81*(O394/100-cota_s-fi_s/2/1000))^0.5*1000)))</f>
        <v>0</v>
      </c>
      <c r="R394" s="38">
        <f t="shared" ca="1" si="92"/>
        <v>2.6336390178699922</v>
      </c>
      <c r="S394" s="38">
        <f t="shared" ca="1" si="93"/>
        <v>122.8125</v>
      </c>
      <c r="AD394" s="38" t="str">
        <f t="shared" si="103"/>
        <v/>
      </c>
      <c r="AE394" s="38" t="str">
        <f t="shared" si="104"/>
        <v/>
      </c>
      <c r="AF394" s="38" t="str">
        <f>IF(ISERROR(IF('Hidrograma afluente'!I401="",0,'Hidrograma afluente'!I401)+Simulação!G394),"",IF('Hidrograma afluente'!I401="",0,'Hidrograma afluente'!I401)+Simulação!G394)</f>
        <v/>
      </c>
      <c r="AG394" s="36" t="s">
        <v>182</v>
      </c>
      <c r="AH394" s="36" t="s">
        <v>182</v>
      </c>
      <c r="AI394" s="48" t="s">
        <v>182</v>
      </c>
      <c r="AJ394" s="36" t="s">
        <v>182</v>
      </c>
      <c r="AK394" s="38" t="str">
        <f>IF(A394="","",IF('Hidrograma afluente'!I401="",0,'Hidrograma afluente'!I401)+Simulação!B394)</f>
        <v/>
      </c>
    </row>
    <row r="395" spans="1:37" s="36" customFormat="1">
      <c r="A395" s="23" t="str">
        <f t="shared" si="94"/>
        <v/>
      </c>
      <c r="B395" s="24" t="str">
        <f>IF(A395="","",IF(A395&gt;tc_lot_i+tc,0,IF('Hidrograma afluente'!B402="","",'Hidrograma afluente'!B402)))</f>
        <v/>
      </c>
      <c r="C395" s="41" t="str">
        <f t="shared" si="95"/>
        <v/>
      </c>
      <c r="D395" s="41" t="str">
        <f t="shared" si="96"/>
        <v/>
      </c>
      <c r="E395" s="41" t="str">
        <f t="shared" si="97"/>
        <v/>
      </c>
      <c r="F395" s="41" t="str">
        <f t="shared" si="98"/>
        <v/>
      </c>
      <c r="G395" s="41" t="str">
        <f t="shared" si="99"/>
        <v/>
      </c>
      <c r="H395" s="43" t="str">
        <f t="shared" si="90"/>
        <v/>
      </c>
      <c r="I395" s="42" t="str">
        <f t="shared" si="100"/>
        <v/>
      </c>
      <c r="J395" s="18"/>
      <c r="K395" s="76"/>
      <c r="M395" s="132">
        <f t="shared" ca="1" si="91"/>
        <v>125.762048613842</v>
      </c>
      <c r="N395" s="38">
        <f t="shared" si="101"/>
        <v>3.6937500000000001</v>
      </c>
      <c r="O395" s="36">
        <f t="shared" si="102"/>
        <v>98.5</v>
      </c>
      <c r="P395" s="38">
        <f ca="1">IF(ISERROR(IF(O395&lt;fi_h/20,0,(OFFSET('Base de dados'!$A$5,IF(O395&lt;20,1,IF(O395&gt;1000,10,MATCH(O395,Cargas,1))),Coluna_fih,1,1))*(1+0.13*0.25)*(PI()*(fi_h/1000)^2/4)*SQRT(2*9.81*(O395/100-fi_h/2/1000))*1000)),"",IF(O395&lt;fi_h/20,0,(OFFSET('Base de dados'!$A$5,IF(O395&lt;20,1,IF(O395&gt;1000,10,MATCH(O395,Cargas,1))),Coluna_fih,1,1))*(PI()*(fi_h/1000)^2/4)*SQRT(2*9.81*(O395/100-fi_h/2/1000))*1000))</f>
        <v>2.6370486138420017</v>
      </c>
      <c r="Q395" s="38">
        <f ca="1">IF(O395="","",IF(Tipo_Vertedor="Retangular",IF(O395&lt;=cota_s*100,0,IF(Tipo_Vertedor="Retangular",Cd_sr*Lef_sr*((O395/100-cota_s)^(3/2))*1000)),IF(O395&lt;=cota_s*100+fi_s/20,0,(OFFSET('Base de dados'!$A$4,IF(O395&lt;20,1,IF(O395&gt;1000,10,MATCH(O395,Cargas,1))),Coluna_fis,1,1))*(PI()*(fi_s/1000)^2/4)*(2*9.81*(O395/100-cota_s-fi_s/2/1000))^0.5*1000)))</f>
        <v>0</v>
      </c>
      <c r="R395" s="38">
        <f t="shared" ca="1" si="92"/>
        <v>2.6370486138420017</v>
      </c>
      <c r="S395" s="38">
        <f t="shared" ca="1" si="93"/>
        <v>123.125</v>
      </c>
      <c r="AD395" s="38" t="str">
        <f t="shared" si="103"/>
        <v/>
      </c>
      <c r="AE395" s="38" t="str">
        <f t="shared" si="104"/>
        <v/>
      </c>
      <c r="AF395" s="38" t="str">
        <f>IF(ISERROR(IF('Hidrograma afluente'!I402="",0,'Hidrograma afluente'!I402)+Simulação!G395),"",IF('Hidrograma afluente'!I402="",0,'Hidrograma afluente'!I402)+Simulação!G395)</f>
        <v/>
      </c>
      <c r="AG395" s="36" t="s">
        <v>182</v>
      </c>
      <c r="AH395" s="36" t="s">
        <v>182</v>
      </c>
      <c r="AI395" s="48" t="s">
        <v>182</v>
      </c>
      <c r="AJ395" s="36" t="s">
        <v>182</v>
      </c>
      <c r="AK395" s="38" t="str">
        <f>IF(A395="","",IF('Hidrograma afluente'!I402="",0,'Hidrograma afluente'!I402)+Simulação!B395)</f>
        <v/>
      </c>
    </row>
    <row r="396" spans="1:37" s="36" customFormat="1">
      <c r="A396" s="23" t="str">
        <f t="shared" si="94"/>
        <v/>
      </c>
      <c r="B396" s="24" t="str">
        <f>IF(A396="","",IF(A396&gt;tc_lot_i+tc,0,IF('Hidrograma afluente'!B403="","",'Hidrograma afluente'!B403)))</f>
        <v/>
      </c>
      <c r="C396" s="41" t="str">
        <f t="shared" si="95"/>
        <v/>
      </c>
      <c r="D396" s="41" t="str">
        <f t="shared" si="96"/>
        <v/>
      </c>
      <c r="E396" s="41" t="str">
        <f t="shared" si="97"/>
        <v/>
      </c>
      <c r="F396" s="41" t="str">
        <f t="shared" si="98"/>
        <v/>
      </c>
      <c r="G396" s="41" t="str">
        <f t="shared" si="99"/>
        <v/>
      </c>
      <c r="H396" s="43" t="str">
        <f t="shared" si="90"/>
        <v/>
      </c>
      <c r="I396" s="42" t="str">
        <f t="shared" si="100"/>
        <v/>
      </c>
      <c r="J396" s="18"/>
      <c r="K396" s="76"/>
      <c r="M396" s="132">
        <f t="shared" ca="1" si="91"/>
        <v>126.07795380703485</v>
      </c>
      <c r="N396" s="38">
        <f t="shared" si="101"/>
        <v>3.703125</v>
      </c>
      <c r="O396" s="36">
        <f t="shared" si="102"/>
        <v>98.75</v>
      </c>
      <c r="P396" s="38">
        <f ca="1">IF(ISERROR(IF(O396&lt;fi_h/20,0,(OFFSET('Base de dados'!$A$5,IF(O396&lt;20,1,IF(O396&gt;1000,10,MATCH(O396,Cargas,1))),Coluna_fih,1,1))*(1+0.13*0.25)*(PI()*(fi_h/1000)^2/4)*SQRT(2*9.81*(O396/100-fi_h/2/1000))*1000)),"",IF(O396&lt;fi_h/20,0,(OFFSET('Base de dados'!$A$5,IF(O396&lt;20,1,IF(O396&gt;1000,10,MATCH(O396,Cargas,1))),Coluna_fih,1,1))*(PI()*(fi_h/1000)^2/4)*SQRT(2*9.81*(O396/100-fi_h/2/1000))*1000))</f>
        <v>2.64045380703485</v>
      </c>
      <c r="Q396" s="38">
        <f ca="1">IF(O396="","",IF(Tipo_Vertedor="Retangular",IF(O396&lt;=cota_s*100,0,IF(Tipo_Vertedor="Retangular",Cd_sr*Lef_sr*((O396/100-cota_s)^(3/2))*1000)),IF(O396&lt;=cota_s*100+fi_s/20,0,(OFFSET('Base de dados'!$A$4,IF(O396&lt;20,1,IF(O396&gt;1000,10,MATCH(O396,Cargas,1))),Coluna_fis,1,1))*(PI()*(fi_s/1000)^2/4)*(2*9.81*(O396/100-cota_s-fi_s/2/1000))^0.5*1000)))</f>
        <v>0</v>
      </c>
      <c r="R396" s="38">
        <f t="shared" ca="1" si="92"/>
        <v>2.64045380703485</v>
      </c>
      <c r="S396" s="38">
        <f t="shared" ca="1" si="93"/>
        <v>123.4375</v>
      </c>
      <c r="AD396" s="38" t="str">
        <f t="shared" si="103"/>
        <v/>
      </c>
      <c r="AE396" s="38" t="str">
        <f t="shared" si="104"/>
        <v/>
      </c>
      <c r="AF396" s="38" t="str">
        <f>IF(ISERROR(IF('Hidrograma afluente'!I403="",0,'Hidrograma afluente'!I403)+Simulação!G396),"",IF('Hidrograma afluente'!I403="",0,'Hidrograma afluente'!I403)+Simulação!G396)</f>
        <v/>
      </c>
      <c r="AG396" s="36" t="s">
        <v>182</v>
      </c>
      <c r="AH396" s="36" t="s">
        <v>182</v>
      </c>
      <c r="AI396" s="48" t="s">
        <v>182</v>
      </c>
      <c r="AJ396" s="36" t="s">
        <v>182</v>
      </c>
      <c r="AK396" s="38" t="str">
        <f>IF(A396="","",IF('Hidrograma afluente'!I403="",0,'Hidrograma afluente'!I403)+Simulação!B396)</f>
        <v/>
      </c>
    </row>
    <row r="397" spans="1:37" s="36" customFormat="1">
      <c r="A397" s="23" t="str">
        <f t="shared" si="94"/>
        <v/>
      </c>
      <c r="B397" s="24" t="str">
        <f>IF(A397="","",IF(A397&gt;tc_lot_i+tc,0,IF('Hidrograma afluente'!B404="","",'Hidrograma afluente'!B404)))</f>
        <v/>
      </c>
      <c r="C397" s="41" t="str">
        <f t="shared" si="95"/>
        <v/>
      </c>
      <c r="D397" s="41" t="str">
        <f t="shared" si="96"/>
        <v/>
      </c>
      <c r="E397" s="41" t="str">
        <f t="shared" si="97"/>
        <v/>
      </c>
      <c r="F397" s="41" t="str">
        <f t="shared" si="98"/>
        <v/>
      </c>
      <c r="G397" s="41" t="str">
        <f t="shared" si="99"/>
        <v/>
      </c>
      <c r="H397" s="43" t="str">
        <f t="shared" si="90"/>
        <v/>
      </c>
      <c r="I397" s="42" t="str">
        <f t="shared" si="100"/>
        <v/>
      </c>
      <c r="J397" s="18"/>
      <c r="K397" s="76"/>
      <c r="M397" s="132">
        <f t="shared" ca="1" si="91"/>
        <v>126.39385461446042</v>
      </c>
      <c r="N397" s="38">
        <f t="shared" si="101"/>
        <v>3.7124999999999999</v>
      </c>
      <c r="O397" s="36">
        <f t="shared" si="102"/>
        <v>99</v>
      </c>
      <c r="P397" s="38">
        <f ca="1">IF(ISERROR(IF(O397&lt;fi_h/20,0,(OFFSET('Base de dados'!$A$5,IF(O397&lt;20,1,IF(O397&gt;1000,10,MATCH(O397,Cargas,1))),Coluna_fih,1,1))*(1+0.13*0.25)*(PI()*(fi_h/1000)^2/4)*SQRT(2*9.81*(O397/100-fi_h/2/1000))*1000)),"",IF(O397&lt;fi_h/20,0,(OFFSET('Base de dados'!$A$5,IF(O397&lt;20,1,IF(O397&gt;1000,10,MATCH(O397,Cargas,1))),Coluna_fih,1,1))*(PI()*(fi_h/1000)^2/4)*SQRT(2*9.81*(O397/100-fi_h/2/1000))*1000))</f>
        <v>2.6438546144604169</v>
      </c>
      <c r="Q397" s="38">
        <f ca="1">IF(O397="","",IF(Tipo_Vertedor="Retangular",IF(O397&lt;=cota_s*100,0,IF(Tipo_Vertedor="Retangular",Cd_sr*Lef_sr*((O397/100-cota_s)^(3/2))*1000)),IF(O397&lt;=cota_s*100+fi_s/20,0,(OFFSET('Base de dados'!$A$4,IF(O397&lt;20,1,IF(O397&gt;1000,10,MATCH(O397,Cargas,1))),Coluna_fis,1,1))*(PI()*(fi_s/1000)^2/4)*(2*9.81*(O397/100-cota_s-fi_s/2/1000))^0.5*1000)))</f>
        <v>0</v>
      </c>
      <c r="R397" s="38">
        <f t="shared" ca="1" si="92"/>
        <v>2.6438546144604169</v>
      </c>
      <c r="S397" s="38">
        <f t="shared" ca="1" si="93"/>
        <v>123.75</v>
      </c>
      <c r="AD397" s="38" t="str">
        <f t="shared" si="103"/>
        <v/>
      </c>
      <c r="AE397" s="38" t="str">
        <f t="shared" si="104"/>
        <v/>
      </c>
      <c r="AF397" s="38" t="str">
        <f>IF(ISERROR(IF('Hidrograma afluente'!I404="",0,'Hidrograma afluente'!I404)+Simulação!G397),"",IF('Hidrograma afluente'!I404="",0,'Hidrograma afluente'!I404)+Simulação!G397)</f>
        <v/>
      </c>
      <c r="AG397" s="36" t="s">
        <v>182</v>
      </c>
      <c r="AH397" s="36" t="s">
        <v>182</v>
      </c>
      <c r="AI397" s="48" t="s">
        <v>182</v>
      </c>
      <c r="AJ397" s="36" t="s">
        <v>182</v>
      </c>
      <c r="AK397" s="38" t="str">
        <f>IF(A397="","",IF('Hidrograma afluente'!I404="",0,'Hidrograma afluente'!I404)+Simulação!B397)</f>
        <v/>
      </c>
    </row>
    <row r="398" spans="1:37" s="36" customFormat="1">
      <c r="A398" s="23" t="str">
        <f t="shared" si="94"/>
        <v/>
      </c>
      <c r="B398" s="24" t="str">
        <f>IF(A398="","",IF(A398&gt;tc_lot_i+tc,0,IF('Hidrograma afluente'!B405="","",'Hidrograma afluente'!B405)))</f>
        <v/>
      </c>
      <c r="C398" s="41" t="str">
        <f t="shared" si="95"/>
        <v/>
      </c>
      <c r="D398" s="41" t="str">
        <f t="shared" si="96"/>
        <v/>
      </c>
      <c r="E398" s="41" t="str">
        <f t="shared" si="97"/>
        <v/>
      </c>
      <c r="F398" s="41" t="str">
        <f t="shared" si="98"/>
        <v/>
      </c>
      <c r="G398" s="41" t="str">
        <f t="shared" si="99"/>
        <v/>
      </c>
      <c r="H398" s="43" t="str">
        <f t="shared" si="90"/>
        <v/>
      </c>
      <c r="I398" s="42" t="str">
        <f t="shared" si="100"/>
        <v/>
      </c>
      <c r="J398" s="18"/>
      <c r="K398" s="76"/>
      <c r="M398" s="132">
        <f t="shared" ca="1" si="91"/>
        <v>126.70975105302132</v>
      </c>
      <c r="N398" s="38">
        <f t="shared" si="101"/>
        <v>3.7218750000000003</v>
      </c>
      <c r="O398" s="36">
        <f t="shared" si="102"/>
        <v>99.25</v>
      </c>
      <c r="P398" s="38">
        <f ca="1">IF(ISERROR(IF(O398&lt;fi_h/20,0,(OFFSET('Base de dados'!$A$5,IF(O398&lt;20,1,IF(O398&gt;1000,10,MATCH(O398,Cargas,1))),Coluna_fih,1,1))*(1+0.13*0.25)*(PI()*(fi_h/1000)^2/4)*SQRT(2*9.81*(O398/100-fi_h/2/1000))*1000)),"",IF(O398&lt;fi_h/20,0,(OFFSET('Base de dados'!$A$5,IF(O398&lt;20,1,IF(O398&gt;1000,10,MATCH(O398,Cargas,1))),Coluna_fih,1,1))*(PI()*(fi_h/1000)^2/4)*SQRT(2*9.81*(O398/100-fi_h/2/1000))*1000))</f>
        <v>2.6472510530213129</v>
      </c>
      <c r="Q398" s="38">
        <f ca="1">IF(O398="","",IF(Tipo_Vertedor="Retangular",IF(O398&lt;=cota_s*100,0,IF(Tipo_Vertedor="Retangular",Cd_sr*Lef_sr*((O398/100-cota_s)^(3/2))*1000)),IF(O398&lt;=cota_s*100+fi_s/20,0,(OFFSET('Base de dados'!$A$4,IF(O398&lt;20,1,IF(O398&gt;1000,10,MATCH(O398,Cargas,1))),Coluna_fis,1,1))*(PI()*(fi_s/1000)^2/4)*(2*9.81*(O398/100-cota_s-fi_s/2/1000))^0.5*1000)))</f>
        <v>0</v>
      </c>
      <c r="R398" s="38">
        <f t="shared" ca="1" si="92"/>
        <v>2.6472510530213129</v>
      </c>
      <c r="S398" s="38">
        <f t="shared" ca="1" si="93"/>
        <v>124.06250000000001</v>
      </c>
      <c r="AD398" s="38" t="str">
        <f t="shared" si="103"/>
        <v/>
      </c>
      <c r="AE398" s="38" t="str">
        <f t="shared" si="104"/>
        <v/>
      </c>
      <c r="AF398" s="38" t="str">
        <f>IF(ISERROR(IF('Hidrograma afluente'!I405="",0,'Hidrograma afluente'!I405)+Simulação!G398),"",IF('Hidrograma afluente'!I405="",0,'Hidrograma afluente'!I405)+Simulação!G398)</f>
        <v/>
      </c>
      <c r="AG398" s="36" t="s">
        <v>182</v>
      </c>
      <c r="AH398" s="36" t="s">
        <v>182</v>
      </c>
      <c r="AI398" s="48" t="s">
        <v>182</v>
      </c>
      <c r="AJ398" s="36" t="s">
        <v>182</v>
      </c>
      <c r="AK398" s="38" t="str">
        <f>IF(A398="","",IF('Hidrograma afluente'!I405="",0,'Hidrograma afluente'!I405)+Simulação!B398)</f>
        <v/>
      </c>
    </row>
    <row r="399" spans="1:37" s="36" customFormat="1">
      <c r="A399" s="23" t="str">
        <f t="shared" si="94"/>
        <v/>
      </c>
      <c r="B399" s="24" t="str">
        <f>IF(A399="","",IF(A399&gt;tc_lot_i+tc,0,IF('Hidrograma afluente'!B406="","",'Hidrograma afluente'!B406)))</f>
        <v/>
      </c>
      <c r="C399" s="41" t="str">
        <f t="shared" si="95"/>
        <v/>
      </c>
      <c r="D399" s="41" t="str">
        <f t="shared" si="96"/>
        <v/>
      </c>
      <c r="E399" s="41" t="str">
        <f t="shared" si="97"/>
        <v/>
      </c>
      <c r="F399" s="41" t="str">
        <f t="shared" si="98"/>
        <v/>
      </c>
      <c r="G399" s="41" t="str">
        <f t="shared" si="99"/>
        <v/>
      </c>
      <c r="H399" s="43" t="str">
        <f t="shared" si="90"/>
        <v/>
      </c>
      <c r="I399" s="42" t="str">
        <f t="shared" si="100"/>
        <v/>
      </c>
      <c r="J399" s="18"/>
      <c r="K399" s="76"/>
      <c r="M399" s="132">
        <f t="shared" ca="1" si="91"/>
        <v>127.02564313951186</v>
      </c>
      <c r="N399" s="38">
        <f t="shared" si="101"/>
        <v>3.7312500000000002</v>
      </c>
      <c r="O399" s="36">
        <f t="shared" si="102"/>
        <v>99.5</v>
      </c>
      <c r="P399" s="38">
        <f ca="1">IF(ISERROR(IF(O399&lt;fi_h/20,0,(OFFSET('Base de dados'!$A$5,IF(O399&lt;20,1,IF(O399&gt;1000,10,MATCH(O399,Cargas,1))),Coluna_fih,1,1))*(1+0.13*0.25)*(PI()*(fi_h/1000)^2/4)*SQRT(2*9.81*(O399/100-fi_h/2/1000))*1000)),"",IF(O399&lt;fi_h/20,0,(OFFSET('Base de dados'!$A$5,IF(O399&lt;20,1,IF(O399&gt;1000,10,MATCH(O399,Cargas,1))),Coluna_fih,1,1))*(PI()*(fi_h/1000)^2/4)*SQRT(2*9.81*(O399/100-fi_h/2/1000))*1000))</f>
        <v>2.6506431395118537</v>
      </c>
      <c r="Q399" s="38">
        <f ca="1">IF(O399="","",IF(Tipo_Vertedor="Retangular",IF(O399&lt;=cota_s*100,0,IF(Tipo_Vertedor="Retangular",Cd_sr*Lef_sr*((O399/100-cota_s)^(3/2))*1000)),IF(O399&lt;=cota_s*100+fi_s/20,0,(OFFSET('Base de dados'!$A$4,IF(O399&lt;20,1,IF(O399&gt;1000,10,MATCH(O399,Cargas,1))),Coluna_fis,1,1))*(PI()*(fi_s/1000)^2/4)*(2*9.81*(O399/100-cota_s-fi_s/2/1000))^0.5*1000)))</f>
        <v>0</v>
      </c>
      <c r="R399" s="38">
        <f t="shared" ca="1" si="92"/>
        <v>2.6506431395118537</v>
      </c>
      <c r="S399" s="38">
        <f t="shared" ca="1" si="93"/>
        <v>124.375</v>
      </c>
      <c r="AD399" s="38" t="str">
        <f t="shared" si="103"/>
        <v/>
      </c>
      <c r="AE399" s="38" t="str">
        <f t="shared" si="104"/>
        <v/>
      </c>
      <c r="AF399" s="38" t="str">
        <f>IF(ISERROR(IF('Hidrograma afluente'!I406="",0,'Hidrograma afluente'!I406)+Simulação!G399),"",IF('Hidrograma afluente'!I406="",0,'Hidrograma afluente'!I406)+Simulação!G399)</f>
        <v/>
      </c>
      <c r="AG399" s="36" t="s">
        <v>182</v>
      </c>
      <c r="AH399" s="36" t="s">
        <v>182</v>
      </c>
      <c r="AI399" s="48" t="s">
        <v>182</v>
      </c>
      <c r="AJ399" s="36" t="s">
        <v>182</v>
      </c>
      <c r="AK399" s="38" t="str">
        <f>IF(A399="","",IF('Hidrograma afluente'!I406="",0,'Hidrograma afluente'!I406)+Simulação!B399)</f>
        <v/>
      </c>
    </row>
    <row r="400" spans="1:37" s="36" customFormat="1">
      <c r="A400" s="23" t="str">
        <f t="shared" si="94"/>
        <v/>
      </c>
      <c r="B400" s="24" t="str">
        <f>IF(A400="","",IF(A400&gt;tc_lot_i+tc,0,IF('Hidrograma afluente'!B407="","",'Hidrograma afluente'!B407)))</f>
        <v/>
      </c>
      <c r="C400" s="41" t="str">
        <f t="shared" si="95"/>
        <v/>
      </c>
      <c r="D400" s="41" t="str">
        <f t="shared" si="96"/>
        <v/>
      </c>
      <c r="E400" s="41" t="str">
        <f t="shared" si="97"/>
        <v/>
      </c>
      <c r="F400" s="41" t="str">
        <f t="shared" si="98"/>
        <v/>
      </c>
      <c r="G400" s="41" t="str">
        <f t="shared" si="99"/>
        <v/>
      </c>
      <c r="H400" s="43" t="str">
        <f t="shared" si="90"/>
        <v/>
      </c>
      <c r="I400" s="42" t="str">
        <f t="shared" si="100"/>
        <v/>
      </c>
      <c r="J400" s="18"/>
      <c r="K400" s="76"/>
      <c r="M400" s="132">
        <f t="shared" ca="1" si="91"/>
        <v>127.34153089061904</v>
      </c>
      <c r="N400" s="38">
        <f t="shared" si="101"/>
        <v>3.7406250000000001</v>
      </c>
      <c r="O400" s="36">
        <f t="shared" si="102"/>
        <v>99.75</v>
      </c>
      <c r="P400" s="38">
        <f ca="1">IF(ISERROR(IF(O400&lt;fi_h/20,0,(OFFSET('Base de dados'!$A$5,IF(O400&lt;20,1,IF(O400&gt;1000,10,MATCH(O400,Cargas,1))),Coluna_fih,1,1))*(1+0.13*0.25)*(PI()*(fi_h/1000)^2/4)*SQRT(2*9.81*(O400/100-fi_h/2/1000))*1000)),"",IF(O400&lt;fi_h/20,0,(OFFSET('Base de dados'!$A$5,IF(O400&lt;20,1,IF(O400&gt;1000,10,MATCH(O400,Cargas,1))),Coluna_fih,1,1))*(PI()*(fi_h/1000)^2/4)*SQRT(2*9.81*(O400/100-fi_h/2/1000))*1000))</f>
        <v>2.6540308906190346</v>
      </c>
      <c r="Q400" s="38">
        <f ca="1">IF(O400="","",IF(Tipo_Vertedor="Retangular",IF(O400&lt;=cota_s*100,0,IF(Tipo_Vertedor="Retangular",Cd_sr*Lef_sr*((O400/100-cota_s)^(3/2))*1000)),IF(O400&lt;=cota_s*100+fi_s/20,0,(OFFSET('Base de dados'!$A$4,IF(O400&lt;20,1,IF(O400&gt;1000,10,MATCH(O400,Cargas,1))),Coluna_fis,1,1))*(PI()*(fi_s/1000)^2/4)*(2*9.81*(O400/100-cota_s-fi_s/2/1000))^0.5*1000)))</f>
        <v>0</v>
      </c>
      <c r="R400" s="38">
        <f t="shared" ca="1" si="92"/>
        <v>2.6540308906190346</v>
      </c>
      <c r="S400" s="38">
        <f t="shared" ca="1" si="93"/>
        <v>124.6875</v>
      </c>
      <c r="AD400" s="38" t="str">
        <f t="shared" si="103"/>
        <v/>
      </c>
      <c r="AE400" s="38" t="str">
        <f t="shared" si="104"/>
        <v/>
      </c>
      <c r="AF400" s="38" t="str">
        <f>IF(ISERROR(IF('Hidrograma afluente'!I407="",0,'Hidrograma afluente'!I407)+Simulação!G400),"",IF('Hidrograma afluente'!I407="",0,'Hidrograma afluente'!I407)+Simulação!G400)</f>
        <v/>
      </c>
      <c r="AG400" s="36" t="s">
        <v>182</v>
      </c>
      <c r="AH400" s="36" t="s">
        <v>182</v>
      </c>
      <c r="AI400" s="48" t="s">
        <v>182</v>
      </c>
      <c r="AJ400" s="36" t="s">
        <v>182</v>
      </c>
      <c r="AK400" s="38" t="str">
        <f>IF(A400="","",IF('Hidrograma afluente'!I407="",0,'Hidrograma afluente'!I407)+Simulação!B400)</f>
        <v/>
      </c>
    </row>
    <row r="401" spans="1:37" s="36" customFormat="1">
      <c r="A401" s="23" t="str">
        <f t="shared" si="94"/>
        <v/>
      </c>
      <c r="B401" s="24" t="str">
        <f>IF(A401="","",IF(A401&gt;tc_lot_i+tc,0,IF('Hidrograma afluente'!B408="","",'Hidrograma afluente'!B408)))</f>
        <v/>
      </c>
      <c r="C401" s="41" t="str">
        <f t="shared" si="95"/>
        <v/>
      </c>
      <c r="D401" s="41" t="str">
        <f t="shared" si="96"/>
        <v/>
      </c>
      <c r="E401" s="41" t="str">
        <f t="shared" si="97"/>
        <v/>
      </c>
      <c r="F401" s="41" t="str">
        <f t="shared" si="98"/>
        <v/>
      </c>
      <c r="G401" s="41" t="str">
        <f t="shared" si="99"/>
        <v/>
      </c>
      <c r="H401" s="43" t="str">
        <f t="shared" si="90"/>
        <v/>
      </c>
      <c r="I401" s="42" t="str">
        <f t="shared" si="100"/>
        <v/>
      </c>
      <c r="J401" s="18"/>
      <c r="K401" s="76"/>
      <c r="M401" s="132">
        <f t="shared" ca="1" si="91"/>
        <v>127.65741432292349</v>
      </c>
      <c r="N401" s="38">
        <f t="shared" si="101"/>
        <v>3.75</v>
      </c>
      <c r="O401" s="36">
        <f t="shared" si="102"/>
        <v>100</v>
      </c>
      <c r="P401" s="38">
        <f ca="1">IF(ISERROR(IF(O401&lt;fi_h/20,0,(OFFSET('Base de dados'!$A$5,IF(O401&lt;20,1,IF(O401&gt;1000,10,MATCH(O401,Cargas,1))),Coluna_fih,1,1))*(1+0.13*0.25)*(PI()*(fi_h/1000)^2/4)*SQRT(2*9.81*(O401/100-fi_h/2/1000))*1000)),"",IF(O401&lt;fi_h/20,0,(OFFSET('Base de dados'!$A$5,IF(O401&lt;20,1,IF(O401&gt;1000,10,MATCH(O401,Cargas,1))),Coluna_fih,1,1))*(PI()*(fi_h/1000)^2/4)*SQRT(2*9.81*(O401/100-fi_h/2/1000))*1000))</f>
        <v>2.6574143229234828</v>
      </c>
      <c r="Q401" s="38">
        <f ca="1">IF(O401="","",IF(Tipo_Vertedor="Retangular",IF(O401&lt;=cota_s*100,0,IF(Tipo_Vertedor="Retangular",Cd_sr*Lef_sr*((O401/100-cota_s)^(3/2))*1000)),IF(O401&lt;=cota_s*100+fi_s/20,0,(OFFSET('Base de dados'!$A$4,IF(O401&lt;20,1,IF(O401&gt;1000,10,MATCH(O401,Cargas,1))),Coluna_fis,1,1))*(PI()*(fi_s/1000)^2/4)*(2*9.81*(O401/100-cota_s-fi_s/2/1000))^0.5*1000)))</f>
        <v>0</v>
      </c>
      <c r="R401" s="38">
        <f t="shared" ca="1" si="92"/>
        <v>2.6574143229234828</v>
      </c>
      <c r="S401" s="38">
        <f t="shared" ca="1" si="93"/>
        <v>125</v>
      </c>
      <c r="AD401" s="38" t="str">
        <f t="shared" si="103"/>
        <v/>
      </c>
      <c r="AE401" s="38" t="str">
        <f t="shared" si="104"/>
        <v/>
      </c>
      <c r="AF401" s="38" t="str">
        <f>IF(ISERROR(IF('Hidrograma afluente'!I408="",0,'Hidrograma afluente'!I408)+Simulação!G401),"",IF('Hidrograma afluente'!I408="",0,'Hidrograma afluente'!I408)+Simulação!G401)</f>
        <v/>
      </c>
      <c r="AG401" s="36" t="s">
        <v>182</v>
      </c>
      <c r="AH401" s="36" t="s">
        <v>182</v>
      </c>
      <c r="AI401" s="48" t="s">
        <v>182</v>
      </c>
      <c r="AJ401" s="36" t="s">
        <v>182</v>
      </c>
      <c r="AK401" s="38" t="str">
        <f>IF(A401="","",IF('Hidrograma afluente'!I408="",0,'Hidrograma afluente'!I408)+Simulação!B401)</f>
        <v/>
      </c>
    </row>
    <row r="402" spans="1:37" s="36" customFormat="1">
      <c r="A402" s="23" t="str">
        <f t="shared" si="94"/>
        <v/>
      </c>
      <c r="B402" s="24" t="str">
        <f>IF(A402="","",IF(A402&gt;tc_lot_i+tc,0,IF('Hidrograma afluente'!B409="","",'Hidrograma afluente'!B409)))</f>
        <v/>
      </c>
      <c r="C402" s="41" t="str">
        <f t="shared" si="95"/>
        <v/>
      </c>
      <c r="D402" s="41" t="str">
        <f t="shared" si="96"/>
        <v/>
      </c>
      <c r="E402" s="41" t="str">
        <f t="shared" si="97"/>
        <v/>
      </c>
      <c r="F402" s="41" t="str">
        <f t="shared" si="98"/>
        <v/>
      </c>
      <c r="G402" s="41" t="str">
        <f t="shared" si="99"/>
        <v/>
      </c>
      <c r="H402" s="43" t="str">
        <f t="shared" si="90"/>
        <v/>
      </c>
      <c r="I402" s="42" t="str">
        <f t="shared" si="100"/>
        <v/>
      </c>
      <c r="J402" s="18"/>
      <c r="K402" s="76"/>
      <c r="M402" s="132">
        <f t="shared" ca="1" si="91"/>
        <v>127.97329345290041</v>
      </c>
      <c r="N402" s="38">
        <f t="shared" si="101"/>
        <v>3.7593749999999999</v>
      </c>
      <c r="O402" s="36">
        <f t="shared" si="102"/>
        <v>100.25</v>
      </c>
      <c r="P402" s="38">
        <f ca="1">IF(ISERROR(IF(O402&lt;fi_h/20,0,(OFFSET('Base de dados'!$A$5,IF(O402&lt;20,1,IF(O402&gt;1000,10,MATCH(O402,Cargas,1))),Coluna_fih,1,1))*(1+0.13*0.25)*(PI()*(fi_h/1000)^2/4)*SQRT(2*9.81*(O402/100-fi_h/2/1000))*1000)),"",IF(O402&lt;fi_h/20,0,(OFFSET('Base de dados'!$A$5,IF(O402&lt;20,1,IF(O402&gt;1000,10,MATCH(O402,Cargas,1))),Coluna_fih,1,1))*(PI()*(fi_h/1000)^2/4)*SQRT(2*9.81*(O402/100-fi_h/2/1000))*1000))</f>
        <v>2.6607934529004087</v>
      </c>
      <c r="Q402" s="38">
        <f ca="1">IF(O402="","",IF(Tipo_Vertedor="Retangular",IF(O402&lt;=cota_s*100,0,IF(Tipo_Vertedor="Retangular",Cd_sr*Lef_sr*((O402/100-cota_s)^(3/2))*1000)),IF(O402&lt;=cota_s*100+fi_s/20,0,(OFFSET('Base de dados'!$A$4,IF(O402&lt;20,1,IF(O402&gt;1000,10,MATCH(O402,Cargas,1))),Coluna_fis,1,1))*(PI()*(fi_s/1000)^2/4)*(2*9.81*(O402/100-cota_s-fi_s/2/1000))^0.5*1000)))</f>
        <v>0</v>
      </c>
      <c r="R402" s="38">
        <f t="shared" ca="1" si="92"/>
        <v>2.6607934529004087</v>
      </c>
      <c r="S402" s="38">
        <f t="shared" ca="1" si="93"/>
        <v>125.3125</v>
      </c>
      <c r="AD402" s="38" t="str">
        <f t="shared" si="103"/>
        <v/>
      </c>
      <c r="AE402" s="38" t="str">
        <f t="shared" si="104"/>
        <v/>
      </c>
      <c r="AF402" s="38" t="str">
        <f>IF(ISERROR(IF('Hidrograma afluente'!I409="",0,'Hidrograma afluente'!I409)+Simulação!G402),"",IF('Hidrograma afluente'!I409="",0,'Hidrograma afluente'!I409)+Simulação!G402)</f>
        <v/>
      </c>
      <c r="AG402" s="36" t="s">
        <v>182</v>
      </c>
      <c r="AH402" s="36" t="s">
        <v>182</v>
      </c>
      <c r="AI402" s="48" t="s">
        <v>182</v>
      </c>
      <c r="AJ402" s="36" t="s">
        <v>182</v>
      </c>
      <c r="AK402" s="38" t="str">
        <f>IF(A402="","",IF('Hidrograma afluente'!I409="",0,'Hidrograma afluente'!I409)+Simulação!B402)</f>
        <v/>
      </c>
    </row>
    <row r="403" spans="1:37" s="36" customFormat="1">
      <c r="A403" s="23" t="str">
        <f t="shared" si="94"/>
        <v/>
      </c>
      <c r="B403" s="24" t="str">
        <f>IF(A403="","",IF(A403&gt;tc_lot_i+tc,0,IF('Hidrograma afluente'!B410="","",'Hidrograma afluente'!B410)))</f>
        <v/>
      </c>
      <c r="C403" s="41" t="str">
        <f t="shared" si="95"/>
        <v/>
      </c>
      <c r="D403" s="41" t="str">
        <f t="shared" si="96"/>
        <v/>
      </c>
      <c r="E403" s="41" t="str">
        <f t="shared" si="97"/>
        <v/>
      </c>
      <c r="F403" s="41" t="str">
        <f t="shared" si="98"/>
        <v/>
      </c>
      <c r="G403" s="41" t="str">
        <f t="shared" si="99"/>
        <v/>
      </c>
      <c r="H403" s="43" t="str">
        <f t="shared" si="90"/>
        <v/>
      </c>
      <c r="I403" s="42" t="str">
        <f t="shared" si="100"/>
        <v/>
      </c>
      <c r="J403" s="18"/>
      <c r="K403" s="76"/>
      <c r="M403" s="132">
        <f t="shared" ca="1" si="91"/>
        <v>128.28916829692054</v>
      </c>
      <c r="N403" s="38">
        <f t="shared" si="101"/>
        <v>3.7687499999999998</v>
      </c>
      <c r="O403" s="36">
        <f t="shared" si="102"/>
        <v>100.5</v>
      </c>
      <c r="P403" s="38">
        <f ca="1">IF(ISERROR(IF(O403&lt;fi_h/20,0,(OFFSET('Base de dados'!$A$5,IF(O403&lt;20,1,IF(O403&gt;1000,10,MATCH(O403,Cargas,1))),Coluna_fih,1,1))*(1+0.13*0.25)*(PI()*(fi_h/1000)^2/4)*SQRT(2*9.81*(O403/100-fi_h/2/1000))*1000)),"",IF(O403&lt;fi_h/20,0,(OFFSET('Base de dados'!$A$5,IF(O403&lt;20,1,IF(O403&gt;1000,10,MATCH(O403,Cargas,1))),Coluna_fih,1,1))*(PI()*(fi_h/1000)^2/4)*SQRT(2*9.81*(O403/100-fi_h/2/1000))*1000))</f>
        <v>2.6641682969205394</v>
      </c>
      <c r="Q403" s="38">
        <f ca="1">IF(O403="","",IF(Tipo_Vertedor="Retangular",IF(O403&lt;=cota_s*100,0,IF(Tipo_Vertedor="Retangular",Cd_sr*Lef_sr*((O403/100-cota_s)^(3/2))*1000)),IF(O403&lt;=cota_s*100+fi_s/20,0,(OFFSET('Base de dados'!$A$4,IF(O403&lt;20,1,IF(O403&gt;1000,10,MATCH(O403,Cargas,1))),Coluna_fis,1,1))*(PI()*(fi_s/1000)^2/4)*(2*9.81*(O403/100-cota_s-fi_s/2/1000))^0.5*1000)))</f>
        <v>0</v>
      </c>
      <c r="R403" s="38">
        <f t="shared" ca="1" si="92"/>
        <v>2.6641682969205394</v>
      </c>
      <c r="S403" s="38">
        <f t="shared" ca="1" si="93"/>
        <v>125.625</v>
      </c>
      <c r="AD403" s="38" t="str">
        <f t="shared" si="103"/>
        <v/>
      </c>
      <c r="AE403" s="38" t="str">
        <f t="shared" si="104"/>
        <v/>
      </c>
      <c r="AF403" s="38" t="str">
        <f>IF(ISERROR(IF('Hidrograma afluente'!I410="",0,'Hidrograma afluente'!I410)+Simulação!G403),"",IF('Hidrograma afluente'!I410="",0,'Hidrograma afluente'!I410)+Simulação!G403)</f>
        <v/>
      </c>
      <c r="AG403" s="36" t="s">
        <v>182</v>
      </c>
      <c r="AH403" s="36" t="s">
        <v>182</v>
      </c>
      <c r="AI403" s="48" t="s">
        <v>182</v>
      </c>
      <c r="AJ403" s="36" t="s">
        <v>182</v>
      </c>
      <c r="AK403" s="38" t="str">
        <f>IF(A403="","",IF('Hidrograma afluente'!I410="",0,'Hidrograma afluente'!I410)+Simulação!B403)</f>
        <v/>
      </c>
    </row>
    <row r="404" spans="1:37" s="36" customFormat="1">
      <c r="A404" s="23" t="str">
        <f t="shared" si="94"/>
        <v/>
      </c>
      <c r="B404" s="24" t="str">
        <f>IF(A404="","",IF(A404&gt;tc_lot_i+tc,0,IF('Hidrograma afluente'!B411="","",'Hidrograma afluente'!B411)))</f>
        <v/>
      </c>
      <c r="C404" s="41" t="str">
        <f t="shared" si="95"/>
        <v/>
      </c>
      <c r="D404" s="41" t="str">
        <f t="shared" si="96"/>
        <v/>
      </c>
      <c r="E404" s="41" t="str">
        <f t="shared" si="97"/>
        <v/>
      </c>
      <c r="F404" s="41" t="str">
        <f t="shared" si="98"/>
        <v/>
      </c>
      <c r="G404" s="41" t="str">
        <f t="shared" si="99"/>
        <v/>
      </c>
      <c r="H404" s="43" t="str">
        <f t="shared" si="90"/>
        <v/>
      </c>
      <c r="I404" s="42" t="str">
        <f t="shared" si="100"/>
        <v/>
      </c>
      <c r="J404" s="18"/>
      <c r="K404" s="76"/>
      <c r="M404" s="132">
        <f t="shared" ca="1" si="91"/>
        <v>128.60503887125105</v>
      </c>
      <c r="N404" s="38">
        <f t="shared" si="101"/>
        <v>3.7781250000000002</v>
      </c>
      <c r="O404" s="36">
        <f t="shared" si="102"/>
        <v>100.75</v>
      </c>
      <c r="P404" s="38">
        <f ca="1">IF(ISERROR(IF(O404&lt;fi_h/20,0,(OFFSET('Base de dados'!$A$5,IF(O404&lt;20,1,IF(O404&gt;1000,10,MATCH(O404,Cargas,1))),Coluna_fih,1,1))*(1+0.13*0.25)*(PI()*(fi_h/1000)^2/4)*SQRT(2*9.81*(O404/100-fi_h/2/1000))*1000)),"",IF(O404&lt;fi_h/20,0,(OFFSET('Base de dados'!$A$5,IF(O404&lt;20,1,IF(O404&gt;1000,10,MATCH(O404,Cargas,1))),Coluna_fih,1,1))*(PI()*(fi_h/1000)^2/4)*SQRT(2*9.81*(O404/100-fi_h/2/1000))*1000))</f>
        <v>2.6675388712510451</v>
      </c>
      <c r="Q404" s="38">
        <f ca="1">IF(O404="","",IF(Tipo_Vertedor="Retangular",IF(O404&lt;=cota_s*100,0,IF(Tipo_Vertedor="Retangular",Cd_sr*Lef_sr*((O404/100-cota_s)^(3/2))*1000)),IF(O404&lt;=cota_s*100+fi_s/20,0,(OFFSET('Base de dados'!$A$4,IF(O404&lt;20,1,IF(O404&gt;1000,10,MATCH(O404,Cargas,1))),Coluna_fis,1,1))*(PI()*(fi_s/1000)^2/4)*(2*9.81*(O404/100-cota_s-fi_s/2/1000))^0.5*1000)))</f>
        <v>0</v>
      </c>
      <c r="R404" s="38">
        <f t="shared" ca="1" si="92"/>
        <v>2.6675388712510451</v>
      </c>
      <c r="S404" s="38">
        <f t="shared" ca="1" si="93"/>
        <v>125.9375</v>
      </c>
      <c r="AD404" s="38" t="str">
        <f t="shared" si="103"/>
        <v/>
      </c>
      <c r="AE404" s="38" t="str">
        <f t="shared" si="104"/>
        <v/>
      </c>
      <c r="AF404" s="38" t="str">
        <f>IF(ISERROR(IF('Hidrograma afluente'!I411="",0,'Hidrograma afluente'!I411)+Simulação!G404),"",IF('Hidrograma afluente'!I411="",0,'Hidrograma afluente'!I411)+Simulação!G404)</f>
        <v/>
      </c>
      <c r="AG404" s="36" t="s">
        <v>182</v>
      </c>
      <c r="AH404" s="36" t="s">
        <v>182</v>
      </c>
      <c r="AI404" s="48" t="s">
        <v>182</v>
      </c>
      <c r="AJ404" s="36" t="s">
        <v>182</v>
      </c>
      <c r="AK404" s="38" t="str">
        <f>IF(A404="","",IF('Hidrograma afluente'!I411="",0,'Hidrograma afluente'!I411)+Simulação!B404)</f>
        <v/>
      </c>
    </row>
    <row r="405" spans="1:37" s="36" customFormat="1">
      <c r="A405" s="23" t="str">
        <f t="shared" si="94"/>
        <v/>
      </c>
      <c r="B405" s="24" t="str">
        <f>IF(A405="","",IF(A405&gt;tc_lot_i+tc,0,IF('Hidrograma afluente'!B412="","",'Hidrograma afluente'!B412)))</f>
        <v/>
      </c>
      <c r="C405" s="41" t="str">
        <f t="shared" si="95"/>
        <v/>
      </c>
      <c r="D405" s="41" t="str">
        <f t="shared" si="96"/>
        <v/>
      </c>
      <c r="E405" s="41" t="str">
        <f t="shared" si="97"/>
        <v/>
      </c>
      <c r="F405" s="41" t="str">
        <f t="shared" si="98"/>
        <v/>
      </c>
      <c r="G405" s="41" t="str">
        <f t="shared" si="99"/>
        <v/>
      </c>
      <c r="H405" s="43" t="str">
        <f t="shared" si="90"/>
        <v/>
      </c>
      <c r="I405" s="42" t="str">
        <f t="shared" si="100"/>
        <v/>
      </c>
      <c r="J405" s="18"/>
      <c r="K405" s="76"/>
      <c r="M405" s="132">
        <f t="shared" ca="1" si="91"/>
        <v>128.92090519205644</v>
      </c>
      <c r="N405" s="38">
        <f t="shared" si="101"/>
        <v>3.7875000000000001</v>
      </c>
      <c r="O405" s="36">
        <f t="shared" si="102"/>
        <v>101</v>
      </c>
      <c r="P405" s="38">
        <f ca="1">IF(ISERROR(IF(O405&lt;fi_h/20,0,(OFFSET('Base de dados'!$A$5,IF(O405&lt;20,1,IF(O405&gt;1000,10,MATCH(O405,Cargas,1))),Coluna_fih,1,1))*(1+0.13*0.25)*(PI()*(fi_h/1000)^2/4)*SQRT(2*9.81*(O405/100-fi_h/2/1000))*1000)),"",IF(O405&lt;fi_h/20,0,(OFFSET('Base de dados'!$A$5,IF(O405&lt;20,1,IF(O405&gt;1000,10,MATCH(O405,Cargas,1))),Coluna_fih,1,1))*(PI()*(fi_h/1000)^2/4)*SQRT(2*9.81*(O405/100-fi_h/2/1000))*1000))</f>
        <v>2.670905192056451</v>
      </c>
      <c r="Q405" s="38">
        <f ca="1">IF(O405="","",IF(Tipo_Vertedor="Retangular",IF(O405&lt;=cota_s*100,0,IF(Tipo_Vertedor="Retangular",Cd_sr*Lef_sr*((O405/100-cota_s)^(3/2))*1000)),IF(O405&lt;=cota_s*100+fi_s/20,0,(OFFSET('Base de dados'!$A$4,IF(O405&lt;20,1,IF(O405&gt;1000,10,MATCH(O405,Cargas,1))),Coluna_fis,1,1))*(PI()*(fi_s/1000)^2/4)*(2*9.81*(O405/100-cota_s-fi_s/2/1000))^0.5*1000)))</f>
        <v>0</v>
      </c>
      <c r="R405" s="38">
        <f t="shared" ca="1" si="92"/>
        <v>2.670905192056451</v>
      </c>
      <c r="S405" s="38">
        <f t="shared" ca="1" si="93"/>
        <v>126.25</v>
      </c>
      <c r="AD405" s="38" t="str">
        <f t="shared" si="103"/>
        <v/>
      </c>
      <c r="AE405" s="38" t="str">
        <f t="shared" si="104"/>
        <v/>
      </c>
      <c r="AF405" s="38" t="str">
        <f>IF(ISERROR(IF('Hidrograma afluente'!I412="",0,'Hidrograma afluente'!I412)+Simulação!G405),"",IF('Hidrograma afluente'!I412="",0,'Hidrograma afluente'!I412)+Simulação!G405)</f>
        <v/>
      </c>
      <c r="AG405" s="36" t="s">
        <v>182</v>
      </c>
      <c r="AH405" s="36" t="s">
        <v>182</v>
      </c>
      <c r="AI405" s="48" t="s">
        <v>182</v>
      </c>
      <c r="AJ405" s="36" t="s">
        <v>182</v>
      </c>
      <c r="AK405" s="38" t="str">
        <f>IF(A405="","",IF('Hidrograma afluente'!I412="",0,'Hidrograma afluente'!I412)+Simulação!B405)</f>
        <v/>
      </c>
    </row>
    <row r="406" spans="1:37" s="36" customFormat="1">
      <c r="A406" s="23" t="str">
        <f t="shared" si="94"/>
        <v/>
      </c>
      <c r="B406" s="24" t="str">
        <f>IF(A406="","",IF(A406&gt;tc_lot_i+tc,0,IF('Hidrograma afluente'!B413="","",'Hidrograma afluente'!B413)))</f>
        <v/>
      </c>
      <c r="C406" s="41" t="str">
        <f t="shared" si="95"/>
        <v/>
      </c>
      <c r="D406" s="41" t="str">
        <f t="shared" si="96"/>
        <v/>
      </c>
      <c r="E406" s="41" t="str">
        <f t="shared" si="97"/>
        <v/>
      </c>
      <c r="F406" s="41" t="str">
        <f t="shared" si="98"/>
        <v/>
      </c>
      <c r="G406" s="41" t="str">
        <f t="shared" si="99"/>
        <v/>
      </c>
      <c r="H406" s="43" t="str">
        <f t="shared" si="90"/>
        <v/>
      </c>
      <c r="I406" s="42" t="str">
        <f t="shared" si="100"/>
        <v/>
      </c>
      <c r="J406" s="18"/>
      <c r="K406" s="76"/>
      <c r="M406" s="132">
        <f t="shared" ca="1" si="91"/>
        <v>129.23676727539956</v>
      </c>
      <c r="N406" s="38">
        <f t="shared" si="101"/>
        <v>3.796875</v>
      </c>
      <c r="O406" s="36">
        <f t="shared" si="102"/>
        <v>101.25</v>
      </c>
      <c r="P406" s="38">
        <f ca="1">IF(ISERROR(IF(O406&lt;fi_h/20,0,(OFFSET('Base de dados'!$A$5,IF(O406&lt;20,1,IF(O406&gt;1000,10,MATCH(O406,Cargas,1))),Coluna_fih,1,1))*(1+0.13*0.25)*(PI()*(fi_h/1000)^2/4)*SQRT(2*9.81*(O406/100-fi_h/2/1000))*1000)),"",IF(O406&lt;fi_h/20,0,(OFFSET('Base de dados'!$A$5,IF(O406&lt;20,1,IF(O406&gt;1000,10,MATCH(O406,Cargas,1))),Coluna_fih,1,1))*(PI()*(fi_h/1000)^2/4)*SQRT(2*9.81*(O406/100-fi_h/2/1000))*1000))</f>
        <v>2.6742672753995462</v>
      </c>
      <c r="Q406" s="38">
        <f ca="1">IF(O406="","",IF(Tipo_Vertedor="Retangular",IF(O406&lt;=cota_s*100,0,IF(Tipo_Vertedor="Retangular",Cd_sr*Lef_sr*((O406/100-cota_s)^(3/2))*1000)),IF(O406&lt;=cota_s*100+fi_s/20,0,(OFFSET('Base de dados'!$A$4,IF(O406&lt;20,1,IF(O406&gt;1000,10,MATCH(O406,Cargas,1))),Coluna_fis,1,1))*(PI()*(fi_s/1000)^2/4)*(2*9.81*(O406/100-cota_s-fi_s/2/1000))^0.5*1000)))</f>
        <v>0</v>
      </c>
      <c r="R406" s="38">
        <f t="shared" ca="1" si="92"/>
        <v>2.6742672753995462</v>
      </c>
      <c r="S406" s="38">
        <f t="shared" ca="1" si="93"/>
        <v>126.5625</v>
      </c>
      <c r="AD406" s="38" t="str">
        <f t="shared" si="103"/>
        <v/>
      </c>
      <c r="AE406" s="38" t="str">
        <f t="shared" si="104"/>
        <v/>
      </c>
      <c r="AF406" s="38" t="str">
        <f>IF(ISERROR(IF('Hidrograma afluente'!I413="",0,'Hidrograma afluente'!I413)+Simulação!G406),"",IF('Hidrograma afluente'!I413="",0,'Hidrograma afluente'!I413)+Simulação!G406)</f>
        <v/>
      </c>
      <c r="AG406" s="36" t="s">
        <v>182</v>
      </c>
      <c r="AH406" s="36" t="s">
        <v>182</v>
      </c>
      <c r="AI406" s="48" t="s">
        <v>182</v>
      </c>
      <c r="AJ406" s="36" t="s">
        <v>182</v>
      </c>
      <c r="AK406" s="38" t="str">
        <f>IF(A406="","",IF('Hidrograma afluente'!I413="",0,'Hidrograma afluente'!I413)+Simulação!B406)</f>
        <v/>
      </c>
    </row>
    <row r="407" spans="1:37" s="36" customFormat="1">
      <c r="A407" s="23" t="str">
        <f t="shared" si="94"/>
        <v/>
      </c>
      <c r="B407" s="24" t="str">
        <f>IF(A407="","",IF(A407&gt;tc_lot_i+tc,0,IF('Hidrograma afluente'!B414="","",'Hidrograma afluente'!B414)))</f>
        <v/>
      </c>
      <c r="C407" s="41" t="str">
        <f t="shared" si="95"/>
        <v/>
      </c>
      <c r="D407" s="41" t="str">
        <f t="shared" si="96"/>
        <v/>
      </c>
      <c r="E407" s="41" t="str">
        <f t="shared" si="97"/>
        <v/>
      </c>
      <c r="F407" s="41" t="str">
        <f t="shared" si="98"/>
        <v/>
      </c>
      <c r="G407" s="41" t="str">
        <f t="shared" si="99"/>
        <v/>
      </c>
      <c r="H407" s="43" t="str">
        <f t="shared" si="90"/>
        <v/>
      </c>
      <c r="I407" s="42" t="str">
        <f t="shared" si="100"/>
        <v/>
      </c>
      <c r="J407" s="18"/>
      <c r="K407" s="76"/>
      <c r="M407" s="132">
        <f t="shared" ca="1" si="91"/>
        <v>129.55262513724227</v>
      </c>
      <c r="N407" s="38">
        <f t="shared" si="101"/>
        <v>3.8062499999999995</v>
      </c>
      <c r="O407" s="36">
        <f t="shared" si="102"/>
        <v>101.5</v>
      </c>
      <c r="P407" s="38">
        <f ca="1">IF(ISERROR(IF(O407&lt;fi_h/20,0,(OFFSET('Base de dados'!$A$5,IF(O407&lt;20,1,IF(O407&gt;1000,10,MATCH(O407,Cargas,1))),Coluna_fih,1,1))*(1+0.13*0.25)*(PI()*(fi_h/1000)^2/4)*SQRT(2*9.81*(O407/100-fi_h/2/1000))*1000)),"",IF(O407&lt;fi_h/20,0,(OFFSET('Base de dados'!$A$5,IF(O407&lt;20,1,IF(O407&gt;1000,10,MATCH(O407,Cargas,1))),Coluna_fih,1,1))*(PI()*(fi_h/1000)^2/4)*SQRT(2*9.81*(O407/100-fi_h/2/1000))*1000))</f>
        <v>2.677625137242277</v>
      </c>
      <c r="Q407" s="38">
        <f ca="1">IF(O407="","",IF(Tipo_Vertedor="Retangular",IF(O407&lt;=cota_s*100,0,IF(Tipo_Vertedor="Retangular",Cd_sr*Lef_sr*((O407/100-cota_s)^(3/2))*1000)),IF(O407&lt;=cota_s*100+fi_s/20,0,(OFFSET('Base de dados'!$A$4,IF(O407&lt;20,1,IF(O407&gt;1000,10,MATCH(O407,Cargas,1))),Coluna_fis,1,1))*(PI()*(fi_s/1000)^2/4)*(2*9.81*(O407/100-cota_s-fi_s/2/1000))^0.5*1000)))</f>
        <v>0</v>
      </c>
      <c r="R407" s="38">
        <f t="shared" ca="1" si="92"/>
        <v>2.677625137242277</v>
      </c>
      <c r="S407" s="38">
        <f t="shared" ca="1" si="93"/>
        <v>126.87499999999999</v>
      </c>
      <c r="AD407" s="38" t="str">
        <f t="shared" si="103"/>
        <v/>
      </c>
      <c r="AE407" s="38" t="str">
        <f t="shared" si="104"/>
        <v/>
      </c>
      <c r="AF407" s="38" t="str">
        <f>IF(ISERROR(IF('Hidrograma afluente'!I414="",0,'Hidrograma afluente'!I414)+Simulação!G407),"",IF('Hidrograma afluente'!I414="",0,'Hidrograma afluente'!I414)+Simulação!G407)</f>
        <v/>
      </c>
      <c r="AG407" s="36" t="s">
        <v>182</v>
      </c>
      <c r="AH407" s="36" t="s">
        <v>182</v>
      </c>
      <c r="AI407" s="48" t="s">
        <v>182</v>
      </c>
      <c r="AJ407" s="36" t="s">
        <v>182</v>
      </c>
      <c r="AK407" s="38" t="str">
        <f>IF(A407="","",IF('Hidrograma afluente'!I414="",0,'Hidrograma afluente'!I414)+Simulação!B407)</f>
        <v/>
      </c>
    </row>
    <row r="408" spans="1:37" s="36" customFormat="1">
      <c r="A408" s="23" t="str">
        <f t="shared" si="94"/>
        <v/>
      </c>
      <c r="B408" s="24" t="str">
        <f>IF(A408="","",IF(A408&gt;tc_lot_i+tc,0,IF('Hidrograma afluente'!B415="","",'Hidrograma afluente'!B415)))</f>
        <v/>
      </c>
      <c r="C408" s="41" t="str">
        <f t="shared" si="95"/>
        <v/>
      </c>
      <c r="D408" s="41" t="str">
        <f t="shared" si="96"/>
        <v/>
      </c>
      <c r="E408" s="41" t="str">
        <f t="shared" si="97"/>
        <v/>
      </c>
      <c r="F408" s="41" t="str">
        <f t="shared" si="98"/>
        <v/>
      </c>
      <c r="G408" s="41" t="str">
        <f t="shared" si="99"/>
        <v/>
      </c>
      <c r="H408" s="43" t="str">
        <f t="shared" si="90"/>
        <v/>
      </c>
      <c r="I408" s="42" t="str">
        <f t="shared" si="100"/>
        <v/>
      </c>
      <c r="J408" s="18"/>
      <c r="K408" s="76"/>
      <c r="M408" s="132">
        <f t="shared" ca="1" si="91"/>
        <v>129.86847879344663</v>
      </c>
      <c r="N408" s="38">
        <f t="shared" si="101"/>
        <v>3.8156250000000003</v>
      </c>
      <c r="O408" s="36">
        <f t="shared" si="102"/>
        <v>101.75</v>
      </c>
      <c r="P408" s="38">
        <f ca="1">IF(ISERROR(IF(O408&lt;fi_h/20,0,(OFFSET('Base de dados'!$A$5,IF(O408&lt;20,1,IF(O408&gt;1000,10,MATCH(O408,Cargas,1))),Coluna_fih,1,1))*(1+0.13*0.25)*(PI()*(fi_h/1000)^2/4)*SQRT(2*9.81*(O408/100-fi_h/2/1000))*1000)),"",IF(O408&lt;fi_h/20,0,(OFFSET('Base de dados'!$A$5,IF(O408&lt;20,1,IF(O408&gt;1000,10,MATCH(O408,Cargas,1))),Coluna_fih,1,1))*(PI()*(fi_h/1000)^2/4)*SQRT(2*9.81*(O408/100-fi_h/2/1000))*1000))</f>
        <v>2.6809787934466272</v>
      </c>
      <c r="Q408" s="38">
        <f ca="1">IF(O408="","",IF(Tipo_Vertedor="Retangular",IF(O408&lt;=cota_s*100,0,IF(Tipo_Vertedor="Retangular",Cd_sr*Lef_sr*((O408/100-cota_s)^(3/2))*1000)),IF(O408&lt;=cota_s*100+fi_s/20,0,(OFFSET('Base de dados'!$A$4,IF(O408&lt;20,1,IF(O408&gt;1000,10,MATCH(O408,Cargas,1))),Coluna_fis,1,1))*(PI()*(fi_s/1000)^2/4)*(2*9.81*(O408/100-cota_s-fi_s/2/1000))^0.5*1000)))</f>
        <v>0</v>
      </c>
      <c r="R408" s="38">
        <f t="shared" ca="1" si="92"/>
        <v>2.6809787934466272</v>
      </c>
      <c r="S408" s="38">
        <f t="shared" ca="1" si="93"/>
        <v>127.18750000000001</v>
      </c>
      <c r="AD408" s="38" t="str">
        <f t="shared" si="103"/>
        <v/>
      </c>
      <c r="AE408" s="38" t="str">
        <f t="shared" si="104"/>
        <v/>
      </c>
      <c r="AF408" s="38" t="str">
        <f>IF(ISERROR(IF('Hidrograma afluente'!I415="",0,'Hidrograma afluente'!I415)+Simulação!G408),"",IF('Hidrograma afluente'!I415="",0,'Hidrograma afluente'!I415)+Simulação!G408)</f>
        <v/>
      </c>
      <c r="AG408" s="36" t="s">
        <v>182</v>
      </c>
      <c r="AH408" s="36" t="s">
        <v>182</v>
      </c>
      <c r="AI408" s="48" t="s">
        <v>182</v>
      </c>
      <c r="AJ408" s="36" t="s">
        <v>182</v>
      </c>
      <c r="AK408" s="38" t="str">
        <f>IF(A408="","",IF('Hidrograma afluente'!I415="",0,'Hidrograma afluente'!I415)+Simulação!B408)</f>
        <v/>
      </c>
    </row>
    <row r="409" spans="1:37" s="36" customFormat="1">
      <c r="A409" s="23" t="str">
        <f t="shared" si="94"/>
        <v/>
      </c>
      <c r="B409" s="24" t="str">
        <f>IF(A409="","",IF(A409&gt;tc_lot_i+tc,0,IF('Hidrograma afluente'!B416="","",'Hidrograma afluente'!B416)))</f>
        <v/>
      </c>
      <c r="C409" s="41" t="str">
        <f t="shared" si="95"/>
        <v/>
      </c>
      <c r="D409" s="41" t="str">
        <f t="shared" si="96"/>
        <v/>
      </c>
      <c r="E409" s="41" t="str">
        <f t="shared" si="97"/>
        <v/>
      </c>
      <c r="F409" s="41" t="str">
        <f t="shared" si="98"/>
        <v/>
      </c>
      <c r="G409" s="41" t="str">
        <f t="shared" si="99"/>
        <v/>
      </c>
      <c r="H409" s="43" t="str">
        <f t="shared" si="90"/>
        <v/>
      </c>
      <c r="I409" s="42" t="str">
        <f t="shared" si="100"/>
        <v/>
      </c>
      <c r="J409" s="18"/>
      <c r="K409" s="76"/>
      <c r="M409" s="132">
        <f t="shared" ca="1" si="91"/>
        <v>130.1843282597755</v>
      </c>
      <c r="N409" s="38">
        <f t="shared" si="101"/>
        <v>3.8250000000000002</v>
      </c>
      <c r="O409" s="36">
        <f t="shared" si="102"/>
        <v>102</v>
      </c>
      <c r="P409" s="38">
        <f ca="1">IF(ISERROR(IF(O409&lt;fi_h/20,0,(OFFSET('Base de dados'!$A$5,IF(O409&lt;20,1,IF(O409&gt;1000,10,MATCH(O409,Cargas,1))),Coluna_fih,1,1))*(1+0.13*0.25)*(PI()*(fi_h/1000)^2/4)*SQRT(2*9.81*(O409/100-fi_h/2/1000))*1000)),"",IF(O409&lt;fi_h/20,0,(OFFSET('Base de dados'!$A$5,IF(O409&lt;20,1,IF(O409&gt;1000,10,MATCH(O409,Cargas,1))),Coluna_fih,1,1))*(PI()*(fi_h/1000)^2/4)*SQRT(2*9.81*(O409/100-fi_h/2/1000))*1000))</f>
        <v>2.6843282597754956</v>
      </c>
      <c r="Q409" s="38">
        <f ca="1">IF(O409="","",IF(Tipo_Vertedor="Retangular",IF(O409&lt;=cota_s*100,0,IF(Tipo_Vertedor="Retangular",Cd_sr*Lef_sr*((O409/100-cota_s)^(3/2))*1000)),IF(O409&lt;=cota_s*100+fi_s/20,0,(OFFSET('Base de dados'!$A$4,IF(O409&lt;20,1,IF(O409&gt;1000,10,MATCH(O409,Cargas,1))),Coluna_fis,1,1))*(PI()*(fi_s/1000)^2/4)*(2*9.81*(O409/100-cota_s-fi_s/2/1000))^0.5*1000)))</f>
        <v>0</v>
      </c>
      <c r="R409" s="38">
        <f t="shared" ca="1" si="92"/>
        <v>2.6843282597754956</v>
      </c>
      <c r="S409" s="38">
        <f t="shared" ca="1" si="93"/>
        <v>127.5</v>
      </c>
      <c r="AD409" s="38" t="str">
        <f t="shared" si="103"/>
        <v/>
      </c>
      <c r="AE409" s="38" t="str">
        <f t="shared" si="104"/>
        <v/>
      </c>
      <c r="AF409" s="38" t="str">
        <f>IF(ISERROR(IF('Hidrograma afluente'!I416="",0,'Hidrograma afluente'!I416)+Simulação!G409),"",IF('Hidrograma afluente'!I416="",0,'Hidrograma afluente'!I416)+Simulação!G409)</f>
        <v/>
      </c>
      <c r="AG409" s="36" t="s">
        <v>182</v>
      </c>
      <c r="AH409" s="36" t="s">
        <v>182</v>
      </c>
      <c r="AI409" s="48" t="s">
        <v>182</v>
      </c>
      <c r="AJ409" s="36" t="s">
        <v>182</v>
      </c>
      <c r="AK409" s="38" t="str">
        <f>IF(A409="","",IF('Hidrograma afluente'!I416="",0,'Hidrograma afluente'!I416)+Simulação!B409)</f>
        <v/>
      </c>
    </row>
    <row r="410" spans="1:37" s="36" customFormat="1">
      <c r="A410" s="23" t="str">
        <f t="shared" si="94"/>
        <v/>
      </c>
      <c r="B410" s="24" t="str">
        <f>IF(A410="","",IF(A410&gt;tc_lot_i+tc,0,IF('Hidrograma afluente'!B417="","",'Hidrograma afluente'!B417)))</f>
        <v/>
      </c>
      <c r="C410" s="41" t="str">
        <f t="shared" si="95"/>
        <v/>
      </c>
      <c r="D410" s="41" t="str">
        <f t="shared" si="96"/>
        <v/>
      </c>
      <c r="E410" s="41" t="str">
        <f t="shared" si="97"/>
        <v/>
      </c>
      <c r="F410" s="41" t="str">
        <f t="shared" si="98"/>
        <v/>
      </c>
      <c r="G410" s="41" t="str">
        <f t="shared" si="99"/>
        <v/>
      </c>
      <c r="H410" s="43" t="str">
        <f t="shared" si="90"/>
        <v/>
      </c>
      <c r="I410" s="42" t="str">
        <f t="shared" si="100"/>
        <v/>
      </c>
      <c r="J410" s="18"/>
      <c r="K410" s="76"/>
      <c r="M410" s="132">
        <f t="shared" ca="1" si="91"/>
        <v>130.50017355189354</v>
      </c>
      <c r="N410" s="38">
        <f t="shared" si="101"/>
        <v>3.8343749999999996</v>
      </c>
      <c r="O410" s="36">
        <f t="shared" si="102"/>
        <v>102.25</v>
      </c>
      <c r="P410" s="38">
        <f ca="1">IF(ISERROR(IF(O410&lt;fi_h/20,0,(OFFSET('Base de dados'!$A$5,IF(O410&lt;20,1,IF(O410&gt;1000,10,MATCH(O410,Cargas,1))),Coluna_fih,1,1))*(1+0.13*0.25)*(PI()*(fi_h/1000)^2/4)*SQRT(2*9.81*(O410/100-fi_h/2/1000))*1000)),"",IF(O410&lt;fi_h/20,0,(OFFSET('Base de dados'!$A$5,IF(O410&lt;20,1,IF(O410&gt;1000,10,MATCH(O410,Cargas,1))),Coluna_fih,1,1))*(PI()*(fi_h/1000)^2/4)*SQRT(2*9.81*(O410/100-fi_h/2/1000))*1000))</f>
        <v>2.6876735518935604</v>
      </c>
      <c r="Q410" s="38">
        <f ca="1">IF(O410="","",IF(Tipo_Vertedor="Retangular",IF(O410&lt;=cota_s*100,0,IF(Tipo_Vertedor="Retangular",Cd_sr*Lef_sr*((O410/100-cota_s)^(3/2))*1000)),IF(O410&lt;=cota_s*100+fi_s/20,0,(OFFSET('Base de dados'!$A$4,IF(O410&lt;20,1,IF(O410&gt;1000,10,MATCH(O410,Cargas,1))),Coluna_fis,1,1))*(PI()*(fi_s/1000)^2/4)*(2*9.81*(O410/100-cota_s-fi_s/2/1000))^0.5*1000)))</f>
        <v>0</v>
      </c>
      <c r="R410" s="38">
        <f t="shared" ca="1" si="92"/>
        <v>2.6876735518935604</v>
      </c>
      <c r="S410" s="38">
        <f t="shared" ca="1" si="93"/>
        <v>127.81249999999999</v>
      </c>
      <c r="AD410" s="38" t="str">
        <f t="shared" si="103"/>
        <v/>
      </c>
      <c r="AE410" s="38" t="str">
        <f t="shared" si="104"/>
        <v/>
      </c>
      <c r="AF410" s="38" t="str">
        <f>IF(ISERROR(IF('Hidrograma afluente'!I417="",0,'Hidrograma afluente'!I417)+Simulação!G410),"",IF('Hidrograma afluente'!I417="",0,'Hidrograma afluente'!I417)+Simulação!G410)</f>
        <v/>
      </c>
      <c r="AG410" s="36" t="s">
        <v>182</v>
      </c>
      <c r="AH410" s="36" t="s">
        <v>182</v>
      </c>
      <c r="AI410" s="48" t="s">
        <v>182</v>
      </c>
      <c r="AJ410" s="36" t="s">
        <v>182</v>
      </c>
      <c r="AK410" s="38" t="str">
        <f>IF(A410="","",IF('Hidrograma afluente'!I417="",0,'Hidrograma afluente'!I417)+Simulação!B410)</f>
        <v/>
      </c>
    </row>
    <row r="411" spans="1:37" s="36" customFormat="1">
      <c r="A411" s="23" t="str">
        <f t="shared" si="94"/>
        <v/>
      </c>
      <c r="B411" s="24" t="str">
        <f>IF(A411="","",IF(A411&gt;tc_lot_i+tc,0,IF('Hidrograma afluente'!B418="","",'Hidrograma afluente'!B418)))</f>
        <v/>
      </c>
      <c r="C411" s="41" t="str">
        <f t="shared" si="95"/>
        <v/>
      </c>
      <c r="D411" s="41" t="str">
        <f t="shared" si="96"/>
        <v/>
      </c>
      <c r="E411" s="41" t="str">
        <f t="shared" si="97"/>
        <v/>
      </c>
      <c r="F411" s="41" t="str">
        <f t="shared" si="98"/>
        <v/>
      </c>
      <c r="G411" s="41" t="str">
        <f t="shared" si="99"/>
        <v/>
      </c>
      <c r="H411" s="43" t="str">
        <f t="shared" ref="H411:H423" si="105">IF(A411="","",IF(ISERROR(B411+C411+D411-G411),0,B411+C411+D411-G411))</f>
        <v/>
      </c>
      <c r="I411" s="42" t="str">
        <f t="shared" si="100"/>
        <v/>
      </c>
      <c r="J411" s="18"/>
      <c r="K411" s="76"/>
      <c r="M411" s="132">
        <f t="shared" ca="1" si="91"/>
        <v>130.81601468536812</v>
      </c>
      <c r="N411" s="38">
        <f t="shared" si="101"/>
        <v>3.8437499999999996</v>
      </c>
      <c r="O411" s="36">
        <f t="shared" si="102"/>
        <v>102.5</v>
      </c>
      <c r="P411" s="38">
        <f ca="1">IF(ISERROR(IF(O411&lt;fi_h/20,0,(OFFSET('Base de dados'!$A$5,IF(O411&lt;20,1,IF(O411&gt;1000,10,MATCH(O411,Cargas,1))),Coluna_fih,1,1))*(1+0.13*0.25)*(PI()*(fi_h/1000)^2/4)*SQRT(2*9.81*(O411/100-fi_h/2/1000))*1000)),"",IF(O411&lt;fi_h/20,0,(OFFSET('Base de dados'!$A$5,IF(O411&lt;20,1,IF(O411&gt;1000,10,MATCH(O411,Cargas,1))),Coluna_fih,1,1))*(PI()*(fi_h/1000)^2/4)*SQRT(2*9.81*(O411/100-fi_h/2/1000))*1000))</f>
        <v>2.6910146853681334</v>
      </c>
      <c r="Q411" s="38">
        <f ca="1">IF(O411="","",IF(Tipo_Vertedor="Retangular",IF(O411&lt;=cota_s*100,0,IF(Tipo_Vertedor="Retangular",Cd_sr*Lef_sr*((O411/100-cota_s)^(3/2))*1000)),IF(O411&lt;=cota_s*100+fi_s/20,0,(OFFSET('Base de dados'!$A$4,IF(O411&lt;20,1,IF(O411&gt;1000,10,MATCH(O411,Cargas,1))),Coluna_fis,1,1))*(PI()*(fi_s/1000)^2/4)*(2*9.81*(O411/100-cota_s-fi_s/2/1000))^0.5*1000)))</f>
        <v>0</v>
      </c>
      <c r="R411" s="38">
        <f t="shared" ca="1" si="92"/>
        <v>2.6910146853681334</v>
      </c>
      <c r="S411" s="38">
        <f t="shared" ca="1" si="93"/>
        <v>128.12499999999997</v>
      </c>
      <c r="AD411" s="38" t="str">
        <f t="shared" si="103"/>
        <v/>
      </c>
      <c r="AE411" s="38" t="str">
        <f t="shared" si="104"/>
        <v/>
      </c>
      <c r="AF411" s="38" t="str">
        <f>IF(ISERROR(IF('Hidrograma afluente'!I418="",0,'Hidrograma afluente'!I418)+Simulação!G411),"",IF('Hidrograma afluente'!I418="",0,'Hidrograma afluente'!I418)+Simulação!G411)</f>
        <v/>
      </c>
      <c r="AG411" s="36" t="s">
        <v>182</v>
      </c>
      <c r="AH411" s="36" t="s">
        <v>182</v>
      </c>
      <c r="AI411" s="48" t="s">
        <v>182</v>
      </c>
      <c r="AJ411" s="36" t="s">
        <v>182</v>
      </c>
      <c r="AK411" s="38" t="str">
        <f>IF(A411="","",IF('Hidrograma afluente'!I418="",0,'Hidrograma afluente'!I418)+Simulação!B411)</f>
        <v/>
      </c>
    </row>
    <row r="412" spans="1:37" s="36" customFormat="1">
      <c r="A412" s="23" t="str">
        <f t="shared" si="94"/>
        <v/>
      </c>
      <c r="B412" s="24" t="str">
        <f>IF(A412="","",IF(A412&gt;tc_lot_i+tc,0,IF('Hidrograma afluente'!B419="","",'Hidrograma afluente'!B419)))</f>
        <v/>
      </c>
      <c r="C412" s="41" t="str">
        <f t="shared" si="95"/>
        <v/>
      </c>
      <c r="D412" s="41" t="str">
        <f t="shared" si="96"/>
        <v/>
      </c>
      <c r="E412" s="41" t="str">
        <f t="shared" si="97"/>
        <v/>
      </c>
      <c r="F412" s="41" t="str">
        <f t="shared" si="98"/>
        <v/>
      </c>
      <c r="G412" s="41" t="str">
        <f t="shared" si="99"/>
        <v/>
      </c>
      <c r="H412" s="43" t="str">
        <f t="shared" si="105"/>
        <v/>
      </c>
      <c r="I412" s="42" t="str">
        <f t="shared" si="100"/>
        <v/>
      </c>
      <c r="J412" s="18"/>
      <c r="K412" s="76"/>
      <c r="M412" s="132">
        <f t="shared" ca="1" si="91"/>
        <v>131.13185167567002</v>
      </c>
      <c r="N412" s="38">
        <f t="shared" si="101"/>
        <v>3.8531250000000004</v>
      </c>
      <c r="O412" s="36">
        <f t="shared" si="102"/>
        <v>102.75</v>
      </c>
      <c r="P412" s="38">
        <f ca="1">IF(ISERROR(IF(O412&lt;fi_h/20,0,(OFFSET('Base de dados'!$A$5,IF(O412&lt;20,1,IF(O412&gt;1000,10,MATCH(O412,Cargas,1))),Coluna_fih,1,1))*(1+0.13*0.25)*(PI()*(fi_h/1000)^2/4)*SQRT(2*9.81*(O412/100-fi_h/2/1000))*1000)),"",IF(O412&lt;fi_h/20,0,(OFFSET('Base de dados'!$A$5,IF(O412&lt;20,1,IF(O412&gt;1000,10,MATCH(O412,Cargas,1))),Coluna_fih,1,1))*(PI()*(fi_h/1000)^2/4)*SQRT(2*9.81*(O412/100-fi_h/2/1000))*1000))</f>
        <v>2.6943516756700054</v>
      </c>
      <c r="Q412" s="38">
        <f ca="1">IF(O412="","",IF(Tipo_Vertedor="Retangular",IF(O412&lt;=cota_s*100,0,IF(Tipo_Vertedor="Retangular",Cd_sr*Lef_sr*((O412/100-cota_s)^(3/2))*1000)),IF(O412&lt;=cota_s*100+fi_s/20,0,(OFFSET('Base de dados'!$A$4,IF(O412&lt;20,1,IF(O412&gt;1000,10,MATCH(O412,Cargas,1))),Coluna_fis,1,1))*(PI()*(fi_s/1000)^2/4)*(2*9.81*(O412/100-cota_s-fi_s/2/1000))^0.5*1000)))</f>
        <v>0</v>
      </c>
      <c r="R412" s="38">
        <f t="shared" ca="1" si="92"/>
        <v>2.6943516756700054</v>
      </c>
      <c r="S412" s="38">
        <f t="shared" ca="1" si="93"/>
        <v>128.43750000000003</v>
      </c>
      <c r="AD412" s="38" t="str">
        <f t="shared" si="103"/>
        <v/>
      </c>
      <c r="AE412" s="38" t="str">
        <f t="shared" si="104"/>
        <v/>
      </c>
      <c r="AF412" s="38" t="str">
        <f>IF(ISERROR(IF('Hidrograma afluente'!I419="",0,'Hidrograma afluente'!I419)+Simulação!G412),"",IF('Hidrograma afluente'!I419="",0,'Hidrograma afluente'!I419)+Simulação!G412)</f>
        <v/>
      </c>
      <c r="AG412" s="36" t="s">
        <v>182</v>
      </c>
      <c r="AH412" s="36" t="s">
        <v>182</v>
      </c>
      <c r="AI412" s="48" t="s">
        <v>182</v>
      </c>
      <c r="AJ412" s="36" t="s">
        <v>182</v>
      </c>
      <c r="AK412" s="38" t="str">
        <f>IF(A412="","",IF('Hidrograma afluente'!I419="",0,'Hidrograma afluente'!I419)+Simulação!B412)</f>
        <v/>
      </c>
    </row>
    <row r="413" spans="1:37" s="36" customFormat="1">
      <c r="A413" s="23" t="str">
        <f t="shared" si="94"/>
        <v/>
      </c>
      <c r="B413" s="24" t="str">
        <f>IF(A413="","",IF(A413&gt;tc_lot_i+tc,0,IF('Hidrograma afluente'!B420="","",'Hidrograma afluente'!B420)))</f>
        <v/>
      </c>
      <c r="C413" s="41" t="str">
        <f t="shared" si="95"/>
        <v/>
      </c>
      <c r="D413" s="41" t="str">
        <f t="shared" si="96"/>
        <v/>
      </c>
      <c r="E413" s="41" t="str">
        <f t="shared" si="97"/>
        <v/>
      </c>
      <c r="F413" s="41" t="str">
        <f t="shared" si="98"/>
        <v/>
      </c>
      <c r="G413" s="41" t="str">
        <f t="shared" si="99"/>
        <v/>
      </c>
      <c r="H413" s="43" t="str">
        <f t="shared" si="105"/>
        <v/>
      </c>
      <c r="I413" s="42" t="str">
        <f t="shared" si="100"/>
        <v/>
      </c>
      <c r="J413" s="18"/>
      <c r="K413" s="76"/>
      <c r="M413" s="132">
        <f t="shared" ca="1" si="91"/>
        <v>131.44768453817431</v>
      </c>
      <c r="N413" s="38">
        <f t="shared" si="101"/>
        <v>3.8625000000000003</v>
      </c>
      <c r="O413" s="36">
        <f t="shared" si="102"/>
        <v>103</v>
      </c>
      <c r="P413" s="38">
        <f ca="1">IF(ISERROR(IF(O413&lt;fi_h/20,0,(OFFSET('Base de dados'!$A$5,IF(O413&lt;20,1,IF(O413&gt;1000,10,MATCH(O413,Cargas,1))),Coluna_fih,1,1))*(1+0.13*0.25)*(PI()*(fi_h/1000)^2/4)*SQRT(2*9.81*(O413/100-fi_h/2/1000))*1000)),"",IF(O413&lt;fi_h/20,0,(OFFSET('Base de dados'!$A$5,IF(O413&lt;20,1,IF(O413&gt;1000,10,MATCH(O413,Cargas,1))),Coluna_fih,1,1))*(PI()*(fi_h/1000)^2/4)*SQRT(2*9.81*(O413/100-fi_h/2/1000))*1000))</f>
        <v>2.6976845381742787</v>
      </c>
      <c r="Q413" s="38">
        <f ca="1">IF(O413="","",IF(Tipo_Vertedor="Retangular",IF(O413&lt;=cota_s*100,0,IF(Tipo_Vertedor="Retangular",Cd_sr*Lef_sr*((O413/100-cota_s)^(3/2))*1000)),IF(O413&lt;=cota_s*100+fi_s/20,0,(OFFSET('Base de dados'!$A$4,IF(O413&lt;20,1,IF(O413&gt;1000,10,MATCH(O413,Cargas,1))),Coluna_fis,1,1))*(PI()*(fi_s/1000)^2/4)*(2*9.81*(O413/100-cota_s-fi_s/2/1000))^0.5*1000)))</f>
        <v>0</v>
      </c>
      <c r="R413" s="38">
        <f t="shared" ca="1" si="92"/>
        <v>2.6976845381742787</v>
      </c>
      <c r="S413" s="38">
        <f t="shared" ca="1" si="93"/>
        <v>128.75000000000003</v>
      </c>
      <c r="AD413" s="38" t="str">
        <f t="shared" si="103"/>
        <v/>
      </c>
      <c r="AE413" s="38" t="str">
        <f t="shared" si="104"/>
        <v/>
      </c>
      <c r="AF413" s="38" t="str">
        <f>IF(ISERROR(IF('Hidrograma afluente'!I420="",0,'Hidrograma afluente'!I420)+Simulação!G413),"",IF('Hidrograma afluente'!I420="",0,'Hidrograma afluente'!I420)+Simulação!G413)</f>
        <v/>
      </c>
      <c r="AG413" s="36" t="s">
        <v>182</v>
      </c>
      <c r="AH413" s="36" t="s">
        <v>182</v>
      </c>
      <c r="AI413" s="48" t="s">
        <v>182</v>
      </c>
      <c r="AJ413" s="36" t="s">
        <v>182</v>
      </c>
      <c r="AK413" s="38" t="str">
        <f>IF(A413="","",IF('Hidrograma afluente'!I420="",0,'Hidrograma afluente'!I420)+Simulação!B413)</f>
        <v/>
      </c>
    </row>
    <row r="414" spans="1:37" s="36" customFormat="1">
      <c r="A414" s="23" t="str">
        <f t="shared" si="94"/>
        <v/>
      </c>
      <c r="B414" s="24" t="str">
        <f>IF(A414="","",IF(A414&gt;tc_lot_i+tc,0,IF('Hidrograma afluente'!B421="","",'Hidrograma afluente'!B421)))</f>
        <v/>
      </c>
      <c r="C414" s="41" t="str">
        <f t="shared" si="95"/>
        <v/>
      </c>
      <c r="D414" s="41" t="str">
        <f t="shared" si="96"/>
        <v/>
      </c>
      <c r="E414" s="41" t="str">
        <f t="shared" si="97"/>
        <v/>
      </c>
      <c r="F414" s="41" t="str">
        <f t="shared" si="98"/>
        <v/>
      </c>
      <c r="G414" s="41" t="str">
        <f t="shared" si="99"/>
        <v/>
      </c>
      <c r="H414" s="43" t="str">
        <f t="shared" si="105"/>
        <v/>
      </c>
      <c r="I414" s="42" t="str">
        <f t="shared" si="100"/>
        <v/>
      </c>
      <c r="J414" s="18"/>
      <c r="K414" s="76"/>
      <c r="M414" s="132">
        <f t="shared" ca="1" si="91"/>
        <v>131.76351328816116</v>
      </c>
      <c r="N414" s="38">
        <f t="shared" si="101"/>
        <v>3.8718749999999997</v>
      </c>
      <c r="O414" s="36">
        <f t="shared" si="102"/>
        <v>103.25</v>
      </c>
      <c r="P414" s="38">
        <f ca="1">IF(ISERROR(IF(O414&lt;fi_h/20,0,(OFFSET('Base de dados'!$A$5,IF(O414&lt;20,1,IF(O414&gt;1000,10,MATCH(O414,Cargas,1))),Coluna_fih,1,1))*(1+0.13*0.25)*(PI()*(fi_h/1000)^2/4)*SQRT(2*9.81*(O414/100-fi_h/2/1000))*1000)),"",IF(O414&lt;fi_h/20,0,(OFFSET('Base de dados'!$A$5,IF(O414&lt;20,1,IF(O414&gt;1000,10,MATCH(O414,Cargas,1))),Coluna_fih,1,1))*(PI()*(fi_h/1000)^2/4)*SQRT(2*9.81*(O414/100-fi_h/2/1000))*1000))</f>
        <v>2.7010132881612003</v>
      </c>
      <c r="Q414" s="38">
        <f ca="1">IF(O414="","",IF(Tipo_Vertedor="Retangular",IF(O414&lt;=cota_s*100,0,IF(Tipo_Vertedor="Retangular",Cd_sr*Lef_sr*((O414/100-cota_s)^(3/2))*1000)),IF(O414&lt;=cota_s*100+fi_s/20,0,(OFFSET('Base de dados'!$A$4,IF(O414&lt;20,1,IF(O414&gt;1000,10,MATCH(O414,Cargas,1))),Coluna_fis,1,1))*(PI()*(fi_s/1000)^2/4)*(2*9.81*(O414/100-cota_s-fi_s/2/1000))^0.5*1000)))</f>
        <v>0</v>
      </c>
      <c r="R414" s="38">
        <f t="shared" ca="1" si="92"/>
        <v>2.7010132881612003</v>
      </c>
      <c r="S414" s="38">
        <f t="shared" ca="1" si="93"/>
        <v>129.06249999999997</v>
      </c>
      <c r="AD414" s="38" t="str">
        <f t="shared" si="103"/>
        <v/>
      </c>
      <c r="AE414" s="38" t="str">
        <f t="shared" si="104"/>
        <v/>
      </c>
      <c r="AF414" s="38" t="str">
        <f>IF(ISERROR(IF('Hidrograma afluente'!I421="",0,'Hidrograma afluente'!I421)+Simulação!G414),"",IF('Hidrograma afluente'!I421="",0,'Hidrograma afluente'!I421)+Simulação!G414)</f>
        <v/>
      </c>
      <c r="AG414" s="36" t="s">
        <v>182</v>
      </c>
      <c r="AH414" s="36" t="s">
        <v>182</v>
      </c>
      <c r="AI414" s="48" t="s">
        <v>182</v>
      </c>
      <c r="AJ414" s="36" t="s">
        <v>182</v>
      </c>
      <c r="AK414" s="38" t="str">
        <f>IF(A414="","",IF('Hidrograma afluente'!I421="",0,'Hidrograma afluente'!I421)+Simulação!B414)</f>
        <v/>
      </c>
    </row>
    <row r="415" spans="1:37" s="36" customFormat="1">
      <c r="A415" s="23" t="str">
        <f t="shared" si="94"/>
        <v/>
      </c>
      <c r="B415" s="24" t="str">
        <f>IF(A415="","",IF(A415&gt;tc_lot_i+tc,0,IF('Hidrograma afluente'!B422="","",'Hidrograma afluente'!B422)))</f>
        <v/>
      </c>
      <c r="C415" s="41" t="str">
        <f t="shared" si="95"/>
        <v/>
      </c>
      <c r="D415" s="41" t="str">
        <f t="shared" si="96"/>
        <v/>
      </c>
      <c r="E415" s="41" t="str">
        <f t="shared" si="97"/>
        <v/>
      </c>
      <c r="F415" s="41" t="str">
        <f t="shared" si="98"/>
        <v/>
      </c>
      <c r="G415" s="41" t="str">
        <f t="shared" si="99"/>
        <v/>
      </c>
      <c r="H415" s="43" t="str">
        <f t="shared" si="105"/>
        <v/>
      </c>
      <c r="I415" s="42" t="str">
        <f t="shared" si="100"/>
        <v/>
      </c>
      <c r="J415" s="18"/>
      <c r="K415" s="76"/>
      <c r="M415" s="132">
        <f t="shared" ca="1" si="91"/>
        <v>132.07933794081694</v>
      </c>
      <c r="N415" s="38">
        <f t="shared" si="101"/>
        <v>3.8812499999999996</v>
      </c>
      <c r="O415" s="36">
        <f t="shared" si="102"/>
        <v>103.5</v>
      </c>
      <c r="P415" s="38">
        <f ca="1">IF(ISERROR(IF(O415&lt;fi_h/20,0,(OFFSET('Base de dados'!$A$5,IF(O415&lt;20,1,IF(O415&gt;1000,10,MATCH(O415,Cargas,1))),Coluna_fih,1,1))*(1+0.13*0.25)*(PI()*(fi_h/1000)^2/4)*SQRT(2*9.81*(O415/100-fi_h/2/1000))*1000)),"",IF(O415&lt;fi_h/20,0,(OFFSET('Base de dados'!$A$5,IF(O415&lt;20,1,IF(O415&gt;1000,10,MATCH(O415,Cargas,1))),Coluna_fih,1,1))*(PI()*(fi_h/1000)^2/4)*SQRT(2*9.81*(O415/100-fi_h/2/1000))*1000))</f>
        <v>2.7043379408169734</v>
      </c>
      <c r="Q415" s="38">
        <f ca="1">IF(O415="","",IF(Tipo_Vertedor="Retangular",IF(O415&lt;=cota_s*100,0,IF(Tipo_Vertedor="Retangular",Cd_sr*Lef_sr*((O415/100-cota_s)^(3/2))*1000)),IF(O415&lt;=cota_s*100+fi_s/20,0,(OFFSET('Base de dados'!$A$4,IF(O415&lt;20,1,IF(O415&gt;1000,10,MATCH(O415,Cargas,1))),Coluna_fis,1,1))*(PI()*(fi_s/1000)^2/4)*(2*9.81*(O415/100-cota_s-fi_s/2/1000))^0.5*1000)))</f>
        <v>0</v>
      </c>
      <c r="R415" s="38">
        <f t="shared" ca="1" si="92"/>
        <v>2.7043379408169734</v>
      </c>
      <c r="S415" s="38">
        <f t="shared" ca="1" si="93"/>
        <v>129.37499999999997</v>
      </c>
      <c r="AD415" s="38" t="str">
        <f t="shared" si="103"/>
        <v/>
      </c>
      <c r="AE415" s="38" t="str">
        <f t="shared" si="104"/>
        <v/>
      </c>
      <c r="AF415" s="38" t="str">
        <f>IF(ISERROR(IF('Hidrograma afluente'!I422="",0,'Hidrograma afluente'!I422)+Simulação!G415),"",IF('Hidrograma afluente'!I422="",0,'Hidrograma afluente'!I422)+Simulação!G415)</f>
        <v/>
      </c>
      <c r="AG415" s="36" t="s">
        <v>182</v>
      </c>
      <c r="AH415" s="36" t="s">
        <v>182</v>
      </c>
      <c r="AI415" s="48" t="s">
        <v>182</v>
      </c>
      <c r="AJ415" s="36" t="s">
        <v>182</v>
      </c>
      <c r="AK415" s="38" t="str">
        <f>IF(A415="","",IF('Hidrograma afluente'!I422="",0,'Hidrograma afluente'!I422)+Simulação!B415)</f>
        <v/>
      </c>
    </row>
    <row r="416" spans="1:37" s="36" customFormat="1">
      <c r="A416" s="23" t="str">
        <f t="shared" si="94"/>
        <v/>
      </c>
      <c r="B416" s="24" t="str">
        <f>IF(A416="","",IF(A416&gt;tc_lot_i+tc,0,IF('Hidrograma afluente'!B423="","",'Hidrograma afluente'!B423)))</f>
        <v/>
      </c>
      <c r="C416" s="41" t="str">
        <f t="shared" si="95"/>
        <v/>
      </c>
      <c r="D416" s="41" t="str">
        <f t="shared" si="96"/>
        <v/>
      </c>
      <c r="E416" s="41" t="str">
        <f t="shared" si="97"/>
        <v/>
      </c>
      <c r="F416" s="41" t="str">
        <f t="shared" si="98"/>
        <v/>
      </c>
      <c r="G416" s="41" t="str">
        <f t="shared" si="99"/>
        <v/>
      </c>
      <c r="H416" s="43" t="str">
        <f t="shared" si="105"/>
        <v/>
      </c>
      <c r="I416" s="42" t="str">
        <f t="shared" si="100"/>
        <v/>
      </c>
      <c r="J416" s="18"/>
      <c r="K416" s="76"/>
      <c r="M416" s="132">
        <f t="shared" ca="1" si="91"/>
        <v>132.3951585112346</v>
      </c>
      <c r="N416" s="38">
        <f t="shared" si="101"/>
        <v>3.8906250000000004</v>
      </c>
      <c r="O416" s="36">
        <f t="shared" si="102"/>
        <v>103.75</v>
      </c>
      <c r="P416" s="38">
        <f ca="1">IF(ISERROR(IF(O416&lt;fi_h/20,0,(OFFSET('Base de dados'!$A$5,IF(O416&lt;20,1,IF(O416&gt;1000,10,MATCH(O416,Cargas,1))),Coluna_fih,1,1))*(1+0.13*0.25)*(PI()*(fi_h/1000)^2/4)*SQRT(2*9.81*(O416/100-fi_h/2/1000))*1000)),"",IF(O416&lt;fi_h/20,0,(OFFSET('Base de dados'!$A$5,IF(O416&lt;20,1,IF(O416&gt;1000,10,MATCH(O416,Cargas,1))),Coluna_fih,1,1))*(PI()*(fi_h/1000)^2/4)*SQRT(2*9.81*(O416/100-fi_h/2/1000))*1000))</f>
        <v>2.7076585112345675</v>
      </c>
      <c r="Q416" s="38">
        <f ca="1">IF(O416="","",IF(Tipo_Vertedor="Retangular",IF(O416&lt;=cota_s*100,0,IF(Tipo_Vertedor="Retangular",Cd_sr*Lef_sr*((O416/100-cota_s)^(3/2))*1000)),IF(O416&lt;=cota_s*100+fi_s/20,0,(OFFSET('Base de dados'!$A$4,IF(O416&lt;20,1,IF(O416&gt;1000,10,MATCH(O416,Cargas,1))),Coluna_fis,1,1))*(PI()*(fi_s/1000)^2/4)*(2*9.81*(O416/100-cota_s-fi_s/2/1000))^0.5*1000)))</f>
        <v>0</v>
      </c>
      <c r="R416" s="38">
        <f t="shared" ca="1" si="92"/>
        <v>2.7076585112345675</v>
      </c>
      <c r="S416" s="38">
        <f t="shared" ca="1" si="93"/>
        <v>129.68750000000003</v>
      </c>
      <c r="AD416" s="38" t="str">
        <f t="shared" si="103"/>
        <v/>
      </c>
      <c r="AE416" s="38" t="str">
        <f t="shared" si="104"/>
        <v/>
      </c>
      <c r="AF416" s="38" t="str">
        <f>IF(ISERROR(IF('Hidrograma afluente'!I423="",0,'Hidrograma afluente'!I423)+Simulação!G416),"",IF('Hidrograma afluente'!I423="",0,'Hidrograma afluente'!I423)+Simulação!G416)</f>
        <v/>
      </c>
      <c r="AG416" s="36" t="s">
        <v>182</v>
      </c>
      <c r="AH416" s="36" t="s">
        <v>182</v>
      </c>
      <c r="AI416" s="48" t="s">
        <v>182</v>
      </c>
      <c r="AJ416" s="36" t="s">
        <v>182</v>
      </c>
      <c r="AK416" s="38" t="str">
        <f>IF(A416="","",IF('Hidrograma afluente'!I423="",0,'Hidrograma afluente'!I423)+Simulação!B416)</f>
        <v/>
      </c>
    </row>
    <row r="417" spans="1:37" s="36" customFormat="1">
      <c r="A417" s="23" t="str">
        <f t="shared" si="94"/>
        <v/>
      </c>
      <c r="B417" s="24" t="str">
        <f>IF(A417="","",IF(A417&gt;tc_lot_i+tc,0,IF('Hidrograma afluente'!B424="","",'Hidrograma afluente'!B424)))</f>
        <v/>
      </c>
      <c r="C417" s="41" t="str">
        <f t="shared" si="95"/>
        <v/>
      </c>
      <c r="D417" s="41" t="str">
        <f t="shared" si="96"/>
        <v/>
      </c>
      <c r="E417" s="41" t="str">
        <f t="shared" si="97"/>
        <v/>
      </c>
      <c r="F417" s="41" t="str">
        <f t="shared" si="98"/>
        <v/>
      </c>
      <c r="G417" s="41" t="str">
        <f t="shared" si="99"/>
        <v/>
      </c>
      <c r="H417" s="43" t="str">
        <f t="shared" si="105"/>
        <v/>
      </c>
      <c r="I417" s="42" t="str">
        <f t="shared" si="100"/>
        <v/>
      </c>
      <c r="J417" s="18"/>
      <c r="K417" s="76"/>
      <c r="M417" s="132">
        <f t="shared" ca="1" si="91"/>
        <v>132.71097501441454</v>
      </c>
      <c r="N417" s="38">
        <f t="shared" si="101"/>
        <v>3.9000000000000004</v>
      </c>
      <c r="O417" s="36">
        <f t="shared" si="102"/>
        <v>104</v>
      </c>
      <c r="P417" s="38">
        <f ca="1">IF(ISERROR(IF(O417&lt;fi_h/20,0,(OFFSET('Base de dados'!$A$5,IF(O417&lt;20,1,IF(O417&gt;1000,10,MATCH(O417,Cargas,1))),Coluna_fih,1,1))*(1+0.13*0.25)*(PI()*(fi_h/1000)^2/4)*SQRT(2*9.81*(O417/100-fi_h/2/1000))*1000)),"",IF(O417&lt;fi_h/20,0,(OFFSET('Base de dados'!$A$5,IF(O417&lt;20,1,IF(O417&gt;1000,10,MATCH(O417,Cargas,1))),Coluna_fih,1,1))*(PI()*(fi_h/1000)^2/4)*SQRT(2*9.81*(O417/100-fi_h/2/1000))*1000))</f>
        <v>2.7109750144145202</v>
      </c>
      <c r="Q417" s="38">
        <f ca="1">IF(O417="","",IF(Tipo_Vertedor="Retangular",IF(O417&lt;=cota_s*100,0,IF(Tipo_Vertedor="Retangular",Cd_sr*Lef_sr*((O417/100-cota_s)^(3/2))*1000)),IF(O417&lt;=cota_s*100+fi_s/20,0,(OFFSET('Base de dados'!$A$4,IF(O417&lt;20,1,IF(O417&gt;1000,10,MATCH(O417,Cargas,1))),Coluna_fis,1,1))*(PI()*(fi_s/1000)^2/4)*(2*9.81*(O417/100-cota_s-fi_s/2/1000))^0.5*1000)))</f>
        <v>0</v>
      </c>
      <c r="R417" s="38">
        <f t="shared" ca="1" si="92"/>
        <v>2.7109750144145202</v>
      </c>
      <c r="S417" s="38">
        <f t="shared" ca="1" si="93"/>
        <v>130.00000000000003</v>
      </c>
      <c r="AD417" s="38" t="str">
        <f t="shared" si="103"/>
        <v/>
      </c>
      <c r="AE417" s="38" t="str">
        <f t="shared" si="104"/>
        <v/>
      </c>
      <c r="AF417" s="38" t="str">
        <f>IF(ISERROR(IF('Hidrograma afluente'!I424="",0,'Hidrograma afluente'!I424)+Simulação!G417),"",IF('Hidrograma afluente'!I424="",0,'Hidrograma afluente'!I424)+Simulação!G417)</f>
        <v/>
      </c>
      <c r="AG417" s="36" t="s">
        <v>182</v>
      </c>
      <c r="AH417" s="36" t="s">
        <v>182</v>
      </c>
      <c r="AI417" s="48" t="s">
        <v>182</v>
      </c>
      <c r="AJ417" s="36" t="s">
        <v>182</v>
      </c>
      <c r="AK417" s="38" t="str">
        <f>IF(A417="","",IF('Hidrograma afluente'!I424="",0,'Hidrograma afluente'!I424)+Simulação!B417)</f>
        <v/>
      </c>
    </row>
    <row r="418" spans="1:37" s="36" customFormat="1">
      <c r="A418" s="23" t="str">
        <f t="shared" si="94"/>
        <v/>
      </c>
      <c r="B418" s="24" t="str">
        <f>IF(A418="","",IF(A418&gt;tc_lot_i+tc,0,IF('Hidrograma afluente'!B425="","",'Hidrograma afluente'!B425)))</f>
        <v/>
      </c>
      <c r="C418" s="41" t="str">
        <f t="shared" si="95"/>
        <v/>
      </c>
      <c r="D418" s="41" t="str">
        <f t="shared" si="96"/>
        <v/>
      </c>
      <c r="E418" s="41" t="str">
        <f t="shared" si="97"/>
        <v/>
      </c>
      <c r="F418" s="41" t="str">
        <f t="shared" si="98"/>
        <v/>
      </c>
      <c r="G418" s="41" t="str">
        <f t="shared" si="99"/>
        <v/>
      </c>
      <c r="H418" s="43" t="str">
        <f t="shared" si="105"/>
        <v/>
      </c>
      <c r="I418" s="42" t="str">
        <f t="shared" si="100"/>
        <v/>
      </c>
      <c r="J418" s="18"/>
      <c r="K418" s="76"/>
      <c r="M418" s="132">
        <f t="shared" ca="1" si="91"/>
        <v>133.02678746526573</v>
      </c>
      <c r="N418" s="38">
        <f t="shared" si="101"/>
        <v>3.9093749999999998</v>
      </c>
      <c r="O418" s="36">
        <f t="shared" si="102"/>
        <v>104.25</v>
      </c>
      <c r="P418" s="38">
        <f ca="1">IF(ISERROR(IF(O418&lt;fi_h/20,0,(OFFSET('Base de dados'!$A$5,IF(O418&lt;20,1,IF(O418&gt;1000,10,MATCH(O418,Cargas,1))),Coluna_fih,1,1))*(1+0.13*0.25)*(PI()*(fi_h/1000)^2/4)*SQRT(2*9.81*(O418/100-fi_h/2/1000))*1000)),"",IF(O418&lt;fi_h/20,0,(OFFSET('Base de dados'!$A$5,IF(O418&lt;20,1,IF(O418&gt;1000,10,MATCH(O418,Cargas,1))),Coluna_fih,1,1))*(PI()*(fi_h/1000)^2/4)*SQRT(2*9.81*(O418/100-fi_h/2/1000))*1000))</f>
        <v>2.7142874652657212</v>
      </c>
      <c r="Q418" s="38">
        <f ca="1">IF(O418="","",IF(Tipo_Vertedor="Retangular",IF(O418&lt;=cota_s*100,0,IF(Tipo_Vertedor="Retangular",Cd_sr*Lef_sr*((O418/100-cota_s)^(3/2))*1000)),IF(O418&lt;=cota_s*100+fi_s/20,0,(OFFSET('Base de dados'!$A$4,IF(O418&lt;20,1,IF(O418&gt;1000,10,MATCH(O418,Cargas,1))),Coluna_fis,1,1))*(PI()*(fi_s/1000)^2/4)*(2*9.81*(O418/100-cota_s-fi_s/2/1000))^0.5*1000)))</f>
        <v>0</v>
      </c>
      <c r="R418" s="38">
        <f t="shared" ca="1" si="92"/>
        <v>2.7142874652657212</v>
      </c>
      <c r="S418" s="38">
        <f t="shared" ca="1" si="93"/>
        <v>130.3125</v>
      </c>
      <c r="AD418" s="38" t="str">
        <f t="shared" si="103"/>
        <v/>
      </c>
      <c r="AE418" s="38" t="str">
        <f t="shared" si="104"/>
        <v/>
      </c>
      <c r="AF418" s="38" t="str">
        <f>IF(ISERROR(IF('Hidrograma afluente'!I425="",0,'Hidrograma afluente'!I425)+Simulação!G418),"",IF('Hidrograma afluente'!I425="",0,'Hidrograma afluente'!I425)+Simulação!G418)</f>
        <v/>
      </c>
      <c r="AG418" s="36" t="s">
        <v>182</v>
      </c>
      <c r="AH418" s="36" t="s">
        <v>182</v>
      </c>
      <c r="AI418" s="48" t="s">
        <v>182</v>
      </c>
      <c r="AJ418" s="36" t="s">
        <v>182</v>
      </c>
      <c r="AK418" s="38" t="str">
        <f>IF(A418="","",IF('Hidrograma afluente'!I425="",0,'Hidrograma afluente'!I425)+Simulação!B418)</f>
        <v/>
      </c>
    </row>
    <row r="419" spans="1:37" s="36" customFormat="1">
      <c r="A419" s="23" t="str">
        <f t="shared" si="94"/>
        <v/>
      </c>
      <c r="B419" s="24" t="str">
        <f>IF(A419="","",IF(A419&gt;tc_lot_i+tc,0,IF('Hidrograma afluente'!B426="","",'Hidrograma afluente'!B426)))</f>
        <v/>
      </c>
      <c r="C419" s="41" t="str">
        <f t="shared" si="95"/>
        <v/>
      </c>
      <c r="D419" s="41" t="str">
        <f t="shared" si="96"/>
        <v/>
      </c>
      <c r="E419" s="41" t="str">
        <f t="shared" si="97"/>
        <v/>
      </c>
      <c r="F419" s="41" t="str">
        <f t="shared" si="98"/>
        <v/>
      </c>
      <c r="G419" s="41" t="str">
        <f t="shared" si="99"/>
        <v/>
      </c>
      <c r="H419" s="43" t="str">
        <f t="shared" si="105"/>
        <v/>
      </c>
      <c r="I419" s="42" t="str">
        <f t="shared" si="100"/>
        <v/>
      </c>
      <c r="J419" s="18"/>
      <c r="K419" s="76"/>
      <c r="M419" s="132">
        <f t="shared" ca="1" si="91"/>
        <v>133.34259587860618</v>
      </c>
      <c r="N419" s="38">
        <f t="shared" si="101"/>
        <v>3.9187499999999997</v>
      </c>
      <c r="O419" s="36">
        <f t="shared" si="102"/>
        <v>104.5</v>
      </c>
      <c r="P419" s="38">
        <f ca="1">IF(ISERROR(IF(O419&lt;fi_h/20,0,(OFFSET('Base de dados'!$A$5,IF(O419&lt;20,1,IF(O419&gt;1000,10,MATCH(O419,Cargas,1))),Coluna_fih,1,1))*(1+0.13*0.25)*(PI()*(fi_h/1000)^2/4)*SQRT(2*9.81*(O419/100-fi_h/2/1000))*1000)),"",IF(O419&lt;fi_h/20,0,(OFFSET('Base de dados'!$A$5,IF(O419&lt;20,1,IF(O419&gt;1000,10,MATCH(O419,Cargas,1))),Coluna_fih,1,1))*(PI()*(fi_h/1000)^2/4)*SQRT(2*9.81*(O419/100-fi_h/2/1000))*1000))</f>
        <v>2.7175958786062027</v>
      </c>
      <c r="Q419" s="38">
        <f ca="1">IF(O419="","",IF(Tipo_Vertedor="Retangular",IF(O419&lt;=cota_s*100,0,IF(Tipo_Vertedor="Retangular",Cd_sr*Lef_sr*((O419/100-cota_s)^(3/2))*1000)),IF(O419&lt;=cota_s*100+fi_s/20,0,(OFFSET('Base de dados'!$A$4,IF(O419&lt;20,1,IF(O419&gt;1000,10,MATCH(O419,Cargas,1))),Coluna_fis,1,1))*(PI()*(fi_s/1000)^2/4)*(2*9.81*(O419/100-cota_s-fi_s/2/1000))^0.5*1000)))</f>
        <v>0</v>
      </c>
      <c r="R419" s="38">
        <f t="shared" ca="1" si="92"/>
        <v>2.7175958786062027</v>
      </c>
      <c r="S419" s="38">
        <f t="shared" ca="1" si="93"/>
        <v>130.62499999999997</v>
      </c>
      <c r="AD419" s="38" t="str">
        <f t="shared" si="103"/>
        <v/>
      </c>
      <c r="AE419" s="38" t="str">
        <f t="shared" si="104"/>
        <v/>
      </c>
      <c r="AF419" s="38" t="str">
        <f>IF(ISERROR(IF('Hidrograma afluente'!I426="",0,'Hidrograma afluente'!I426)+Simulação!G419),"",IF('Hidrograma afluente'!I426="",0,'Hidrograma afluente'!I426)+Simulação!G419)</f>
        <v/>
      </c>
      <c r="AG419" s="36" t="s">
        <v>182</v>
      </c>
      <c r="AH419" s="36" t="s">
        <v>182</v>
      </c>
      <c r="AI419" s="48" t="s">
        <v>182</v>
      </c>
      <c r="AJ419" s="36" t="s">
        <v>182</v>
      </c>
      <c r="AK419" s="38" t="str">
        <f>IF(A419="","",IF('Hidrograma afluente'!I426="",0,'Hidrograma afluente'!I426)+Simulação!B419)</f>
        <v/>
      </c>
    </row>
    <row r="420" spans="1:37" s="36" customFormat="1">
      <c r="A420" s="23" t="str">
        <f t="shared" si="94"/>
        <v/>
      </c>
      <c r="B420" s="24" t="str">
        <f>IF(A420="","",IF(A420&gt;tc_lot_i+tc,0,IF('Hidrograma afluente'!B427="","",'Hidrograma afluente'!B427)))</f>
        <v/>
      </c>
      <c r="C420" s="41" t="str">
        <f t="shared" si="95"/>
        <v/>
      </c>
      <c r="D420" s="41" t="str">
        <f t="shared" si="96"/>
        <v/>
      </c>
      <c r="E420" s="41" t="str">
        <f t="shared" si="97"/>
        <v/>
      </c>
      <c r="F420" s="41" t="str">
        <f t="shared" si="98"/>
        <v/>
      </c>
      <c r="G420" s="41" t="str">
        <f t="shared" si="99"/>
        <v/>
      </c>
      <c r="H420" s="43" t="str">
        <f t="shared" si="105"/>
        <v/>
      </c>
      <c r="I420" s="42" t="str">
        <f t="shared" si="100"/>
        <v/>
      </c>
      <c r="J420" s="18"/>
      <c r="K420" s="76"/>
      <c r="M420" s="132">
        <f t="shared" ca="1" si="91"/>
        <v>133.65840026916393</v>
      </c>
      <c r="N420" s="38">
        <f t="shared" si="101"/>
        <v>3.9281250000000005</v>
      </c>
      <c r="O420" s="36">
        <f t="shared" si="102"/>
        <v>104.75</v>
      </c>
      <c r="P420" s="38">
        <f ca="1">IF(ISERROR(IF(O420&lt;fi_h/20,0,(OFFSET('Base de dados'!$A$5,IF(O420&lt;20,1,IF(O420&gt;1000,10,MATCH(O420,Cargas,1))),Coluna_fih,1,1))*(1+0.13*0.25)*(PI()*(fi_h/1000)^2/4)*SQRT(2*9.81*(O420/100-fi_h/2/1000))*1000)),"",IF(O420&lt;fi_h/20,0,(OFFSET('Base de dados'!$A$5,IF(O420&lt;20,1,IF(O420&gt;1000,10,MATCH(O420,Cargas,1))),Coluna_fih,1,1))*(PI()*(fi_h/1000)^2/4)*SQRT(2*9.81*(O420/100-fi_h/2/1000))*1000))</f>
        <v>2.7209002691639084</v>
      </c>
      <c r="Q420" s="38">
        <f ca="1">IF(O420="","",IF(Tipo_Vertedor="Retangular",IF(O420&lt;=cota_s*100,0,IF(Tipo_Vertedor="Retangular",Cd_sr*Lef_sr*((O420/100-cota_s)^(3/2))*1000)),IF(O420&lt;=cota_s*100+fi_s/20,0,(OFFSET('Base de dados'!$A$4,IF(O420&lt;20,1,IF(O420&gt;1000,10,MATCH(O420,Cargas,1))),Coluna_fis,1,1))*(PI()*(fi_s/1000)^2/4)*(2*9.81*(O420/100-cota_s-fi_s/2/1000))^0.5*1000)))</f>
        <v>0</v>
      </c>
      <c r="R420" s="38">
        <f t="shared" ca="1" si="92"/>
        <v>2.7209002691639084</v>
      </c>
      <c r="S420" s="38">
        <f t="shared" ca="1" si="93"/>
        <v>130.93750000000003</v>
      </c>
      <c r="AD420" s="38" t="str">
        <f t="shared" si="103"/>
        <v/>
      </c>
      <c r="AE420" s="38" t="str">
        <f t="shared" si="104"/>
        <v/>
      </c>
      <c r="AF420" s="38" t="str">
        <f>IF(ISERROR(IF('Hidrograma afluente'!I427="",0,'Hidrograma afluente'!I427)+Simulação!G420),"",IF('Hidrograma afluente'!I427="",0,'Hidrograma afluente'!I427)+Simulação!G420)</f>
        <v/>
      </c>
      <c r="AG420" s="36" t="s">
        <v>182</v>
      </c>
      <c r="AH420" s="36" t="s">
        <v>182</v>
      </c>
      <c r="AI420" s="48" t="s">
        <v>182</v>
      </c>
      <c r="AJ420" s="36" t="s">
        <v>182</v>
      </c>
      <c r="AK420" s="38" t="str">
        <f>IF(A420="","",IF('Hidrograma afluente'!I427="",0,'Hidrograma afluente'!I427)+Simulação!B420)</f>
        <v/>
      </c>
    </row>
    <row r="421" spans="1:37" s="36" customFormat="1">
      <c r="A421" s="23" t="str">
        <f t="shared" si="94"/>
        <v/>
      </c>
      <c r="B421" s="24" t="str">
        <f>IF(A421="","",IF(A421&gt;tc_lot_i+tc,0,IF('Hidrograma afluente'!B428="","",'Hidrograma afluente'!B428)))</f>
        <v/>
      </c>
      <c r="C421" s="41" t="str">
        <f t="shared" si="95"/>
        <v/>
      </c>
      <c r="D421" s="41" t="str">
        <f t="shared" si="96"/>
        <v/>
      </c>
      <c r="E421" s="41" t="str">
        <f t="shared" si="97"/>
        <v/>
      </c>
      <c r="F421" s="41" t="str">
        <f t="shared" si="98"/>
        <v/>
      </c>
      <c r="G421" s="41" t="str">
        <f t="shared" si="99"/>
        <v/>
      </c>
      <c r="H421" s="43" t="str">
        <f t="shared" si="105"/>
        <v/>
      </c>
      <c r="I421" s="42" t="str">
        <f t="shared" si="100"/>
        <v/>
      </c>
      <c r="J421" s="18"/>
      <c r="K421" s="76"/>
      <c r="M421" s="132">
        <f t="shared" ca="1" si="91"/>
        <v>133.97420065157746</v>
      </c>
      <c r="N421" s="38">
        <f t="shared" si="101"/>
        <v>3.9375</v>
      </c>
      <c r="O421" s="36">
        <f t="shared" si="102"/>
        <v>105</v>
      </c>
      <c r="P421" s="38">
        <f ca="1">IF(ISERROR(IF(O421&lt;fi_h/20,0,(OFFSET('Base de dados'!$A$5,IF(O421&lt;20,1,IF(O421&gt;1000,10,MATCH(O421,Cargas,1))),Coluna_fih,1,1))*(1+0.13*0.25)*(PI()*(fi_h/1000)^2/4)*SQRT(2*9.81*(O421/100-fi_h/2/1000))*1000)),"",IF(O421&lt;fi_h/20,0,(OFFSET('Base de dados'!$A$5,IF(O421&lt;20,1,IF(O421&gt;1000,10,MATCH(O421,Cargas,1))),Coluna_fih,1,1))*(PI()*(fi_h/1000)^2/4)*SQRT(2*9.81*(O421/100-fi_h/2/1000))*1000))</f>
        <v>2.7242006515774566</v>
      </c>
      <c r="Q421" s="38">
        <f ca="1">IF(O421="","",IF(Tipo_Vertedor="Retangular",IF(O421&lt;=cota_s*100,0,IF(Tipo_Vertedor="Retangular",Cd_sr*Lef_sr*((O421/100-cota_s)^(3/2))*1000)),IF(O421&lt;=cota_s*100+fi_s/20,0,(OFFSET('Base de dados'!$A$4,IF(O421&lt;20,1,IF(O421&gt;1000,10,MATCH(O421,Cargas,1))),Coluna_fis,1,1))*(PI()*(fi_s/1000)^2/4)*(2*9.81*(O421/100-cota_s-fi_s/2/1000))^0.5*1000)))</f>
        <v>0</v>
      </c>
      <c r="R421" s="38">
        <f t="shared" ca="1" si="92"/>
        <v>2.7242006515774566</v>
      </c>
      <c r="S421" s="38">
        <f t="shared" ca="1" si="93"/>
        <v>131.25</v>
      </c>
      <c r="AD421" s="38" t="str">
        <f t="shared" si="103"/>
        <v/>
      </c>
      <c r="AE421" s="38" t="str">
        <f t="shared" si="104"/>
        <v/>
      </c>
      <c r="AF421" s="38" t="str">
        <f>IF(ISERROR(IF('Hidrograma afluente'!I428="",0,'Hidrograma afluente'!I428)+Simulação!G421),"",IF('Hidrograma afluente'!I428="",0,'Hidrograma afluente'!I428)+Simulação!G421)</f>
        <v/>
      </c>
      <c r="AG421" s="36" t="s">
        <v>182</v>
      </c>
      <c r="AH421" s="36" t="s">
        <v>182</v>
      </c>
      <c r="AI421" s="48" t="s">
        <v>182</v>
      </c>
      <c r="AJ421" s="36" t="s">
        <v>182</v>
      </c>
      <c r="AK421" s="38" t="str">
        <f>IF(A421="","",IF('Hidrograma afluente'!I428="",0,'Hidrograma afluente'!I428)+Simulação!B421)</f>
        <v/>
      </c>
    </row>
    <row r="422" spans="1:37" s="36" customFormat="1">
      <c r="A422" s="23" t="str">
        <f t="shared" si="94"/>
        <v/>
      </c>
      <c r="B422" s="24" t="str">
        <f>IF(A422="","",IF(A422&gt;tc_lot_i+tc,0,IF('Hidrograma afluente'!B429="","",'Hidrograma afluente'!B429)))</f>
        <v/>
      </c>
      <c r="C422" s="41" t="str">
        <f t="shared" si="95"/>
        <v/>
      </c>
      <c r="D422" s="41" t="str">
        <f t="shared" si="96"/>
        <v/>
      </c>
      <c r="E422" s="41" t="str">
        <f t="shared" si="97"/>
        <v/>
      </c>
      <c r="F422" s="41" t="str">
        <f t="shared" si="98"/>
        <v/>
      </c>
      <c r="G422" s="41" t="str">
        <f t="shared" si="99"/>
        <v/>
      </c>
      <c r="H422" s="43" t="str">
        <f t="shared" si="105"/>
        <v/>
      </c>
      <c r="I422" s="42" t="str">
        <f t="shared" si="100"/>
        <v/>
      </c>
      <c r="J422" s="18"/>
      <c r="K422" s="76"/>
      <c r="M422" s="132">
        <f t="shared" ca="1" si="91"/>
        <v>134.28999704039691</v>
      </c>
      <c r="N422" s="38">
        <f t="shared" si="101"/>
        <v>3.9468749999999999</v>
      </c>
      <c r="O422" s="36">
        <f t="shared" si="102"/>
        <v>105.25</v>
      </c>
      <c r="P422" s="38">
        <f ca="1">IF(ISERROR(IF(O422&lt;fi_h/20,0,(OFFSET('Base de dados'!$A$5,IF(O422&lt;20,1,IF(O422&gt;1000,10,MATCH(O422,Cargas,1))),Coluna_fih,1,1))*(1+0.13*0.25)*(PI()*(fi_h/1000)^2/4)*SQRT(2*9.81*(O422/100-fi_h/2/1000))*1000)),"",IF(O422&lt;fi_h/20,0,(OFFSET('Base de dados'!$A$5,IF(O422&lt;20,1,IF(O422&gt;1000,10,MATCH(O422,Cargas,1))),Coluna_fih,1,1))*(PI()*(fi_h/1000)^2/4)*SQRT(2*9.81*(O422/100-fi_h/2/1000))*1000))</f>
        <v>2.7274970403968992</v>
      </c>
      <c r="Q422" s="38">
        <f ca="1">IF(O422="","",IF(Tipo_Vertedor="Retangular",IF(O422&lt;=cota_s*100,0,IF(Tipo_Vertedor="Retangular",Cd_sr*Lef_sr*((O422/100-cota_s)^(3/2))*1000)),IF(O422&lt;=cota_s*100+fi_s/20,0,(OFFSET('Base de dados'!$A$4,IF(O422&lt;20,1,IF(O422&gt;1000,10,MATCH(O422,Cargas,1))),Coluna_fis,1,1))*(PI()*(fi_s/1000)^2/4)*(2*9.81*(O422/100-cota_s-fi_s/2/1000))^0.5*1000)))</f>
        <v>0</v>
      </c>
      <c r="R422" s="38">
        <f t="shared" ca="1" si="92"/>
        <v>2.7274970403968992</v>
      </c>
      <c r="S422" s="38">
        <f t="shared" ca="1" si="93"/>
        <v>131.5625</v>
      </c>
      <c r="AD422" s="38" t="str">
        <f t="shared" si="103"/>
        <v/>
      </c>
      <c r="AE422" s="38" t="str">
        <f t="shared" si="104"/>
        <v/>
      </c>
      <c r="AF422" s="38" t="str">
        <f>IF(ISERROR(IF('Hidrograma afluente'!I429="",0,'Hidrograma afluente'!I429)+Simulação!G422),"",IF('Hidrograma afluente'!I429="",0,'Hidrograma afluente'!I429)+Simulação!G422)</f>
        <v/>
      </c>
      <c r="AG422" s="36" t="s">
        <v>182</v>
      </c>
      <c r="AH422" s="36" t="s">
        <v>182</v>
      </c>
      <c r="AI422" s="48" t="s">
        <v>182</v>
      </c>
      <c r="AJ422" s="36" t="s">
        <v>182</v>
      </c>
      <c r="AK422" s="38" t="str">
        <f>IF(A422="","",IF('Hidrograma afluente'!I429="",0,'Hidrograma afluente'!I429)+Simulação!B422)</f>
        <v/>
      </c>
    </row>
    <row r="423" spans="1:37" s="36" customFormat="1">
      <c r="A423" s="23" t="str">
        <f t="shared" si="94"/>
        <v/>
      </c>
      <c r="B423" s="24" t="str">
        <f>IF(A423="","",IF(A423&gt;tc_lot_i+tc,0,IF('Hidrograma afluente'!B430="","",'Hidrograma afluente'!B430)))</f>
        <v/>
      </c>
      <c r="C423" s="41" t="str">
        <f t="shared" si="95"/>
        <v/>
      </c>
      <c r="D423" s="41" t="str">
        <f t="shared" si="96"/>
        <v/>
      </c>
      <c r="E423" s="41" t="str">
        <f t="shared" si="97"/>
        <v/>
      </c>
      <c r="F423" s="41" t="str">
        <f t="shared" si="98"/>
        <v/>
      </c>
      <c r="G423" s="41" t="str">
        <f t="shared" si="99"/>
        <v/>
      </c>
      <c r="H423" s="43" t="str">
        <f t="shared" si="105"/>
        <v/>
      </c>
      <c r="I423" s="42" t="str">
        <f t="shared" si="100"/>
        <v/>
      </c>
      <c r="J423" s="18"/>
      <c r="K423" s="76"/>
      <c r="M423" s="132">
        <f t="shared" ca="1" si="91"/>
        <v>134.60578945008447</v>
      </c>
      <c r="N423" s="38">
        <f t="shared" si="101"/>
        <v>3.9562499999999998</v>
      </c>
      <c r="O423" s="36">
        <f t="shared" si="102"/>
        <v>105.5</v>
      </c>
      <c r="P423" s="38">
        <f ca="1">IF(ISERROR(IF(O423&lt;fi_h/20,0,(OFFSET('Base de dados'!$A$5,IF(O423&lt;20,1,IF(O423&gt;1000,10,MATCH(O423,Cargas,1))),Coluna_fih,1,1))*(1+0.13*0.25)*(PI()*(fi_h/1000)^2/4)*SQRT(2*9.81*(O423/100-fi_h/2/1000))*1000)),"",IF(O423&lt;fi_h/20,0,(OFFSET('Base de dados'!$A$5,IF(O423&lt;20,1,IF(O423&gt;1000,10,MATCH(O423,Cargas,1))),Coluna_fih,1,1))*(PI()*(fi_h/1000)^2/4)*SQRT(2*9.81*(O423/100-fi_h/2/1000))*1000))</f>
        <v>2.730789450084472</v>
      </c>
      <c r="Q423" s="38">
        <f ca="1">IF(O423="","",IF(Tipo_Vertedor="Retangular",IF(O423&lt;=cota_s*100,0,IF(Tipo_Vertedor="Retangular",Cd_sr*Lef_sr*((O423/100-cota_s)^(3/2))*1000)),IF(O423&lt;=cota_s*100+fi_s/20,0,(OFFSET('Base de dados'!$A$4,IF(O423&lt;20,1,IF(O423&gt;1000,10,MATCH(O423,Cargas,1))),Coluna_fis,1,1))*(PI()*(fi_s/1000)^2/4)*(2*9.81*(O423/100-cota_s-fi_s/2/1000))^0.5*1000)))</f>
        <v>0</v>
      </c>
      <c r="R423" s="38">
        <f t="shared" ca="1" si="92"/>
        <v>2.730789450084472</v>
      </c>
      <c r="S423" s="38">
        <f t="shared" ca="1" si="93"/>
        <v>131.875</v>
      </c>
      <c r="AD423" s="38" t="str">
        <f t="shared" si="103"/>
        <v/>
      </c>
      <c r="AE423" s="38" t="str">
        <f t="shared" si="104"/>
        <v/>
      </c>
      <c r="AF423" s="38" t="str">
        <f>IF(ISERROR(IF('Hidrograma afluente'!I430="",0,'Hidrograma afluente'!I430)+Simulação!G423),"",IF('Hidrograma afluente'!I430="",0,'Hidrograma afluente'!I430)+Simulação!G423)</f>
        <v/>
      </c>
      <c r="AG423" s="36" t="s">
        <v>182</v>
      </c>
      <c r="AH423" s="36" t="s">
        <v>182</v>
      </c>
      <c r="AI423" s="48" t="s">
        <v>182</v>
      </c>
      <c r="AJ423" s="36" t="s">
        <v>182</v>
      </c>
      <c r="AK423" s="38" t="str">
        <f>IF(A423="","",IF('Hidrograma afluente'!I430="",0,'Hidrograma afluente'!I430)+Simulação!B423)</f>
        <v/>
      </c>
    </row>
    <row r="424" spans="1:37" s="36" customFormat="1">
      <c r="A424" s="23" t="str">
        <f t="shared" ref="A424:A475" si="106">IF(ISERROR(IF(A423+Passo&lt;=tempo_simul,A423+Passo,"")),"",IF(A423+Passo&lt;=tempo_simul,A423+Passo,""))</f>
        <v/>
      </c>
      <c r="B424" s="24" t="str">
        <f>IF(A424="","",IF(A424&gt;tc_lot_i+tc,0,IF('Hidrograma afluente'!B431="","",'Hidrograma afluente'!B431)))</f>
        <v/>
      </c>
      <c r="C424" s="41" t="str">
        <f t="shared" ref="C424:C475" si="107">IF(B425=0,0,IF(B425="","",B425))</f>
        <v/>
      </c>
      <c r="D424" s="41" t="str">
        <f t="shared" si="96"/>
        <v/>
      </c>
      <c r="E424" s="41" t="str">
        <f t="shared" si="97"/>
        <v/>
      </c>
      <c r="F424" s="41" t="str">
        <f t="shared" si="98"/>
        <v/>
      </c>
      <c r="G424" s="41" t="str">
        <f t="shared" si="99"/>
        <v/>
      </c>
      <c r="H424" s="43" t="str">
        <f t="shared" ref="H424:H475" si="108">IF(A424="","",IF(ISERROR(B424+C424+D424-G424),0,B424+C424+D424-G424))</f>
        <v/>
      </c>
      <c r="I424" s="42" t="str">
        <f t="shared" si="100"/>
        <v/>
      </c>
      <c r="J424" s="18"/>
      <c r="K424" s="76"/>
      <c r="M424" s="132">
        <f t="shared" ca="1" si="91"/>
        <v>134.92157789501533</v>
      </c>
      <c r="N424" s="38">
        <f t="shared" si="101"/>
        <v>3.9656250000000002</v>
      </c>
      <c r="O424" s="36">
        <f t="shared" si="102"/>
        <v>105.75</v>
      </c>
      <c r="P424" s="38">
        <f ca="1">IF(ISERROR(IF(O424&lt;fi_h/20,0,(OFFSET('Base de dados'!$A$5,IF(O424&lt;20,1,IF(O424&gt;1000,10,MATCH(O424,Cargas,1))),Coluna_fih,1,1))*(1+0.13*0.25)*(PI()*(fi_h/1000)^2/4)*SQRT(2*9.81*(O424/100-fi_h/2/1000))*1000)),"",IF(O424&lt;fi_h/20,0,(OFFSET('Base de dados'!$A$5,IF(O424&lt;20,1,IF(O424&gt;1000,10,MATCH(O424,Cargas,1))),Coluna_fih,1,1))*(PI()*(fi_h/1000)^2/4)*SQRT(2*9.81*(O424/100-fi_h/2/1000))*1000))</f>
        <v>2.7340778950153308</v>
      </c>
      <c r="Q424" s="38">
        <f ca="1">IF(O424="","",IF(Tipo_Vertedor="Retangular",IF(O424&lt;=cota_s*100,0,IF(Tipo_Vertedor="Retangular",Cd_sr*Lef_sr*((O424/100-cota_s)^(3/2))*1000)),IF(O424&lt;=cota_s*100+fi_s/20,0,(OFFSET('Base de dados'!$A$4,IF(O424&lt;20,1,IF(O424&gt;1000,10,MATCH(O424,Cargas,1))),Coluna_fis,1,1))*(PI()*(fi_s/1000)^2/4)*(2*9.81*(O424/100-cota_s-fi_s/2/1000))^0.5*1000)))</f>
        <v>0</v>
      </c>
      <c r="R424" s="38">
        <f t="shared" ca="1" si="92"/>
        <v>2.7340778950153308</v>
      </c>
      <c r="S424" s="38">
        <f t="shared" ca="1" si="93"/>
        <v>132.1875</v>
      </c>
      <c r="AD424" s="38" t="str">
        <f t="shared" si="103"/>
        <v/>
      </c>
      <c r="AE424" s="38" t="str">
        <f t="shared" si="104"/>
        <v/>
      </c>
      <c r="AF424" s="38" t="str">
        <f>IF(ISERROR(IF('Hidrograma afluente'!I431="",0,'Hidrograma afluente'!I431)+Simulação!G424),"",IF('Hidrograma afluente'!I431="",0,'Hidrograma afluente'!I431)+Simulação!G424)</f>
        <v/>
      </c>
      <c r="AG424" s="36" t="s">
        <v>182</v>
      </c>
      <c r="AH424" s="36" t="s">
        <v>182</v>
      </c>
      <c r="AI424" s="48" t="s">
        <v>182</v>
      </c>
      <c r="AJ424" s="36" t="s">
        <v>182</v>
      </c>
      <c r="AK424" s="38" t="str">
        <f>IF(A424="","",IF('Hidrograma afluente'!I431="",0,'Hidrograma afluente'!I431)+Simulação!B424)</f>
        <v/>
      </c>
    </row>
    <row r="425" spans="1:37" s="36" customFormat="1">
      <c r="A425" s="23" t="str">
        <f t="shared" si="106"/>
        <v/>
      </c>
      <c r="B425" s="24" t="str">
        <f>IF(A425="","",IF(A425&gt;tc_lot_i+tc,0,IF('Hidrograma afluente'!B432="","",'Hidrograma afluente'!B432)))</f>
        <v/>
      </c>
      <c r="C425" s="41" t="str">
        <f t="shared" si="107"/>
        <v/>
      </c>
      <c r="D425" s="41" t="str">
        <f t="shared" si="96"/>
        <v/>
      </c>
      <c r="E425" s="41" t="str">
        <f t="shared" si="97"/>
        <v/>
      </c>
      <c r="F425" s="41" t="str">
        <f t="shared" si="98"/>
        <v/>
      </c>
      <c r="G425" s="41" t="str">
        <f t="shared" si="99"/>
        <v/>
      </c>
      <c r="H425" s="43" t="str">
        <f t="shared" si="108"/>
        <v/>
      </c>
      <c r="I425" s="42" t="str">
        <f t="shared" si="100"/>
        <v/>
      </c>
      <c r="J425" s="18"/>
      <c r="K425" s="76"/>
      <c r="M425" s="132">
        <f t="shared" ca="1" si="91"/>
        <v>135.23736238947828</v>
      </c>
      <c r="N425" s="38">
        <f t="shared" si="101"/>
        <v>3.9750000000000001</v>
      </c>
      <c r="O425" s="36">
        <f t="shared" si="102"/>
        <v>106</v>
      </c>
      <c r="P425" s="38">
        <f ca="1">IF(ISERROR(IF(O425&lt;fi_h/20,0,(OFFSET('Base de dados'!$A$5,IF(O425&lt;20,1,IF(O425&gt;1000,10,MATCH(O425,Cargas,1))),Coluna_fih,1,1))*(1+0.13*0.25)*(PI()*(fi_h/1000)^2/4)*SQRT(2*9.81*(O425/100-fi_h/2/1000))*1000)),"",IF(O425&lt;fi_h/20,0,(OFFSET('Base de dados'!$A$5,IF(O425&lt;20,1,IF(O425&gt;1000,10,MATCH(O425,Cargas,1))),Coluna_fih,1,1))*(PI()*(fi_h/1000)^2/4)*SQRT(2*9.81*(O425/100-fi_h/2/1000))*1000))</f>
        <v>2.7373623894782857</v>
      </c>
      <c r="Q425" s="38">
        <f ca="1">IF(O425="","",IF(Tipo_Vertedor="Retangular",IF(O425&lt;=cota_s*100,0,IF(Tipo_Vertedor="Retangular",Cd_sr*Lef_sr*((O425/100-cota_s)^(3/2))*1000)),IF(O425&lt;=cota_s*100+fi_s/20,0,(OFFSET('Base de dados'!$A$4,IF(O425&lt;20,1,IF(O425&gt;1000,10,MATCH(O425,Cargas,1))),Coluna_fis,1,1))*(PI()*(fi_s/1000)^2/4)*(2*9.81*(O425/100-cota_s-fi_s/2/1000))^0.5*1000)))</f>
        <v>0</v>
      </c>
      <c r="R425" s="38">
        <f t="shared" ca="1" si="92"/>
        <v>2.7373623894782857</v>
      </c>
      <c r="S425" s="38">
        <f t="shared" ca="1" si="93"/>
        <v>132.5</v>
      </c>
      <c r="AD425" s="38" t="str">
        <f t="shared" si="103"/>
        <v/>
      </c>
      <c r="AE425" s="38" t="str">
        <f t="shared" si="104"/>
        <v/>
      </c>
      <c r="AF425" s="38" t="str">
        <f>IF(ISERROR(IF('Hidrograma afluente'!I432="",0,'Hidrograma afluente'!I432)+Simulação!G425),"",IF('Hidrograma afluente'!I432="",0,'Hidrograma afluente'!I432)+Simulação!G425)</f>
        <v/>
      </c>
      <c r="AG425" s="36" t="s">
        <v>182</v>
      </c>
      <c r="AH425" s="36" t="s">
        <v>182</v>
      </c>
      <c r="AI425" s="48" t="s">
        <v>182</v>
      </c>
      <c r="AJ425" s="36" t="s">
        <v>182</v>
      </c>
      <c r="AK425" s="38" t="str">
        <f>IF(A425="","",IF('Hidrograma afluente'!I432="",0,'Hidrograma afluente'!I432)+Simulação!B425)</f>
        <v/>
      </c>
    </row>
    <row r="426" spans="1:37" s="36" customFormat="1">
      <c r="A426" s="23" t="str">
        <f t="shared" si="106"/>
        <v/>
      </c>
      <c r="B426" s="24" t="str">
        <f>IF(A426="","",IF(A426&gt;tc_lot_i+tc,0,IF('Hidrograma afluente'!B433="","",'Hidrograma afluente'!B433)))</f>
        <v/>
      </c>
      <c r="C426" s="41" t="str">
        <f t="shared" si="107"/>
        <v/>
      </c>
      <c r="D426" s="41" t="str">
        <f t="shared" si="96"/>
        <v/>
      </c>
      <c r="E426" s="41" t="str">
        <f t="shared" si="97"/>
        <v/>
      </c>
      <c r="F426" s="41" t="str">
        <f t="shared" si="98"/>
        <v/>
      </c>
      <c r="G426" s="41" t="str">
        <f t="shared" si="99"/>
        <v/>
      </c>
      <c r="H426" s="43" t="str">
        <f t="shared" si="108"/>
        <v/>
      </c>
      <c r="I426" s="42" t="str">
        <f t="shared" si="100"/>
        <v/>
      </c>
      <c r="J426" s="18"/>
      <c r="K426" s="76"/>
      <c r="M426" s="132">
        <f t="shared" ca="1" si="91"/>
        <v>135.55314294767652</v>
      </c>
      <c r="N426" s="38">
        <f t="shared" si="101"/>
        <v>3.984375</v>
      </c>
      <c r="O426" s="36">
        <f t="shared" si="102"/>
        <v>106.25</v>
      </c>
      <c r="P426" s="38">
        <f ca="1">IF(ISERROR(IF(O426&lt;fi_h/20,0,(OFFSET('Base de dados'!$A$5,IF(O426&lt;20,1,IF(O426&gt;1000,10,MATCH(O426,Cargas,1))),Coluna_fih,1,1))*(1+0.13*0.25)*(PI()*(fi_h/1000)^2/4)*SQRT(2*9.81*(O426/100-fi_h/2/1000))*1000)),"",IF(O426&lt;fi_h/20,0,(OFFSET('Base de dados'!$A$5,IF(O426&lt;20,1,IF(O426&gt;1000,10,MATCH(O426,Cargas,1))),Coluna_fih,1,1))*(PI()*(fi_h/1000)^2/4)*SQRT(2*9.81*(O426/100-fi_h/2/1000))*1000))</f>
        <v>2.7406429476765264</v>
      </c>
      <c r="Q426" s="38">
        <f ca="1">IF(O426="","",IF(Tipo_Vertedor="Retangular",IF(O426&lt;=cota_s*100,0,IF(Tipo_Vertedor="Retangular",Cd_sr*Lef_sr*((O426/100-cota_s)^(3/2))*1000)),IF(O426&lt;=cota_s*100+fi_s/20,0,(OFFSET('Base de dados'!$A$4,IF(O426&lt;20,1,IF(O426&gt;1000,10,MATCH(O426,Cargas,1))),Coluna_fis,1,1))*(PI()*(fi_s/1000)^2/4)*(2*9.81*(O426/100-cota_s-fi_s/2/1000))^0.5*1000)))</f>
        <v>0</v>
      </c>
      <c r="R426" s="38">
        <f t="shared" ca="1" si="92"/>
        <v>2.7406429476765264</v>
      </c>
      <c r="S426" s="38">
        <f t="shared" ca="1" si="93"/>
        <v>132.8125</v>
      </c>
      <c r="AD426" s="38" t="str">
        <f t="shared" si="103"/>
        <v/>
      </c>
      <c r="AE426" s="38" t="str">
        <f t="shared" si="104"/>
        <v/>
      </c>
      <c r="AF426" s="38" t="str">
        <f>IF(ISERROR(IF('Hidrograma afluente'!I433="",0,'Hidrograma afluente'!I433)+Simulação!G426),"",IF('Hidrograma afluente'!I433="",0,'Hidrograma afluente'!I433)+Simulação!G426)</f>
        <v/>
      </c>
      <c r="AG426" s="36" t="s">
        <v>182</v>
      </c>
      <c r="AH426" s="36" t="s">
        <v>182</v>
      </c>
      <c r="AI426" s="48" t="s">
        <v>182</v>
      </c>
      <c r="AJ426" s="36" t="s">
        <v>182</v>
      </c>
      <c r="AK426" s="38" t="str">
        <f>IF(A426="","",IF('Hidrograma afluente'!I433="",0,'Hidrograma afluente'!I433)+Simulação!B426)</f>
        <v/>
      </c>
    </row>
    <row r="427" spans="1:37" s="36" customFormat="1">
      <c r="A427" s="23" t="str">
        <f t="shared" si="106"/>
        <v/>
      </c>
      <c r="B427" s="24" t="str">
        <f>IF(A427="","",IF(A427&gt;tc_lot_i+tc,0,IF('Hidrograma afluente'!B434="","",'Hidrograma afluente'!B434)))</f>
        <v/>
      </c>
      <c r="C427" s="41" t="str">
        <f t="shared" si="107"/>
        <v/>
      </c>
      <c r="D427" s="41" t="str">
        <f t="shared" si="96"/>
        <v/>
      </c>
      <c r="E427" s="41" t="str">
        <f t="shared" si="97"/>
        <v/>
      </c>
      <c r="F427" s="41" t="str">
        <f t="shared" si="98"/>
        <v/>
      </c>
      <c r="G427" s="41" t="str">
        <f t="shared" si="99"/>
        <v/>
      </c>
      <c r="H427" s="43" t="str">
        <f t="shared" si="108"/>
        <v/>
      </c>
      <c r="I427" s="42" t="str">
        <f t="shared" si="100"/>
        <v/>
      </c>
      <c r="J427" s="18"/>
      <c r="K427" s="76"/>
      <c r="M427" s="132">
        <f t="shared" ca="1" si="91"/>
        <v>135.86891958372834</v>
      </c>
      <c r="N427" s="38">
        <f t="shared" si="101"/>
        <v>3.9937499999999999</v>
      </c>
      <c r="O427" s="36">
        <f t="shared" si="102"/>
        <v>106.5</v>
      </c>
      <c r="P427" s="38">
        <f ca="1">IF(ISERROR(IF(O427&lt;fi_h/20,0,(OFFSET('Base de dados'!$A$5,IF(O427&lt;20,1,IF(O427&gt;1000,10,MATCH(O427,Cargas,1))),Coluna_fih,1,1))*(1+0.13*0.25)*(PI()*(fi_h/1000)^2/4)*SQRT(2*9.81*(O427/100-fi_h/2/1000))*1000)),"",IF(O427&lt;fi_h/20,0,(OFFSET('Base de dados'!$A$5,IF(O427&lt;20,1,IF(O427&gt;1000,10,MATCH(O427,Cargas,1))),Coluna_fih,1,1))*(PI()*(fi_h/1000)^2/4)*SQRT(2*9.81*(O427/100-fi_h/2/1000))*1000))</f>
        <v>2.7439195837283363</v>
      </c>
      <c r="Q427" s="38">
        <f ca="1">IF(O427="","",IF(Tipo_Vertedor="Retangular",IF(O427&lt;=cota_s*100,0,IF(Tipo_Vertedor="Retangular",Cd_sr*Lef_sr*((O427/100-cota_s)^(3/2))*1000)),IF(O427&lt;=cota_s*100+fi_s/20,0,(OFFSET('Base de dados'!$A$4,IF(O427&lt;20,1,IF(O427&gt;1000,10,MATCH(O427,Cargas,1))),Coluna_fis,1,1))*(PI()*(fi_s/1000)^2/4)*(2*9.81*(O427/100-cota_s-fi_s/2/1000))^0.5*1000)))</f>
        <v>0</v>
      </c>
      <c r="R427" s="38">
        <f t="shared" ca="1" si="92"/>
        <v>2.7439195837283363</v>
      </c>
      <c r="S427" s="38">
        <f t="shared" ca="1" si="93"/>
        <v>133.125</v>
      </c>
      <c r="AD427" s="38" t="str">
        <f t="shared" si="103"/>
        <v/>
      </c>
      <c r="AE427" s="38" t="str">
        <f t="shared" si="104"/>
        <v/>
      </c>
      <c r="AF427" s="38" t="str">
        <f>IF(ISERROR(IF('Hidrograma afluente'!I434="",0,'Hidrograma afluente'!I434)+Simulação!G427),"",IF('Hidrograma afluente'!I434="",0,'Hidrograma afluente'!I434)+Simulação!G427)</f>
        <v/>
      </c>
      <c r="AG427" s="36" t="s">
        <v>182</v>
      </c>
      <c r="AH427" s="36" t="s">
        <v>182</v>
      </c>
      <c r="AI427" s="48" t="s">
        <v>182</v>
      </c>
      <c r="AJ427" s="36" t="s">
        <v>182</v>
      </c>
      <c r="AK427" s="38" t="str">
        <f>IF(A427="","",IF('Hidrograma afluente'!I434="",0,'Hidrograma afluente'!I434)+Simulação!B427)</f>
        <v/>
      </c>
    </row>
    <row r="428" spans="1:37" s="36" customFormat="1">
      <c r="A428" s="23" t="str">
        <f t="shared" si="106"/>
        <v/>
      </c>
      <c r="B428" s="24" t="str">
        <f>IF(A428="","",IF(A428&gt;tc_lot_i+tc,0,IF('Hidrograma afluente'!B435="","",'Hidrograma afluente'!B435)))</f>
        <v/>
      </c>
      <c r="C428" s="41" t="str">
        <f t="shared" si="107"/>
        <v/>
      </c>
      <c r="D428" s="41" t="str">
        <f t="shared" si="96"/>
        <v/>
      </c>
      <c r="E428" s="41" t="str">
        <f t="shared" si="97"/>
        <v/>
      </c>
      <c r="F428" s="41" t="str">
        <f t="shared" si="98"/>
        <v/>
      </c>
      <c r="G428" s="41" t="str">
        <f t="shared" si="99"/>
        <v/>
      </c>
      <c r="H428" s="43" t="str">
        <f t="shared" si="108"/>
        <v/>
      </c>
      <c r="I428" s="42" t="str">
        <f t="shared" si="100"/>
        <v/>
      </c>
      <c r="J428" s="18"/>
      <c r="K428" s="76"/>
      <c r="M428" s="132">
        <f t="shared" ca="1" si="91"/>
        <v>136.18469231166782</v>
      </c>
      <c r="N428" s="38">
        <f t="shared" si="101"/>
        <v>4.0031249999999998</v>
      </c>
      <c r="O428" s="36">
        <f t="shared" si="102"/>
        <v>106.75</v>
      </c>
      <c r="P428" s="38">
        <f ca="1">IF(ISERROR(IF(O428&lt;fi_h/20,0,(OFFSET('Base de dados'!$A$5,IF(O428&lt;20,1,IF(O428&gt;1000,10,MATCH(O428,Cargas,1))),Coluna_fih,1,1))*(1+0.13*0.25)*(PI()*(fi_h/1000)^2/4)*SQRT(2*9.81*(O428/100-fi_h/2/1000))*1000)),"",IF(O428&lt;fi_h/20,0,(OFFSET('Base de dados'!$A$5,IF(O428&lt;20,1,IF(O428&gt;1000,10,MATCH(O428,Cargas,1))),Coluna_fih,1,1))*(PI()*(fi_h/1000)^2/4)*SQRT(2*9.81*(O428/100-fi_h/2/1000))*1000))</f>
        <v>2.7471923116678041</v>
      </c>
      <c r="Q428" s="38">
        <f ca="1">IF(O428="","",IF(Tipo_Vertedor="Retangular",IF(O428&lt;=cota_s*100,0,IF(Tipo_Vertedor="Retangular",Cd_sr*Lef_sr*((O428/100-cota_s)^(3/2))*1000)),IF(O428&lt;=cota_s*100+fi_s/20,0,(OFFSET('Base de dados'!$A$4,IF(O428&lt;20,1,IF(O428&gt;1000,10,MATCH(O428,Cargas,1))),Coluna_fis,1,1))*(PI()*(fi_s/1000)^2/4)*(2*9.81*(O428/100-cota_s-fi_s/2/1000))^0.5*1000)))</f>
        <v>0</v>
      </c>
      <c r="R428" s="38">
        <f t="shared" ca="1" si="92"/>
        <v>2.7471923116678041</v>
      </c>
      <c r="S428" s="38">
        <f t="shared" ca="1" si="93"/>
        <v>133.4375</v>
      </c>
      <c r="AD428" s="38" t="str">
        <f t="shared" si="103"/>
        <v/>
      </c>
      <c r="AE428" s="38" t="str">
        <f t="shared" si="104"/>
        <v/>
      </c>
      <c r="AF428" s="38" t="str">
        <f>IF(ISERROR(IF('Hidrograma afluente'!I435="",0,'Hidrograma afluente'!I435)+Simulação!G428),"",IF('Hidrograma afluente'!I435="",0,'Hidrograma afluente'!I435)+Simulação!G428)</f>
        <v/>
      </c>
      <c r="AG428" s="36" t="s">
        <v>182</v>
      </c>
      <c r="AH428" s="36" t="s">
        <v>182</v>
      </c>
      <c r="AI428" s="48" t="s">
        <v>182</v>
      </c>
      <c r="AJ428" s="36" t="s">
        <v>182</v>
      </c>
      <c r="AK428" s="38" t="str">
        <f>IF(A428="","",IF('Hidrograma afluente'!I435="",0,'Hidrograma afluente'!I435)+Simulação!B428)</f>
        <v/>
      </c>
    </row>
    <row r="429" spans="1:37" s="36" customFormat="1">
      <c r="A429" s="23" t="str">
        <f t="shared" si="106"/>
        <v/>
      </c>
      <c r="B429" s="24" t="str">
        <f>IF(A429="","",IF(A429&gt;tc_lot_i+tc,0,IF('Hidrograma afluente'!B436="","",'Hidrograma afluente'!B436)))</f>
        <v/>
      </c>
      <c r="C429" s="41" t="str">
        <f t="shared" si="107"/>
        <v/>
      </c>
      <c r="D429" s="41" t="str">
        <f t="shared" si="96"/>
        <v/>
      </c>
      <c r="E429" s="41" t="str">
        <f t="shared" si="97"/>
        <v/>
      </c>
      <c r="F429" s="41" t="str">
        <f t="shared" si="98"/>
        <v/>
      </c>
      <c r="G429" s="41" t="str">
        <f t="shared" si="99"/>
        <v/>
      </c>
      <c r="H429" s="43" t="str">
        <f t="shared" si="108"/>
        <v/>
      </c>
      <c r="I429" s="42" t="str">
        <f t="shared" si="100"/>
        <v/>
      </c>
      <c r="J429" s="18"/>
      <c r="K429" s="76"/>
      <c r="M429" s="132">
        <f t="shared" ca="1" si="91"/>
        <v>136.50046114544551</v>
      </c>
      <c r="N429" s="38">
        <f t="shared" si="101"/>
        <v>4.0125000000000002</v>
      </c>
      <c r="O429" s="36">
        <f t="shared" si="102"/>
        <v>107</v>
      </c>
      <c r="P429" s="38">
        <f ca="1">IF(ISERROR(IF(O429&lt;fi_h/20,0,(OFFSET('Base de dados'!$A$5,IF(O429&lt;20,1,IF(O429&gt;1000,10,MATCH(O429,Cargas,1))),Coluna_fih,1,1))*(1+0.13*0.25)*(PI()*(fi_h/1000)^2/4)*SQRT(2*9.81*(O429/100-fi_h/2/1000))*1000)),"",IF(O429&lt;fi_h/20,0,(OFFSET('Base de dados'!$A$5,IF(O429&lt;20,1,IF(O429&gt;1000,10,MATCH(O429,Cargas,1))),Coluna_fih,1,1))*(PI()*(fi_h/1000)^2/4)*SQRT(2*9.81*(O429/100-fi_h/2/1000))*1000))</f>
        <v>2.7504611454455237</v>
      </c>
      <c r="Q429" s="38">
        <f ca="1">IF(O429="","",IF(Tipo_Vertedor="Retangular",IF(O429&lt;=cota_s*100,0,IF(Tipo_Vertedor="Retangular",Cd_sr*Lef_sr*((O429/100-cota_s)^(3/2))*1000)),IF(O429&lt;=cota_s*100+fi_s/20,0,(OFFSET('Base de dados'!$A$4,IF(O429&lt;20,1,IF(O429&gt;1000,10,MATCH(O429,Cargas,1))),Coluna_fis,1,1))*(PI()*(fi_s/1000)^2/4)*(2*9.81*(O429/100-cota_s-fi_s/2/1000))^0.5*1000)))</f>
        <v>0</v>
      </c>
      <c r="R429" s="38">
        <f t="shared" ca="1" si="92"/>
        <v>2.7504611454455237</v>
      </c>
      <c r="S429" s="38">
        <f t="shared" ca="1" si="93"/>
        <v>133.75</v>
      </c>
      <c r="AD429" s="38" t="str">
        <f t="shared" si="103"/>
        <v/>
      </c>
      <c r="AE429" s="38" t="str">
        <f t="shared" si="104"/>
        <v/>
      </c>
      <c r="AF429" s="38" t="str">
        <f>IF(ISERROR(IF('Hidrograma afluente'!I436="",0,'Hidrograma afluente'!I436)+Simulação!G429),"",IF('Hidrograma afluente'!I436="",0,'Hidrograma afluente'!I436)+Simulação!G429)</f>
        <v/>
      </c>
      <c r="AG429" s="36" t="s">
        <v>182</v>
      </c>
      <c r="AH429" s="36" t="s">
        <v>182</v>
      </c>
      <c r="AI429" s="48" t="s">
        <v>182</v>
      </c>
      <c r="AJ429" s="36" t="s">
        <v>182</v>
      </c>
      <c r="AK429" s="38" t="str">
        <f>IF(A429="","",IF('Hidrograma afluente'!I436="",0,'Hidrograma afluente'!I436)+Simulação!B429)</f>
        <v/>
      </c>
    </row>
    <row r="430" spans="1:37" s="36" customFormat="1">
      <c r="A430" s="23" t="str">
        <f t="shared" si="106"/>
        <v/>
      </c>
      <c r="B430" s="24" t="str">
        <f>IF(A430="","",IF(A430&gt;tc_lot_i+tc,0,IF('Hidrograma afluente'!B437="","",'Hidrograma afluente'!B437)))</f>
        <v/>
      </c>
      <c r="C430" s="41" t="str">
        <f t="shared" si="107"/>
        <v/>
      </c>
      <c r="D430" s="41" t="str">
        <f t="shared" si="96"/>
        <v/>
      </c>
      <c r="E430" s="41" t="str">
        <f t="shared" si="97"/>
        <v/>
      </c>
      <c r="F430" s="41" t="str">
        <f t="shared" si="98"/>
        <v/>
      </c>
      <c r="G430" s="41" t="str">
        <f t="shared" si="99"/>
        <v/>
      </c>
      <c r="H430" s="43" t="str">
        <f t="shared" si="108"/>
        <v/>
      </c>
      <c r="I430" s="42" t="str">
        <f t="shared" si="100"/>
        <v/>
      </c>
      <c r="J430" s="18"/>
      <c r="K430" s="76"/>
      <c r="M430" s="132">
        <f t="shared" ca="1" si="91"/>
        <v>136.81622609892926</v>
      </c>
      <c r="N430" s="38">
        <f t="shared" si="101"/>
        <v>4.0218749999999996</v>
      </c>
      <c r="O430" s="36">
        <f t="shared" si="102"/>
        <v>107.25</v>
      </c>
      <c r="P430" s="38">
        <f ca="1">IF(ISERROR(IF(O430&lt;fi_h/20,0,(OFFSET('Base de dados'!$A$5,IF(O430&lt;20,1,IF(O430&gt;1000,10,MATCH(O430,Cargas,1))),Coluna_fih,1,1))*(1+0.13*0.25)*(PI()*(fi_h/1000)^2/4)*SQRT(2*9.81*(O430/100-fi_h/2/1000))*1000)),"",IF(O430&lt;fi_h/20,0,(OFFSET('Base de dados'!$A$5,IF(O430&lt;20,1,IF(O430&gt;1000,10,MATCH(O430,Cargas,1))),Coluna_fih,1,1))*(PI()*(fi_h/1000)^2/4)*SQRT(2*9.81*(O430/100-fi_h/2/1000))*1000))</f>
        <v>2.7537260989292873</v>
      </c>
      <c r="Q430" s="38">
        <f ca="1">IF(O430="","",IF(Tipo_Vertedor="Retangular",IF(O430&lt;=cota_s*100,0,IF(Tipo_Vertedor="Retangular",Cd_sr*Lef_sr*((O430/100-cota_s)^(3/2))*1000)),IF(O430&lt;=cota_s*100+fi_s/20,0,(OFFSET('Base de dados'!$A$4,IF(O430&lt;20,1,IF(O430&gt;1000,10,MATCH(O430,Cargas,1))),Coluna_fis,1,1))*(PI()*(fi_s/1000)^2/4)*(2*9.81*(O430/100-cota_s-fi_s/2/1000))^0.5*1000)))</f>
        <v>0</v>
      </c>
      <c r="R430" s="38">
        <f t="shared" ca="1" si="92"/>
        <v>2.7537260989292873</v>
      </c>
      <c r="S430" s="38">
        <f t="shared" ca="1" si="93"/>
        <v>134.06249999999997</v>
      </c>
      <c r="AD430" s="38" t="str">
        <f t="shared" si="103"/>
        <v/>
      </c>
      <c r="AE430" s="38" t="str">
        <f t="shared" si="104"/>
        <v/>
      </c>
      <c r="AF430" s="38" t="str">
        <f>IF(ISERROR(IF('Hidrograma afluente'!I437="",0,'Hidrograma afluente'!I437)+Simulação!G430),"",IF('Hidrograma afluente'!I437="",0,'Hidrograma afluente'!I437)+Simulação!G430)</f>
        <v/>
      </c>
      <c r="AG430" s="36" t="s">
        <v>182</v>
      </c>
      <c r="AH430" s="36" t="s">
        <v>182</v>
      </c>
      <c r="AI430" s="48" t="s">
        <v>182</v>
      </c>
      <c r="AJ430" s="36" t="s">
        <v>182</v>
      </c>
      <c r="AK430" s="38" t="str">
        <f>IF(A430="","",IF('Hidrograma afluente'!I437="",0,'Hidrograma afluente'!I437)+Simulação!B430)</f>
        <v/>
      </c>
    </row>
    <row r="431" spans="1:37" s="36" customFormat="1">
      <c r="A431" s="23" t="str">
        <f t="shared" si="106"/>
        <v/>
      </c>
      <c r="B431" s="24" t="str">
        <f>IF(A431="","",IF(A431&gt;tc_lot_i+tc,0,IF('Hidrograma afluente'!B438="","",'Hidrograma afluente'!B438)))</f>
        <v/>
      </c>
      <c r="C431" s="41" t="str">
        <f t="shared" si="107"/>
        <v/>
      </c>
      <c r="D431" s="41" t="str">
        <f t="shared" si="96"/>
        <v/>
      </c>
      <c r="E431" s="41" t="str">
        <f t="shared" si="97"/>
        <v/>
      </c>
      <c r="F431" s="41" t="str">
        <f t="shared" si="98"/>
        <v/>
      </c>
      <c r="G431" s="41" t="str">
        <f t="shared" si="99"/>
        <v/>
      </c>
      <c r="H431" s="43" t="str">
        <f t="shared" si="108"/>
        <v/>
      </c>
      <c r="I431" s="42" t="str">
        <f t="shared" si="100"/>
        <v/>
      </c>
      <c r="J431" s="18"/>
      <c r="K431" s="76"/>
      <c r="M431" s="132">
        <f t="shared" ca="1" si="91"/>
        <v>137.13198718590476</v>
      </c>
      <c r="N431" s="38">
        <f t="shared" si="101"/>
        <v>4.03125</v>
      </c>
      <c r="O431" s="36">
        <f t="shared" si="102"/>
        <v>107.5</v>
      </c>
      <c r="P431" s="38">
        <f ca="1">IF(ISERROR(IF(O431&lt;fi_h/20,0,(OFFSET('Base de dados'!$A$5,IF(O431&lt;20,1,IF(O431&gt;1000,10,MATCH(O431,Cargas,1))),Coluna_fih,1,1))*(1+0.13*0.25)*(PI()*(fi_h/1000)^2/4)*SQRT(2*9.81*(O431/100-fi_h/2/1000))*1000)),"",IF(O431&lt;fi_h/20,0,(OFFSET('Base de dados'!$A$5,IF(O431&lt;20,1,IF(O431&gt;1000,10,MATCH(O431,Cargas,1))),Coluna_fih,1,1))*(PI()*(fi_h/1000)^2/4)*SQRT(2*9.81*(O431/100-fi_h/2/1000))*1000))</f>
        <v>2.756987185904773</v>
      </c>
      <c r="Q431" s="38">
        <f ca="1">IF(O431="","",IF(Tipo_Vertedor="Retangular",IF(O431&lt;=cota_s*100,0,IF(Tipo_Vertedor="Retangular",Cd_sr*Lef_sr*((O431/100-cota_s)^(3/2))*1000)),IF(O431&lt;=cota_s*100+fi_s/20,0,(OFFSET('Base de dados'!$A$4,IF(O431&lt;20,1,IF(O431&gt;1000,10,MATCH(O431,Cargas,1))),Coluna_fis,1,1))*(PI()*(fi_s/1000)^2/4)*(2*9.81*(O431/100-cota_s-fi_s/2/1000))^0.5*1000)))</f>
        <v>0</v>
      </c>
      <c r="R431" s="38">
        <f t="shared" ca="1" si="92"/>
        <v>2.756987185904773</v>
      </c>
      <c r="S431" s="38">
        <f t="shared" ca="1" si="93"/>
        <v>134.375</v>
      </c>
      <c r="AD431" s="38" t="str">
        <f t="shared" si="103"/>
        <v/>
      </c>
      <c r="AE431" s="38" t="str">
        <f t="shared" si="104"/>
        <v/>
      </c>
      <c r="AF431" s="38" t="str">
        <f>IF(ISERROR(IF('Hidrograma afluente'!I438="",0,'Hidrograma afluente'!I438)+Simulação!G431),"",IF('Hidrograma afluente'!I438="",0,'Hidrograma afluente'!I438)+Simulação!G431)</f>
        <v/>
      </c>
      <c r="AG431" s="36" t="s">
        <v>182</v>
      </c>
      <c r="AH431" s="36" t="s">
        <v>182</v>
      </c>
      <c r="AI431" s="48" t="s">
        <v>182</v>
      </c>
      <c r="AJ431" s="36" t="s">
        <v>182</v>
      </c>
      <c r="AK431" s="38" t="str">
        <f>IF(A431="","",IF('Hidrograma afluente'!I438="",0,'Hidrograma afluente'!I438)+Simulação!B431)</f>
        <v/>
      </c>
    </row>
    <row r="432" spans="1:37" s="36" customFormat="1">
      <c r="A432" s="23" t="str">
        <f t="shared" si="106"/>
        <v/>
      </c>
      <c r="B432" s="24" t="str">
        <f>IF(A432="","",IF(A432&gt;tc_lot_i+tc,0,IF('Hidrograma afluente'!B439="","",'Hidrograma afluente'!B439)))</f>
        <v/>
      </c>
      <c r="C432" s="41" t="str">
        <f t="shared" si="107"/>
        <v/>
      </c>
      <c r="D432" s="41" t="str">
        <f t="shared" si="96"/>
        <v/>
      </c>
      <c r="E432" s="41" t="str">
        <f t="shared" si="97"/>
        <v/>
      </c>
      <c r="F432" s="41" t="str">
        <f t="shared" si="98"/>
        <v/>
      </c>
      <c r="G432" s="41" t="str">
        <f t="shared" si="99"/>
        <v/>
      </c>
      <c r="H432" s="43" t="str">
        <f t="shared" si="108"/>
        <v/>
      </c>
      <c r="I432" s="42" t="str">
        <f t="shared" si="100"/>
        <v/>
      </c>
      <c r="J432" s="18"/>
      <c r="K432" s="76"/>
      <c r="M432" s="132">
        <f t="shared" ca="1" si="91"/>
        <v>137.44774442007619</v>
      </c>
      <c r="N432" s="38">
        <f t="shared" si="101"/>
        <v>4.0406249999999995</v>
      </c>
      <c r="O432" s="36">
        <f t="shared" si="102"/>
        <v>107.75</v>
      </c>
      <c r="P432" s="38">
        <f ca="1">IF(ISERROR(IF(O432&lt;fi_h/20,0,(OFFSET('Base de dados'!$A$5,IF(O432&lt;20,1,IF(O432&gt;1000,10,MATCH(O432,Cargas,1))),Coluna_fih,1,1))*(1+0.13*0.25)*(PI()*(fi_h/1000)^2/4)*SQRT(2*9.81*(O432/100-fi_h/2/1000))*1000)),"",IF(O432&lt;fi_h/20,0,(OFFSET('Base de dados'!$A$5,IF(O432&lt;20,1,IF(O432&gt;1000,10,MATCH(O432,Cargas,1))),Coluna_fih,1,1))*(PI()*(fi_h/1000)^2/4)*SQRT(2*9.81*(O432/100-fi_h/2/1000))*1000))</f>
        <v>2.7602444200762237</v>
      </c>
      <c r="Q432" s="38">
        <f ca="1">IF(O432="","",IF(Tipo_Vertedor="Retangular",IF(O432&lt;=cota_s*100,0,IF(Tipo_Vertedor="Retangular",Cd_sr*Lef_sr*((O432/100-cota_s)^(3/2))*1000)),IF(O432&lt;=cota_s*100+fi_s/20,0,(OFFSET('Base de dados'!$A$4,IF(O432&lt;20,1,IF(O432&gt;1000,10,MATCH(O432,Cargas,1))),Coluna_fis,1,1))*(PI()*(fi_s/1000)^2/4)*(2*9.81*(O432/100-cota_s-fi_s/2/1000))^0.5*1000)))</f>
        <v>0</v>
      </c>
      <c r="R432" s="38">
        <f t="shared" ca="1" si="92"/>
        <v>2.7602444200762237</v>
      </c>
      <c r="S432" s="38">
        <f t="shared" ca="1" si="93"/>
        <v>134.68749999999997</v>
      </c>
      <c r="AD432" s="38" t="str">
        <f t="shared" si="103"/>
        <v/>
      </c>
      <c r="AE432" s="38" t="str">
        <f t="shared" si="104"/>
        <v/>
      </c>
      <c r="AF432" s="38" t="str">
        <f>IF(ISERROR(IF('Hidrograma afluente'!I439="",0,'Hidrograma afluente'!I439)+Simulação!G432),"",IF('Hidrograma afluente'!I439="",0,'Hidrograma afluente'!I439)+Simulação!G432)</f>
        <v/>
      </c>
      <c r="AG432" s="36" t="s">
        <v>182</v>
      </c>
      <c r="AH432" s="36" t="s">
        <v>182</v>
      </c>
      <c r="AI432" s="48" t="s">
        <v>182</v>
      </c>
      <c r="AJ432" s="36" t="s">
        <v>182</v>
      </c>
      <c r="AK432" s="38" t="str">
        <f>IF(A432="","",IF('Hidrograma afluente'!I439="",0,'Hidrograma afluente'!I439)+Simulação!B432)</f>
        <v/>
      </c>
    </row>
    <row r="433" spans="1:37" s="36" customFormat="1">
      <c r="A433" s="23" t="str">
        <f t="shared" si="106"/>
        <v/>
      </c>
      <c r="B433" s="24" t="str">
        <f>IF(A433="","",IF(A433&gt;tc_lot_i+tc,0,IF('Hidrograma afluente'!B440="","",'Hidrograma afluente'!B440)))</f>
        <v/>
      </c>
      <c r="C433" s="41" t="str">
        <f t="shared" si="107"/>
        <v/>
      </c>
      <c r="D433" s="41" t="str">
        <f t="shared" si="96"/>
        <v/>
      </c>
      <c r="E433" s="41" t="str">
        <f t="shared" si="97"/>
        <v/>
      </c>
      <c r="F433" s="41" t="str">
        <f t="shared" si="98"/>
        <v/>
      </c>
      <c r="G433" s="41" t="str">
        <f t="shared" si="99"/>
        <v/>
      </c>
      <c r="H433" s="43" t="str">
        <f t="shared" si="108"/>
        <v/>
      </c>
      <c r="I433" s="42" t="str">
        <f t="shared" si="100"/>
        <v/>
      </c>
      <c r="J433" s="18"/>
      <c r="K433" s="76"/>
      <c r="M433" s="132">
        <f t="shared" ca="1" si="91"/>
        <v>137.76349781506715</v>
      </c>
      <c r="N433" s="38">
        <f t="shared" si="101"/>
        <v>4.0500000000000007</v>
      </c>
      <c r="O433" s="36">
        <f t="shared" si="102"/>
        <v>108</v>
      </c>
      <c r="P433" s="38">
        <f ca="1">IF(ISERROR(IF(O433&lt;fi_h/20,0,(OFFSET('Base de dados'!$A$5,IF(O433&lt;20,1,IF(O433&gt;1000,10,MATCH(O433,Cargas,1))),Coluna_fih,1,1))*(1+0.13*0.25)*(PI()*(fi_h/1000)^2/4)*SQRT(2*9.81*(O433/100-fi_h/2/1000))*1000)),"",IF(O433&lt;fi_h/20,0,(OFFSET('Base de dados'!$A$5,IF(O433&lt;20,1,IF(O433&gt;1000,10,MATCH(O433,Cargas,1))),Coluna_fih,1,1))*(PI()*(fi_h/1000)^2/4)*SQRT(2*9.81*(O433/100-fi_h/2/1000))*1000))</f>
        <v>2.7634978150671188</v>
      </c>
      <c r="Q433" s="38">
        <f ca="1">IF(O433="","",IF(Tipo_Vertedor="Retangular",IF(O433&lt;=cota_s*100,0,IF(Tipo_Vertedor="Retangular",Cd_sr*Lef_sr*((O433/100-cota_s)^(3/2))*1000)),IF(O433&lt;=cota_s*100+fi_s/20,0,(OFFSET('Base de dados'!$A$4,IF(O433&lt;20,1,IF(O433&gt;1000,10,MATCH(O433,Cargas,1))),Coluna_fis,1,1))*(PI()*(fi_s/1000)^2/4)*(2*9.81*(O433/100-cota_s-fi_s/2/1000))^0.5*1000)))</f>
        <v>0</v>
      </c>
      <c r="R433" s="38">
        <f t="shared" ca="1" si="92"/>
        <v>2.7634978150671188</v>
      </c>
      <c r="S433" s="38">
        <f t="shared" ca="1" si="93"/>
        <v>135.00000000000003</v>
      </c>
      <c r="AD433" s="38" t="str">
        <f t="shared" si="103"/>
        <v/>
      </c>
      <c r="AE433" s="38" t="str">
        <f t="shared" si="104"/>
        <v/>
      </c>
      <c r="AF433" s="38" t="str">
        <f>IF(ISERROR(IF('Hidrograma afluente'!I440="",0,'Hidrograma afluente'!I440)+Simulação!G433),"",IF('Hidrograma afluente'!I440="",0,'Hidrograma afluente'!I440)+Simulação!G433)</f>
        <v/>
      </c>
      <c r="AG433" s="36" t="s">
        <v>182</v>
      </c>
      <c r="AH433" s="36" t="s">
        <v>182</v>
      </c>
      <c r="AI433" s="48" t="s">
        <v>182</v>
      </c>
      <c r="AJ433" s="36" t="s">
        <v>182</v>
      </c>
      <c r="AK433" s="38" t="str">
        <f>IF(A433="","",IF('Hidrograma afluente'!I440="",0,'Hidrograma afluente'!I440)+Simulação!B433)</f>
        <v/>
      </c>
    </row>
    <row r="434" spans="1:37" s="36" customFormat="1">
      <c r="A434" s="23" t="str">
        <f t="shared" si="106"/>
        <v/>
      </c>
      <c r="B434" s="24" t="str">
        <f>IF(A434="","",IF(A434&gt;tc_lot_i+tc,0,IF('Hidrograma afluente'!B441="","",'Hidrograma afluente'!B441)))</f>
        <v/>
      </c>
      <c r="C434" s="41" t="str">
        <f t="shared" si="107"/>
        <v/>
      </c>
      <c r="D434" s="41" t="str">
        <f t="shared" si="96"/>
        <v/>
      </c>
      <c r="E434" s="41" t="str">
        <f t="shared" si="97"/>
        <v/>
      </c>
      <c r="F434" s="41" t="str">
        <f t="shared" si="98"/>
        <v/>
      </c>
      <c r="G434" s="41" t="str">
        <f t="shared" si="99"/>
        <v/>
      </c>
      <c r="H434" s="43" t="str">
        <f t="shared" si="108"/>
        <v/>
      </c>
      <c r="I434" s="42" t="str">
        <f t="shared" si="100"/>
        <v/>
      </c>
      <c r="J434" s="18"/>
      <c r="K434" s="76"/>
      <c r="M434" s="132">
        <f t="shared" ca="1" si="91"/>
        <v>138.07924738442082</v>
      </c>
      <c r="N434" s="38">
        <f t="shared" si="101"/>
        <v>4.0593750000000002</v>
      </c>
      <c r="O434" s="36">
        <f t="shared" si="102"/>
        <v>108.25</v>
      </c>
      <c r="P434" s="38">
        <f ca="1">IF(ISERROR(IF(O434&lt;fi_h/20,0,(OFFSET('Base de dados'!$A$5,IF(O434&lt;20,1,IF(O434&gt;1000,10,MATCH(O434,Cargas,1))),Coluna_fih,1,1))*(1+0.13*0.25)*(PI()*(fi_h/1000)^2/4)*SQRT(2*9.81*(O434/100-fi_h/2/1000))*1000)),"",IF(O434&lt;fi_h/20,0,(OFFSET('Base de dados'!$A$5,IF(O434&lt;20,1,IF(O434&gt;1000,10,MATCH(O434,Cargas,1))),Coluna_fih,1,1))*(PI()*(fi_h/1000)^2/4)*SQRT(2*9.81*(O434/100-fi_h/2/1000))*1000))</f>
        <v>2.766747384420837</v>
      </c>
      <c r="Q434" s="38">
        <f ca="1">IF(O434="","",IF(Tipo_Vertedor="Retangular",IF(O434&lt;=cota_s*100,0,IF(Tipo_Vertedor="Retangular",Cd_sr*Lef_sr*((O434/100-cota_s)^(3/2))*1000)),IF(O434&lt;=cota_s*100+fi_s/20,0,(OFFSET('Base de dados'!$A$4,IF(O434&lt;20,1,IF(O434&gt;1000,10,MATCH(O434,Cargas,1))),Coluna_fis,1,1))*(PI()*(fi_s/1000)^2/4)*(2*9.81*(O434/100-cota_s-fi_s/2/1000))^0.5*1000)))</f>
        <v>0</v>
      </c>
      <c r="R434" s="38">
        <f t="shared" ca="1" si="92"/>
        <v>2.766747384420837</v>
      </c>
      <c r="S434" s="38">
        <f t="shared" ca="1" si="93"/>
        <v>135.3125</v>
      </c>
      <c r="AD434" s="38" t="str">
        <f t="shared" si="103"/>
        <v/>
      </c>
      <c r="AE434" s="38" t="str">
        <f t="shared" si="104"/>
        <v/>
      </c>
      <c r="AF434" s="38" t="str">
        <f>IF(ISERROR(IF('Hidrograma afluente'!I441="",0,'Hidrograma afluente'!I441)+Simulação!G434),"",IF('Hidrograma afluente'!I441="",0,'Hidrograma afluente'!I441)+Simulação!G434)</f>
        <v/>
      </c>
      <c r="AG434" s="36" t="s">
        <v>182</v>
      </c>
      <c r="AH434" s="36" t="s">
        <v>182</v>
      </c>
      <c r="AI434" s="48" t="s">
        <v>182</v>
      </c>
      <c r="AJ434" s="36" t="s">
        <v>182</v>
      </c>
      <c r="AK434" s="38" t="str">
        <f>IF(A434="","",IF('Hidrograma afluente'!I441="",0,'Hidrograma afluente'!I441)+Simulação!B434)</f>
        <v/>
      </c>
    </row>
    <row r="435" spans="1:37" s="36" customFormat="1">
      <c r="A435" s="23" t="str">
        <f t="shared" si="106"/>
        <v/>
      </c>
      <c r="B435" s="24" t="str">
        <f>IF(A435="","",IF(A435&gt;tc_lot_i+tc,0,IF('Hidrograma afluente'!B442="","",'Hidrograma afluente'!B442)))</f>
        <v/>
      </c>
      <c r="C435" s="41" t="str">
        <f t="shared" si="107"/>
        <v/>
      </c>
      <c r="D435" s="41" t="str">
        <f t="shared" si="96"/>
        <v/>
      </c>
      <c r="E435" s="41" t="str">
        <f t="shared" si="97"/>
        <v/>
      </c>
      <c r="F435" s="41" t="str">
        <f t="shared" si="98"/>
        <v/>
      </c>
      <c r="G435" s="41" t="str">
        <f t="shared" si="99"/>
        <v/>
      </c>
      <c r="H435" s="43" t="str">
        <f t="shared" si="108"/>
        <v/>
      </c>
      <c r="I435" s="42" t="str">
        <f t="shared" si="100"/>
        <v/>
      </c>
      <c r="J435" s="18"/>
      <c r="K435" s="76"/>
      <c r="M435" s="132">
        <f t="shared" ca="1" si="91"/>
        <v>138.3949931416013</v>
      </c>
      <c r="N435" s="38">
        <f t="shared" si="101"/>
        <v>4.0687499999999996</v>
      </c>
      <c r="O435" s="36">
        <f t="shared" si="102"/>
        <v>108.5</v>
      </c>
      <c r="P435" s="38">
        <f ca="1">IF(ISERROR(IF(O435&lt;fi_h/20,0,(OFFSET('Base de dados'!$A$5,IF(O435&lt;20,1,IF(O435&gt;1000,10,MATCH(O435,Cargas,1))),Coluna_fih,1,1))*(1+0.13*0.25)*(PI()*(fi_h/1000)^2/4)*SQRT(2*9.81*(O435/100-fi_h/2/1000))*1000)),"",IF(O435&lt;fi_h/20,0,(OFFSET('Base de dados'!$A$5,IF(O435&lt;20,1,IF(O435&gt;1000,10,MATCH(O435,Cargas,1))),Coluna_fih,1,1))*(PI()*(fi_h/1000)^2/4)*SQRT(2*9.81*(O435/100-fi_h/2/1000))*1000))</f>
        <v>2.7699931416013204</v>
      </c>
      <c r="Q435" s="38">
        <f ca="1">IF(O435="","",IF(Tipo_Vertedor="Retangular",IF(O435&lt;=cota_s*100,0,IF(Tipo_Vertedor="Retangular",Cd_sr*Lef_sr*((O435/100-cota_s)^(3/2))*1000)),IF(O435&lt;=cota_s*100+fi_s/20,0,(OFFSET('Base de dados'!$A$4,IF(O435&lt;20,1,IF(O435&gt;1000,10,MATCH(O435,Cargas,1))),Coluna_fis,1,1))*(PI()*(fi_s/1000)^2/4)*(2*9.81*(O435/100-cota_s-fi_s/2/1000))^0.5*1000)))</f>
        <v>0</v>
      </c>
      <c r="R435" s="38">
        <f t="shared" ca="1" si="92"/>
        <v>2.7699931416013204</v>
      </c>
      <c r="S435" s="38">
        <f t="shared" ca="1" si="93"/>
        <v>135.62499999999997</v>
      </c>
      <c r="AD435" s="38" t="str">
        <f t="shared" si="103"/>
        <v/>
      </c>
      <c r="AE435" s="38" t="str">
        <f t="shared" si="104"/>
        <v/>
      </c>
      <c r="AF435" s="38" t="str">
        <f>IF(ISERROR(IF('Hidrograma afluente'!I442="",0,'Hidrograma afluente'!I442)+Simulação!G435),"",IF('Hidrograma afluente'!I442="",0,'Hidrograma afluente'!I442)+Simulação!G435)</f>
        <v/>
      </c>
      <c r="AG435" s="36" t="s">
        <v>182</v>
      </c>
      <c r="AH435" s="36" t="s">
        <v>182</v>
      </c>
      <c r="AI435" s="48" t="s">
        <v>182</v>
      </c>
      <c r="AJ435" s="36" t="s">
        <v>182</v>
      </c>
      <c r="AK435" s="38" t="str">
        <f>IF(A435="","",IF('Hidrograma afluente'!I442="",0,'Hidrograma afluente'!I442)+Simulação!B435)</f>
        <v/>
      </c>
    </row>
    <row r="436" spans="1:37" s="36" customFormat="1">
      <c r="A436" s="23" t="str">
        <f t="shared" si="106"/>
        <v/>
      </c>
      <c r="B436" s="24" t="str">
        <f>IF(A436="","",IF(A436&gt;tc_lot_i+tc,0,IF('Hidrograma afluente'!B443="","",'Hidrograma afluente'!B443)))</f>
        <v/>
      </c>
      <c r="C436" s="41" t="str">
        <f t="shared" si="107"/>
        <v/>
      </c>
      <c r="D436" s="41" t="str">
        <f t="shared" si="96"/>
        <v/>
      </c>
      <c r="E436" s="41" t="str">
        <f t="shared" si="97"/>
        <v/>
      </c>
      <c r="F436" s="41" t="str">
        <f t="shared" si="98"/>
        <v/>
      </c>
      <c r="G436" s="41" t="str">
        <f t="shared" si="99"/>
        <v/>
      </c>
      <c r="H436" s="43" t="str">
        <f t="shared" si="108"/>
        <v/>
      </c>
      <c r="I436" s="42" t="str">
        <f t="shared" si="100"/>
        <v/>
      </c>
      <c r="J436" s="18"/>
      <c r="K436" s="76"/>
      <c r="M436" s="132">
        <f t="shared" ca="1" si="91"/>
        <v>138.71073509999371</v>
      </c>
      <c r="N436" s="38">
        <f t="shared" si="101"/>
        <v>4.078125</v>
      </c>
      <c r="O436" s="36">
        <f t="shared" si="102"/>
        <v>108.75</v>
      </c>
      <c r="P436" s="38">
        <f ca="1">IF(ISERROR(IF(O436&lt;fi_h/20,0,(OFFSET('Base de dados'!$A$5,IF(O436&lt;20,1,IF(O436&gt;1000,10,MATCH(O436,Cargas,1))),Coluna_fih,1,1))*(1+0.13*0.25)*(PI()*(fi_h/1000)^2/4)*SQRT(2*9.81*(O436/100-fi_h/2/1000))*1000)),"",IF(O436&lt;fi_h/20,0,(OFFSET('Base de dados'!$A$5,IF(O436&lt;20,1,IF(O436&gt;1000,10,MATCH(O436,Cargas,1))),Coluna_fih,1,1))*(PI()*(fi_h/1000)^2/4)*SQRT(2*9.81*(O436/100-fi_h/2/1000))*1000))</f>
        <v>2.7732350999937165</v>
      </c>
      <c r="Q436" s="38">
        <f ca="1">IF(O436="","",IF(Tipo_Vertedor="Retangular",IF(O436&lt;=cota_s*100,0,IF(Tipo_Vertedor="Retangular",Cd_sr*Lef_sr*((O436/100-cota_s)^(3/2))*1000)),IF(O436&lt;=cota_s*100+fi_s/20,0,(OFFSET('Base de dados'!$A$4,IF(O436&lt;20,1,IF(O436&gt;1000,10,MATCH(O436,Cargas,1))),Coluna_fis,1,1))*(PI()*(fi_s/1000)^2/4)*(2*9.81*(O436/100-cota_s-fi_s/2/1000))^0.5*1000)))</f>
        <v>0</v>
      </c>
      <c r="R436" s="38">
        <f t="shared" ca="1" si="92"/>
        <v>2.7732350999937165</v>
      </c>
      <c r="S436" s="38">
        <f t="shared" ca="1" si="93"/>
        <v>135.9375</v>
      </c>
      <c r="AD436" s="38" t="str">
        <f t="shared" si="103"/>
        <v/>
      </c>
      <c r="AE436" s="38" t="str">
        <f t="shared" si="104"/>
        <v/>
      </c>
      <c r="AF436" s="38" t="str">
        <f>IF(ISERROR(IF('Hidrograma afluente'!I443="",0,'Hidrograma afluente'!I443)+Simulação!G436),"",IF('Hidrograma afluente'!I443="",0,'Hidrograma afluente'!I443)+Simulação!G436)</f>
        <v/>
      </c>
      <c r="AG436" s="36" t="s">
        <v>182</v>
      </c>
      <c r="AH436" s="36" t="s">
        <v>182</v>
      </c>
      <c r="AI436" s="48" t="s">
        <v>182</v>
      </c>
      <c r="AJ436" s="36" t="s">
        <v>182</v>
      </c>
      <c r="AK436" s="38" t="str">
        <f>IF(A436="","",IF('Hidrograma afluente'!I443="",0,'Hidrograma afluente'!I443)+Simulação!B436)</f>
        <v/>
      </c>
    </row>
    <row r="437" spans="1:37" s="36" customFormat="1">
      <c r="A437" s="23" t="str">
        <f t="shared" si="106"/>
        <v/>
      </c>
      <c r="B437" s="24" t="str">
        <f>IF(A437="","",IF(A437&gt;tc_lot_i+tc,0,IF('Hidrograma afluente'!B444="","",'Hidrograma afluente'!B444)))</f>
        <v/>
      </c>
      <c r="C437" s="41" t="str">
        <f t="shared" si="107"/>
        <v/>
      </c>
      <c r="D437" s="41" t="str">
        <f t="shared" si="96"/>
        <v/>
      </c>
      <c r="E437" s="41" t="str">
        <f t="shared" si="97"/>
        <v/>
      </c>
      <c r="F437" s="41" t="str">
        <f t="shared" si="98"/>
        <v/>
      </c>
      <c r="G437" s="41" t="str">
        <f t="shared" si="99"/>
        <v/>
      </c>
      <c r="H437" s="43" t="str">
        <f t="shared" si="108"/>
        <v/>
      </c>
      <c r="I437" s="42" t="str">
        <f t="shared" si="100"/>
        <v/>
      </c>
      <c r="J437" s="18"/>
      <c r="K437" s="76"/>
      <c r="M437" s="132">
        <f t="shared" ca="1" si="91"/>
        <v>139.02647327290506</v>
      </c>
      <c r="N437" s="38">
        <f t="shared" si="101"/>
        <v>4.0875000000000004</v>
      </c>
      <c r="O437" s="36">
        <f t="shared" si="102"/>
        <v>109</v>
      </c>
      <c r="P437" s="38">
        <f ca="1">IF(ISERROR(IF(O437&lt;fi_h/20,0,(OFFSET('Base de dados'!$A$5,IF(O437&lt;20,1,IF(O437&gt;1000,10,MATCH(O437,Cargas,1))),Coluna_fih,1,1))*(1+0.13*0.25)*(PI()*(fi_h/1000)^2/4)*SQRT(2*9.81*(O437/100-fi_h/2/1000))*1000)),"",IF(O437&lt;fi_h/20,0,(OFFSET('Base de dados'!$A$5,IF(O437&lt;20,1,IF(O437&gt;1000,10,MATCH(O437,Cargas,1))),Coluna_fih,1,1))*(PI()*(fi_h/1000)^2/4)*SQRT(2*9.81*(O437/100-fi_h/2/1000))*1000))</f>
        <v>2.7764732729050294</v>
      </c>
      <c r="Q437" s="38">
        <f ca="1">IF(O437="","",IF(Tipo_Vertedor="Retangular",IF(O437&lt;=cota_s*100,0,IF(Tipo_Vertedor="Retangular",Cd_sr*Lef_sr*((O437/100-cota_s)^(3/2))*1000)),IF(O437&lt;=cota_s*100+fi_s/20,0,(OFFSET('Base de dados'!$A$4,IF(O437&lt;20,1,IF(O437&gt;1000,10,MATCH(O437,Cargas,1))),Coluna_fis,1,1))*(PI()*(fi_s/1000)^2/4)*(2*9.81*(O437/100-cota_s-fi_s/2/1000))^0.5*1000)))</f>
        <v>0</v>
      </c>
      <c r="R437" s="38">
        <f t="shared" ca="1" si="92"/>
        <v>2.7764732729050294</v>
      </c>
      <c r="S437" s="38">
        <f t="shared" ca="1" si="93"/>
        <v>136.25000000000003</v>
      </c>
      <c r="AD437" s="38" t="str">
        <f t="shared" si="103"/>
        <v/>
      </c>
      <c r="AE437" s="38" t="str">
        <f t="shared" si="104"/>
        <v/>
      </c>
      <c r="AF437" s="38" t="str">
        <f>IF(ISERROR(IF('Hidrograma afluente'!I444="",0,'Hidrograma afluente'!I444)+Simulação!G437),"",IF('Hidrograma afluente'!I444="",0,'Hidrograma afluente'!I444)+Simulação!G437)</f>
        <v/>
      </c>
      <c r="AG437" s="36" t="s">
        <v>182</v>
      </c>
      <c r="AH437" s="36" t="s">
        <v>182</v>
      </c>
      <c r="AI437" s="48" t="s">
        <v>182</v>
      </c>
      <c r="AJ437" s="36" t="s">
        <v>182</v>
      </c>
      <c r="AK437" s="38" t="str">
        <f>IF(A437="","",IF('Hidrograma afluente'!I444="",0,'Hidrograma afluente'!I444)+Simulação!B437)</f>
        <v/>
      </c>
    </row>
    <row r="438" spans="1:37" s="36" customFormat="1">
      <c r="A438" s="23" t="str">
        <f t="shared" si="106"/>
        <v/>
      </c>
      <c r="B438" s="24" t="str">
        <f>IF(A438="","",IF(A438&gt;tc_lot_i+tc,0,IF('Hidrograma afluente'!B445="","",'Hidrograma afluente'!B445)))</f>
        <v/>
      </c>
      <c r="C438" s="41" t="str">
        <f t="shared" si="107"/>
        <v/>
      </c>
      <c r="D438" s="41" t="str">
        <f t="shared" si="96"/>
        <v/>
      </c>
      <c r="E438" s="41" t="str">
        <f t="shared" si="97"/>
        <v/>
      </c>
      <c r="F438" s="41" t="str">
        <f t="shared" si="98"/>
        <v/>
      </c>
      <c r="G438" s="41" t="str">
        <f t="shared" si="99"/>
        <v/>
      </c>
      <c r="H438" s="43" t="str">
        <f t="shared" si="108"/>
        <v/>
      </c>
      <c r="I438" s="42" t="str">
        <f t="shared" si="100"/>
        <v/>
      </c>
      <c r="J438" s="18"/>
      <c r="K438" s="76"/>
      <c r="M438" s="132">
        <f t="shared" ca="1" si="91"/>
        <v>139.34220767356476</v>
      </c>
      <c r="N438" s="38">
        <f t="shared" si="101"/>
        <v>4.0968749999999998</v>
      </c>
      <c r="O438" s="36">
        <f t="shared" si="102"/>
        <v>109.25</v>
      </c>
      <c r="P438" s="38">
        <f ca="1">IF(ISERROR(IF(O438&lt;fi_h/20,0,(OFFSET('Base de dados'!$A$5,IF(O438&lt;20,1,IF(O438&gt;1000,10,MATCH(O438,Cargas,1))),Coluna_fih,1,1))*(1+0.13*0.25)*(PI()*(fi_h/1000)^2/4)*SQRT(2*9.81*(O438/100-fi_h/2/1000))*1000)),"",IF(O438&lt;fi_h/20,0,(OFFSET('Base de dados'!$A$5,IF(O438&lt;20,1,IF(O438&gt;1000,10,MATCH(O438,Cargas,1))),Coluna_fih,1,1))*(PI()*(fi_h/1000)^2/4)*SQRT(2*9.81*(O438/100-fi_h/2/1000))*1000))</f>
        <v>2.7797076735647539</v>
      </c>
      <c r="Q438" s="38">
        <f ca="1">IF(O438="","",IF(Tipo_Vertedor="Retangular",IF(O438&lt;=cota_s*100,0,IF(Tipo_Vertedor="Retangular",Cd_sr*Lef_sr*((O438/100-cota_s)^(3/2))*1000)),IF(O438&lt;=cota_s*100+fi_s/20,0,(OFFSET('Base de dados'!$A$4,IF(O438&lt;20,1,IF(O438&gt;1000,10,MATCH(O438,Cargas,1))),Coluna_fis,1,1))*(PI()*(fi_s/1000)^2/4)*(2*9.81*(O438/100-cota_s-fi_s/2/1000))^0.5*1000)))</f>
        <v>0</v>
      </c>
      <c r="R438" s="38">
        <f t="shared" ca="1" si="92"/>
        <v>2.7797076735647539</v>
      </c>
      <c r="S438" s="38">
        <f t="shared" ca="1" si="93"/>
        <v>136.5625</v>
      </c>
      <c r="AD438" s="38" t="str">
        <f t="shared" si="103"/>
        <v/>
      </c>
      <c r="AE438" s="38" t="str">
        <f t="shared" si="104"/>
        <v/>
      </c>
      <c r="AF438" s="38" t="str">
        <f>IF(ISERROR(IF('Hidrograma afluente'!I445="",0,'Hidrograma afluente'!I445)+Simulação!G438),"",IF('Hidrograma afluente'!I445="",0,'Hidrograma afluente'!I445)+Simulação!G438)</f>
        <v/>
      </c>
      <c r="AG438" s="36" t="s">
        <v>182</v>
      </c>
      <c r="AH438" s="36" t="s">
        <v>182</v>
      </c>
      <c r="AI438" s="48" t="s">
        <v>182</v>
      </c>
      <c r="AJ438" s="36" t="s">
        <v>182</v>
      </c>
      <c r="AK438" s="38" t="str">
        <f>IF(A438="","",IF('Hidrograma afluente'!I445="",0,'Hidrograma afluente'!I445)+Simulação!B438)</f>
        <v/>
      </c>
    </row>
    <row r="439" spans="1:37" s="36" customFormat="1">
      <c r="A439" s="23" t="str">
        <f t="shared" si="106"/>
        <v/>
      </c>
      <c r="B439" s="24" t="str">
        <f>IF(A439="","",IF(A439&gt;tc_lot_i+tc,0,IF('Hidrograma afluente'!B446="","",'Hidrograma afluente'!B446)))</f>
        <v/>
      </c>
      <c r="C439" s="41" t="str">
        <f t="shared" si="107"/>
        <v/>
      </c>
      <c r="D439" s="41" t="str">
        <f t="shared" si="96"/>
        <v/>
      </c>
      <c r="E439" s="41" t="str">
        <f t="shared" si="97"/>
        <v/>
      </c>
      <c r="F439" s="41" t="str">
        <f t="shared" si="98"/>
        <v/>
      </c>
      <c r="G439" s="41" t="str">
        <f t="shared" si="99"/>
        <v/>
      </c>
      <c r="H439" s="43" t="str">
        <f t="shared" si="108"/>
        <v/>
      </c>
      <c r="I439" s="42" t="str">
        <f t="shared" si="100"/>
        <v/>
      </c>
      <c r="J439" s="18"/>
      <c r="K439" s="76"/>
      <c r="M439" s="132">
        <f t="shared" ca="1" si="91"/>
        <v>139.65793831512551</v>
      </c>
      <c r="N439" s="38">
        <f t="shared" si="101"/>
        <v>4.1062500000000002</v>
      </c>
      <c r="O439" s="36">
        <f t="shared" si="102"/>
        <v>109.5</v>
      </c>
      <c r="P439" s="38">
        <f ca="1">IF(ISERROR(IF(O439&lt;fi_h/20,0,(OFFSET('Base de dados'!$A$5,IF(O439&lt;20,1,IF(O439&gt;1000,10,MATCH(O439,Cargas,1))),Coluna_fih,1,1))*(1+0.13*0.25)*(PI()*(fi_h/1000)^2/4)*SQRT(2*9.81*(O439/100-fi_h/2/1000))*1000)),"",IF(O439&lt;fi_h/20,0,(OFFSET('Base de dados'!$A$5,IF(O439&lt;20,1,IF(O439&gt;1000,10,MATCH(O439,Cargas,1))),Coluna_fih,1,1))*(PI()*(fi_h/1000)^2/4)*SQRT(2*9.81*(O439/100-fi_h/2/1000))*1000))</f>
        <v>2.7829383151255049</v>
      </c>
      <c r="Q439" s="38">
        <f ca="1">IF(O439="","",IF(Tipo_Vertedor="Retangular",IF(O439&lt;=cota_s*100,0,IF(Tipo_Vertedor="Retangular",Cd_sr*Lef_sr*((O439/100-cota_s)^(3/2))*1000)),IF(O439&lt;=cota_s*100+fi_s/20,0,(OFFSET('Base de dados'!$A$4,IF(O439&lt;20,1,IF(O439&gt;1000,10,MATCH(O439,Cargas,1))),Coluna_fis,1,1))*(PI()*(fi_s/1000)^2/4)*(2*9.81*(O439/100-cota_s-fi_s/2/1000))^0.5*1000)))</f>
        <v>0</v>
      </c>
      <c r="R439" s="38">
        <f t="shared" ca="1" si="92"/>
        <v>2.7829383151255049</v>
      </c>
      <c r="S439" s="38">
        <f t="shared" ca="1" si="93"/>
        <v>136.875</v>
      </c>
      <c r="AD439" s="38" t="str">
        <f t="shared" si="103"/>
        <v/>
      </c>
      <c r="AE439" s="38" t="str">
        <f t="shared" si="104"/>
        <v/>
      </c>
      <c r="AF439" s="38" t="str">
        <f>IF(ISERROR(IF('Hidrograma afluente'!I446="",0,'Hidrograma afluente'!I446)+Simulação!G439),"",IF('Hidrograma afluente'!I446="",0,'Hidrograma afluente'!I446)+Simulação!G439)</f>
        <v/>
      </c>
      <c r="AG439" s="36" t="s">
        <v>182</v>
      </c>
      <c r="AH439" s="36" t="s">
        <v>182</v>
      </c>
      <c r="AI439" s="48" t="s">
        <v>182</v>
      </c>
      <c r="AJ439" s="36" t="s">
        <v>182</v>
      </c>
      <c r="AK439" s="38" t="str">
        <f>IF(A439="","",IF('Hidrograma afluente'!I446="",0,'Hidrograma afluente'!I446)+Simulação!B439)</f>
        <v/>
      </c>
    </row>
    <row r="440" spans="1:37" s="36" customFormat="1">
      <c r="A440" s="23" t="str">
        <f t="shared" si="106"/>
        <v/>
      </c>
      <c r="B440" s="24" t="str">
        <f>IF(A440="","",IF(A440&gt;tc_lot_i+tc,0,IF('Hidrograma afluente'!B447="","",'Hidrograma afluente'!B447)))</f>
        <v/>
      </c>
      <c r="C440" s="41" t="str">
        <f t="shared" si="107"/>
        <v/>
      </c>
      <c r="D440" s="41" t="str">
        <f t="shared" si="96"/>
        <v/>
      </c>
      <c r="E440" s="41" t="str">
        <f t="shared" si="97"/>
        <v/>
      </c>
      <c r="F440" s="41" t="str">
        <f t="shared" si="98"/>
        <v/>
      </c>
      <c r="G440" s="41" t="str">
        <f t="shared" si="99"/>
        <v/>
      </c>
      <c r="H440" s="43" t="str">
        <f t="shared" si="108"/>
        <v/>
      </c>
      <c r="I440" s="42" t="str">
        <f t="shared" si="100"/>
        <v/>
      </c>
      <c r="J440" s="18"/>
      <c r="K440" s="76"/>
      <c r="M440" s="132">
        <f t="shared" ca="1" si="91"/>
        <v>139.97366521066365</v>
      </c>
      <c r="N440" s="38">
        <f t="shared" si="101"/>
        <v>4.1156249999999996</v>
      </c>
      <c r="O440" s="36">
        <f t="shared" si="102"/>
        <v>109.75</v>
      </c>
      <c r="P440" s="38">
        <f ca="1">IF(ISERROR(IF(O440&lt;fi_h/20,0,(OFFSET('Base de dados'!$A$5,IF(O440&lt;20,1,IF(O440&gt;1000,10,MATCH(O440,Cargas,1))),Coluna_fih,1,1))*(1+0.13*0.25)*(PI()*(fi_h/1000)^2/4)*SQRT(2*9.81*(O440/100-fi_h/2/1000))*1000)),"",IF(O440&lt;fi_h/20,0,(OFFSET('Base de dados'!$A$5,IF(O440&lt;20,1,IF(O440&gt;1000,10,MATCH(O440,Cargas,1))),Coluna_fih,1,1))*(PI()*(fi_h/1000)^2/4)*SQRT(2*9.81*(O440/100-fi_h/2/1000))*1000))</f>
        <v>2.7861652106636452</v>
      </c>
      <c r="Q440" s="38">
        <f ca="1">IF(O440="","",IF(Tipo_Vertedor="Retangular",IF(O440&lt;=cota_s*100,0,IF(Tipo_Vertedor="Retangular",Cd_sr*Lef_sr*((O440/100-cota_s)^(3/2))*1000)),IF(O440&lt;=cota_s*100+fi_s/20,0,(OFFSET('Base de dados'!$A$4,IF(O440&lt;20,1,IF(O440&gt;1000,10,MATCH(O440,Cargas,1))),Coluna_fis,1,1))*(PI()*(fi_s/1000)^2/4)*(2*9.81*(O440/100-cota_s-fi_s/2/1000))^0.5*1000)))</f>
        <v>0</v>
      </c>
      <c r="R440" s="38">
        <f t="shared" ca="1" si="92"/>
        <v>2.7861652106636452</v>
      </c>
      <c r="S440" s="38">
        <f t="shared" ca="1" si="93"/>
        <v>137.1875</v>
      </c>
      <c r="AD440" s="38" t="str">
        <f t="shared" si="103"/>
        <v/>
      </c>
      <c r="AE440" s="38" t="str">
        <f t="shared" si="104"/>
        <v/>
      </c>
      <c r="AF440" s="38" t="str">
        <f>IF(ISERROR(IF('Hidrograma afluente'!I447="",0,'Hidrograma afluente'!I447)+Simulação!G440),"",IF('Hidrograma afluente'!I447="",0,'Hidrograma afluente'!I447)+Simulação!G440)</f>
        <v/>
      </c>
      <c r="AG440" s="36" t="s">
        <v>182</v>
      </c>
      <c r="AH440" s="36" t="s">
        <v>182</v>
      </c>
      <c r="AI440" s="48" t="s">
        <v>182</v>
      </c>
      <c r="AJ440" s="36" t="s">
        <v>182</v>
      </c>
      <c r="AK440" s="38" t="str">
        <f>IF(A440="","",IF('Hidrograma afluente'!I447="",0,'Hidrograma afluente'!I447)+Simulação!B440)</f>
        <v/>
      </c>
    </row>
    <row r="441" spans="1:37" s="36" customFormat="1">
      <c r="A441" s="23" t="str">
        <f t="shared" si="106"/>
        <v/>
      </c>
      <c r="B441" s="24" t="str">
        <f>IF(A441="","",IF(A441&gt;tc_lot_i+tc,0,IF('Hidrograma afluente'!B448="","",'Hidrograma afluente'!B448)))</f>
        <v/>
      </c>
      <c r="C441" s="41" t="str">
        <f t="shared" si="107"/>
        <v/>
      </c>
      <c r="D441" s="41" t="str">
        <f t="shared" si="96"/>
        <v/>
      </c>
      <c r="E441" s="41" t="str">
        <f t="shared" si="97"/>
        <v/>
      </c>
      <c r="F441" s="41" t="str">
        <f t="shared" si="98"/>
        <v/>
      </c>
      <c r="G441" s="41" t="str">
        <f t="shared" si="99"/>
        <v/>
      </c>
      <c r="H441" s="43" t="str">
        <f t="shared" si="108"/>
        <v/>
      </c>
      <c r="I441" s="42" t="str">
        <f t="shared" si="100"/>
        <v/>
      </c>
      <c r="J441" s="18"/>
      <c r="K441" s="76"/>
      <c r="M441" s="132">
        <f t="shared" ca="1" si="91"/>
        <v>140.28938837317989</v>
      </c>
      <c r="N441" s="38">
        <f t="shared" si="101"/>
        <v>4.125</v>
      </c>
      <c r="O441" s="36">
        <f t="shared" si="102"/>
        <v>110</v>
      </c>
      <c r="P441" s="38">
        <f ca="1">IF(ISERROR(IF(O441&lt;fi_h/20,0,(OFFSET('Base de dados'!$A$5,IF(O441&lt;20,1,IF(O441&gt;1000,10,MATCH(O441,Cargas,1))),Coluna_fih,1,1))*(1+0.13*0.25)*(PI()*(fi_h/1000)^2/4)*SQRT(2*9.81*(O441/100-fi_h/2/1000))*1000)),"",IF(O441&lt;fi_h/20,0,(OFFSET('Base de dados'!$A$5,IF(O441&lt;20,1,IF(O441&gt;1000,10,MATCH(O441,Cargas,1))),Coluna_fih,1,1))*(PI()*(fi_h/1000)^2/4)*SQRT(2*9.81*(O441/100-fi_h/2/1000))*1000))</f>
        <v>2.7893883731798983</v>
      </c>
      <c r="Q441" s="38">
        <f ca="1">IF(O441="","",IF(Tipo_Vertedor="Retangular",IF(O441&lt;=cota_s*100,0,IF(Tipo_Vertedor="Retangular",Cd_sr*Lef_sr*((O441/100-cota_s)^(3/2))*1000)),IF(O441&lt;=cota_s*100+fi_s/20,0,(OFFSET('Base de dados'!$A$4,IF(O441&lt;20,1,IF(O441&gt;1000,10,MATCH(O441,Cargas,1))),Coluna_fis,1,1))*(PI()*(fi_s/1000)^2/4)*(2*9.81*(O441/100-cota_s-fi_s/2/1000))^0.5*1000)))</f>
        <v>0</v>
      </c>
      <c r="R441" s="38">
        <f t="shared" ca="1" si="92"/>
        <v>2.7893883731798983</v>
      </c>
      <c r="S441" s="38">
        <f t="shared" ca="1" si="93"/>
        <v>137.5</v>
      </c>
      <c r="AD441" s="38" t="str">
        <f t="shared" si="103"/>
        <v/>
      </c>
      <c r="AE441" s="38" t="str">
        <f t="shared" si="104"/>
        <v/>
      </c>
      <c r="AF441" s="38" t="str">
        <f>IF(ISERROR(IF('Hidrograma afluente'!I448="",0,'Hidrograma afluente'!I448)+Simulação!G441),"",IF('Hidrograma afluente'!I448="",0,'Hidrograma afluente'!I448)+Simulação!G441)</f>
        <v/>
      </c>
      <c r="AG441" s="36" t="s">
        <v>182</v>
      </c>
      <c r="AH441" s="36" t="s">
        <v>182</v>
      </c>
      <c r="AI441" s="48" t="s">
        <v>182</v>
      </c>
      <c r="AJ441" s="36" t="s">
        <v>182</v>
      </c>
      <c r="AK441" s="38" t="str">
        <f>IF(A441="","",IF('Hidrograma afluente'!I448="",0,'Hidrograma afluente'!I448)+Simulação!B441)</f>
        <v/>
      </c>
    </row>
    <row r="442" spans="1:37" s="36" customFormat="1">
      <c r="A442" s="23" t="str">
        <f t="shared" si="106"/>
        <v/>
      </c>
      <c r="B442" s="24" t="str">
        <f>IF(A442="","",IF(A442&gt;tc_lot_i+tc,0,IF('Hidrograma afluente'!B449="","",'Hidrograma afluente'!B449)))</f>
        <v/>
      </c>
      <c r="C442" s="41" t="str">
        <f t="shared" si="107"/>
        <v/>
      </c>
      <c r="D442" s="41" t="str">
        <f t="shared" si="96"/>
        <v/>
      </c>
      <c r="E442" s="41" t="str">
        <f t="shared" si="97"/>
        <v/>
      </c>
      <c r="F442" s="41" t="str">
        <f t="shared" si="98"/>
        <v/>
      </c>
      <c r="G442" s="41" t="str">
        <f t="shared" si="99"/>
        <v/>
      </c>
      <c r="H442" s="43" t="str">
        <f t="shared" si="108"/>
        <v/>
      </c>
      <c r="I442" s="42" t="str">
        <f t="shared" si="100"/>
        <v/>
      </c>
      <c r="J442" s="18"/>
      <c r="K442" s="76"/>
      <c r="M442" s="132">
        <f t="shared" ca="1" si="91"/>
        <v>140.60510781559998</v>
      </c>
      <c r="N442" s="38">
        <f t="shared" si="101"/>
        <v>4.1343750000000004</v>
      </c>
      <c r="O442" s="36">
        <f t="shared" si="102"/>
        <v>110.25</v>
      </c>
      <c r="P442" s="38">
        <f ca="1">IF(ISERROR(IF(O442&lt;fi_h/20,0,(OFFSET('Base de dados'!$A$5,IF(O442&lt;20,1,IF(O442&gt;1000,10,MATCH(O442,Cargas,1))),Coluna_fih,1,1))*(1+0.13*0.25)*(PI()*(fi_h/1000)^2/4)*SQRT(2*9.81*(O442/100-fi_h/2/1000))*1000)),"",IF(O442&lt;fi_h/20,0,(OFFSET('Base de dados'!$A$5,IF(O442&lt;20,1,IF(O442&gt;1000,10,MATCH(O442,Cargas,1))),Coluna_fih,1,1))*(PI()*(fi_h/1000)^2/4)*SQRT(2*9.81*(O442/100-fi_h/2/1000))*1000))</f>
        <v>2.7926078155999652</v>
      </c>
      <c r="Q442" s="38">
        <f ca="1">IF(O442="","",IF(Tipo_Vertedor="Retangular",IF(O442&lt;=cota_s*100,0,IF(Tipo_Vertedor="Retangular",Cd_sr*Lef_sr*((O442/100-cota_s)^(3/2))*1000)),IF(O442&lt;=cota_s*100+fi_s/20,0,(OFFSET('Base de dados'!$A$4,IF(O442&lt;20,1,IF(O442&gt;1000,10,MATCH(O442,Cargas,1))),Coluna_fis,1,1))*(PI()*(fi_s/1000)^2/4)*(2*9.81*(O442/100-cota_s-fi_s/2/1000))^0.5*1000)))</f>
        <v>0</v>
      </c>
      <c r="R442" s="38">
        <f t="shared" ca="1" si="92"/>
        <v>2.7926078155999652</v>
      </c>
      <c r="S442" s="38">
        <f t="shared" ca="1" si="93"/>
        <v>137.8125</v>
      </c>
      <c r="AD442" s="38" t="str">
        <f t="shared" si="103"/>
        <v/>
      </c>
      <c r="AE442" s="38" t="str">
        <f t="shared" si="104"/>
        <v/>
      </c>
      <c r="AF442" s="38" t="str">
        <f>IF(ISERROR(IF('Hidrograma afluente'!I449="",0,'Hidrograma afluente'!I449)+Simulação!G442),"",IF('Hidrograma afluente'!I449="",0,'Hidrograma afluente'!I449)+Simulação!G442)</f>
        <v/>
      </c>
      <c r="AG442" s="36" t="s">
        <v>182</v>
      </c>
      <c r="AH442" s="36" t="s">
        <v>182</v>
      </c>
      <c r="AI442" s="48" t="s">
        <v>182</v>
      </c>
      <c r="AJ442" s="36" t="s">
        <v>182</v>
      </c>
      <c r="AK442" s="38" t="str">
        <f>IF(A442="","",IF('Hidrograma afluente'!I449="",0,'Hidrograma afluente'!I449)+Simulação!B442)</f>
        <v/>
      </c>
    </row>
    <row r="443" spans="1:37" s="36" customFormat="1">
      <c r="A443" s="23" t="str">
        <f t="shared" si="106"/>
        <v/>
      </c>
      <c r="B443" s="24" t="str">
        <f>IF(A443="","",IF(A443&gt;tc_lot_i+tc,0,IF('Hidrograma afluente'!B450="","",'Hidrograma afluente'!B450)))</f>
        <v/>
      </c>
      <c r="C443" s="41" t="str">
        <f t="shared" si="107"/>
        <v/>
      </c>
      <c r="D443" s="41" t="str">
        <f t="shared" si="96"/>
        <v/>
      </c>
      <c r="E443" s="41" t="str">
        <f t="shared" si="97"/>
        <v/>
      </c>
      <c r="F443" s="41" t="str">
        <f t="shared" si="98"/>
        <v/>
      </c>
      <c r="G443" s="41" t="str">
        <f t="shared" si="99"/>
        <v/>
      </c>
      <c r="H443" s="43" t="str">
        <f t="shared" si="108"/>
        <v/>
      </c>
      <c r="I443" s="42" t="str">
        <f t="shared" si="100"/>
        <v/>
      </c>
      <c r="J443" s="18"/>
      <c r="K443" s="76"/>
      <c r="M443" s="132">
        <f t="shared" ca="1" si="91"/>
        <v>140.92082355077511</v>
      </c>
      <c r="N443" s="38">
        <f t="shared" si="101"/>
        <v>4.1437499999999998</v>
      </c>
      <c r="O443" s="36">
        <f t="shared" si="102"/>
        <v>110.5</v>
      </c>
      <c r="P443" s="38">
        <f ca="1">IF(ISERROR(IF(O443&lt;fi_h/20,0,(OFFSET('Base de dados'!$A$5,IF(O443&lt;20,1,IF(O443&gt;1000,10,MATCH(O443,Cargas,1))),Coluna_fih,1,1))*(1+0.13*0.25)*(PI()*(fi_h/1000)^2/4)*SQRT(2*9.81*(O443/100-fi_h/2/1000))*1000)),"",IF(O443&lt;fi_h/20,0,(OFFSET('Base de dados'!$A$5,IF(O443&lt;20,1,IF(O443&gt;1000,10,MATCH(O443,Cargas,1))),Coluna_fih,1,1))*(PI()*(fi_h/1000)^2/4)*SQRT(2*9.81*(O443/100-fi_h/2/1000))*1000))</f>
        <v>2.7958235507751228</v>
      </c>
      <c r="Q443" s="38">
        <f ca="1">IF(O443="","",IF(Tipo_Vertedor="Retangular",IF(O443&lt;=cota_s*100,0,IF(Tipo_Vertedor="Retangular",Cd_sr*Lef_sr*((O443/100-cota_s)^(3/2))*1000)),IF(O443&lt;=cota_s*100+fi_s/20,0,(OFFSET('Base de dados'!$A$4,IF(O443&lt;20,1,IF(O443&gt;1000,10,MATCH(O443,Cargas,1))),Coluna_fis,1,1))*(PI()*(fi_s/1000)^2/4)*(2*9.81*(O443/100-cota_s-fi_s/2/1000))^0.5*1000)))</f>
        <v>0</v>
      </c>
      <c r="R443" s="38">
        <f t="shared" ca="1" si="92"/>
        <v>2.7958235507751228</v>
      </c>
      <c r="S443" s="38">
        <f t="shared" ca="1" si="93"/>
        <v>138.125</v>
      </c>
      <c r="AD443" s="38" t="str">
        <f t="shared" si="103"/>
        <v/>
      </c>
      <c r="AE443" s="38" t="str">
        <f t="shared" si="104"/>
        <v/>
      </c>
      <c r="AF443" s="38" t="str">
        <f>IF(ISERROR(IF('Hidrograma afluente'!I450="",0,'Hidrograma afluente'!I450)+Simulação!G443),"",IF('Hidrograma afluente'!I450="",0,'Hidrograma afluente'!I450)+Simulação!G443)</f>
        <v/>
      </c>
      <c r="AG443" s="36" t="s">
        <v>182</v>
      </c>
      <c r="AH443" s="36" t="s">
        <v>182</v>
      </c>
      <c r="AI443" s="48" t="s">
        <v>182</v>
      </c>
      <c r="AJ443" s="36" t="s">
        <v>182</v>
      </c>
      <c r="AK443" s="38" t="str">
        <f>IF(A443="","",IF('Hidrograma afluente'!I450="",0,'Hidrograma afluente'!I450)+Simulação!B443)</f>
        <v/>
      </c>
    </row>
    <row r="444" spans="1:37" s="36" customFormat="1">
      <c r="A444" s="23" t="str">
        <f t="shared" si="106"/>
        <v/>
      </c>
      <c r="B444" s="24" t="str">
        <f>IF(A444="","",IF(A444&gt;tc_lot_i+tc,0,IF('Hidrograma afluente'!B451="","",'Hidrograma afluente'!B451)))</f>
        <v/>
      </c>
      <c r="C444" s="41" t="str">
        <f t="shared" si="107"/>
        <v/>
      </c>
      <c r="D444" s="41" t="str">
        <f t="shared" si="96"/>
        <v/>
      </c>
      <c r="E444" s="41" t="str">
        <f t="shared" si="97"/>
        <v/>
      </c>
      <c r="F444" s="41" t="str">
        <f t="shared" si="98"/>
        <v/>
      </c>
      <c r="G444" s="41" t="str">
        <f t="shared" si="99"/>
        <v/>
      </c>
      <c r="H444" s="43" t="str">
        <f t="shared" si="108"/>
        <v/>
      </c>
      <c r="I444" s="42" t="str">
        <f t="shared" si="100"/>
        <v/>
      </c>
      <c r="J444" s="18"/>
      <c r="K444" s="76"/>
      <c r="M444" s="132">
        <f t="shared" ca="1" si="91"/>
        <v>141.23653559148281</v>
      </c>
      <c r="N444" s="38">
        <f t="shared" si="101"/>
        <v>4.1531249999999993</v>
      </c>
      <c r="O444" s="36">
        <f t="shared" si="102"/>
        <v>110.75</v>
      </c>
      <c r="P444" s="38">
        <f ca="1">IF(ISERROR(IF(O444&lt;fi_h/20,0,(OFFSET('Base de dados'!$A$5,IF(O444&lt;20,1,IF(O444&gt;1000,10,MATCH(O444,Cargas,1))),Coluna_fih,1,1))*(1+0.13*0.25)*(PI()*(fi_h/1000)^2/4)*SQRT(2*9.81*(O444/100-fi_h/2/1000))*1000)),"",IF(O444&lt;fi_h/20,0,(OFFSET('Base de dados'!$A$5,IF(O444&lt;20,1,IF(O444&gt;1000,10,MATCH(O444,Cargas,1))),Coluna_fih,1,1))*(PI()*(fi_h/1000)^2/4)*SQRT(2*9.81*(O444/100-fi_h/2/1000))*1000))</f>
        <v>2.799035591482828</v>
      </c>
      <c r="Q444" s="38">
        <f ca="1">IF(O444="","",IF(Tipo_Vertedor="Retangular",IF(O444&lt;=cota_s*100,0,IF(Tipo_Vertedor="Retangular",Cd_sr*Lef_sr*((O444/100-cota_s)^(3/2))*1000)),IF(O444&lt;=cota_s*100+fi_s/20,0,(OFFSET('Base de dados'!$A$4,IF(O444&lt;20,1,IF(O444&gt;1000,10,MATCH(O444,Cargas,1))),Coluna_fis,1,1))*(PI()*(fi_s/1000)^2/4)*(2*9.81*(O444/100-cota_s-fi_s/2/1000))^0.5*1000)))</f>
        <v>0</v>
      </c>
      <c r="R444" s="38">
        <f t="shared" ca="1" si="92"/>
        <v>2.799035591482828</v>
      </c>
      <c r="S444" s="38">
        <f t="shared" ca="1" si="93"/>
        <v>138.43749999999997</v>
      </c>
      <c r="AD444" s="38" t="str">
        <f t="shared" si="103"/>
        <v/>
      </c>
      <c r="AE444" s="38" t="str">
        <f t="shared" si="104"/>
        <v/>
      </c>
      <c r="AF444" s="38" t="str">
        <f>IF(ISERROR(IF('Hidrograma afluente'!I451="",0,'Hidrograma afluente'!I451)+Simulação!G444),"",IF('Hidrograma afluente'!I451="",0,'Hidrograma afluente'!I451)+Simulação!G444)</f>
        <v/>
      </c>
      <c r="AG444" s="36" t="s">
        <v>182</v>
      </c>
      <c r="AH444" s="36" t="s">
        <v>182</v>
      </c>
      <c r="AI444" s="48" t="s">
        <v>182</v>
      </c>
      <c r="AJ444" s="36" t="s">
        <v>182</v>
      </c>
      <c r="AK444" s="38" t="str">
        <f>IF(A444="","",IF('Hidrograma afluente'!I451="",0,'Hidrograma afluente'!I451)+Simulação!B444)</f>
        <v/>
      </c>
    </row>
    <row r="445" spans="1:37" s="36" customFormat="1">
      <c r="A445" s="23" t="str">
        <f t="shared" si="106"/>
        <v/>
      </c>
      <c r="B445" s="24" t="str">
        <f>IF(A445="","",IF(A445&gt;tc_lot_i+tc,0,IF('Hidrograma afluente'!B452="","",'Hidrograma afluente'!B452)))</f>
        <v/>
      </c>
      <c r="C445" s="41" t="str">
        <f t="shared" si="107"/>
        <v/>
      </c>
      <c r="D445" s="41" t="str">
        <f t="shared" si="96"/>
        <v/>
      </c>
      <c r="E445" s="41" t="str">
        <f t="shared" si="97"/>
        <v/>
      </c>
      <c r="F445" s="41" t="str">
        <f t="shared" si="98"/>
        <v/>
      </c>
      <c r="G445" s="41" t="str">
        <f t="shared" si="99"/>
        <v/>
      </c>
      <c r="H445" s="43" t="str">
        <f t="shared" si="108"/>
        <v/>
      </c>
      <c r="I445" s="42" t="str">
        <f t="shared" si="100"/>
        <v/>
      </c>
      <c r="J445" s="18"/>
      <c r="K445" s="76"/>
      <c r="M445" s="132">
        <f t="shared" ca="1" si="91"/>
        <v>141.55224395042734</v>
      </c>
      <c r="N445" s="38">
        <f t="shared" si="101"/>
        <v>4.1625000000000005</v>
      </c>
      <c r="O445" s="36">
        <f t="shared" si="102"/>
        <v>111</v>
      </c>
      <c r="P445" s="38">
        <f ca="1">IF(ISERROR(IF(O445&lt;fi_h/20,0,(OFFSET('Base de dados'!$A$5,IF(O445&lt;20,1,IF(O445&gt;1000,10,MATCH(O445,Cargas,1))),Coluna_fih,1,1))*(1+0.13*0.25)*(PI()*(fi_h/1000)^2/4)*SQRT(2*9.81*(O445/100-fi_h/2/1000))*1000)),"",IF(O445&lt;fi_h/20,0,(OFFSET('Base de dados'!$A$5,IF(O445&lt;20,1,IF(O445&gt;1000,10,MATCH(O445,Cargas,1))),Coluna_fih,1,1))*(PI()*(fi_h/1000)^2/4)*SQRT(2*9.81*(O445/100-fi_h/2/1000))*1000))</f>
        <v>2.802243950427306</v>
      </c>
      <c r="Q445" s="38">
        <f ca="1">IF(O445="","",IF(Tipo_Vertedor="Retangular",IF(O445&lt;=cota_s*100,0,IF(Tipo_Vertedor="Retangular",Cd_sr*Lef_sr*((O445/100-cota_s)^(3/2))*1000)),IF(O445&lt;=cota_s*100+fi_s/20,0,(OFFSET('Base de dados'!$A$4,IF(O445&lt;20,1,IF(O445&gt;1000,10,MATCH(O445,Cargas,1))),Coluna_fis,1,1))*(PI()*(fi_s/1000)^2/4)*(2*9.81*(O445/100-cota_s-fi_s/2/1000))^0.5*1000)))</f>
        <v>0</v>
      </c>
      <c r="R445" s="38">
        <f t="shared" ca="1" si="92"/>
        <v>2.802243950427306</v>
      </c>
      <c r="S445" s="38">
        <f t="shared" ca="1" si="93"/>
        <v>138.75000000000003</v>
      </c>
      <c r="AD445" s="38" t="str">
        <f t="shared" si="103"/>
        <v/>
      </c>
      <c r="AE445" s="38" t="str">
        <f t="shared" si="104"/>
        <v/>
      </c>
      <c r="AF445" s="38" t="str">
        <f>IF(ISERROR(IF('Hidrograma afluente'!I452="",0,'Hidrograma afluente'!I452)+Simulação!G445),"",IF('Hidrograma afluente'!I452="",0,'Hidrograma afluente'!I452)+Simulação!G445)</f>
        <v/>
      </c>
      <c r="AG445" s="36" t="s">
        <v>182</v>
      </c>
      <c r="AH445" s="36" t="s">
        <v>182</v>
      </c>
      <c r="AI445" s="48" t="s">
        <v>182</v>
      </c>
      <c r="AJ445" s="36" t="s">
        <v>182</v>
      </c>
      <c r="AK445" s="38" t="str">
        <f>IF(A445="","",IF('Hidrograma afluente'!I452="",0,'Hidrograma afluente'!I452)+Simulação!B445)</f>
        <v/>
      </c>
    </row>
    <row r="446" spans="1:37" s="36" customFormat="1">
      <c r="A446" s="23" t="str">
        <f t="shared" si="106"/>
        <v/>
      </c>
      <c r="B446" s="24" t="str">
        <f>IF(A446="","",IF(A446&gt;tc_lot_i+tc,0,IF('Hidrograma afluente'!B453="","",'Hidrograma afluente'!B453)))</f>
        <v/>
      </c>
      <c r="C446" s="41" t="str">
        <f t="shared" si="107"/>
        <v/>
      </c>
      <c r="D446" s="41" t="str">
        <f t="shared" si="96"/>
        <v/>
      </c>
      <c r="E446" s="41" t="str">
        <f t="shared" si="97"/>
        <v/>
      </c>
      <c r="F446" s="41" t="str">
        <f t="shared" si="98"/>
        <v/>
      </c>
      <c r="G446" s="41" t="str">
        <f t="shared" si="99"/>
        <v/>
      </c>
      <c r="H446" s="43" t="str">
        <f t="shared" si="108"/>
        <v/>
      </c>
      <c r="I446" s="42" t="str">
        <f t="shared" si="100"/>
        <v/>
      </c>
      <c r="J446" s="18"/>
      <c r="K446" s="76"/>
      <c r="M446" s="132">
        <f t="shared" ca="1" si="91"/>
        <v>141.86794864024014</v>
      </c>
      <c r="N446" s="38">
        <f t="shared" si="101"/>
        <v>4.171875</v>
      </c>
      <c r="O446" s="36">
        <f t="shared" si="102"/>
        <v>111.25</v>
      </c>
      <c r="P446" s="38">
        <f ca="1">IF(ISERROR(IF(O446&lt;fi_h/20,0,(OFFSET('Base de dados'!$A$5,IF(O446&lt;20,1,IF(O446&gt;1000,10,MATCH(O446,Cargas,1))),Coluna_fih,1,1))*(1+0.13*0.25)*(PI()*(fi_h/1000)^2/4)*SQRT(2*9.81*(O446/100-fi_h/2/1000))*1000)),"",IF(O446&lt;fi_h/20,0,(OFFSET('Base de dados'!$A$5,IF(O446&lt;20,1,IF(O446&gt;1000,10,MATCH(O446,Cargas,1))),Coluna_fih,1,1))*(PI()*(fi_h/1000)^2/4)*SQRT(2*9.81*(O446/100-fi_h/2/1000))*1000))</f>
        <v>2.8054486402401384</v>
      </c>
      <c r="Q446" s="38">
        <f ca="1">IF(O446="","",IF(Tipo_Vertedor="Retangular",IF(O446&lt;=cota_s*100,0,IF(Tipo_Vertedor="Retangular",Cd_sr*Lef_sr*((O446/100-cota_s)^(3/2))*1000)),IF(O446&lt;=cota_s*100+fi_s/20,0,(OFFSET('Base de dados'!$A$4,IF(O446&lt;20,1,IF(O446&gt;1000,10,MATCH(O446,Cargas,1))),Coluna_fis,1,1))*(PI()*(fi_s/1000)^2/4)*(2*9.81*(O446/100-cota_s-fi_s/2/1000))^0.5*1000)))</f>
        <v>0</v>
      </c>
      <c r="R446" s="38">
        <f t="shared" ca="1" si="92"/>
        <v>2.8054486402401384</v>
      </c>
      <c r="S446" s="38">
        <f t="shared" ca="1" si="93"/>
        <v>139.0625</v>
      </c>
      <c r="AD446" s="38" t="str">
        <f t="shared" si="103"/>
        <v/>
      </c>
      <c r="AE446" s="38" t="str">
        <f t="shared" si="104"/>
        <v/>
      </c>
      <c r="AF446" s="38" t="str">
        <f>IF(ISERROR(IF('Hidrograma afluente'!I453="",0,'Hidrograma afluente'!I453)+Simulação!G446),"",IF('Hidrograma afluente'!I453="",0,'Hidrograma afluente'!I453)+Simulação!G446)</f>
        <v/>
      </c>
      <c r="AG446" s="36" t="s">
        <v>182</v>
      </c>
      <c r="AH446" s="36" t="s">
        <v>182</v>
      </c>
      <c r="AI446" s="48" t="s">
        <v>182</v>
      </c>
      <c r="AJ446" s="36" t="s">
        <v>182</v>
      </c>
      <c r="AK446" s="38" t="str">
        <f>IF(A446="","",IF('Hidrograma afluente'!I453="",0,'Hidrograma afluente'!I453)+Simulação!B446)</f>
        <v/>
      </c>
    </row>
    <row r="447" spans="1:37" s="36" customFormat="1">
      <c r="A447" s="23" t="str">
        <f t="shared" si="106"/>
        <v/>
      </c>
      <c r="B447" s="24" t="str">
        <f>IF(A447="","",IF(A447&gt;tc_lot_i+tc,0,IF('Hidrograma afluente'!B454="","",'Hidrograma afluente'!B454)))</f>
        <v/>
      </c>
      <c r="C447" s="41" t="str">
        <f t="shared" si="107"/>
        <v/>
      </c>
      <c r="D447" s="41" t="str">
        <f t="shared" si="96"/>
        <v/>
      </c>
      <c r="E447" s="41" t="str">
        <f t="shared" si="97"/>
        <v/>
      </c>
      <c r="F447" s="41" t="str">
        <f t="shared" si="98"/>
        <v/>
      </c>
      <c r="G447" s="41" t="str">
        <f t="shared" si="99"/>
        <v/>
      </c>
      <c r="H447" s="43" t="str">
        <f t="shared" si="108"/>
        <v/>
      </c>
      <c r="I447" s="42" t="str">
        <f t="shared" si="100"/>
        <v/>
      </c>
      <c r="J447" s="18"/>
      <c r="K447" s="76"/>
      <c r="M447" s="132">
        <f t="shared" ca="1" si="91"/>
        <v>142.18364967348083</v>
      </c>
      <c r="N447" s="38">
        <f t="shared" si="101"/>
        <v>4.1812500000000004</v>
      </c>
      <c r="O447" s="36">
        <f t="shared" si="102"/>
        <v>111.5</v>
      </c>
      <c r="P447" s="38">
        <f ca="1">IF(ISERROR(IF(O447&lt;fi_h/20,0,(OFFSET('Base de dados'!$A$5,IF(O447&lt;20,1,IF(O447&gt;1000,10,MATCH(O447,Cargas,1))),Coluna_fih,1,1))*(1+0.13*0.25)*(PI()*(fi_h/1000)^2/4)*SQRT(2*9.81*(O447/100-fi_h/2/1000))*1000)),"",IF(O447&lt;fi_h/20,0,(OFFSET('Base de dados'!$A$5,IF(O447&lt;20,1,IF(O447&gt;1000,10,MATCH(O447,Cargas,1))),Coluna_fih,1,1))*(PI()*(fi_h/1000)^2/4)*SQRT(2*9.81*(O447/100-fi_h/2/1000))*1000))</f>
        <v>2.8086496734808435</v>
      </c>
      <c r="Q447" s="38">
        <f ca="1">IF(O447="","",IF(Tipo_Vertedor="Retangular",IF(O447&lt;=cota_s*100,0,IF(Tipo_Vertedor="Retangular",Cd_sr*Lef_sr*((O447/100-cota_s)^(3/2))*1000)),IF(O447&lt;=cota_s*100+fi_s/20,0,(OFFSET('Base de dados'!$A$4,IF(O447&lt;20,1,IF(O447&gt;1000,10,MATCH(O447,Cargas,1))),Coluna_fis,1,1))*(PI()*(fi_s/1000)^2/4)*(2*9.81*(O447/100-cota_s-fi_s/2/1000))^0.5*1000)))</f>
        <v>0</v>
      </c>
      <c r="R447" s="38">
        <f t="shared" ca="1" si="92"/>
        <v>2.8086496734808435</v>
      </c>
      <c r="S447" s="38">
        <f t="shared" ca="1" si="93"/>
        <v>139.375</v>
      </c>
      <c r="AD447" s="38" t="str">
        <f t="shared" si="103"/>
        <v/>
      </c>
      <c r="AE447" s="38" t="str">
        <f t="shared" si="104"/>
        <v/>
      </c>
      <c r="AF447" s="38" t="str">
        <f>IF(ISERROR(IF('Hidrograma afluente'!I454="",0,'Hidrograma afluente'!I454)+Simulação!G447),"",IF('Hidrograma afluente'!I454="",0,'Hidrograma afluente'!I454)+Simulação!G447)</f>
        <v/>
      </c>
      <c r="AG447" s="36" t="s">
        <v>182</v>
      </c>
      <c r="AH447" s="36" t="s">
        <v>182</v>
      </c>
      <c r="AI447" s="48" t="s">
        <v>182</v>
      </c>
      <c r="AJ447" s="36" t="s">
        <v>182</v>
      </c>
      <c r="AK447" s="38" t="str">
        <f>IF(A447="","",IF('Hidrograma afluente'!I454="",0,'Hidrograma afluente'!I454)+Simulação!B447)</f>
        <v/>
      </c>
    </row>
    <row r="448" spans="1:37" s="36" customFormat="1">
      <c r="A448" s="23" t="str">
        <f t="shared" si="106"/>
        <v/>
      </c>
      <c r="B448" s="24" t="str">
        <f>IF(A448="","",IF(A448&gt;tc_lot_i+tc,0,IF('Hidrograma afluente'!B455="","",'Hidrograma afluente'!B455)))</f>
        <v/>
      </c>
      <c r="C448" s="41" t="str">
        <f t="shared" si="107"/>
        <v/>
      </c>
      <c r="D448" s="41" t="str">
        <f t="shared" si="96"/>
        <v/>
      </c>
      <c r="E448" s="41" t="str">
        <f t="shared" si="97"/>
        <v/>
      </c>
      <c r="F448" s="41" t="str">
        <f t="shared" si="98"/>
        <v/>
      </c>
      <c r="G448" s="41" t="str">
        <f t="shared" si="99"/>
        <v/>
      </c>
      <c r="H448" s="43" t="str">
        <f t="shared" si="108"/>
        <v/>
      </c>
      <c r="I448" s="42" t="str">
        <f t="shared" si="100"/>
        <v/>
      </c>
      <c r="J448" s="18"/>
      <c r="K448" s="76"/>
      <c r="M448" s="132">
        <f t="shared" ca="1" si="91"/>
        <v>142.49934706263744</v>
      </c>
      <c r="N448" s="38">
        <f t="shared" si="101"/>
        <v>4.1906249999999998</v>
      </c>
      <c r="O448" s="36">
        <f t="shared" si="102"/>
        <v>111.75</v>
      </c>
      <c r="P448" s="38">
        <f ca="1">IF(ISERROR(IF(O448&lt;fi_h/20,0,(OFFSET('Base de dados'!$A$5,IF(O448&lt;20,1,IF(O448&gt;1000,10,MATCH(O448,Cargas,1))),Coluna_fih,1,1))*(1+0.13*0.25)*(PI()*(fi_h/1000)^2/4)*SQRT(2*9.81*(O448/100-fi_h/2/1000))*1000)),"",IF(O448&lt;fi_h/20,0,(OFFSET('Base de dados'!$A$5,IF(O448&lt;20,1,IF(O448&gt;1000,10,MATCH(O448,Cargas,1))),Coluna_fih,1,1))*(PI()*(fi_h/1000)^2/4)*SQRT(2*9.81*(O448/100-fi_h/2/1000))*1000))</f>
        <v>2.8118470626374505</v>
      </c>
      <c r="Q448" s="38">
        <f ca="1">IF(O448="","",IF(Tipo_Vertedor="Retangular",IF(O448&lt;=cota_s*100,0,IF(Tipo_Vertedor="Retangular",Cd_sr*Lef_sr*((O448/100-cota_s)^(3/2))*1000)),IF(O448&lt;=cota_s*100+fi_s/20,0,(OFFSET('Base de dados'!$A$4,IF(O448&lt;20,1,IF(O448&gt;1000,10,MATCH(O448,Cargas,1))),Coluna_fis,1,1))*(PI()*(fi_s/1000)^2/4)*(2*9.81*(O448/100-cota_s-fi_s/2/1000))^0.5*1000)))</f>
        <v>0</v>
      </c>
      <c r="R448" s="38">
        <f t="shared" ca="1" si="92"/>
        <v>2.8118470626374505</v>
      </c>
      <c r="S448" s="38">
        <f t="shared" ca="1" si="93"/>
        <v>139.6875</v>
      </c>
      <c r="AD448" s="38" t="str">
        <f t="shared" si="103"/>
        <v/>
      </c>
      <c r="AE448" s="38" t="str">
        <f t="shared" si="104"/>
        <v/>
      </c>
      <c r="AF448" s="38" t="str">
        <f>IF(ISERROR(IF('Hidrograma afluente'!I455="",0,'Hidrograma afluente'!I455)+Simulação!G448),"",IF('Hidrograma afluente'!I455="",0,'Hidrograma afluente'!I455)+Simulação!G448)</f>
        <v/>
      </c>
      <c r="AG448" s="36" t="s">
        <v>182</v>
      </c>
      <c r="AH448" s="36" t="s">
        <v>182</v>
      </c>
      <c r="AI448" s="48" t="s">
        <v>182</v>
      </c>
      <c r="AJ448" s="36" t="s">
        <v>182</v>
      </c>
      <c r="AK448" s="38" t="str">
        <f>IF(A448="","",IF('Hidrograma afluente'!I455="",0,'Hidrograma afluente'!I455)+Simulação!B448)</f>
        <v/>
      </c>
    </row>
    <row r="449" spans="1:37" s="36" customFormat="1">
      <c r="A449" s="23" t="str">
        <f t="shared" si="106"/>
        <v/>
      </c>
      <c r="B449" s="24" t="str">
        <f>IF(A449="","",IF(A449&gt;tc_lot_i+tc,0,IF('Hidrograma afluente'!B456="","",'Hidrograma afluente'!B456)))</f>
        <v/>
      </c>
      <c r="C449" s="41" t="str">
        <f t="shared" si="107"/>
        <v/>
      </c>
      <c r="D449" s="41" t="str">
        <f t="shared" si="96"/>
        <v/>
      </c>
      <c r="E449" s="41" t="str">
        <f t="shared" si="97"/>
        <v/>
      </c>
      <c r="F449" s="41" t="str">
        <f t="shared" si="98"/>
        <v/>
      </c>
      <c r="G449" s="41" t="str">
        <f t="shared" si="99"/>
        <v/>
      </c>
      <c r="H449" s="43" t="str">
        <f t="shared" si="108"/>
        <v/>
      </c>
      <c r="I449" s="42" t="str">
        <f t="shared" si="100"/>
        <v/>
      </c>
      <c r="J449" s="18"/>
      <c r="K449" s="76"/>
      <c r="M449" s="132">
        <f t="shared" ca="1" si="91"/>
        <v>142.81504082012708</v>
      </c>
      <c r="N449" s="38">
        <f t="shared" si="101"/>
        <v>4.2</v>
      </c>
      <c r="O449" s="36">
        <f t="shared" si="102"/>
        <v>112</v>
      </c>
      <c r="P449" s="38">
        <f ca="1">IF(ISERROR(IF(O449&lt;fi_h/20,0,(OFFSET('Base de dados'!$A$5,IF(O449&lt;20,1,IF(O449&gt;1000,10,MATCH(O449,Cargas,1))),Coluna_fih,1,1))*(1+0.13*0.25)*(PI()*(fi_h/1000)^2/4)*SQRT(2*9.81*(O449/100-fi_h/2/1000))*1000)),"",IF(O449&lt;fi_h/20,0,(OFFSET('Base de dados'!$A$5,IF(O449&lt;20,1,IF(O449&gt;1000,10,MATCH(O449,Cargas,1))),Coluna_fih,1,1))*(PI()*(fi_h/1000)^2/4)*SQRT(2*9.81*(O449/100-fi_h/2/1000))*1000))</f>
        <v>2.8150408201270665</v>
      </c>
      <c r="Q449" s="38">
        <f ca="1">IF(O449="","",IF(Tipo_Vertedor="Retangular",IF(O449&lt;=cota_s*100,0,IF(Tipo_Vertedor="Retangular",Cd_sr*Lef_sr*((O449/100-cota_s)^(3/2))*1000)),IF(O449&lt;=cota_s*100+fi_s/20,0,(OFFSET('Base de dados'!$A$4,IF(O449&lt;20,1,IF(O449&gt;1000,10,MATCH(O449,Cargas,1))),Coluna_fis,1,1))*(PI()*(fi_s/1000)^2/4)*(2*9.81*(O449/100-cota_s-fi_s/2/1000))^0.5*1000)))</f>
        <v>0</v>
      </c>
      <c r="R449" s="38">
        <f t="shared" ca="1" si="92"/>
        <v>2.8150408201270665</v>
      </c>
      <c r="S449" s="38">
        <f t="shared" ca="1" si="93"/>
        <v>140</v>
      </c>
      <c r="AD449" s="38" t="str">
        <f t="shared" si="103"/>
        <v/>
      </c>
      <c r="AE449" s="38" t="str">
        <f t="shared" si="104"/>
        <v/>
      </c>
      <c r="AF449" s="38" t="str">
        <f>IF(ISERROR(IF('Hidrograma afluente'!I456="",0,'Hidrograma afluente'!I456)+Simulação!G449),"",IF('Hidrograma afluente'!I456="",0,'Hidrograma afluente'!I456)+Simulação!G449)</f>
        <v/>
      </c>
      <c r="AG449" s="36" t="s">
        <v>182</v>
      </c>
      <c r="AH449" s="36" t="s">
        <v>182</v>
      </c>
      <c r="AI449" s="48" t="s">
        <v>182</v>
      </c>
      <c r="AJ449" s="36" t="s">
        <v>182</v>
      </c>
      <c r="AK449" s="38" t="str">
        <f>IF(A449="","",IF('Hidrograma afluente'!I456="",0,'Hidrograma afluente'!I456)+Simulação!B449)</f>
        <v/>
      </c>
    </row>
    <row r="450" spans="1:37" s="36" customFormat="1">
      <c r="A450" s="23" t="str">
        <f t="shared" si="106"/>
        <v/>
      </c>
      <c r="B450" s="24" t="str">
        <f>IF(A450="","",IF(A450&gt;tc_lot_i+tc,0,IF('Hidrograma afluente'!B457="","",'Hidrograma afluente'!B457)))</f>
        <v/>
      </c>
      <c r="C450" s="41" t="str">
        <f t="shared" si="107"/>
        <v/>
      </c>
      <c r="D450" s="41" t="str">
        <f t="shared" si="96"/>
        <v/>
      </c>
      <c r="E450" s="41" t="str">
        <f t="shared" si="97"/>
        <v/>
      </c>
      <c r="F450" s="41" t="str">
        <f t="shared" si="98"/>
        <v/>
      </c>
      <c r="G450" s="41" t="str">
        <f t="shared" si="99"/>
        <v/>
      </c>
      <c r="H450" s="43" t="str">
        <f t="shared" si="108"/>
        <v/>
      </c>
      <c r="I450" s="42" t="str">
        <f t="shared" si="100"/>
        <v/>
      </c>
      <c r="J450" s="18"/>
      <c r="K450" s="76"/>
      <c r="M450" s="132">
        <f t="shared" ca="1" si="91"/>
        <v>143.13073095829648</v>
      </c>
      <c r="N450" s="38">
        <f t="shared" si="101"/>
        <v>4.2093750000000005</v>
      </c>
      <c r="O450" s="36">
        <f t="shared" si="102"/>
        <v>112.25</v>
      </c>
      <c r="P450" s="38">
        <f ca="1">IF(ISERROR(IF(O450&lt;fi_h/20,0,(OFFSET('Base de dados'!$A$5,IF(O450&lt;20,1,IF(O450&gt;1000,10,MATCH(O450,Cargas,1))),Coluna_fih,1,1))*(1+0.13*0.25)*(PI()*(fi_h/1000)^2/4)*SQRT(2*9.81*(O450/100-fi_h/2/1000))*1000)),"",IF(O450&lt;fi_h/20,0,(OFFSET('Base de dados'!$A$5,IF(O450&lt;20,1,IF(O450&gt;1000,10,MATCH(O450,Cargas,1))),Coluna_fih,1,1))*(PI()*(fi_h/1000)^2/4)*SQRT(2*9.81*(O450/100-fi_h/2/1000))*1000))</f>
        <v>2.8182309582964407</v>
      </c>
      <c r="Q450" s="38">
        <f ca="1">IF(O450="","",IF(Tipo_Vertedor="Retangular",IF(O450&lt;=cota_s*100,0,IF(Tipo_Vertedor="Retangular",Cd_sr*Lef_sr*((O450/100-cota_s)^(3/2))*1000)),IF(O450&lt;=cota_s*100+fi_s/20,0,(OFFSET('Base de dados'!$A$4,IF(O450&lt;20,1,IF(O450&gt;1000,10,MATCH(O450,Cargas,1))),Coluna_fis,1,1))*(PI()*(fi_s/1000)^2/4)*(2*9.81*(O450/100-cota_s-fi_s/2/1000))^0.5*1000)))</f>
        <v>0</v>
      </c>
      <c r="R450" s="38">
        <f t="shared" ca="1" si="92"/>
        <v>2.8182309582964407</v>
      </c>
      <c r="S450" s="38">
        <f t="shared" ca="1" si="93"/>
        <v>140.31250000000003</v>
      </c>
      <c r="AD450" s="38" t="str">
        <f t="shared" si="103"/>
        <v/>
      </c>
      <c r="AE450" s="38" t="str">
        <f t="shared" si="104"/>
        <v/>
      </c>
      <c r="AF450" s="38" t="str">
        <f>IF(ISERROR(IF('Hidrograma afluente'!I457="",0,'Hidrograma afluente'!I457)+Simulação!G450),"",IF('Hidrograma afluente'!I457="",0,'Hidrograma afluente'!I457)+Simulação!G450)</f>
        <v/>
      </c>
      <c r="AG450" s="36" t="s">
        <v>182</v>
      </c>
      <c r="AH450" s="36" t="s">
        <v>182</v>
      </c>
      <c r="AI450" s="48" t="s">
        <v>182</v>
      </c>
      <c r="AJ450" s="36" t="s">
        <v>182</v>
      </c>
      <c r="AK450" s="38" t="str">
        <f>IF(A450="","",IF('Hidrograma afluente'!I457="",0,'Hidrograma afluente'!I457)+Simulação!B450)</f>
        <v/>
      </c>
    </row>
    <row r="451" spans="1:37" s="36" customFormat="1">
      <c r="A451" s="23" t="str">
        <f t="shared" si="106"/>
        <v/>
      </c>
      <c r="B451" s="24" t="str">
        <f>IF(A451="","",IF(A451&gt;tc_lot_i+tc,0,IF('Hidrograma afluente'!B458="","",'Hidrograma afluente'!B458)))</f>
        <v/>
      </c>
      <c r="C451" s="41" t="str">
        <f t="shared" si="107"/>
        <v/>
      </c>
      <c r="D451" s="41" t="str">
        <f t="shared" si="96"/>
        <v/>
      </c>
      <c r="E451" s="41" t="str">
        <f t="shared" si="97"/>
        <v/>
      </c>
      <c r="F451" s="41" t="str">
        <f t="shared" si="98"/>
        <v/>
      </c>
      <c r="G451" s="41" t="str">
        <f t="shared" si="99"/>
        <v/>
      </c>
      <c r="H451" s="43" t="str">
        <f t="shared" si="108"/>
        <v/>
      </c>
      <c r="I451" s="42" t="str">
        <f t="shared" si="100"/>
        <v/>
      </c>
      <c r="J451" s="18"/>
      <c r="K451" s="76"/>
      <c r="M451" s="132">
        <f t="shared" ca="1" si="91"/>
        <v>143.44641748942252</v>
      </c>
      <c r="N451" s="38">
        <f t="shared" si="101"/>
        <v>4.21875</v>
      </c>
      <c r="O451" s="36">
        <f t="shared" si="102"/>
        <v>112.5</v>
      </c>
      <c r="P451" s="38">
        <f ca="1">IF(ISERROR(IF(O451&lt;fi_h/20,0,(OFFSET('Base de dados'!$A$5,IF(O451&lt;20,1,IF(O451&gt;1000,10,MATCH(O451,Cargas,1))),Coluna_fih,1,1))*(1+0.13*0.25)*(PI()*(fi_h/1000)^2/4)*SQRT(2*9.81*(O451/100-fi_h/2/1000))*1000)),"",IF(O451&lt;fi_h/20,0,(OFFSET('Base de dados'!$A$5,IF(O451&lt;20,1,IF(O451&gt;1000,10,MATCH(O451,Cargas,1))),Coluna_fih,1,1))*(PI()*(fi_h/1000)^2/4)*SQRT(2*9.81*(O451/100-fi_h/2/1000))*1000))</f>
        <v>2.8214174894225215</v>
      </c>
      <c r="Q451" s="38">
        <f ca="1">IF(O451="","",IF(Tipo_Vertedor="Retangular",IF(O451&lt;=cota_s*100,0,IF(Tipo_Vertedor="Retangular",Cd_sr*Lef_sr*((O451/100-cota_s)^(3/2))*1000)),IF(O451&lt;=cota_s*100+fi_s/20,0,(OFFSET('Base de dados'!$A$4,IF(O451&lt;20,1,IF(O451&gt;1000,10,MATCH(O451,Cargas,1))),Coluna_fis,1,1))*(PI()*(fi_s/1000)^2/4)*(2*9.81*(O451/100-cota_s-fi_s/2/1000))^0.5*1000)))</f>
        <v>0</v>
      </c>
      <c r="R451" s="38">
        <f t="shared" ca="1" si="92"/>
        <v>2.8214174894225215</v>
      </c>
      <c r="S451" s="38">
        <f t="shared" ca="1" si="93"/>
        <v>140.625</v>
      </c>
      <c r="AD451" s="38" t="str">
        <f t="shared" si="103"/>
        <v/>
      </c>
      <c r="AE451" s="38" t="str">
        <f t="shared" si="104"/>
        <v/>
      </c>
      <c r="AF451" s="38" t="str">
        <f>IF(ISERROR(IF('Hidrograma afluente'!I458="",0,'Hidrograma afluente'!I458)+Simulação!G451),"",IF('Hidrograma afluente'!I458="",0,'Hidrograma afluente'!I458)+Simulação!G451)</f>
        <v/>
      </c>
      <c r="AG451" s="36" t="s">
        <v>182</v>
      </c>
      <c r="AH451" s="36" t="s">
        <v>182</v>
      </c>
      <c r="AI451" s="48" t="s">
        <v>182</v>
      </c>
      <c r="AJ451" s="36" t="s">
        <v>182</v>
      </c>
      <c r="AK451" s="38" t="str">
        <f>IF(A451="","",IF('Hidrograma afluente'!I458="",0,'Hidrograma afluente'!I458)+Simulação!B451)</f>
        <v/>
      </c>
    </row>
    <row r="452" spans="1:37" s="36" customFormat="1">
      <c r="A452" s="23" t="str">
        <f t="shared" si="106"/>
        <v/>
      </c>
      <c r="B452" s="24" t="str">
        <f>IF(A452="","",IF(A452&gt;tc_lot_i+tc,0,IF('Hidrograma afluente'!B459="","",'Hidrograma afluente'!B459)))</f>
        <v/>
      </c>
      <c r="C452" s="41" t="str">
        <f t="shared" si="107"/>
        <v/>
      </c>
      <c r="D452" s="41" t="str">
        <f t="shared" si="96"/>
        <v/>
      </c>
      <c r="E452" s="41" t="str">
        <f t="shared" si="97"/>
        <v/>
      </c>
      <c r="F452" s="41" t="str">
        <f t="shared" si="98"/>
        <v/>
      </c>
      <c r="G452" s="41" t="str">
        <f t="shared" si="99"/>
        <v/>
      </c>
      <c r="H452" s="43" t="str">
        <f t="shared" si="108"/>
        <v/>
      </c>
      <c r="I452" s="42" t="str">
        <f t="shared" si="100"/>
        <v/>
      </c>
      <c r="J452" s="18"/>
      <c r="K452" s="76"/>
      <c r="M452" s="132">
        <f t="shared" ca="1" si="91"/>
        <v>143.76210042571299</v>
      </c>
      <c r="N452" s="38">
        <f t="shared" si="101"/>
        <v>4.2281249999999995</v>
      </c>
      <c r="O452" s="36">
        <f t="shared" si="102"/>
        <v>112.75</v>
      </c>
      <c r="P452" s="38">
        <f ca="1">IF(ISERROR(IF(O452&lt;fi_h/20,0,(OFFSET('Base de dados'!$A$5,IF(O452&lt;20,1,IF(O452&gt;1000,10,MATCH(O452,Cargas,1))),Coluna_fih,1,1))*(1+0.13*0.25)*(PI()*(fi_h/1000)^2/4)*SQRT(2*9.81*(O452/100-fi_h/2/1000))*1000)),"",IF(O452&lt;fi_h/20,0,(OFFSET('Base de dados'!$A$5,IF(O452&lt;20,1,IF(O452&gt;1000,10,MATCH(O452,Cargas,1))),Coluna_fih,1,1))*(PI()*(fi_h/1000)^2/4)*SQRT(2*9.81*(O452/100-fi_h/2/1000))*1000))</f>
        <v>2.8246004257130051</v>
      </c>
      <c r="Q452" s="38">
        <f ca="1">IF(O452="","",IF(Tipo_Vertedor="Retangular",IF(O452&lt;=cota_s*100,0,IF(Tipo_Vertedor="Retangular",Cd_sr*Lef_sr*((O452/100-cota_s)^(3/2))*1000)),IF(O452&lt;=cota_s*100+fi_s/20,0,(OFFSET('Base de dados'!$A$4,IF(O452&lt;20,1,IF(O452&gt;1000,10,MATCH(O452,Cargas,1))),Coluna_fis,1,1))*(PI()*(fi_s/1000)^2/4)*(2*9.81*(O452/100-cota_s-fi_s/2/1000))^0.5*1000)))</f>
        <v>0</v>
      </c>
      <c r="R452" s="38">
        <f t="shared" ca="1" si="92"/>
        <v>2.8246004257130051</v>
      </c>
      <c r="S452" s="38">
        <f t="shared" ca="1" si="93"/>
        <v>140.93749999999997</v>
      </c>
      <c r="AD452" s="38" t="str">
        <f t="shared" si="103"/>
        <v/>
      </c>
      <c r="AE452" s="38" t="str">
        <f t="shared" si="104"/>
        <v/>
      </c>
      <c r="AF452" s="38" t="str">
        <f>IF(ISERROR(IF('Hidrograma afluente'!I459="",0,'Hidrograma afluente'!I459)+Simulação!G452),"",IF('Hidrograma afluente'!I459="",0,'Hidrograma afluente'!I459)+Simulação!G452)</f>
        <v/>
      </c>
      <c r="AG452" s="36" t="s">
        <v>182</v>
      </c>
      <c r="AH452" s="36" t="s">
        <v>182</v>
      </c>
      <c r="AI452" s="48" t="s">
        <v>182</v>
      </c>
      <c r="AJ452" s="36" t="s">
        <v>182</v>
      </c>
      <c r="AK452" s="38" t="str">
        <f>IF(A452="","",IF('Hidrograma afluente'!I459="",0,'Hidrograma afluente'!I459)+Simulação!B452)</f>
        <v/>
      </c>
    </row>
    <row r="453" spans="1:37" s="36" customFormat="1">
      <c r="A453" s="23" t="str">
        <f t="shared" si="106"/>
        <v/>
      </c>
      <c r="B453" s="24" t="str">
        <f>IF(A453="","",IF(A453&gt;tc_lot_i+tc,0,IF('Hidrograma afluente'!B460="","",'Hidrograma afluente'!B460)))</f>
        <v/>
      </c>
      <c r="C453" s="41" t="str">
        <f t="shared" si="107"/>
        <v/>
      </c>
      <c r="D453" s="41" t="str">
        <f t="shared" si="96"/>
        <v/>
      </c>
      <c r="E453" s="41" t="str">
        <f t="shared" si="97"/>
        <v/>
      </c>
      <c r="F453" s="41" t="str">
        <f t="shared" si="98"/>
        <v/>
      </c>
      <c r="G453" s="41" t="str">
        <f t="shared" si="99"/>
        <v/>
      </c>
      <c r="H453" s="43" t="str">
        <f t="shared" si="108"/>
        <v/>
      </c>
      <c r="I453" s="42" t="str">
        <f t="shared" si="100"/>
        <v/>
      </c>
      <c r="J453" s="18"/>
      <c r="K453" s="76"/>
      <c r="M453" s="132">
        <f t="shared" ref="M453:M516" ca="1" si="109">IF(O453="","",2*N453*1000/(Passo*60)+R453)</f>
        <v>144.07777977930689</v>
      </c>
      <c r="N453" s="38">
        <f t="shared" si="101"/>
        <v>4.2374999999999998</v>
      </c>
      <c r="O453" s="36">
        <f t="shared" si="102"/>
        <v>113</v>
      </c>
      <c r="P453" s="38">
        <f ca="1">IF(ISERROR(IF(O453&lt;fi_h/20,0,(OFFSET('Base de dados'!$A$5,IF(O453&lt;20,1,IF(O453&gt;1000,10,MATCH(O453,Cargas,1))),Coluna_fih,1,1))*(1+0.13*0.25)*(PI()*(fi_h/1000)^2/4)*SQRT(2*9.81*(O453/100-fi_h/2/1000))*1000)),"",IF(O453&lt;fi_h/20,0,(OFFSET('Base de dados'!$A$5,IF(O453&lt;20,1,IF(O453&gt;1000,10,MATCH(O453,Cargas,1))),Coluna_fih,1,1))*(PI()*(fi_h/1000)^2/4)*SQRT(2*9.81*(O453/100-fi_h/2/1000))*1000))</f>
        <v>2.8277797793068853</v>
      </c>
      <c r="Q453" s="38">
        <f ca="1">IF(O453="","",IF(Tipo_Vertedor="Retangular",IF(O453&lt;=cota_s*100,0,IF(Tipo_Vertedor="Retangular",Cd_sr*Lef_sr*((O453/100-cota_s)^(3/2))*1000)),IF(O453&lt;=cota_s*100+fi_s/20,0,(OFFSET('Base de dados'!$A$4,IF(O453&lt;20,1,IF(O453&gt;1000,10,MATCH(O453,Cargas,1))),Coluna_fis,1,1))*(PI()*(fi_s/1000)^2/4)*(2*9.81*(O453/100-cota_s-fi_s/2/1000))^0.5*1000)))</f>
        <v>0</v>
      </c>
      <c r="R453" s="38">
        <f t="shared" ref="R453:R501" ca="1" si="110">IF(O453="","",Q453+P453)</f>
        <v>2.8277797793068853</v>
      </c>
      <c r="S453" s="38">
        <f t="shared" ref="S453:S516" ca="1" si="111">IF(M453="","",2*N453*1000/(Passo*60))</f>
        <v>141.25</v>
      </c>
      <c r="AD453" s="38" t="str">
        <f t="shared" si="103"/>
        <v/>
      </c>
      <c r="AE453" s="38" t="str">
        <f t="shared" si="104"/>
        <v/>
      </c>
      <c r="AF453" s="38" t="str">
        <f>IF(ISERROR(IF('Hidrograma afluente'!I460="",0,'Hidrograma afluente'!I460)+Simulação!G453),"",IF('Hidrograma afluente'!I460="",0,'Hidrograma afluente'!I460)+Simulação!G453)</f>
        <v/>
      </c>
      <c r="AG453" s="36" t="s">
        <v>182</v>
      </c>
      <c r="AH453" s="36" t="s">
        <v>182</v>
      </c>
      <c r="AI453" s="48" t="s">
        <v>182</v>
      </c>
      <c r="AJ453" s="36" t="s">
        <v>182</v>
      </c>
      <c r="AK453" s="38" t="str">
        <f>IF(A453="","",IF('Hidrograma afluente'!I460="",0,'Hidrograma afluente'!I460)+Simulação!B453)</f>
        <v/>
      </c>
    </row>
    <row r="454" spans="1:37" s="36" customFormat="1">
      <c r="A454" s="23" t="str">
        <f t="shared" si="106"/>
        <v/>
      </c>
      <c r="B454" s="24" t="str">
        <f>IF(A454="","",IF(A454&gt;tc_lot_i+tc,0,IF('Hidrograma afluente'!B461="","",'Hidrograma afluente'!B461)))</f>
        <v/>
      </c>
      <c r="C454" s="41" t="str">
        <f t="shared" si="107"/>
        <v/>
      </c>
      <c r="D454" s="41" t="str">
        <f t="shared" ref="D454:D485" si="112">IF(A454="","",IF(ISERROR(VLOOKUP(H453,tabela_auxiliar,7,1)),0,VLOOKUP(H453,tabela_auxiliar,7,1)))</f>
        <v/>
      </c>
      <c r="E454" s="41" t="str">
        <f t="shared" ref="E454:E485" si="113">IF(A454="","",IF(ISERROR(VLOOKUP(H453,tabela_auxiliar,4,TRUE)),0,VLOOKUP(H453,tabela_auxiliar,4,TRUE)))</f>
        <v/>
      </c>
      <c r="F454" s="41" t="str">
        <f t="shared" ref="F454:F485" si="114">IF(A454="","",IF(ISERROR(VLOOKUP(H453,tabela_auxiliar,5,TRUE)),0,VLOOKUP(H453,tabela_auxiliar,5,TRUE)))</f>
        <v/>
      </c>
      <c r="G454" s="41" t="str">
        <f t="shared" ref="G454:G485" si="115">IF(A454="","",IF(ISERROR(VLOOKUP(H453,tabela_auxiliar,6,TRUE)),0,VLOOKUP(H453,tabela_auxiliar,6,TRUE)))</f>
        <v/>
      </c>
      <c r="H454" s="43" t="str">
        <f t="shared" si="108"/>
        <v/>
      </c>
      <c r="I454" s="42" t="str">
        <f t="shared" ref="I454:I485" si="116">IF(A454="","",IF(ISERROR(VLOOKUP(H453,tabela_auxiliar,3,TRUE)),0,VLOOKUP(H453,tabela_auxiliar,3,TRUE)))</f>
        <v/>
      </c>
      <c r="J454" s="18"/>
      <c r="K454" s="76"/>
      <c r="M454" s="132">
        <f t="shared" ca="1" si="109"/>
        <v>144.39345556227499</v>
      </c>
      <c r="N454" s="38">
        <f t="shared" ref="N454:N517" si="117">IF(O454="","",b_0*(O454/100)^c_0)</f>
        <v>4.2468750000000002</v>
      </c>
      <c r="O454" s="36">
        <f t="shared" ref="O454:O517" si="118">IF(ISERROR(IF(O453+passo_altura&gt;h_max_puls*100,"",O453+passo_altura)),"",IF(O453+passo_altura&gt;h_max_puls*100,"",O453+passo_altura))</f>
        <v>113.25</v>
      </c>
      <c r="P454" s="38">
        <f ca="1">IF(ISERROR(IF(O454&lt;fi_h/20,0,(OFFSET('Base de dados'!$A$5,IF(O454&lt;20,1,IF(O454&gt;1000,10,MATCH(O454,Cargas,1))),Coluna_fih,1,1))*(1+0.13*0.25)*(PI()*(fi_h/1000)^2/4)*SQRT(2*9.81*(O454/100-fi_h/2/1000))*1000)),"",IF(O454&lt;fi_h/20,0,(OFFSET('Base de dados'!$A$5,IF(O454&lt;20,1,IF(O454&gt;1000,10,MATCH(O454,Cargas,1))),Coluna_fih,1,1))*(PI()*(fi_h/1000)^2/4)*SQRT(2*9.81*(O454/100-fi_h/2/1000))*1000))</f>
        <v>2.8309555622749905</v>
      </c>
      <c r="Q454" s="38">
        <f ca="1">IF(O454="","",IF(Tipo_Vertedor="Retangular",IF(O454&lt;=cota_s*100,0,IF(Tipo_Vertedor="Retangular",Cd_sr*Lef_sr*((O454/100-cota_s)^(3/2))*1000)),IF(O454&lt;=cota_s*100+fi_s/20,0,(OFFSET('Base de dados'!$A$4,IF(O454&lt;20,1,IF(O454&gt;1000,10,MATCH(O454,Cargas,1))),Coluna_fis,1,1))*(PI()*(fi_s/1000)^2/4)*(2*9.81*(O454/100-cota_s-fi_s/2/1000))^0.5*1000)))</f>
        <v>0</v>
      </c>
      <c r="R454" s="38">
        <f t="shared" ca="1" si="110"/>
        <v>2.8309555622749905</v>
      </c>
      <c r="S454" s="38">
        <f t="shared" ca="1" si="111"/>
        <v>141.5625</v>
      </c>
      <c r="AD454" s="38" t="str">
        <f t="shared" si="103"/>
        <v/>
      </c>
      <c r="AE454" s="38" t="str">
        <f t="shared" si="104"/>
        <v/>
      </c>
      <c r="AF454" s="38" t="str">
        <f>IF(ISERROR(IF('Hidrograma afluente'!I461="",0,'Hidrograma afluente'!I461)+Simulação!G454),"",IF('Hidrograma afluente'!I461="",0,'Hidrograma afluente'!I461)+Simulação!G454)</f>
        <v/>
      </c>
      <c r="AG454" s="36" t="s">
        <v>182</v>
      </c>
      <c r="AH454" s="36" t="s">
        <v>182</v>
      </c>
      <c r="AI454" s="48" t="s">
        <v>182</v>
      </c>
      <c r="AJ454" s="36" t="s">
        <v>182</v>
      </c>
      <c r="AK454" s="38" t="str">
        <f>IF(A454="","",IF('Hidrograma afluente'!I461="",0,'Hidrograma afluente'!I461)+Simulação!B454)</f>
        <v/>
      </c>
    </row>
    <row r="455" spans="1:37" s="36" customFormat="1">
      <c r="A455" s="23" t="str">
        <f t="shared" si="106"/>
        <v/>
      </c>
      <c r="B455" s="24" t="str">
        <f>IF(A455="","",IF(A455&gt;tc_lot_i+tc,0,IF('Hidrograma afluente'!B462="","",'Hidrograma afluente'!B462)))</f>
        <v/>
      </c>
      <c r="C455" s="41" t="str">
        <f t="shared" si="107"/>
        <v/>
      </c>
      <c r="D455" s="41" t="str">
        <f t="shared" si="112"/>
        <v/>
      </c>
      <c r="E455" s="41" t="str">
        <f t="shared" si="113"/>
        <v/>
      </c>
      <c r="F455" s="41" t="str">
        <f t="shared" si="114"/>
        <v/>
      </c>
      <c r="G455" s="41" t="str">
        <f t="shared" si="115"/>
        <v/>
      </c>
      <c r="H455" s="43" t="str">
        <f t="shared" si="108"/>
        <v/>
      </c>
      <c r="I455" s="42" t="str">
        <f t="shared" si="116"/>
        <v/>
      </c>
      <c r="J455" s="18"/>
      <c r="K455" s="76"/>
      <c r="M455" s="132">
        <f t="shared" ca="1" si="109"/>
        <v>144.70912778662051</v>
      </c>
      <c r="N455" s="38">
        <f t="shared" si="117"/>
        <v>4.2562499999999996</v>
      </c>
      <c r="O455" s="36">
        <f t="shared" si="118"/>
        <v>113.5</v>
      </c>
      <c r="P455" s="38">
        <f ca="1">IF(ISERROR(IF(O455&lt;fi_h/20,0,(OFFSET('Base de dados'!$A$5,IF(O455&lt;20,1,IF(O455&gt;1000,10,MATCH(O455,Cargas,1))),Coluna_fih,1,1))*(1+0.13*0.25)*(PI()*(fi_h/1000)^2/4)*SQRT(2*9.81*(O455/100-fi_h/2/1000))*1000)),"",IF(O455&lt;fi_h/20,0,(OFFSET('Base de dados'!$A$5,IF(O455&lt;20,1,IF(O455&gt;1000,10,MATCH(O455,Cargas,1))),Coluna_fih,1,1))*(PI()*(fi_h/1000)^2/4)*SQRT(2*9.81*(O455/100-fi_h/2/1000))*1000))</f>
        <v>2.8341277866205181</v>
      </c>
      <c r="Q455" s="38">
        <f ca="1">IF(O455="","",IF(Tipo_Vertedor="Retangular",IF(O455&lt;=cota_s*100,0,IF(Tipo_Vertedor="Retangular",Cd_sr*Lef_sr*((O455/100-cota_s)^(3/2))*1000)),IF(O455&lt;=cota_s*100+fi_s/20,0,(OFFSET('Base de dados'!$A$4,IF(O455&lt;20,1,IF(O455&gt;1000,10,MATCH(O455,Cargas,1))),Coluna_fis,1,1))*(PI()*(fi_s/1000)^2/4)*(2*9.81*(O455/100-cota_s-fi_s/2/1000))^0.5*1000)))</f>
        <v>0</v>
      </c>
      <c r="R455" s="38">
        <f t="shared" ca="1" si="110"/>
        <v>2.8341277866205181</v>
      </c>
      <c r="S455" s="38">
        <f t="shared" ca="1" si="111"/>
        <v>141.875</v>
      </c>
      <c r="AD455" s="38" t="str">
        <f t="shared" si="103"/>
        <v/>
      </c>
      <c r="AE455" s="38" t="str">
        <f t="shared" si="104"/>
        <v/>
      </c>
      <c r="AF455" s="38" t="str">
        <f>IF(ISERROR(IF('Hidrograma afluente'!I462="",0,'Hidrograma afluente'!I462)+Simulação!G455),"",IF('Hidrograma afluente'!I462="",0,'Hidrograma afluente'!I462)+Simulação!G455)</f>
        <v/>
      </c>
      <c r="AG455" s="36" t="s">
        <v>182</v>
      </c>
      <c r="AH455" s="36" t="s">
        <v>182</v>
      </c>
      <c r="AI455" s="48" t="s">
        <v>182</v>
      </c>
      <c r="AJ455" s="36" t="s">
        <v>182</v>
      </c>
      <c r="AK455" s="38" t="str">
        <f>IF(A455="","",IF('Hidrograma afluente'!I462="",0,'Hidrograma afluente'!I462)+Simulação!B455)</f>
        <v/>
      </c>
    </row>
    <row r="456" spans="1:37" s="36" customFormat="1">
      <c r="A456" s="23" t="str">
        <f t="shared" si="106"/>
        <v/>
      </c>
      <c r="B456" s="24" t="str">
        <f>IF(A456="","",IF(A456&gt;tc_lot_i+tc,0,IF('Hidrograma afluente'!B463="","",'Hidrograma afluente'!B463)))</f>
        <v/>
      </c>
      <c r="C456" s="41" t="str">
        <f t="shared" si="107"/>
        <v/>
      </c>
      <c r="D456" s="41" t="str">
        <f t="shared" si="112"/>
        <v/>
      </c>
      <c r="E456" s="41" t="str">
        <f t="shared" si="113"/>
        <v/>
      </c>
      <c r="F456" s="41" t="str">
        <f t="shared" si="114"/>
        <v/>
      </c>
      <c r="G456" s="41" t="str">
        <f t="shared" si="115"/>
        <v/>
      </c>
      <c r="H456" s="43" t="str">
        <f t="shared" si="108"/>
        <v/>
      </c>
      <c r="I456" s="42" t="str">
        <f t="shared" si="116"/>
        <v/>
      </c>
      <c r="J456" s="18"/>
      <c r="K456" s="76"/>
      <c r="M456" s="132">
        <f t="shared" ca="1" si="109"/>
        <v>145.02479646427958</v>
      </c>
      <c r="N456" s="38">
        <f t="shared" si="117"/>
        <v>4.265625</v>
      </c>
      <c r="O456" s="36">
        <f t="shared" si="118"/>
        <v>113.75</v>
      </c>
      <c r="P456" s="38">
        <f ca="1">IF(ISERROR(IF(O456&lt;fi_h/20,0,(OFFSET('Base de dados'!$A$5,IF(O456&lt;20,1,IF(O456&gt;1000,10,MATCH(O456,Cargas,1))),Coluna_fih,1,1))*(1+0.13*0.25)*(PI()*(fi_h/1000)^2/4)*SQRT(2*9.81*(O456/100-fi_h/2/1000))*1000)),"",IF(O456&lt;fi_h/20,0,(OFFSET('Base de dados'!$A$5,IF(O456&lt;20,1,IF(O456&gt;1000,10,MATCH(O456,Cargas,1))),Coluna_fih,1,1))*(PI()*(fi_h/1000)^2/4)*SQRT(2*9.81*(O456/100-fi_h/2/1000))*1000))</f>
        <v>2.8372964642795653</v>
      </c>
      <c r="Q456" s="38">
        <f ca="1">IF(O456="","",IF(Tipo_Vertedor="Retangular",IF(O456&lt;=cota_s*100,0,IF(Tipo_Vertedor="Retangular",Cd_sr*Lef_sr*((O456/100-cota_s)^(3/2))*1000)),IF(O456&lt;=cota_s*100+fi_s/20,0,(OFFSET('Base de dados'!$A$4,IF(O456&lt;20,1,IF(O456&gt;1000,10,MATCH(O456,Cargas,1))),Coluna_fis,1,1))*(PI()*(fi_s/1000)^2/4)*(2*9.81*(O456/100-cota_s-fi_s/2/1000))^0.5*1000)))</f>
        <v>0</v>
      </c>
      <c r="R456" s="38">
        <f t="shared" ca="1" si="110"/>
        <v>2.8372964642795653</v>
      </c>
      <c r="S456" s="38">
        <f t="shared" ca="1" si="111"/>
        <v>142.1875</v>
      </c>
      <c r="AD456" s="38" t="str">
        <f t="shared" si="103"/>
        <v/>
      </c>
      <c r="AE456" s="38" t="str">
        <f t="shared" si="104"/>
        <v/>
      </c>
      <c r="AF456" s="38" t="str">
        <f>IF(ISERROR(IF('Hidrograma afluente'!I463="",0,'Hidrograma afluente'!I463)+Simulação!G456),"",IF('Hidrograma afluente'!I463="",0,'Hidrograma afluente'!I463)+Simulação!G456)</f>
        <v/>
      </c>
      <c r="AG456" s="36" t="s">
        <v>182</v>
      </c>
      <c r="AH456" s="36" t="s">
        <v>182</v>
      </c>
      <c r="AI456" s="48" t="s">
        <v>182</v>
      </c>
      <c r="AJ456" s="36" t="s">
        <v>182</v>
      </c>
      <c r="AK456" s="38" t="str">
        <f>IF(A456="","",IF('Hidrograma afluente'!I463="",0,'Hidrograma afluente'!I463)+Simulação!B456)</f>
        <v/>
      </c>
    </row>
    <row r="457" spans="1:37" s="36" customFormat="1">
      <c r="A457" s="23" t="str">
        <f t="shared" si="106"/>
        <v/>
      </c>
      <c r="B457" s="24" t="str">
        <f>IF(A457="","",IF(A457&gt;tc_lot_i+tc,0,IF('Hidrograma afluente'!B464="","",'Hidrograma afluente'!B464)))</f>
        <v/>
      </c>
      <c r="C457" s="41" t="str">
        <f t="shared" si="107"/>
        <v/>
      </c>
      <c r="D457" s="41" t="str">
        <f t="shared" si="112"/>
        <v/>
      </c>
      <c r="E457" s="41" t="str">
        <f t="shared" si="113"/>
        <v/>
      </c>
      <c r="F457" s="41" t="str">
        <f t="shared" si="114"/>
        <v/>
      </c>
      <c r="G457" s="41" t="str">
        <f t="shared" si="115"/>
        <v/>
      </c>
      <c r="H457" s="43" t="str">
        <f t="shared" si="108"/>
        <v/>
      </c>
      <c r="I457" s="42" t="str">
        <f t="shared" si="116"/>
        <v/>
      </c>
      <c r="J457" s="18"/>
      <c r="K457" s="76"/>
      <c r="M457" s="132">
        <f t="shared" ca="1" si="109"/>
        <v>145.34046160712163</v>
      </c>
      <c r="N457" s="38">
        <f t="shared" si="117"/>
        <v>4.2749999999999995</v>
      </c>
      <c r="O457" s="36">
        <f t="shared" si="118"/>
        <v>114</v>
      </c>
      <c r="P457" s="38">
        <f ca="1">IF(ISERROR(IF(O457&lt;fi_h/20,0,(OFFSET('Base de dados'!$A$5,IF(O457&lt;20,1,IF(O457&gt;1000,10,MATCH(O457,Cargas,1))),Coluna_fih,1,1))*(1+0.13*0.25)*(PI()*(fi_h/1000)^2/4)*SQRT(2*9.81*(O457/100-fi_h/2/1000))*1000)),"",IF(O457&lt;fi_h/20,0,(OFFSET('Base de dados'!$A$5,IF(O457&lt;20,1,IF(O457&gt;1000,10,MATCH(O457,Cargas,1))),Coluna_fih,1,1))*(PI()*(fi_h/1000)^2/4)*SQRT(2*9.81*(O457/100-fi_h/2/1000))*1000))</f>
        <v>2.8404616071216546</v>
      </c>
      <c r="Q457" s="38">
        <f ca="1">IF(O457="","",IF(Tipo_Vertedor="Retangular",IF(O457&lt;=cota_s*100,0,IF(Tipo_Vertedor="Retangular",Cd_sr*Lef_sr*((O457/100-cota_s)^(3/2))*1000)),IF(O457&lt;=cota_s*100+fi_s/20,0,(OFFSET('Base de dados'!$A$4,IF(O457&lt;20,1,IF(O457&gt;1000,10,MATCH(O457,Cargas,1))),Coluna_fis,1,1))*(PI()*(fi_s/1000)^2/4)*(2*9.81*(O457/100-cota_s-fi_s/2/1000))^0.5*1000)))</f>
        <v>0</v>
      </c>
      <c r="R457" s="38">
        <f t="shared" ca="1" si="110"/>
        <v>2.8404616071216546</v>
      </c>
      <c r="S457" s="38">
        <f t="shared" ca="1" si="111"/>
        <v>142.49999999999997</v>
      </c>
      <c r="AD457" s="38" t="str">
        <f t="shared" si="103"/>
        <v/>
      </c>
      <c r="AE457" s="38" t="str">
        <f t="shared" si="104"/>
        <v/>
      </c>
      <c r="AF457" s="38" t="str">
        <f>IF(ISERROR(IF('Hidrograma afluente'!I464="",0,'Hidrograma afluente'!I464)+Simulação!G457),"",IF('Hidrograma afluente'!I464="",0,'Hidrograma afluente'!I464)+Simulação!G457)</f>
        <v/>
      </c>
      <c r="AG457" s="36" t="s">
        <v>182</v>
      </c>
      <c r="AH457" s="36" t="s">
        <v>182</v>
      </c>
      <c r="AI457" s="48" t="s">
        <v>182</v>
      </c>
      <c r="AJ457" s="36" t="s">
        <v>182</v>
      </c>
      <c r="AK457" s="38" t="str">
        <f>IF(A457="","",IF('Hidrograma afluente'!I464="",0,'Hidrograma afluente'!I464)+Simulação!B457)</f>
        <v/>
      </c>
    </row>
    <row r="458" spans="1:37" s="36" customFormat="1">
      <c r="A458" s="23" t="str">
        <f t="shared" si="106"/>
        <v/>
      </c>
      <c r="B458" s="24" t="str">
        <f>IF(A458="","",IF(A458&gt;tc_lot_i+tc,0,IF('Hidrograma afluente'!B465="","",'Hidrograma afluente'!B465)))</f>
        <v/>
      </c>
      <c r="C458" s="41" t="str">
        <f t="shared" si="107"/>
        <v/>
      </c>
      <c r="D458" s="41" t="str">
        <f t="shared" si="112"/>
        <v/>
      </c>
      <c r="E458" s="41" t="str">
        <f t="shared" si="113"/>
        <v/>
      </c>
      <c r="F458" s="41" t="str">
        <f t="shared" si="114"/>
        <v/>
      </c>
      <c r="G458" s="41" t="str">
        <f t="shared" si="115"/>
        <v/>
      </c>
      <c r="H458" s="43" t="str">
        <f t="shared" si="108"/>
        <v/>
      </c>
      <c r="I458" s="42" t="str">
        <f t="shared" si="116"/>
        <v/>
      </c>
      <c r="J458" s="18"/>
      <c r="K458" s="76"/>
      <c r="M458" s="132">
        <f t="shared" ca="1" si="109"/>
        <v>145.65612322695029</v>
      </c>
      <c r="N458" s="38">
        <f t="shared" si="117"/>
        <v>4.2843750000000007</v>
      </c>
      <c r="O458" s="36">
        <f t="shared" si="118"/>
        <v>114.25</v>
      </c>
      <c r="P458" s="38">
        <f ca="1">IF(ISERROR(IF(O458&lt;fi_h/20,0,(OFFSET('Base de dados'!$A$5,IF(O458&lt;20,1,IF(O458&gt;1000,10,MATCH(O458,Cargas,1))),Coluna_fih,1,1))*(1+0.13*0.25)*(PI()*(fi_h/1000)^2/4)*SQRT(2*9.81*(O458/100-fi_h/2/1000))*1000)),"",IF(O458&lt;fi_h/20,0,(OFFSET('Base de dados'!$A$5,IF(O458&lt;20,1,IF(O458&gt;1000,10,MATCH(O458,Cargas,1))),Coluna_fih,1,1))*(PI()*(fi_h/1000)^2/4)*SQRT(2*9.81*(O458/100-fi_h/2/1000))*1000))</f>
        <v>2.8436232269502479</v>
      </c>
      <c r="Q458" s="38">
        <f ca="1">IF(O458="","",IF(Tipo_Vertedor="Retangular",IF(O458&lt;=cota_s*100,0,IF(Tipo_Vertedor="Retangular",Cd_sr*Lef_sr*((O458/100-cota_s)^(3/2))*1000)),IF(O458&lt;=cota_s*100+fi_s/20,0,(OFFSET('Base de dados'!$A$4,IF(O458&lt;20,1,IF(O458&gt;1000,10,MATCH(O458,Cargas,1))),Coluna_fis,1,1))*(PI()*(fi_s/1000)^2/4)*(2*9.81*(O458/100-cota_s-fi_s/2/1000))^0.5*1000)))</f>
        <v>0</v>
      </c>
      <c r="R458" s="38">
        <f t="shared" ca="1" si="110"/>
        <v>2.8436232269502479</v>
      </c>
      <c r="S458" s="38">
        <f t="shared" ca="1" si="111"/>
        <v>142.81250000000003</v>
      </c>
      <c r="AD458" s="38"/>
      <c r="AE458" s="38"/>
      <c r="AG458" s="36" t="s">
        <v>182</v>
      </c>
      <c r="AH458" s="36" t="s">
        <v>182</v>
      </c>
      <c r="AI458" s="48" t="s">
        <v>182</v>
      </c>
      <c r="AJ458" s="36" t="s">
        <v>182</v>
      </c>
      <c r="AK458" s="38" t="str">
        <f>IF(A458="","",IF('Hidrograma afluente'!I465="",0,'Hidrograma afluente'!I465)+Simulação!B458)</f>
        <v/>
      </c>
    </row>
    <row r="459" spans="1:37" s="36" customFormat="1">
      <c r="A459" s="23" t="str">
        <f t="shared" si="106"/>
        <v/>
      </c>
      <c r="B459" s="24" t="str">
        <f>IF(A459="","",IF(A459&gt;tc_lot_i+tc,0,IF('Hidrograma afluente'!B466="","",'Hidrograma afluente'!B466)))</f>
        <v/>
      </c>
      <c r="C459" s="41" t="str">
        <f t="shared" si="107"/>
        <v/>
      </c>
      <c r="D459" s="41" t="str">
        <f t="shared" si="112"/>
        <v/>
      </c>
      <c r="E459" s="41" t="str">
        <f t="shared" si="113"/>
        <v/>
      </c>
      <c r="F459" s="41" t="str">
        <f t="shared" si="114"/>
        <v/>
      </c>
      <c r="G459" s="41" t="str">
        <f t="shared" si="115"/>
        <v/>
      </c>
      <c r="H459" s="43" t="str">
        <f t="shared" si="108"/>
        <v/>
      </c>
      <c r="I459" s="42" t="str">
        <f t="shared" si="116"/>
        <v/>
      </c>
      <c r="J459" s="18"/>
      <c r="K459" s="76"/>
      <c r="M459" s="132">
        <f t="shared" ca="1" si="109"/>
        <v>145.97178133550327</v>
      </c>
      <c r="N459" s="38">
        <f t="shared" si="117"/>
        <v>4.2937500000000002</v>
      </c>
      <c r="O459" s="36">
        <f t="shared" si="118"/>
        <v>114.5</v>
      </c>
      <c r="P459" s="38">
        <f ca="1">IF(ISERROR(IF(O459&lt;fi_h/20,0,(OFFSET('Base de dados'!$A$5,IF(O459&lt;20,1,IF(O459&gt;1000,10,MATCH(O459,Cargas,1))),Coluna_fih,1,1))*(1+0.13*0.25)*(PI()*(fi_h/1000)^2/4)*SQRT(2*9.81*(O459/100-fi_h/2/1000))*1000)),"",IF(O459&lt;fi_h/20,0,(OFFSET('Base de dados'!$A$5,IF(O459&lt;20,1,IF(O459&gt;1000,10,MATCH(O459,Cargas,1))),Coluna_fih,1,1))*(PI()*(fi_h/1000)^2/4)*SQRT(2*9.81*(O459/100-fi_h/2/1000))*1000))</f>
        <v>2.8467813355032643</v>
      </c>
      <c r="Q459" s="38">
        <f ca="1">IF(O459="","",IF(Tipo_Vertedor="Retangular",IF(O459&lt;=cota_s*100,0,IF(Tipo_Vertedor="Retangular",Cd_sr*Lef_sr*((O459/100-cota_s)^(3/2))*1000)),IF(O459&lt;=cota_s*100+fi_s/20,0,(OFFSET('Base de dados'!$A$4,IF(O459&lt;20,1,IF(O459&gt;1000,10,MATCH(O459,Cargas,1))),Coluna_fis,1,1))*(PI()*(fi_s/1000)^2/4)*(2*9.81*(O459/100-cota_s-fi_s/2/1000))^0.5*1000)))</f>
        <v>0</v>
      </c>
      <c r="R459" s="38">
        <f t="shared" ca="1" si="110"/>
        <v>2.8467813355032643</v>
      </c>
      <c r="S459" s="38">
        <f t="shared" ca="1" si="111"/>
        <v>143.125</v>
      </c>
      <c r="AD459" s="38"/>
      <c r="AE459" s="38"/>
      <c r="AG459" s="36" t="s">
        <v>182</v>
      </c>
      <c r="AH459" s="36" t="s">
        <v>182</v>
      </c>
      <c r="AI459" s="48" t="s">
        <v>182</v>
      </c>
      <c r="AJ459" s="36" t="s">
        <v>182</v>
      </c>
      <c r="AK459" s="38" t="str">
        <f>IF(A459="","",IF('Hidrograma afluente'!I466="",0,'Hidrograma afluente'!I466)+Simulação!B459)</f>
        <v/>
      </c>
    </row>
    <row r="460" spans="1:37" s="36" customFormat="1">
      <c r="A460" s="23" t="str">
        <f t="shared" si="106"/>
        <v/>
      </c>
      <c r="B460" s="24" t="str">
        <f>IF(A460="","",IF(A460&gt;tc_lot_i+tc,0,IF('Hidrograma afluente'!B467="","",'Hidrograma afluente'!B467)))</f>
        <v/>
      </c>
      <c r="C460" s="41" t="str">
        <f t="shared" si="107"/>
        <v/>
      </c>
      <c r="D460" s="41" t="str">
        <f t="shared" si="112"/>
        <v/>
      </c>
      <c r="E460" s="41" t="str">
        <f t="shared" si="113"/>
        <v/>
      </c>
      <c r="F460" s="41" t="str">
        <f t="shared" si="114"/>
        <v/>
      </c>
      <c r="G460" s="41" t="str">
        <f t="shared" si="115"/>
        <v/>
      </c>
      <c r="H460" s="43" t="str">
        <f t="shared" si="108"/>
        <v/>
      </c>
      <c r="I460" s="42" t="str">
        <f t="shared" si="116"/>
        <v/>
      </c>
      <c r="J460" s="18"/>
      <c r="K460" s="76"/>
      <c r="M460" s="132">
        <f t="shared" ca="1" si="109"/>
        <v>146.28743594445359</v>
      </c>
      <c r="N460" s="38">
        <f t="shared" si="117"/>
        <v>4.3031249999999996</v>
      </c>
      <c r="O460" s="36">
        <f t="shared" si="118"/>
        <v>114.75</v>
      </c>
      <c r="P460" s="38">
        <f ca="1">IF(ISERROR(IF(O460&lt;fi_h/20,0,(OFFSET('Base de dados'!$A$5,IF(O460&lt;20,1,IF(O460&gt;1000,10,MATCH(O460,Cargas,1))),Coluna_fih,1,1))*(1+0.13*0.25)*(PI()*(fi_h/1000)^2/4)*SQRT(2*9.81*(O460/100-fi_h/2/1000))*1000)),"",IF(O460&lt;fi_h/20,0,(OFFSET('Base de dados'!$A$5,IF(O460&lt;20,1,IF(O460&gt;1000,10,MATCH(O460,Cargas,1))),Coluna_fih,1,1))*(PI()*(fi_h/1000)^2/4)*SQRT(2*9.81*(O460/100-fi_h/2/1000))*1000))</f>
        <v>2.8499359444535863</v>
      </c>
      <c r="Q460" s="38">
        <f ca="1">IF(O460="","",IF(Tipo_Vertedor="Retangular",IF(O460&lt;=cota_s*100,0,IF(Tipo_Vertedor="Retangular",Cd_sr*Lef_sr*((O460/100-cota_s)^(3/2))*1000)),IF(O460&lt;=cota_s*100+fi_s/20,0,(OFFSET('Base de dados'!$A$4,IF(O460&lt;20,1,IF(O460&gt;1000,10,MATCH(O460,Cargas,1))),Coluna_fis,1,1))*(PI()*(fi_s/1000)^2/4)*(2*9.81*(O460/100-cota_s-fi_s/2/1000))^0.5*1000)))</f>
        <v>0</v>
      </c>
      <c r="R460" s="38">
        <f t="shared" ca="1" si="110"/>
        <v>2.8499359444535863</v>
      </c>
      <c r="S460" s="38">
        <f t="shared" ca="1" si="111"/>
        <v>143.4375</v>
      </c>
      <c r="AD460" s="38"/>
      <c r="AE460" s="38"/>
      <c r="AG460" s="36" t="s">
        <v>182</v>
      </c>
      <c r="AH460" s="36" t="s">
        <v>182</v>
      </c>
      <c r="AI460" s="48" t="s">
        <v>182</v>
      </c>
      <c r="AJ460" s="36" t="s">
        <v>182</v>
      </c>
      <c r="AK460" s="38" t="str">
        <f>IF(A460="","",IF('Hidrograma afluente'!I467="",0,'Hidrograma afluente'!I467)+Simulação!B460)</f>
        <v/>
      </c>
    </row>
    <row r="461" spans="1:37" s="36" customFormat="1">
      <c r="A461" s="23" t="str">
        <f t="shared" si="106"/>
        <v/>
      </c>
      <c r="B461" s="24" t="str">
        <f>IF(A461="","",IF(A461&gt;tc_lot_i+tc,0,IF('Hidrograma afluente'!B468="","",'Hidrograma afluente'!B468)))</f>
        <v/>
      </c>
      <c r="C461" s="41" t="str">
        <f t="shared" si="107"/>
        <v/>
      </c>
      <c r="D461" s="41" t="str">
        <f t="shared" si="112"/>
        <v/>
      </c>
      <c r="E461" s="41" t="str">
        <f t="shared" si="113"/>
        <v/>
      </c>
      <c r="F461" s="41" t="str">
        <f t="shared" si="114"/>
        <v/>
      </c>
      <c r="G461" s="41" t="str">
        <f t="shared" si="115"/>
        <v/>
      </c>
      <c r="H461" s="43" t="str">
        <f t="shared" si="108"/>
        <v/>
      </c>
      <c r="I461" s="42" t="str">
        <f t="shared" si="116"/>
        <v/>
      </c>
      <c r="J461" s="18"/>
      <c r="K461" s="76"/>
      <c r="M461" s="132">
        <f t="shared" ca="1" si="109"/>
        <v>146.60308706540957</v>
      </c>
      <c r="N461" s="38">
        <f t="shared" si="117"/>
        <v>4.3125</v>
      </c>
      <c r="O461" s="36">
        <f t="shared" si="118"/>
        <v>115</v>
      </c>
      <c r="P461" s="38">
        <f ca="1">IF(ISERROR(IF(O461&lt;fi_h/20,0,(OFFSET('Base de dados'!$A$5,IF(O461&lt;20,1,IF(O461&gt;1000,10,MATCH(O461,Cargas,1))),Coluna_fih,1,1))*(1+0.13*0.25)*(PI()*(fi_h/1000)^2/4)*SQRT(2*9.81*(O461/100-fi_h/2/1000))*1000)),"",IF(O461&lt;fi_h/20,0,(OFFSET('Base de dados'!$A$5,IF(O461&lt;20,1,IF(O461&gt;1000,10,MATCH(O461,Cargas,1))),Coluna_fih,1,1))*(PI()*(fi_h/1000)^2/4)*SQRT(2*9.81*(O461/100-fi_h/2/1000))*1000))</f>
        <v>2.8530870654095652</v>
      </c>
      <c r="Q461" s="38">
        <f ca="1">IF(O461="","",IF(Tipo_Vertedor="Retangular",IF(O461&lt;=cota_s*100,0,IF(Tipo_Vertedor="Retangular",Cd_sr*Lef_sr*((O461/100-cota_s)^(3/2))*1000)),IF(O461&lt;=cota_s*100+fi_s/20,0,(OFFSET('Base de dados'!$A$4,IF(O461&lt;20,1,IF(O461&gt;1000,10,MATCH(O461,Cargas,1))),Coluna_fis,1,1))*(PI()*(fi_s/1000)^2/4)*(2*9.81*(O461/100-cota_s-fi_s/2/1000))^0.5*1000)))</f>
        <v>0</v>
      </c>
      <c r="R461" s="38">
        <f t="shared" ca="1" si="110"/>
        <v>2.8530870654095652</v>
      </c>
      <c r="S461" s="38">
        <f t="shared" ca="1" si="111"/>
        <v>143.75</v>
      </c>
      <c r="AD461" s="38"/>
      <c r="AE461" s="38"/>
      <c r="AG461" s="36" t="s">
        <v>182</v>
      </c>
      <c r="AH461" s="36" t="s">
        <v>182</v>
      </c>
      <c r="AI461" s="48" t="s">
        <v>182</v>
      </c>
      <c r="AJ461" s="36" t="s">
        <v>182</v>
      </c>
      <c r="AK461" s="38" t="str">
        <f>IF(A461="","",IF('Hidrograma afluente'!I468="",0,'Hidrograma afluente'!I468)+Simulação!B461)</f>
        <v/>
      </c>
    </row>
    <row r="462" spans="1:37" s="36" customFormat="1">
      <c r="A462" s="23" t="str">
        <f t="shared" si="106"/>
        <v/>
      </c>
      <c r="B462" s="24" t="str">
        <f>IF(A462="","",IF(A462&gt;tc_lot_i+tc,0,IF('Hidrograma afluente'!B469="","",'Hidrograma afluente'!B469)))</f>
        <v/>
      </c>
      <c r="C462" s="41" t="str">
        <f t="shared" si="107"/>
        <v/>
      </c>
      <c r="D462" s="41" t="str">
        <f t="shared" si="112"/>
        <v/>
      </c>
      <c r="E462" s="41" t="str">
        <f t="shared" si="113"/>
        <v/>
      </c>
      <c r="F462" s="41" t="str">
        <f t="shared" si="114"/>
        <v/>
      </c>
      <c r="G462" s="41" t="str">
        <f t="shared" si="115"/>
        <v/>
      </c>
      <c r="H462" s="43" t="str">
        <f t="shared" si="108"/>
        <v/>
      </c>
      <c r="I462" s="42" t="str">
        <f t="shared" si="116"/>
        <v/>
      </c>
      <c r="J462" s="18"/>
      <c r="K462" s="76"/>
      <c r="M462" s="132">
        <f t="shared" ca="1" si="109"/>
        <v>146.91873470991553</v>
      </c>
      <c r="N462" s="38">
        <f t="shared" si="117"/>
        <v>4.3218750000000004</v>
      </c>
      <c r="O462" s="36">
        <f t="shared" si="118"/>
        <v>115.25</v>
      </c>
      <c r="P462" s="38">
        <f ca="1">IF(ISERROR(IF(O462&lt;fi_h/20,0,(OFFSET('Base de dados'!$A$5,IF(O462&lt;20,1,IF(O462&gt;1000,10,MATCH(O462,Cargas,1))),Coluna_fih,1,1))*(1+0.13*0.25)*(PI()*(fi_h/1000)^2/4)*SQRT(2*9.81*(O462/100-fi_h/2/1000))*1000)),"",IF(O462&lt;fi_h/20,0,(OFFSET('Base de dados'!$A$5,IF(O462&lt;20,1,IF(O462&gt;1000,10,MATCH(O462,Cargas,1))),Coluna_fih,1,1))*(PI()*(fi_h/1000)^2/4)*SQRT(2*9.81*(O462/100-fi_h/2/1000))*1000))</f>
        <v>2.8562347099155163</v>
      </c>
      <c r="Q462" s="38">
        <f ca="1">IF(O462="","",IF(Tipo_Vertedor="Retangular",IF(O462&lt;=cota_s*100,0,IF(Tipo_Vertedor="Retangular",Cd_sr*Lef_sr*((O462/100-cota_s)^(3/2))*1000)),IF(O462&lt;=cota_s*100+fi_s/20,0,(OFFSET('Base de dados'!$A$4,IF(O462&lt;20,1,IF(O462&gt;1000,10,MATCH(O462,Cargas,1))),Coluna_fis,1,1))*(PI()*(fi_s/1000)^2/4)*(2*9.81*(O462/100-cota_s-fi_s/2/1000))^0.5*1000)))</f>
        <v>0</v>
      </c>
      <c r="R462" s="38">
        <f t="shared" ca="1" si="110"/>
        <v>2.8562347099155163</v>
      </c>
      <c r="S462" s="38">
        <f t="shared" ca="1" si="111"/>
        <v>144.0625</v>
      </c>
      <c r="AD462" s="38"/>
      <c r="AE462" s="38"/>
      <c r="AG462" s="36" t="s">
        <v>182</v>
      </c>
      <c r="AH462" s="36" t="s">
        <v>182</v>
      </c>
      <c r="AI462" s="48" t="s">
        <v>182</v>
      </c>
      <c r="AJ462" s="36" t="s">
        <v>182</v>
      </c>
      <c r="AK462" s="38" t="str">
        <f>IF(A462="","",IF('Hidrograma afluente'!I469="",0,'Hidrograma afluente'!I469)+Simulação!B462)</f>
        <v/>
      </c>
    </row>
    <row r="463" spans="1:37" s="36" customFormat="1">
      <c r="A463" s="23" t="str">
        <f t="shared" si="106"/>
        <v/>
      </c>
      <c r="B463" s="24" t="str">
        <f>IF(A463="","",IF(A463&gt;tc_lot_i+tc,0,IF('Hidrograma afluente'!B470="","",'Hidrograma afluente'!B470)))</f>
        <v/>
      </c>
      <c r="C463" s="41" t="str">
        <f t="shared" si="107"/>
        <v/>
      </c>
      <c r="D463" s="41" t="str">
        <f t="shared" si="112"/>
        <v/>
      </c>
      <c r="E463" s="41" t="str">
        <f t="shared" si="113"/>
        <v/>
      </c>
      <c r="F463" s="41" t="str">
        <f t="shared" si="114"/>
        <v/>
      </c>
      <c r="G463" s="41" t="str">
        <f t="shared" si="115"/>
        <v/>
      </c>
      <c r="H463" s="43" t="str">
        <f t="shared" si="108"/>
        <v/>
      </c>
      <c r="I463" s="42" t="str">
        <f t="shared" si="116"/>
        <v/>
      </c>
      <c r="J463" s="18"/>
      <c r="K463" s="76"/>
      <c r="M463" s="132">
        <f t="shared" ca="1" si="109"/>
        <v>147.23437888945222</v>
      </c>
      <c r="N463" s="38">
        <f t="shared" si="117"/>
        <v>4.3312499999999998</v>
      </c>
      <c r="O463" s="36">
        <f t="shared" si="118"/>
        <v>115.5</v>
      </c>
      <c r="P463" s="38">
        <f ca="1">IF(ISERROR(IF(O463&lt;fi_h/20,0,(OFFSET('Base de dados'!$A$5,IF(O463&lt;20,1,IF(O463&gt;1000,10,MATCH(O463,Cargas,1))),Coluna_fih,1,1))*(1+0.13*0.25)*(PI()*(fi_h/1000)^2/4)*SQRT(2*9.81*(O463/100-fi_h/2/1000))*1000)),"",IF(O463&lt;fi_h/20,0,(OFFSET('Base de dados'!$A$5,IF(O463&lt;20,1,IF(O463&gt;1000,10,MATCH(O463,Cargas,1))),Coluna_fih,1,1))*(PI()*(fi_h/1000)^2/4)*SQRT(2*9.81*(O463/100-fi_h/2/1000))*1000))</f>
        <v>2.859378889452215</v>
      </c>
      <c r="Q463" s="38">
        <f ca="1">IF(O463="","",IF(Tipo_Vertedor="Retangular",IF(O463&lt;=cota_s*100,0,IF(Tipo_Vertedor="Retangular",Cd_sr*Lef_sr*((O463/100-cota_s)^(3/2))*1000)),IF(O463&lt;=cota_s*100+fi_s/20,0,(OFFSET('Base de dados'!$A$4,IF(O463&lt;20,1,IF(O463&gt;1000,10,MATCH(O463,Cargas,1))),Coluna_fis,1,1))*(PI()*(fi_s/1000)^2/4)*(2*9.81*(O463/100-cota_s-fi_s/2/1000))^0.5*1000)))</f>
        <v>0</v>
      </c>
      <c r="R463" s="38">
        <f t="shared" ca="1" si="110"/>
        <v>2.859378889452215</v>
      </c>
      <c r="S463" s="38">
        <f t="shared" ca="1" si="111"/>
        <v>144.375</v>
      </c>
      <c r="AD463" s="38"/>
      <c r="AE463" s="38"/>
      <c r="AG463" s="36" t="s">
        <v>182</v>
      </c>
      <c r="AH463" s="36" t="s">
        <v>182</v>
      </c>
      <c r="AI463" s="48" t="s">
        <v>182</v>
      </c>
      <c r="AJ463" s="36" t="s">
        <v>182</v>
      </c>
      <c r="AK463" s="38" t="str">
        <f>IF(A463="","",IF('Hidrograma afluente'!I470="",0,'Hidrograma afluente'!I470)+Simulação!B463)</f>
        <v/>
      </c>
    </row>
    <row r="464" spans="1:37" s="36" customFormat="1">
      <c r="A464" s="23" t="str">
        <f t="shared" si="106"/>
        <v/>
      </c>
      <c r="B464" s="24" t="str">
        <f>IF(A464="","",IF(A464&gt;tc_lot_i+tc,0,IF('Hidrograma afluente'!B471="","",'Hidrograma afluente'!B471)))</f>
        <v/>
      </c>
      <c r="C464" s="41" t="str">
        <f t="shared" si="107"/>
        <v/>
      </c>
      <c r="D464" s="41" t="str">
        <f t="shared" si="112"/>
        <v/>
      </c>
      <c r="E464" s="41" t="str">
        <f t="shared" si="113"/>
        <v/>
      </c>
      <c r="F464" s="41" t="str">
        <f t="shared" si="114"/>
        <v/>
      </c>
      <c r="G464" s="41" t="str">
        <f t="shared" si="115"/>
        <v/>
      </c>
      <c r="H464" s="43" t="str">
        <f t="shared" si="108"/>
        <v/>
      </c>
      <c r="I464" s="42" t="str">
        <f t="shared" si="116"/>
        <v/>
      </c>
      <c r="J464" s="18"/>
      <c r="K464" s="76"/>
      <c r="M464" s="132">
        <f t="shared" ca="1" si="109"/>
        <v>147.55001961543738</v>
      </c>
      <c r="N464" s="38">
        <f t="shared" si="117"/>
        <v>4.3406250000000002</v>
      </c>
      <c r="O464" s="36">
        <f t="shared" si="118"/>
        <v>115.75</v>
      </c>
      <c r="P464" s="38">
        <f ca="1">IF(ISERROR(IF(O464&lt;fi_h/20,0,(OFFSET('Base de dados'!$A$5,IF(O464&lt;20,1,IF(O464&gt;1000,10,MATCH(O464,Cargas,1))),Coluna_fih,1,1))*(1+0.13*0.25)*(PI()*(fi_h/1000)^2/4)*SQRT(2*9.81*(O464/100-fi_h/2/1000))*1000)),"",IF(O464&lt;fi_h/20,0,(OFFSET('Base de dados'!$A$5,IF(O464&lt;20,1,IF(O464&gt;1000,10,MATCH(O464,Cargas,1))),Coluna_fih,1,1))*(PI()*(fi_h/1000)^2/4)*SQRT(2*9.81*(O464/100-fi_h/2/1000))*1000))</f>
        <v>2.862519615437384</v>
      </c>
      <c r="Q464" s="38">
        <f ca="1">IF(O464="","",IF(Tipo_Vertedor="Retangular",IF(O464&lt;=cota_s*100,0,IF(Tipo_Vertedor="Retangular",Cd_sr*Lef_sr*((O464/100-cota_s)^(3/2))*1000)),IF(O464&lt;=cota_s*100+fi_s/20,0,(OFFSET('Base de dados'!$A$4,IF(O464&lt;20,1,IF(O464&gt;1000,10,MATCH(O464,Cargas,1))),Coluna_fis,1,1))*(PI()*(fi_s/1000)^2/4)*(2*9.81*(O464/100-cota_s-fi_s/2/1000))^0.5*1000)))</f>
        <v>0</v>
      </c>
      <c r="R464" s="38">
        <f t="shared" ca="1" si="110"/>
        <v>2.862519615437384</v>
      </c>
      <c r="S464" s="38">
        <f t="shared" ca="1" si="111"/>
        <v>144.6875</v>
      </c>
      <c r="AD464" s="38"/>
      <c r="AE464" s="38"/>
      <c r="AG464" s="36" t="s">
        <v>182</v>
      </c>
      <c r="AH464" s="36" t="s">
        <v>182</v>
      </c>
      <c r="AI464" s="48" t="s">
        <v>182</v>
      </c>
      <c r="AJ464" s="36" t="s">
        <v>182</v>
      </c>
      <c r="AK464" s="38" t="str">
        <f>IF(A464="","",IF('Hidrograma afluente'!I471="",0,'Hidrograma afluente'!I471)+Simulação!B464)</f>
        <v/>
      </c>
    </row>
    <row r="465" spans="1:37" s="36" customFormat="1">
      <c r="A465" s="23" t="str">
        <f t="shared" si="106"/>
        <v/>
      </c>
      <c r="B465" s="24" t="str">
        <f>IF(A465="","",IF(A465&gt;tc_lot_i+tc,0,IF('Hidrograma afluente'!B472="","",'Hidrograma afluente'!B472)))</f>
        <v/>
      </c>
      <c r="C465" s="41" t="str">
        <f t="shared" si="107"/>
        <v/>
      </c>
      <c r="D465" s="41" t="str">
        <f t="shared" si="112"/>
        <v/>
      </c>
      <c r="E465" s="41" t="str">
        <f t="shared" si="113"/>
        <v/>
      </c>
      <c r="F465" s="41" t="str">
        <f t="shared" si="114"/>
        <v/>
      </c>
      <c r="G465" s="41" t="str">
        <f t="shared" si="115"/>
        <v/>
      </c>
      <c r="H465" s="43" t="str">
        <f t="shared" si="108"/>
        <v/>
      </c>
      <c r="I465" s="42" t="str">
        <f t="shared" si="116"/>
        <v/>
      </c>
      <c r="J465" s="18"/>
      <c r="K465" s="76"/>
      <c r="M465" s="132">
        <f t="shared" ca="1" si="109"/>
        <v>147.86565689922617</v>
      </c>
      <c r="N465" s="38">
        <f t="shared" si="117"/>
        <v>4.3499999999999996</v>
      </c>
      <c r="O465" s="36">
        <f t="shared" si="118"/>
        <v>116</v>
      </c>
      <c r="P465" s="38">
        <f ca="1">IF(ISERROR(IF(O465&lt;fi_h/20,0,(OFFSET('Base de dados'!$A$5,IF(O465&lt;20,1,IF(O465&gt;1000,10,MATCH(O465,Cargas,1))),Coluna_fih,1,1))*(1+0.13*0.25)*(PI()*(fi_h/1000)^2/4)*SQRT(2*9.81*(O465/100-fi_h/2/1000))*1000)),"",IF(O465&lt;fi_h/20,0,(OFFSET('Base de dados'!$A$5,IF(O465&lt;20,1,IF(O465&gt;1000,10,MATCH(O465,Cargas,1))),Coluna_fih,1,1))*(PI()*(fi_h/1000)^2/4)*SQRT(2*9.81*(O465/100-fi_h/2/1000))*1000))</f>
        <v>2.8656568992261788</v>
      </c>
      <c r="Q465" s="38">
        <f ca="1">IF(O465="","",IF(Tipo_Vertedor="Retangular",IF(O465&lt;=cota_s*100,0,IF(Tipo_Vertedor="Retangular",Cd_sr*Lef_sr*((O465/100-cota_s)^(3/2))*1000)),IF(O465&lt;=cota_s*100+fi_s/20,0,(OFFSET('Base de dados'!$A$4,IF(O465&lt;20,1,IF(O465&gt;1000,10,MATCH(O465,Cargas,1))),Coluna_fis,1,1))*(PI()*(fi_s/1000)^2/4)*(2*9.81*(O465/100-cota_s-fi_s/2/1000))^0.5*1000)))</f>
        <v>0</v>
      </c>
      <c r="R465" s="38">
        <f t="shared" ca="1" si="110"/>
        <v>2.8656568992261788</v>
      </c>
      <c r="S465" s="38">
        <f t="shared" ca="1" si="111"/>
        <v>145</v>
      </c>
      <c r="AD465" s="38"/>
      <c r="AE465" s="38"/>
      <c r="AG465" s="36" t="s">
        <v>182</v>
      </c>
      <c r="AH465" s="36" t="s">
        <v>182</v>
      </c>
      <c r="AI465" s="48" t="s">
        <v>182</v>
      </c>
      <c r="AJ465" s="36" t="s">
        <v>182</v>
      </c>
      <c r="AK465" s="38" t="str">
        <f>IF(A465="","",IF('Hidrograma afluente'!I472="",0,'Hidrograma afluente'!I472)+Simulação!B465)</f>
        <v/>
      </c>
    </row>
    <row r="466" spans="1:37" s="36" customFormat="1">
      <c r="A466" s="23" t="str">
        <f t="shared" si="106"/>
        <v/>
      </c>
      <c r="B466" s="24" t="str">
        <f>IF(A466="","",IF(A466&gt;tc_lot_i+tc,0,IF('Hidrograma afluente'!B473="","",'Hidrograma afluente'!B473)))</f>
        <v/>
      </c>
      <c r="C466" s="41" t="str">
        <f t="shared" si="107"/>
        <v/>
      </c>
      <c r="D466" s="41" t="str">
        <f t="shared" si="112"/>
        <v/>
      </c>
      <c r="E466" s="41" t="str">
        <f t="shared" si="113"/>
        <v/>
      </c>
      <c r="F466" s="41" t="str">
        <f t="shared" si="114"/>
        <v/>
      </c>
      <c r="G466" s="41" t="str">
        <f t="shared" si="115"/>
        <v/>
      </c>
      <c r="H466" s="43" t="str">
        <f t="shared" si="108"/>
        <v/>
      </c>
      <c r="I466" s="42" t="str">
        <f t="shared" si="116"/>
        <v/>
      </c>
      <c r="J466" s="18"/>
      <c r="K466" s="76"/>
      <c r="M466" s="132">
        <f t="shared" ca="1" si="109"/>
        <v>148.18129075211166</v>
      </c>
      <c r="N466" s="38">
        <f t="shared" si="117"/>
        <v>4.359375</v>
      </c>
      <c r="O466" s="36">
        <f t="shared" si="118"/>
        <v>116.25</v>
      </c>
      <c r="P466" s="38">
        <f ca="1">IF(ISERROR(IF(O466&lt;fi_h/20,0,(OFFSET('Base de dados'!$A$5,IF(O466&lt;20,1,IF(O466&gt;1000,10,MATCH(O466,Cargas,1))),Coluna_fih,1,1))*(1+0.13*0.25)*(PI()*(fi_h/1000)^2/4)*SQRT(2*9.81*(O466/100-fi_h/2/1000))*1000)),"",IF(O466&lt;fi_h/20,0,(OFFSET('Base de dados'!$A$5,IF(O466&lt;20,1,IF(O466&gt;1000,10,MATCH(O466,Cargas,1))),Coluna_fih,1,1))*(PI()*(fi_h/1000)^2/4)*SQRT(2*9.81*(O466/100-fi_h/2/1000))*1000))</f>
        <v>2.8687907521116642</v>
      </c>
      <c r="Q466" s="38">
        <f ca="1">IF(O466="","",IF(Tipo_Vertedor="Retangular",IF(O466&lt;=cota_s*100,0,IF(Tipo_Vertedor="Retangular",Cd_sr*Lef_sr*((O466/100-cota_s)^(3/2))*1000)),IF(O466&lt;=cota_s*100+fi_s/20,0,(OFFSET('Base de dados'!$A$4,IF(O466&lt;20,1,IF(O466&gt;1000,10,MATCH(O466,Cargas,1))),Coluna_fis,1,1))*(PI()*(fi_s/1000)^2/4)*(2*9.81*(O466/100-cota_s-fi_s/2/1000))^0.5*1000)))</f>
        <v>0</v>
      </c>
      <c r="R466" s="38">
        <f t="shared" ca="1" si="110"/>
        <v>2.8687907521116642</v>
      </c>
      <c r="S466" s="38">
        <f t="shared" ca="1" si="111"/>
        <v>145.3125</v>
      </c>
      <c r="AD466" s="38"/>
      <c r="AE466" s="38"/>
      <c r="AG466" s="36" t="s">
        <v>182</v>
      </c>
      <c r="AH466" s="36" t="s">
        <v>182</v>
      </c>
      <c r="AI466" s="48" t="s">
        <v>182</v>
      </c>
      <c r="AJ466" s="36" t="s">
        <v>182</v>
      </c>
      <c r="AK466" s="38" t="str">
        <f>IF(A466="","",IF('Hidrograma afluente'!I473="",0,'Hidrograma afluente'!I473)+Simulação!B466)</f>
        <v/>
      </c>
    </row>
    <row r="467" spans="1:37" s="36" customFormat="1">
      <c r="A467" s="23" t="str">
        <f t="shared" si="106"/>
        <v/>
      </c>
      <c r="B467" s="24" t="str">
        <f>IF(A467="","",IF(A467&gt;tc_lot_i+tc,0,IF('Hidrograma afluente'!B474="","",'Hidrograma afluente'!B474)))</f>
        <v/>
      </c>
      <c r="C467" s="41" t="str">
        <f t="shared" si="107"/>
        <v/>
      </c>
      <c r="D467" s="41" t="str">
        <f t="shared" si="112"/>
        <v/>
      </c>
      <c r="E467" s="41" t="str">
        <f t="shared" si="113"/>
        <v/>
      </c>
      <c r="F467" s="41" t="str">
        <f t="shared" si="114"/>
        <v/>
      </c>
      <c r="G467" s="41" t="str">
        <f t="shared" si="115"/>
        <v/>
      </c>
      <c r="H467" s="43" t="str">
        <f t="shared" si="108"/>
        <v/>
      </c>
      <c r="I467" s="42" t="str">
        <f t="shared" si="116"/>
        <v/>
      </c>
      <c r="J467" s="18"/>
      <c r="K467" s="76"/>
      <c r="M467" s="132">
        <f t="shared" ca="1" si="109"/>
        <v>148.49692118532528</v>
      </c>
      <c r="N467" s="38">
        <f t="shared" si="117"/>
        <v>4.3687500000000004</v>
      </c>
      <c r="O467" s="36">
        <f t="shared" si="118"/>
        <v>116.5</v>
      </c>
      <c r="P467" s="38">
        <f ca="1">IF(ISERROR(IF(O467&lt;fi_h/20,0,(OFFSET('Base de dados'!$A$5,IF(O467&lt;20,1,IF(O467&gt;1000,10,MATCH(O467,Cargas,1))),Coluna_fih,1,1))*(1+0.13*0.25)*(PI()*(fi_h/1000)^2/4)*SQRT(2*9.81*(O467/100-fi_h/2/1000))*1000)),"",IF(O467&lt;fi_h/20,0,(OFFSET('Base de dados'!$A$5,IF(O467&lt;20,1,IF(O467&gt;1000,10,MATCH(O467,Cargas,1))),Coluna_fih,1,1))*(PI()*(fi_h/1000)^2/4)*SQRT(2*9.81*(O467/100-fi_h/2/1000))*1000))</f>
        <v>2.8719211853252893</v>
      </c>
      <c r="Q467" s="38">
        <f ca="1">IF(O467="","",IF(Tipo_Vertedor="Retangular",IF(O467&lt;=cota_s*100,0,IF(Tipo_Vertedor="Retangular",Cd_sr*Lef_sr*((O467/100-cota_s)^(3/2))*1000)),IF(O467&lt;=cota_s*100+fi_s/20,0,(OFFSET('Base de dados'!$A$4,IF(O467&lt;20,1,IF(O467&gt;1000,10,MATCH(O467,Cargas,1))),Coluna_fis,1,1))*(PI()*(fi_s/1000)^2/4)*(2*9.81*(O467/100-cota_s-fi_s/2/1000))^0.5*1000)))</f>
        <v>0</v>
      </c>
      <c r="R467" s="38">
        <f t="shared" ca="1" si="110"/>
        <v>2.8719211853252893</v>
      </c>
      <c r="S467" s="38">
        <f t="shared" ca="1" si="111"/>
        <v>145.625</v>
      </c>
      <c r="AD467" s="38"/>
      <c r="AE467" s="38"/>
      <c r="AG467" s="36" t="s">
        <v>182</v>
      </c>
      <c r="AH467" s="36" t="s">
        <v>182</v>
      </c>
      <c r="AI467" s="48" t="s">
        <v>182</v>
      </c>
      <c r="AJ467" s="36" t="s">
        <v>182</v>
      </c>
      <c r="AK467" s="38" t="str">
        <f>IF(A467="","",IF('Hidrograma afluente'!I474="",0,'Hidrograma afluente'!I474)+Simulação!B467)</f>
        <v/>
      </c>
    </row>
    <row r="468" spans="1:37" s="36" customFormat="1">
      <c r="A468" s="23" t="str">
        <f t="shared" si="106"/>
        <v/>
      </c>
      <c r="B468" s="24" t="str">
        <f>IF(A468="","",IF(A468&gt;tc_lot_i+tc,0,IF('Hidrograma afluente'!B475="","",'Hidrograma afluente'!B475)))</f>
        <v/>
      </c>
      <c r="C468" s="41" t="str">
        <f t="shared" si="107"/>
        <v/>
      </c>
      <c r="D468" s="41" t="str">
        <f t="shared" si="112"/>
        <v/>
      </c>
      <c r="E468" s="41" t="str">
        <f t="shared" si="113"/>
        <v/>
      </c>
      <c r="F468" s="41" t="str">
        <f t="shared" si="114"/>
        <v/>
      </c>
      <c r="G468" s="41" t="str">
        <f t="shared" si="115"/>
        <v/>
      </c>
      <c r="H468" s="43" t="str">
        <f t="shared" si="108"/>
        <v/>
      </c>
      <c r="I468" s="42" t="str">
        <f t="shared" si="116"/>
        <v/>
      </c>
      <c r="J468" s="18"/>
      <c r="K468" s="76"/>
      <c r="M468" s="132">
        <f t="shared" ca="1" si="109"/>
        <v>148.81254821003736</v>
      </c>
      <c r="N468" s="38">
        <f t="shared" si="117"/>
        <v>4.3781249999999998</v>
      </c>
      <c r="O468" s="36">
        <f t="shared" si="118"/>
        <v>116.75</v>
      </c>
      <c r="P468" s="38">
        <f ca="1">IF(ISERROR(IF(O468&lt;fi_h/20,0,(OFFSET('Base de dados'!$A$5,IF(O468&lt;20,1,IF(O468&gt;1000,10,MATCH(O468,Cargas,1))),Coluna_fih,1,1))*(1+0.13*0.25)*(PI()*(fi_h/1000)^2/4)*SQRT(2*9.81*(O468/100-fi_h/2/1000))*1000)),"",IF(O468&lt;fi_h/20,0,(OFFSET('Base de dados'!$A$5,IF(O468&lt;20,1,IF(O468&gt;1000,10,MATCH(O468,Cargas,1))),Coluna_fih,1,1))*(PI()*(fi_h/1000)^2/4)*SQRT(2*9.81*(O468/100-fi_h/2/1000))*1000))</f>
        <v>2.8750482100373591</v>
      </c>
      <c r="Q468" s="38">
        <f ca="1">IF(O468="","",IF(Tipo_Vertedor="Retangular",IF(O468&lt;=cota_s*100,0,IF(Tipo_Vertedor="Retangular",Cd_sr*Lef_sr*((O468/100-cota_s)^(3/2))*1000)),IF(O468&lt;=cota_s*100+fi_s/20,0,(OFFSET('Base de dados'!$A$4,IF(O468&lt;20,1,IF(O468&gt;1000,10,MATCH(O468,Cargas,1))),Coluna_fis,1,1))*(PI()*(fi_s/1000)^2/4)*(2*9.81*(O468/100-cota_s-fi_s/2/1000))^0.5*1000)))</f>
        <v>0</v>
      </c>
      <c r="R468" s="38">
        <f t="shared" ca="1" si="110"/>
        <v>2.8750482100373591</v>
      </c>
      <c r="S468" s="38">
        <f t="shared" ca="1" si="111"/>
        <v>145.9375</v>
      </c>
      <c r="AD468" s="38"/>
      <c r="AE468" s="38"/>
      <c r="AG468" s="36" t="s">
        <v>182</v>
      </c>
      <c r="AH468" s="36" t="s">
        <v>182</v>
      </c>
      <c r="AI468" s="48" t="s">
        <v>182</v>
      </c>
      <c r="AJ468" s="36" t="s">
        <v>182</v>
      </c>
      <c r="AK468" s="38" t="str">
        <f>IF(A468="","",IF('Hidrograma afluente'!I475="",0,'Hidrograma afluente'!I475)+Simulação!B468)</f>
        <v/>
      </c>
    </row>
    <row r="469" spans="1:37" s="36" customFormat="1">
      <c r="A469" s="23" t="str">
        <f t="shared" si="106"/>
        <v/>
      </c>
      <c r="B469" s="24" t="str">
        <f>IF(A469="","",IF(A469&gt;tc_lot_i+tc,0,IF('Hidrograma afluente'!B476="","",'Hidrograma afluente'!B476)))</f>
        <v/>
      </c>
      <c r="C469" s="41" t="str">
        <f t="shared" si="107"/>
        <v/>
      </c>
      <c r="D469" s="41" t="str">
        <f t="shared" si="112"/>
        <v/>
      </c>
      <c r="E469" s="41" t="str">
        <f t="shared" si="113"/>
        <v/>
      </c>
      <c r="F469" s="41" t="str">
        <f t="shared" si="114"/>
        <v/>
      </c>
      <c r="G469" s="41" t="str">
        <f t="shared" si="115"/>
        <v/>
      </c>
      <c r="H469" s="43" t="str">
        <f t="shared" si="108"/>
        <v/>
      </c>
      <c r="I469" s="42" t="str">
        <f t="shared" si="116"/>
        <v/>
      </c>
      <c r="J469" s="18"/>
      <c r="K469" s="76"/>
      <c r="M469" s="132">
        <f t="shared" ca="1" si="109"/>
        <v>149.12817183735746</v>
      </c>
      <c r="N469" s="38">
        <f t="shared" si="117"/>
        <v>4.3874999999999993</v>
      </c>
      <c r="O469" s="36">
        <f t="shared" si="118"/>
        <v>117</v>
      </c>
      <c r="P469" s="38">
        <f ca="1">IF(ISERROR(IF(O469&lt;fi_h/20,0,(OFFSET('Base de dados'!$A$5,IF(O469&lt;20,1,IF(O469&gt;1000,10,MATCH(O469,Cargas,1))),Coluna_fih,1,1))*(1+0.13*0.25)*(PI()*(fi_h/1000)^2/4)*SQRT(2*9.81*(O469/100-fi_h/2/1000))*1000)),"",IF(O469&lt;fi_h/20,0,(OFFSET('Base de dados'!$A$5,IF(O469&lt;20,1,IF(O469&gt;1000,10,MATCH(O469,Cargas,1))),Coluna_fih,1,1))*(PI()*(fi_h/1000)^2/4)*SQRT(2*9.81*(O469/100-fi_h/2/1000))*1000))</f>
        <v>2.8781718373574967</v>
      </c>
      <c r="Q469" s="38">
        <f ca="1">IF(O469="","",IF(Tipo_Vertedor="Retangular",IF(O469&lt;=cota_s*100,0,IF(Tipo_Vertedor="Retangular",Cd_sr*Lef_sr*((O469/100-cota_s)^(3/2))*1000)),IF(O469&lt;=cota_s*100+fi_s/20,0,(OFFSET('Base de dados'!$A$4,IF(O469&lt;20,1,IF(O469&gt;1000,10,MATCH(O469,Cargas,1))),Coluna_fis,1,1))*(PI()*(fi_s/1000)^2/4)*(2*9.81*(O469/100-cota_s-fi_s/2/1000))^0.5*1000)))</f>
        <v>0</v>
      </c>
      <c r="R469" s="38">
        <f t="shared" ca="1" si="110"/>
        <v>2.8781718373574967</v>
      </c>
      <c r="S469" s="38">
        <f t="shared" ca="1" si="111"/>
        <v>146.24999999999997</v>
      </c>
      <c r="AD469" s="38"/>
      <c r="AE469" s="38"/>
      <c r="AG469" s="36" t="s">
        <v>182</v>
      </c>
      <c r="AH469" s="36" t="s">
        <v>182</v>
      </c>
      <c r="AI469" s="48" t="s">
        <v>182</v>
      </c>
      <c r="AJ469" s="36" t="s">
        <v>182</v>
      </c>
      <c r="AK469" s="38" t="str">
        <f>IF(A469="","",IF('Hidrograma afluente'!I476="",0,'Hidrograma afluente'!I476)+Simulação!B469)</f>
        <v/>
      </c>
    </row>
    <row r="470" spans="1:37" s="36" customFormat="1">
      <c r="A470" s="23" t="str">
        <f t="shared" si="106"/>
        <v/>
      </c>
      <c r="B470" s="24" t="str">
        <f>IF(A470="","",IF(A470&gt;tc_lot_i+tc,0,IF('Hidrograma afluente'!B477="","",'Hidrograma afluente'!B477)))</f>
        <v/>
      </c>
      <c r="C470" s="41" t="str">
        <f t="shared" si="107"/>
        <v/>
      </c>
      <c r="D470" s="41" t="str">
        <f t="shared" si="112"/>
        <v/>
      </c>
      <c r="E470" s="41" t="str">
        <f t="shared" si="113"/>
        <v/>
      </c>
      <c r="F470" s="41" t="str">
        <f t="shared" si="114"/>
        <v/>
      </c>
      <c r="G470" s="41" t="str">
        <f t="shared" si="115"/>
        <v/>
      </c>
      <c r="H470" s="43" t="str">
        <f t="shared" si="108"/>
        <v/>
      </c>
      <c r="I470" s="42" t="str">
        <f t="shared" si="116"/>
        <v/>
      </c>
      <c r="J470" s="18"/>
      <c r="K470" s="76"/>
      <c r="M470" s="132">
        <f t="shared" ca="1" si="109"/>
        <v>149.44379207833512</v>
      </c>
      <c r="N470" s="38">
        <f t="shared" si="117"/>
        <v>4.3968750000000005</v>
      </c>
      <c r="O470" s="36">
        <f t="shared" si="118"/>
        <v>117.25</v>
      </c>
      <c r="P470" s="38">
        <f ca="1">IF(ISERROR(IF(O470&lt;fi_h/20,0,(OFFSET('Base de dados'!$A$5,IF(O470&lt;20,1,IF(O470&gt;1000,10,MATCH(O470,Cargas,1))),Coluna_fih,1,1))*(1+0.13*0.25)*(PI()*(fi_h/1000)^2/4)*SQRT(2*9.81*(O470/100-fi_h/2/1000))*1000)),"",IF(O470&lt;fi_h/20,0,(OFFSET('Base de dados'!$A$5,IF(O470&lt;20,1,IF(O470&gt;1000,10,MATCH(O470,Cargas,1))),Coluna_fih,1,1))*(PI()*(fi_h/1000)^2/4)*SQRT(2*9.81*(O470/100-fi_h/2/1000))*1000))</f>
        <v>2.881292078335107</v>
      </c>
      <c r="Q470" s="38">
        <f ca="1">IF(O470="","",IF(Tipo_Vertedor="Retangular",IF(O470&lt;=cota_s*100,0,IF(Tipo_Vertedor="Retangular",Cd_sr*Lef_sr*((O470/100-cota_s)^(3/2))*1000)),IF(O470&lt;=cota_s*100+fi_s/20,0,(OFFSET('Base de dados'!$A$4,IF(O470&lt;20,1,IF(O470&gt;1000,10,MATCH(O470,Cargas,1))),Coluna_fis,1,1))*(PI()*(fi_s/1000)^2/4)*(2*9.81*(O470/100-cota_s-fi_s/2/1000))^0.5*1000)))</f>
        <v>0</v>
      </c>
      <c r="R470" s="38">
        <f t="shared" ca="1" si="110"/>
        <v>2.881292078335107</v>
      </c>
      <c r="S470" s="38">
        <f t="shared" ca="1" si="111"/>
        <v>146.56250000000003</v>
      </c>
      <c r="AD470" s="38"/>
      <c r="AE470" s="38"/>
      <c r="AG470" s="36" t="s">
        <v>182</v>
      </c>
      <c r="AH470" s="36" t="s">
        <v>182</v>
      </c>
      <c r="AI470" s="48" t="s">
        <v>182</v>
      </c>
      <c r="AJ470" s="36" t="s">
        <v>182</v>
      </c>
      <c r="AK470" s="38" t="str">
        <f>IF(A470="","",IF('Hidrograma afluente'!I477="",0,'Hidrograma afluente'!I477)+Simulação!B470)</f>
        <v/>
      </c>
    </row>
    <row r="471" spans="1:37" s="36" customFormat="1">
      <c r="A471" s="23" t="str">
        <f t="shared" si="106"/>
        <v/>
      </c>
      <c r="B471" s="24" t="str">
        <f>IF(A471="","",IF(A471&gt;tc_lot_i+tc,0,IF('Hidrograma afluente'!B478="","",'Hidrograma afluente'!B478)))</f>
        <v/>
      </c>
      <c r="C471" s="41" t="str">
        <f t="shared" si="107"/>
        <v/>
      </c>
      <c r="D471" s="41" t="str">
        <f t="shared" si="112"/>
        <v/>
      </c>
      <c r="E471" s="41" t="str">
        <f t="shared" si="113"/>
        <v/>
      </c>
      <c r="F471" s="41" t="str">
        <f t="shared" si="114"/>
        <v/>
      </c>
      <c r="G471" s="41" t="str">
        <f t="shared" si="115"/>
        <v/>
      </c>
      <c r="H471" s="43" t="str">
        <f t="shared" si="108"/>
        <v/>
      </c>
      <c r="I471" s="42" t="str">
        <f t="shared" si="116"/>
        <v/>
      </c>
      <c r="J471" s="18"/>
      <c r="K471" s="76"/>
      <c r="M471" s="132">
        <f t="shared" ca="1" si="109"/>
        <v>149.75940894395984</v>
      </c>
      <c r="N471" s="38">
        <f t="shared" si="117"/>
        <v>4.40625</v>
      </c>
      <c r="O471" s="36">
        <f t="shared" si="118"/>
        <v>117.5</v>
      </c>
      <c r="P471" s="38">
        <f ca="1">IF(ISERROR(IF(O471&lt;fi_h/20,0,(OFFSET('Base de dados'!$A$5,IF(O471&lt;20,1,IF(O471&gt;1000,10,MATCH(O471,Cargas,1))),Coluna_fih,1,1))*(1+0.13*0.25)*(PI()*(fi_h/1000)^2/4)*SQRT(2*9.81*(O471/100-fi_h/2/1000))*1000)),"",IF(O471&lt;fi_h/20,0,(OFFSET('Base de dados'!$A$5,IF(O471&lt;20,1,IF(O471&gt;1000,10,MATCH(O471,Cargas,1))),Coluna_fih,1,1))*(PI()*(fi_h/1000)^2/4)*SQRT(2*9.81*(O471/100-fi_h/2/1000))*1000))</f>
        <v>2.8844089439598277</v>
      </c>
      <c r="Q471" s="38">
        <f ca="1">IF(O471="","",IF(Tipo_Vertedor="Retangular",IF(O471&lt;=cota_s*100,0,IF(Tipo_Vertedor="Retangular",Cd_sr*Lef_sr*((O471/100-cota_s)^(3/2))*1000)),IF(O471&lt;=cota_s*100+fi_s/20,0,(OFFSET('Base de dados'!$A$4,IF(O471&lt;20,1,IF(O471&gt;1000,10,MATCH(O471,Cargas,1))),Coluna_fis,1,1))*(PI()*(fi_s/1000)^2/4)*(2*9.81*(O471/100-cota_s-fi_s/2/1000))^0.5*1000)))</f>
        <v>0</v>
      </c>
      <c r="R471" s="38">
        <f t="shared" ca="1" si="110"/>
        <v>2.8844089439598277</v>
      </c>
      <c r="S471" s="38">
        <f t="shared" ca="1" si="111"/>
        <v>146.875</v>
      </c>
      <c r="AD471" s="38"/>
      <c r="AE471" s="38"/>
      <c r="AG471" s="36" t="s">
        <v>182</v>
      </c>
      <c r="AH471" s="36" t="s">
        <v>182</v>
      </c>
      <c r="AI471" s="48" t="s">
        <v>182</v>
      </c>
      <c r="AJ471" s="36" t="s">
        <v>182</v>
      </c>
      <c r="AK471" s="38" t="str">
        <f>IF(A471="","",IF('Hidrograma afluente'!I478="",0,'Hidrograma afluente'!I478)+Simulação!B471)</f>
        <v/>
      </c>
    </row>
    <row r="472" spans="1:37" s="36" customFormat="1">
      <c r="A472" s="23" t="str">
        <f t="shared" si="106"/>
        <v/>
      </c>
      <c r="B472" s="24" t="str">
        <f>IF(A472="","",IF(A472&gt;tc_lot_i+tc,0,IF('Hidrograma afluente'!B479="","",'Hidrograma afluente'!B479)))</f>
        <v/>
      </c>
      <c r="C472" s="41" t="str">
        <f t="shared" si="107"/>
        <v/>
      </c>
      <c r="D472" s="41" t="str">
        <f t="shared" si="112"/>
        <v/>
      </c>
      <c r="E472" s="41" t="str">
        <f t="shared" si="113"/>
        <v/>
      </c>
      <c r="F472" s="41" t="str">
        <f t="shared" si="114"/>
        <v/>
      </c>
      <c r="G472" s="41" t="str">
        <f t="shared" si="115"/>
        <v/>
      </c>
      <c r="H472" s="43" t="str">
        <f t="shared" si="108"/>
        <v/>
      </c>
      <c r="I472" s="42" t="str">
        <f t="shared" si="116"/>
        <v/>
      </c>
      <c r="J472" s="18"/>
      <c r="K472" s="76"/>
      <c r="M472" s="132">
        <f t="shared" ca="1" si="109"/>
        <v>150.07502244516198</v>
      </c>
      <c r="N472" s="38">
        <f t="shared" si="117"/>
        <v>4.4156250000000004</v>
      </c>
      <c r="O472" s="36">
        <f t="shared" si="118"/>
        <v>117.75</v>
      </c>
      <c r="P472" s="38">
        <f ca="1">IF(ISERROR(IF(O472&lt;fi_h/20,0,(OFFSET('Base de dados'!$A$5,IF(O472&lt;20,1,IF(O472&gt;1000,10,MATCH(O472,Cargas,1))),Coluna_fih,1,1))*(1+0.13*0.25)*(PI()*(fi_h/1000)^2/4)*SQRT(2*9.81*(O472/100-fi_h/2/1000))*1000)),"",IF(O472&lt;fi_h/20,0,(OFFSET('Base de dados'!$A$5,IF(O472&lt;20,1,IF(O472&gt;1000,10,MATCH(O472,Cargas,1))),Coluna_fih,1,1))*(PI()*(fi_h/1000)^2/4)*SQRT(2*9.81*(O472/100-fi_h/2/1000))*1000))</f>
        <v>2.8875224451619861</v>
      </c>
      <c r="Q472" s="38">
        <f ca="1">IF(O472="","",IF(Tipo_Vertedor="Retangular",IF(O472&lt;=cota_s*100,0,IF(Tipo_Vertedor="Retangular",Cd_sr*Lef_sr*((O472/100-cota_s)^(3/2))*1000)),IF(O472&lt;=cota_s*100+fi_s/20,0,(OFFSET('Base de dados'!$A$4,IF(O472&lt;20,1,IF(O472&gt;1000,10,MATCH(O472,Cargas,1))),Coluna_fis,1,1))*(PI()*(fi_s/1000)^2/4)*(2*9.81*(O472/100-cota_s-fi_s/2/1000))^0.5*1000)))</f>
        <v>0</v>
      </c>
      <c r="R472" s="38">
        <f t="shared" ca="1" si="110"/>
        <v>2.8875224451619861</v>
      </c>
      <c r="S472" s="38">
        <f t="shared" ca="1" si="111"/>
        <v>147.1875</v>
      </c>
      <c r="AD472" s="38"/>
      <c r="AE472" s="38"/>
      <c r="AG472" s="36" t="s">
        <v>182</v>
      </c>
      <c r="AH472" s="36" t="s">
        <v>182</v>
      </c>
      <c r="AI472" s="48" t="s">
        <v>182</v>
      </c>
      <c r="AJ472" s="36" t="s">
        <v>182</v>
      </c>
      <c r="AK472" s="38" t="str">
        <f>IF(A472="","",IF('Hidrograma afluente'!I479="",0,'Hidrograma afluente'!I479)+Simulação!B472)</f>
        <v/>
      </c>
    </row>
    <row r="473" spans="1:37" s="36" customFormat="1">
      <c r="A473" s="23" t="str">
        <f t="shared" si="106"/>
        <v/>
      </c>
      <c r="B473" s="24" t="str">
        <f>IF(A473="","",IF(A473&gt;tc_lot_i+tc,0,IF('Hidrograma afluente'!B480="","",'Hidrograma afluente'!B480)))</f>
        <v/>
      </c>
      <c r="C473" s="41" t="str">
        <f t="shared" si="107"/>
        <v/>
      </c>
      <c r="D473" s="41" t="str">
        <f t="shared" si="112"/>
        <v/>
      </c>
      <c r="E473" s="41" t="str">
        <f t="shared" si="113"/>
        <v/>
      </c>
      <c r="F473" s="41" t="str">
        <f t="shared" si="114"/>
        <v/>
      </c>
      <c r="G473" s="41" t="str">
        <f t="shared" si="115"/>
        <v/>
      </c>
      <c r="H473" s="43" t="str">
        <f t="shared" si="108"/>
        <v/>
      </c>
      <c r="I473" s="42" t="str">
        <f t="shared" si="116"/>
        <v/>
      </c>
      <c r="J473" s="18"/>
      <c r="K473" s="76"/>
      <c r="M473" s="132">
        <f t="shared" ca="1" si="109"/>
        <v>150.39063259281303</v>
      </c>
      <c r="N473" s="38">
        <f t="shared" si="117"/>
        <v>4.4249999999999998</v>
      </c>
      <c r="O473" s="36">
        <f t="shared" si="118"/>
        <v>118</v>
      </c>
      <c r="P473" s="38">
        <f ca="1">IF(ISERROR(IF(O473&lt;fi_h/20,0,(OFFSET('Base de dados'!$A$5,IF(O473&lt;20,1,IF(O473&gt;1000,10,MATCH(O473,Cargas,1))),Coluna_fih,1,1))*(1+0.13*0.25)*(PI()*(fi_h/1000)^2/4)*SQRT(2*9.81*(O473/100-fi_h/2/1000))*1000)),"",IF(O473&lt;fi_h/20,0,(OFFSET('Base de dados'!$A$5,IF(O473&lt;20,1,IF(O473&gt;1000,10,MATCH(O473,Cargas,1))),Coluna_fih,1,1))*(PI()*(fi_h/1000)^2/4)*SQRT(2*9.81*(O473/100-fi_h/2/1000))*1000))</f>
        <v>2.8906325928130441</v>
      </c>
      <c r="Q473" s="38">
        <f ca="1">IF(O473="","",IF(Tipo_Vertedor="Retangular",IF(O473&lt;=cota_s*100,0,IF(Tipo_Vertedor="Retangular",Cd_sr*Lef_sr*((O473/100-cota_s)^(3/2))*1000)),IF(O473&lt;=cota_s*100+fi_s/20,0,(OFFSET('Base de dados'!$A$4,IF(O473&lt;20,1,IF(O473&gt;1000,10,MATCH(O473,Cargas,1))),Coluna_fis,1,1))*(PI()*(fi_s/1000)^2/4)*(2*9.81*(O473/100-cota_s-fi_s/2/1000))^0.5*1000)))</f>
        <v>0</v>
      </c>
      <c r="R473" s="38">
        <f t="shared" ca="1" si="110"/>
        <v>2.8906325928130441</v>
      </c>
      <c r="S473" s="38">
        <f t="shared" ca="1" si="111"/>
        <v>147.5</v>
      </c>
      <c r="AD473" s="38"/>
      <c r="AE473" s="38"/>
      <c r="AG473" s="36" t="s">
        <v>182</v>
      </c>
      <c r="AH473" s="36" t="s">
        <v>182</v>
      </c>
      <c r="AI473" s="48" t="s">
        <v>182</v>
      </c>
      <c r="AJ473" s="36" t="s">
        <v>182</v>
      </c>
      <c r="AK473" s="38" t="str">
        <f>IF(A473="","",IF('Hidrograma afluente'!I480="",0,'Hidrograma afluente'!I480)+Simulação!B473)</f>
        <v/>
      </c>
    </row>
    <row r="474" spans="1:37" s="36" customFormat="1">
      <c r="A474" s="23" t="str">
        <f t="shared" si="106"/>
        <v/>
      </c>
      <c r="B474" s="24" t="str">
        <f>IF(A474="","",IF(A474&gt;tc_lot_i+tc,0,IF('Hidrograma afluente'!B481="","",'Hidrograma afluente'!B481)))</f>
        <v/>
      </c>
      <c r="C474" s="41" t="str">
        <f t="shared" si="107"/>
        <v/>
      </c>
      <c r="D474" s="41" t="str">
        <f t="shared" si="112"/>
        <v/>
      </c>
      <c r="E474" s="41" t="str">
        <f t="shared" si="113"/>
        <v/>
      </c>
      <c r="F474" s="41" t="str">
        <f t="shared" si="114"/>
        <v/>
      </c>
      <c r="G474" s="41" t="str">
        <f t="shared" si="115"/>
        <v/>
      </c>
      <c r="H474" s="43" t="str">
        <f t="shared" si="108"/>
        <v/>
      </c>
      <c r="I474" s="42" t="str">
        <f t="shared" si="116"/>
        <v/>
      </c>
      <c r="J474" s="18"/>
      <c r="K474" s="76"/>
      <c r="M474" s="132">
        <f t="shared" ca="1" si="109"/>
        <v>150.70623939772605</v>
      </c>
      <c r="N474" s="38">
        <f t="shared" si="117"/>
        <v>4.4343750000000002</v>
      </c>
      <c r="O474" s="36">
        <f t="shared" si="118"/>
        <v>118.25</v>
      </c>
      <c r="P474" s="38">
        <f ca="1">IF(ISERROR(IF(O474&lt;fi_h/20,0,(OFFSET('Base de dados'!$A$5,IF(O474&lt;20,1,IF(O474&gt;1000,10,MATCH(O474,Cargas,1))),Coluna_fih,1,1))*(1+0.13*0.25)*(PI()*(fi_h/1000)^2/4)*SQRT(2*9.81*(O474/100-fi_h/2/1000))*1000)),"",IF(O474&lt;fi_h/20,0,(OFFSET('Base de dados'!$A$5,IF(O474&lt;20,1,IF(O474&gt;1000,10,MATCH(O474,Cargas,1))),Coluna_fih,1,1))*(PI()*(fi_h/1000)^2/4)*SQRT(2*9.81*(O474/100-fi_h/2/1000))*1000))</f>
        <v>2.8937393977260415</v>
      </c>
      <c r="Q474" s="38">
        <f ca="1">IF(O474="","",IF(Tipo_Vertedor="Retangular",IF(O474&lt;=cota_s*100,0,IF(Tipo_Vertedor="Retangular",Cd_sr*Lef_sr*((O474/100-cota_s)^(3/2))*1000)),IF(O474&lt;=cota_s*100+fi_s/20,0,(OFFSET('Base de dados'!$A$4,IF(O474&lt;20,1,IF(O474&gt;1000,10,MATCH(O474,Cargas,1))),Coluna_fis,1,1))*(PI()*(fi_s/1000)^2/4)*(2*9.81*(O474/100-cota_s-fi_s/2/1000))^0.5*1000)))</f>
        <v>0</v>
      </c>
      <c r="R474" s="38">
        <f t="shared" ca="1" si="110"/>
        <v>2.8937393977260415</v>
      </c>
      <c r="S474" s="38">
        <f t="shared" ca="1" si="111"/>
        <v>147.8125</v>
      </c>
      <c r="AD474" s="38"/>
      <c r="AE474" s="38"/>
      <c r="AG474" s="36" t="s">
        <v>182</v>
      </c>
      <c r="AH474" s="36" t="s">
        <v>182</v>
      </c>
      <c r="AI474" s="48" t="s">
        <v>182</v>
      </c>
      <c r="AJ474" s="36" t="s">
        <v>182</v>
      </c>
      <c r="AK474" s="38" t="str">
        <f>IF(A474="","",IF('Hidrograma afluente'!I481="",0,'Hidrograma afluente'!I481)+Simulação!B474)</f>
        <v/>
      </c>
    </row>
    <row r="475" spans="1:37" s="36" customFormat="1">
      <c r="A475" s="23" t="str">
        <f t="shared" si="106"/>
        <v/>
      </c>
      <c r="B475" s="24" t="str">
        <f>IF(A475="","",IF(A475&gt;tc_lot_i+tc,0,IF('Hidrograma afluente'!B482="","",'Hidrograma afluente'!B482)))</f>
        <v/>
      </c>
      <c r="C475" s="41" t="str">
        <f t="shared" si="107"/>
        <v/>
      </c>
      <c r="D475" s="41" t="str">
        <f t="shared" si="112"/>
        <v/>
      </c>
      <c r="E475" s="41" t="str">
        <f t="shared" si="113"/>
        <v/>
      </c>
      <c r="F475" s="41" t="str">
        <f t="shared" si="114"/>
        <v/>
      </c>
      <c r="G475" s="41" t="str">
        <f t="shared" si="115"/>
        <v/>
      </c>
      <c r="H475" s="43" t="str">
        <f t="shared" si="108"/>
        <v/>
      </c>
      <c r="I475" s="42" t="str">
        <f t="shared" si="116"/>
        <v/>
      </c>
      <c r="J475" s="18"/>
      <c r="K475" s="76"/>
      <c r="M475" s="132">
        <f t="shared" ca="1" si="109"/>
        <v>151.02184287065606</v>
      </c>
      <c r="N475" s="38">
        <f t="shared" si="117"/>
        <v>4.4437500000000005</v>
      </c>
      <c r="O475" s="36">
        <f t="shared" si="118"/>
        <v>118.5</v>
      </c>
      <c r="P475" s="38">
        <f ca="1">IF(ISERROR(IF(O475&lt;fi_h/20,0,(OFFSET('Base de dados'!$A$5,IF(O475&lt;20,1,IF(O475&gt;1000,10,MATCH(O475,Cargas,1))),Coluna_fih,1,1))*(1+0.13*0.25)*(PI()*(fi_h/1000)^2/4)*SQRT(2*9.81*(O475/100-fi_h/2/1000))*1000)),"",IF(O475&lt;fi_h/20,0,(OFFSET('Base de dados'!$A$5,IF(O475&lt;20,1,IF(O475&gt;1000,10,MATCH(O475,Cargas,1))),Coluna_fih,1,1))*(PI()*(fi_h/1000)^2/4)*SQRT(2*9.81*(O475/100-fi_h/2/1000))*1000))</f>
        <v>2.8968428706560316</v>
      </c>
      <c r="Q475" s="38">
        <f ca="1">IF(O475="","",IF(Tipo_Vertedor="Retangular",IF(O475&lt;=cota_s*100,0,IF(Tipo_Vertedor="Retangular",Cd_sr*Lef_sr*((O475/100-cota_s)^(3/2))*1000)),IF(O475&lt;=cota_s*100+fi_s/20,0,(OFFSET('Base de dados'!$A$4,IF(O475&lt;20,1,IF(O475&gt;1000,10,MATCH(O475,Cargas,1))),Coluna_fis,1,1))*(PI()*(fi_s/1000)^2/4)*(2*9.81*(O475/100-cota_s-fi_s/2/1000))^0.5*1000)))</f>
        <v>0</v>
      </c>
      <c r="R475" s="38">
        <f t="shared" ca="1" si="110"/>
        <v>2.8968428706560316</v>
      </c>
      <c r="S475" s="38">
        <f t="shared" ca="1" si="111"/>
        <v>148.12500000000003</v>
      </c>
      <c r="AD475" s="38"/>
      <c r="AE475" s="38"/>
      <c r="AG475" s="36" t="s">
        <v>182</v>
      </c>
      <c r="AH475" s="36" t="s">
        <v>182</v>
      </c>
      <c r="AI475" s="48" t="s">
        <v>182</v>
      </c>
      <c r="AJ475" s="36" t="s">
        <v>182</v>
      </c>
      <c r="AK475" s="38" t="str">
        <f>IF(A475="","",IF('Hidrograma afluente'!I482="",0,'Hidrograma afluente'!I482)+Simulação!B475)</f>
        <v/>
      </c>
    </row>
    <row r="476" spans="1:37" s="36" customFormat="1">
      <c r="A476" s="23" t="str">
        <f t="shared" ref="A476:A485" si="119">IF(ISERROR(IF(A475+Passo&lt;=tempo_simul,A475+Passo,"")),"",IF(A475+Passo&lt;=tempo_simul,A475+Passo,""))</f>
        <v/>
      </c>
      <c r="B476" s="24" t="str">
        <f>IF(A476="","",IF(A476&gt;tc_lot_i+tc,0,IF('Hidrograma afluente'!B483="","",'Hidrograma afluente'!B483)))</f>
        <v/>
      </c>
      <c r="C476" s="41" t="str">
        <f t="shared" ref="C476:C485" si="120">IF(B477=0,0,IF(B477="","",B477))</f>
        <v/>
      </c>
      <c r="D476" s="41" t="str">
        <f t="shared" si="112"/>
        <v/>
      </c>
      <c r="E476" s="41" t="str">
        <f t="shared" si="113"/>
        <v/>
      </c>
      <c r="F476" s="41" t="str">
        <f t="shared" si="114"/>
        <v/>
      </c>
      <c r="G476" s="41" t="str">
        <f t="shared" si="115"/>
        <v/>
      </c>
      <c r="H476" s="43" t="str">
        <f t="shared" ref="H476:H485" si="121">IF(A476="","",IF(ISERROR(B476+C476+D476-G476),0,B476+C476+D476-G476))</f>
        <v/>
      </c>
      <c r="I476" s="42" t="str">
        <f t="shared" si="116"/>
        <v/>
      </c>
      <c r="J476" s="18"/>
      <c r="K476" s="76"/>
      <c r="M476" s="132">
        <f t="shared" ca="1" si="109"/>
        <v>151.33744302230053</v>
      </c>
      <c r="N476" s="38">
        <f t="shared" si="117"/>
        <v>4.453125</v>
      </c>
      <c r="O476" s="36">
        <f t="shared" si="118"/>
        <v>118.75</v>
      </c>
      <c r="P476" s="38">
        <f ca="1">IF(ISERROR(IF(O476&lt;fi_h/20,0,(OFFSET('Base de dados'!$A$5,IF(O476&lt;20,1,IF(O476&gt;1000,10,MATCH(O476,Cargas,1))),Coluna_fih,1,1))*(1+0.13*0.25)*(PI()*(fi_h/1000)^2/4)*SQRT(2*9.81*(O476/100-fi_h/2/1000))*1000)),"",IF(O476&lt;fi_h/20,0,(OFFSET('Base de dados'!$A$5,IF(O476&lt;20,1,IF(O476&gt;1000,10,MATCH(O476,Cargas,1))),Coluna_fih,1,1))*(PI()*(fi_h/1000)^2/4)*SQRT(2*9.81*(O476/100-fi_h/2/1000))*1000))</f>
        <v>2.8999430223005223</v>
      </c>
      <c r="Q476" s="38">
        <f ca="1">IF(O476="","",IF(Tipo_Vertedor="Retangular",IF(O476&lt;=cota_s*100,0,IF(Tipo_Vertedor="Retangular",Cd_sr*Lef_sr*((O476/100-cota_s)^(3/2))*1000)),IF(O476&lt;=cota_s*100+fi_s/20,0,(OFFSET('Base de dados'!$A$4,IF(O476&lt;20,1,IF(O476&gt;1000,10,MATCH(O476,Cargas,1))),Coluna_fis,1,1))*(PI()*(fi_s/1000)^2/4)*(2*9.81*(O476/100-cota_s-fi_s/2/1000))^0.5*1000)))</f>
        <v>0</v>
      </c>
      <c r="R476" s="38">
        <f t="shared" ca="1" si="110"/>
        <v>2.8999430223005223</v>
      </c>
      <c r="S476" s="38">
        <f t="shared" ca="1" si="111"/>
        <v>148.4375</v>
      </c>
      <c r="AD476" s="38"/>
      <c r="AE476" s="38"/>
      <c r="AG476" s="36" t="s">
        <v>182</v>
      </c>
      <c r="AH476" s="36" t="s">
        <v>182</v>
      </c>
      <c r="AI476" s="48" t="s">
        <v>182</v>
      </c>
      <c r="AJ476" s="36" t="s">
        <v>182</v>
      </c>
      <c r="AK476" s="38" t="str">
        <f>IF(A476="","",IF('Hidrograma afluente'!I483="",0,'Hidrograma afluente'!I483)+Simulação!B476)</f>
        <v/>
      </c>
    </row>
    <row r="477" spans="1:37" s="36" customFormat="1">
      <c r="A477" s="23" t="str">
        <f t="shared" si="119"/>
        <v/>
      </c>
      <c r="B477" s="24" t="str">
        <f>IF(A477="","",IF(A477&gt;tc_lot_i+tc,0,IF('Hidrograma afluente'!B484="","",'Hidrograma afluente'!B484)))</f>
        <v/>
      </c>
      <c r="C477" s="41" t="str">
        <f t="shared" si="120"/>
        <v/>
      </c>
      <c r="D477" s="41" t="str">
        <f t="shared" si="112"/>
        <v/>
      </c>
      <c r="E477" s="41" t="str">
        <f t="shared" si="113"/>
        <v/>
      </c>
      <c r="F477" s="41" t="str">
        <f t="shared" si="114"/>
        <v/>
      </c>
      <c r="G477" s="41" t="str">
        <f t="shared" si="115"/>
        <v/>
      </c>
      <c r="H477" s="43" t="str">
        <f t="shared" si="121"/>
        <v/>
      </c>
      <c r="I477" s="42" t="str">
        <f t="shared" si="116"/>
        <v/>
      </c>
      <c r="J477" s="18"/>
      <c r="K477" s="76"/>
      <c r="M477" s="132">
        <f t="shared" ca="1" si="109"/>
        <v>151.65303986329988</v>
      </c>
      <c r="N477" s="38">
        <f t="shared" si="117"/>
        <v>4.4624999999999995</v>
      </c>
      <c r="O477" s="36">
        <f t="shared" si="118"/>
        <v>119</v>
      </c>
      <c r="P477" s="38">
        <f ca="1">IF(ISERROR(IF(O477&lt;fi_h/20,0,(OFFSET('Base de dados'!$A$5,IF(O477&lt;20,1,IF(O477&gt;1000,10,MATCH(O477,Cargas,1))),Coluna_fih,1,1))*(1+0.13*0.25)*(PI()*(fi_h/1000)^2/4)*SQRT(2*9.81*(O477/100-fi_h/2/1000))*1000)),"",IF(O477&lt;fi_h/20,0,(OFFSET('Base de dados'!$A$5,IF(O477&lt;20,1,IF(O477&gt;1000,10,MATCH(O477,Cargas,1))),Coluna_fih,1,1))*(PI()*(fi_h/1000)^2/4)*SQRT(2*9.81*(O477/100-fi_h/2/1000))*1000))</f>
        <v>2.9030398632998993</v>
      </c>
      <c r="Q477" s="38">
        <f ca="1">IF(O477="","",IF(Tipo_Vertedor="Retangular",IF(O477&lt;=cota_s*100,0,IF(Tipo_Vertedor="Retangular",Cd_sr*Lef_sr*((O477/100-cota_s)^(3/2))*1000)),IF(O477&lt;=cota_s*100+fi_s/20,0,(OFFSET('Base de dados'!$A$4,IF(O477&lt;20,1,IF(O477&gt;1000,10,MATCH(O477,Cargas,1))),Coluna_fis,1,1))*(PI()*(fi_s/1000)^2/4)*(2*9.81*(O477/100-cota_s-fi_s/2/1000))^0.5*1000)))</f>
        <v>0</v>
      </c>
      <c r="R477" s="38">
        <f t="shared" ca="1" si="110"/>
        <v>2.9030398632998993</v>
      </c>
      <c r="S477" s="38">
        <f t="shared" ca="1" si="111"/>
        <v>148.74999999999997</v>
      </c>
      <c r="AD477" s="38"/>
      <c r="AE477" s="38"/>
      <c r="AG477" s="36" t="s">
        <v>182</v>
      </c>
      <c r="AH477" s="36" t="s">
        <v>182</v>
      </c>
      <c r="AI477" s="48" t="s">
        <v>182</v>
      </c>
      <c r="AJ477" s="36" t="s">
        <v>182</v>
      </c>
      <c r="AK477" s="38" t="str">
        <f>IF(A477="","",IF('Hidrograma afluente'!I484="",0,'Hidrograma afluente'!I484)+Simulação!B477)</f>
        <v/>
      </c>
    </row>
    <row r="478" spans="1:37" s="36" customFormat="1">
      <c r="A478" s="23" t="str">
        <f t="shared" si="119"/>
        <v/>
      </c>
      <c r="B478" s="24" t="str">
        <f>IF(A478="","",IF(A478&gt;tc_lot_i+tc,0,IF('Hidrograma afluente'!B485="","",'Hidrograma afluente'!B485)))</f>
        <v/>
      </c>
      <c r="C478" s="41" t="str">
        <f t="shared" si="120"/>
        <v/>
      </c>
      <c r="D478" s="41" t="str">
        <f t="shared" si="112"/>
        <v/>
      </c>
      <c r="E478" s="41" t="str">
        <f t="shared" si="113"/>
        <v/>
      </c>
      <c r="F478" s="41" t="str">
        <f t="shared" si="114"/>
        <v/>
      </c>
      <c r="G478" s="41" t="str">
        <f t="shared" si="115"/>
        <v/>
      </c>
      <c r="H478" s="43" t="str">
        <f t="shared" si="121"/>
        <v/>
      </c>
      <c r="I478" s="42" t="str">
        <f t="shared" si="116"/>
        <v/>
      </c>
      <c r="J478" s="18"/>
      <c r="K478" s="76"/>
      <c r="M478" s="132">
        <f t="shared" ca="1" si="109"/>
        <v>151.96863340423786</v>
      </c>
      <c r="N478" s="38">
        <f t="shared" si="117"/>
        <v>4.4718749999999998</v>
      </c>
      <c r="O478" s="36">
        <f t="shared" si="118"/>
        <v>119.25</v>
      </c>
      <c r="P478" s="38">
        <f ca="1">IF(ISERROR(IF(O478&lt;fi_h/20,0,(OFFSET('Base de dados'!$A$5,IF(O478&lt;20,1,IF(O478&gt;1000,10,MATCH(O478,Cargas,1))),Coluna_fih,1,1))*(1+0.13*0.25)*(PI()*(fi_h/1000)^2/4)*SQRT(2*9.81*(O478/100-fi_h/2/1000))*1000)),"",IF(O478&lt;fi_h/20,0,(OFFSET('Base de dados'!$A$5,IF(O478&lt;20,1,IF(O478&gt;1000,10,MATCH(O478,Cargas,1))),Coluna_fih,1,1))*(PI()*(fi_h/1000)^2/4)*SQRT(2*9.81*(O478/100-fi_h/2/1000))*1000))</f>
        <v>2.9061334042378548</v>
      </c>
      <c r="Q478" s="38">
        <f ca="1">IF(O478="","",IF(Tipo_Vertedor="Retangular",IF(O478&lt;=cota_s*100,0,IF(Tipo_Vertedor="Retangular",Cd_sr*Lef_sr*((O478/100-cota_s)^(3/2))*1000)),IF(O478&lt;=cota_s*100+fi_s/20,0,(OFFSET('Base de dados'!$A$4,IF(O478&lt;20,1,IF(O478&gt;1000,10,MATCH(O478,Cargas,1))),Coluna_fis,1,1))*(PI()*(fi_s/1000)^2/4)*(2*9.81*(O478/100-cota_s-fi_s/2/1000))^0.5*1000)))</f>
        <v>0</v>
      </c>
      <c r="R478" s="38">
        <f t="shared" ca="1" si="110"/>
        <v>2.9061334042378548</v>
      </c>
      <c r="S478" s="38">
        <f t="shared" ca="1" si="111"/>
        <v>149.0625</v>
      </c>
      <c r="AD478" s="38"/>
      <c r="AE478" s="38"/>
      <c r="AG478" s="36" t="s">
        <v>182</v>
      </c>
      <c r="AH478" s="36" t="s">
        <v>182</v>
      </c>
      <c r="AI478" s="48" t="s">
        <v>182</v>
      </c>
      <c r="AJ478" s="36" t="s">
        <v>182</v>
      </c>
      <c r="AK478" s="38" t="str">
        <f>IF(A478="","",IF('Hidrograma afluente'!I485="",0,'Hidrograma afluente'!I485)+Simulação!B478)</f>
        <v/>
      </c>
    </row>
    <row r="479" spans="1:37" s="36" customFormat="1">
      <c r="A479" s="23" t="str">
        <f t="shared" si="119"/>
        <v/>
      </c>
      <c r="B479" s="24" t="str">
        <f>IF(A479="","",IF(A479&gt;tc_lot_i+tc,0,IF('Hidrograma afluente'!B486="","",'Hidrograma afluente'!B486)))</f>
        <v/>
      </c>
      <c r="C479" s="41" t="str">
        <f t="shared" si="120"/>
        <v/>
      </c>
      <c r="D479" s="41" t="str">
        <f t="shared" si="112"/>
        <v/>
      </c>
      <c r="E479" s="41" t="str">
        <f t="shared" si="113"/>
        <v/>
      </c>
      <c r="F479" s="41" t="str">
        <f t="shared" si="114"/>
        <v/>
      </c>
      <c r="G479" s="41" t="str">
        <f t="shared" si="115"/>
        <v/>
      </c>
      <c r="H479" s="43" t="str">
        <f t="shared" si="121"/>
        <v/>
      </c>
      <c r="I479" s="42" t="str">
        <f t="shared" si="116"/>
        <v/>
      </c>
      <c r="J479" s="18"/>
      <c r="K479" s="76"/>
      <c r="M479" s="132">
        <f t="shared" ca="1" si="109"/>
        <v>152.28422365564182</v>
      </c>
      <c r="N479" s="38">
        <f t="shared" si="117"/>
        <v>4.4812500000000002</v>
      </c>
      <c r="O479" s="36">
        <f t="shared" si="118"/>
        <v>119.5</v>
      </c>
      <c r="P479" s="38">
        <f ca="1">IF(ISERROR(IF(O479&lt;fi_h/20,0,(OFFSET('Base de dados'!$A$5,IF(O479&lt;20,1,IF(O479&gt;1000,10,MATCH(O479,Cargas,1))),Coluna_fih,1,1))*(1+0.13*0.25)*(PI()*(fi_h/1000)^2/4)*SQRT(2*9.81*(O479/100-fi_h/2/1000))*1000)),"",IF(O479&lt;fi_h/20,0,(OFFSET('Base de dados'!$A$5,IF(O479&lt;20,1,IF(O479&gt;1000,10,MATCH(O479,Cargas,1))),Coluna_fih,1,1))*(PI()*(fi_h/1000)^2/4)*SQRT(2*9.81*(O479/100-fi_h/2/1000))*1000))</f>
        <v>2.9092236556418127</v>
      </c>
      <c r="Q479" s="38">
        <f ca="1">IF(O479="","",IF(Tipo_Vertedor="Retangular",IF(O479&lt;=cota_s*100,0,IF(Tipo_Vertedor="Retangular",Cd_sr*Lef_sr*((O479/100-cota_s)^(3/2))*1000)),IF(O479&lt;=cota_s*100+fi_s/20,0,(OFFSET('Base de dados'!$A$4,IF(O479&lt;20,1,IF(O479&gt;1000,10,MATCH(O479,Cargas,1))),Coluna_fis,1,1))*(PI()*(fi_s/1000)^2/4)*(2*9.81*(O479/100-cota_s-fi_s/2/1000))^0.5*1000)))</f>
        <v>0</v>
      </c>
      <c r="R479" s="38">
        <f t="shared" ca="1" si="110"/>
        <v>2.9092236556418127</v>
      </c>
      <c r="S479" s="38">
        <f t="shared" ca="1" si="111"/>
        <v>149.375</v>
      </c>
      <c r="AD479" s="38"/>
      <c r="AE479" s="38"/>
      <c r="AG479" s="36" t="s">
        <v>182</v>
      </c>
      <c r="AH479" s="36" t="s">
        <v>182</v>
      </c>
      <c r="AI479" s="48" t="s">
        <v>182</v>
      </c>
      <c r="AJ479" s="36" t="s">
        <v>182</v>
      </c>
      <c r="AK479" s="38" t="str">
        <f>IF(A479="","",IF('Hidrograma afluente'!I486="",0,'Hidrograma afluente'!I486)+Simulação!B479)</f>
        <v/>
      </c>
    </row>
    <row r="480" spans="1:37" s="36" customFormat="1">
      <c r="A480" s="23" t="str">
        <f t="shared" si="119"/>
        <v/>
      </c>
      <c r="B480" s="24" t="str">
        <f>IF(A480="","",IF(A480&gt;tc_lot_i+tc,0,IF('Hidrograma afluente'!B487="","",'Hidrograma afluente'!B487)))</f>
        <v/>
      </c>
      <c r="C480" s="41" t="str">
        <f t="shared" si="120"/>
        <v/>
      </c>
      <c r="D480" s="41" t="str">
        <f t="shared" si="112"/>
        <v/>
      </c>
      <c r="E480" s="41" t="str">
        <f t="shared" si="113"/>
        <v/>
      </c>
      <c r="F480" s="41" t="str">
        <f t="shared" si="114"/>
        <v/>
      </c>
      <c r="G480" s="41" t="str">
        <f t="shared" si="115"/>
        <v/>
      </c>
      <c r="H480" s="43" t="str">
        <f t="shared" si="121"/>
        <v/>
      </c>
      <c r="I480" s="42" t="str">
        <f t="shared" si="116"/>
        <v/>
      </c>
      <c r="J480" s="18"/>
      <c r="K480" s="76"/>
      <c r="M480" s="132">
        <f t="shared" ca="1" si="109"/>
        <v>152.59981062798335</v>
      </c>
      <c r="N480" s="38">
        <f t="shared" si="117"/>
        <v>4.4906249999999996</v>
      </c>
      <c r="O480" s="36">
        <f t="shared" si="118"/>
        <v>119.75</v>
      </c>
      <c r="P480" s="38">
        <f ca="1">IF(ISERROR(IF(O480&lt;fi_h/20,0,(OFFSET('Base de dados'!$A$5,IF(O480&lt;20,1,IF(O480&gt;1000,10,MATCH(O480,Cargas,1))),Coluna_fih,1,1))*(1+0.13*0.25)*(PI()*(fi_h/1000)^2/4)*SQRT(2*9.81*(O480/100-fi_h/2/1000))*1000)),"",IF(O480&lt;fi_h/20,0,(OFFSET('Base de dados'!$A$5,IF(O480&lt;20,1,IF(O480&gt;1000,10,MATCH(O480,Cargas,1))),Coluna_fih,1,1))*(PI()*(fi_h/1000)^2/4)*SQRT(2*9.81*(O480/100-fi_h/2/1000))*1000))</f>
        <v>2.9123106279833411</v>
      </c>
      <c r="Q480" s="38">
        <f ca="1">IF(O480="","",IF(Tipo_Vertedor="Retangular",IF(O480&lt;=cota_s*100,0,IF(Tipo_Vertedor="Retangular",Cd_sr*Lef_sr*((O480/100-cota_s)^(3/2))*1000)),IF(O480&lt;=cota_s*100+fi_s/20,0,(OFFSET('Base de dados'!$A$4,IF(O480&lt;20,1,IF(O480&gt;1000,10,MATCH(O480,Cargas,1))),Coluna_fis,1,1))*(PI()*(fi_s/1000)^2/4)*(2*9.81*(O480/100-cota_s-fi_s/2/1000))^0.5*1000)))</f>
        <v>0</v>
      </c>
      <c r="R480" s="38">
        <f t="shared" ca="1" si="110"/>
        <v>2.9123106279833411</v>
      </c>
      <c r="S480" s="38">
        <f t="shared" ca="1" si="111"/>
        <v>149.6875</v>
      </c>
      <c r="AD480" s="38"/>
      <c r="AE480" s="38"/>
      <c r="AG480" s="36" t="s">
        <v>182</v>
      </c>
      <c r="AH480" s="36" t="s">
        <v>182</v>
      </c>
      <c r="AI480" s="48" t="s">
        <v>182</v>
      </c>
      <c r="AJ480" s="36" t="s">
        <v>182</v>
      </c>
      <c r="AK480" s="38" t="str">
        <f>IF(A480="","",IF('Hidrograma afluente'!I487="",0,'Hidrograma afluente'!I487)+Simulação!B480)</f>
        <v/>
      </c>
    </row>
    <row r="481" spans="1:37" s="36" customFormat="1">
      <c r="A481" s="23" t="str">
        <f t="shared" si="119"/>
        <v/>
      </c>
      <c r="B481" s="24" t="str">
        <f>IF(A481="","",IF(A481&gt;tc_lot_i+tc,0,IF('Hidrograma afluente'!B488="","",'Hidrograma afluente'!B488)))</f>
        <v/>
      </c>
      <c r="C481" s="41" t="str">
        <f t="shared" si="120"/>
        <v/>
      </c>
      <c r="D481" s="41" t="str">
        <f t="shared" si="112"/>
        <v/>
      </c>
      <c r="E481" s="41" t="str">
        <f t="shared" si="113"/>
        <v/>
      </c>
      <c r="F481" s="41" t="str">
        <f t="shared" si="114"/>
        <v/>
      </c>
      <c r="G481" s="41" t="str">
        <f t="shared" si="115"/>
        <v/>
      </c>
      <c r="H481" s="43" t="str">
        <f t="shared" si="121"/>
        <v/>
      </c>
      <c r="I481" s="42" t="str">
        <f t="shared" si="116"/>
        <v/>
      </c>
      <c r="J481" s="18"/>
      <c r="K481" s="76"/>
      <c r="M481" s="132">
        <f t="shared" ca="1" si="109"/>
        <v>152.91539433167856</v>
      </c>
      <c r="N481" s="38">
        <f t="shared" si="117"/>
        <v>4.5</v>
      </c>
      <c r="O481" s="36">
        <f t="shared" si="118"/>
        <v>120</v>
      </c>
      <c r="P481" s="38">
        <f ca="1">IF(ISERROR(IF(O481&lt;fi_h/20,0,(OFFSET('Base de dados'!$A$5,IF(O481&lt;20,1,IF(O481&gt;1000,10,MATCH(O481,Cargas,1))),Coluna_fih,1,1))*(1+0.13*0.25)*(PI()*(fi_h/1000)^2/4)*SQRT(2*9.81*(O481/100-fi_h/2/1000))*1000)),"",IF(O481&lt;fi_h/20,0,(OFFSET('Base de dados'!$A$5,IF(O481&lt;20,1,IF(O481&gt;1000,10,MATCH(O481,Cargas,1))),Coluna_fih,1,1))*(PI()*(fi_h/1000)^2/4)*SQRT(2*9.81*(O481/100-fi_h/2/1000))*1000))</f>
        <v>2.9153943316785687</v>
      </c>
      <c r="Q481" s="38">
        <f ca="1">IF(O481="","",IF(Tipo_Vertedor="Retangular",IF(O481&lt;=cota_s*100,0,IF(Tipo_Vertedor="Retangular",Cd_sr*Lef_sr*((O481/100-cota_s)^(3/2))*1000)),IF(O481&lt;=cota_s*100+fi_s/20,0,(OFFSET('Base de dados'!$A$4,IF(O481&lt;20,1,IF(O481&gt;1000,10,MATCH(O481,Cargas,1))),Coluna_fis,1,1))*(PI()*(fi_s/1000)^2/4)*(2*9.81*(O481/100-cota_s-fi_s/2/1000))^0.5*1000)))</f>
        <v>0</v>
      </c>
      <c r="R481" s="38">
        <f t="shared" ca="1" si="110"/>
        <v>2.9153943316785687</v>
      </c>
      <c r="S481" s="38">
        <f t="shared" ca="1" si="111"/>
        <v>150</v>
      </c>
      <c r="AD481" s="38"/>
      <c r="AE481" s="38"/>
      <c r="AG481" s="36" t="s">
        <v>182</v>
      </c>
      <c r="AH481" s="36" t="s">
        <v>182</v>
      </c>
      <c r="AI481" s="48" t="s">
        <v>182</v>
      </c>
      <c r="AJ481" s="36" t="s">
        <v>182</v>
      </c>
      <c r="AK481" s="38" t="str">
        <f>IF(A481="","",IF('Hidrograma afluente'!I488="",0,'Hidrograma afluente'!I488)+Simulação!B481)</f>
        <v/>
      </c>
    </row>
    <row r="482" spans="1:37" s="36" customFormat="1">
      <c r="A482" s="23" t="str">
        <f t="shared" si="119"/>
        <v/>
      </c>
      <c r="B482" s="24" t="str">
        <f>IF(A482="","",IF(A482&gt;tc_lot_i+tc,0,IF('Hidrograma afluente'!B489="","",'Hidrograma afluente'!B489)))</f>
        <v/>
      </c>
      <c r="C482" s="41" t="str">
        <f t="shared" si="120"/>
        <v/>
      </c>
      <c r="D482" s="41" t="str">
        <f t="shared" si="112"/>
        <v/>
      </c>
      <c r="E482" s="41" t="str">
        <f t="shared" si="113"/>
        <v/>
      </c>
      <c r="F482" s="41" t="str">
        <f t="shared" si="114"/>
        <v/>
      </c>
      <c r="G482" s="41" t="str">
        <f t="shared" si="115"/>
        <v/>
      </c>
      <c r="H482" s="43" t="str">
        <f t="shared" si="121"/>
        <v/>
      </c>
      <c r="I482" s="42" t="str">
        <f t="shared" si="116"/>
        <v/>
      </c>
      <c r="J482" s="18"/>
      <c r="K482" s="76"/>
      <c r="M482" s="132">
        <f t="shared" ca="1" si="109"/>
        <v>153.23097477708856</v>
      </c>
      <c r="N482" s="38">
        <f t="shared" si="117"/>
        <v>4.5093749999999995</v>
      </c>
      <c r="O482" s="36">
        <f t="shared" si="118"/>
        <v>120.25</v>
      </c>
      <c r="P482" s="38">
        <f ca="1">IF(ISERROR(IF(O482&lt;fi_h/20,0,(OFFSET('Base de dados'!$A$5,IF(O482&lt;20,1,IF(O482&gt;1000,10,MATCH(O482,Cargas,1))),Coluna_fih,1,1))*(1+0.13*0.25)*(PI()*(fi_h/1000)^2/4)*SQRT(2*9.81*(O482/100-fi_h/2/1000))*1000)),"",IF(O482&lt;fi_h/20,0,(OFFSET('Base de dados'!$A$5,IF(O482&lt;20,1,IF(O482&gt;1000,10,MATCH(O482,Cargas,1))),Coluna_fih,1,1))*(PI()*(fi_h/1000)^2/4)*SQRT(2*9.81*(O482/100-fi_h/2/1000))*1000))</f>
        <v>2.9184747770885973</v>
      </c>
      <c r="Q482" s="38">
        <f ca="1">IF(O482="","",IF(Tipo_Vertedor="Retangular",IF(O482&lt;=cota_s*100,0,IF(Tipo_Vertedor="Retangular",Cd_sr*Lef_sr*((O482/100-cota_s)^(3/2))*1000)),IF(O482&lt;=cota_s*100+fi_s/20,0,(OFFSET('Base de dados'!$A$4,IF(O482&lt;20,1,IF(O482&gt;1000,10,MATCH(O482,Cargas,1))),Coluna_fis,1,1))*(PI()*(fi_s/1000)^2/4)*(2*9.81*(O482/100-cota_s-fi_s/2/1000))^0.5*1000)))</f>
        <v>0</v>
      </c>
      <c r="R482" s="38">
        <f t="shared" ca="1" si="110"/>
        <v>2.9184747770885973</v>
      </c>
      <c r="S482" s="38">
        <f t="shared" ca="1" si="111"/>
        <v>150.31249999999997</v>
      </c>
      <c r="AD482" s="38"/>
      <c r="AE482" s="38"/>
      <c r="AG482" s="36" t="s">
        <v>182</v>
      </c>
      <c r="AH482" s="36" t="s">
        <v>182</v>
      </c>
      <c r="AI482" s="48" t="s">
        <v>182</v>
      </c>
      <c r="AJ482" s="36" t="s">
        <v>182</v>
      </c>
      <c r="AK482" s="38" t="str">
        <f>IF(A482="","",IF('Hidrograma afluente'!I489="",0,'Hidrograma afluente'!I489)+Simulação!B482)</f>
        <v/>
      </c>
    </row>
    <row r="483" spans="1:37" s="36" customFormat="1">
      <c r="A483" s="23" t="str">
        <f t="shared" si="119"/>
        <v/>
      </c>
      <c r="B483" s="24" t="str">
        <f>IF(A483="","",IF(A483&gt;tc_lot_i+tc,0,IF('Hidrograma afluente'!B490="","",'Hidrograma afluente'!B490)))</f>
        <v/>
      </c>
      <c r="C483" s="41" t="str">
        <f t="shared" si="120"/>
        <v/>
      </c>
      <c r="D483" s="41" t="str">
        <f t="shared" si="112"/>
        <v/>
      </c>
      <c r="E483" s="41" t="str">
        <f t="shared" si="113"/>
        <v/>
      </c>
      <c r="F483" s="41" t="str">
        <f t="shared" si="114"/>
        <v/>
      </c>
      <c r="G483" s="41" t="str">
        <f t="shared" si="115"/>
        <v/>
      </c>
      <c r="H483" s="43" t="str">
        <f t="shared" si="121"/>
        <v/>
      </c>
      <c r="I483" s="42" t="str">
        <f t="shared" si="116"/>
        <v/>
      </c>
      <c r="J483" s="18"/>
      <c r="K483" s="76"/>
      <c r="M483" s="132">
        <f t="shared" ca="1" si="109"/>
        <v>153.54655197451993</v>
      </c>
      <c r="N483" s="38">
        <f t="shared" si="117"/>
        <v>4.5187500000000007</v>
      </c>
      <c r="O483" s="36">
        <f t="shared" si="118"/>
        <v>120.5</v>
      </c>
      <c r="P483" s="38">
        <f ca="1">IF(ISERROR(IF(O483&lt;fi_h/20,0,(OFFSET('Base de dados'!$A$5,IF(O483&lt;20,1,IF(O483&gt;1000,10,MATCH(O483,Cargas,1))),Coluna_fih,1,1))*(1+0.13*0.25)*(PI()*(fi_h/1000)^2/4)*SQRT(2*9.81*(O483/100-fi_h/2/1000))*1000)),"",IF(O483&lt;fi_h/20,0,(OFFSET('Base de dados'!$A$5,IF(O483&lt;20,1,IF(O483&gt;1000,10,MATCH(O483,Cargas,1))),Coluna_fih,1,1))*(PI()*(fi_h/1000)^2/4)*SQRT(2*9.81*(O483/100-fi_h/2/1000))*1000))</f>
        <v>2.9215519745199039</v>
      </c>
      <c r="Q483" s="38">
        <f ca="1">IF(O483="","",IF(Tipo_Vertedor="Retangular",IF(O483&lt;=cota_s*100,0,IF(Tipo_Vertedor="Retangular",Cd_sr*Lef_sr*((O483/100-cota_s)^(3/2))*1000)),IF(O483&lt;=cota_s*100+fi_s/20,0,(OFFSET('Base de dados'!$A$4,IF(O483&lt;20,1,IF(O483&gt;1000,10,MATCH(O483,Cargas,1))),Coluna_fis,1,1))*(PI()*(fi_s/1000)^2/4)*(2*9.81*(O483/100-cota_s-fi_s/2/1000))^0.5*1000)))</f>
        <v>0</v>
      </c>
      <c r="R483" s="38">
        <f t="shared" ca="1" si="110"/>
        <v>2.9215519745199039</v>
      </c>
      <c r="S483" s="38">
        <f t="shared" ca="1" si="111"/>
        <v>150.62500000000003</v>
      </c>
      <c r="AD483" s="38"/>
      <c r="AE483" s="38"/>
      <c r="AG483" s="36" t="s">
        <v>182</v>
      </c>
      <c r="AH483" s="36" t="s">
        <v>182</v>
      </c>
      <c r="AI483" s="48" t="s">
        <v>182</v>
      </c>
      <c r="AJ483" s="36" t="s">
        <v>182</v>
      </c>
      <c r="AK483" s="38" t="str">
        <f>IF(A483="","",IF('Hidrograma afluente'!I490="",0,'Hidrograma afluente'!I490)+Simulação!B483)</f>
        <v/>
      </c>
    </row>
    <row r="484" spans="1:37" s="36" customFormat="1">
      <c r="A484" s="23" t="str">
        <f t="shared" si="119"/>
        <v/>
      </c>
      <c r="B484" s="24" t="str">
        <f>IF(A484="","",IF(A484&gt;tc_lot_i+tc,0,IF('Hidrograma afluente'!B491="","",'Hidrograma afluente'!B491)))</f>
        <v/>
      </c>
      <c r="C484" s="41" t="str">
        <f t="shared" si="120"/>
        <v/>
      </c>
      <c r="D484" s="41" t="str">
        <f t="shared" si="112"/>
        <v/>
      </c>
      <c r="E484" s="41" t="str">
        <f t="shared" si="113"/>
        <v/>
      </c>
      <c r="F484" s="41" t="str">
        <f t="shared" si="114"/>
        <v/>
      </c>
      <c r="G484" s="41" t="str">
        <f t="shared" si="115"/>
        <v/>
      </c>
      <c r="H484" s="43" t="str">
        <f t="shared" si="121"/>
        <v/>
      </c>
      <c r="I484" s="42" t="str">
        <f t="shared" si="116"/>
        <v/>
      </c>
      <c r="J484" s="18"/>
      <c r="K484" s="76"/>
      <c r="M484" s="132">
        <f t="shared" ca="1" si="109"/>
        <v>153.86212593422474</v>
      </c>
      <c r="N484" s="38">
        <f t="shared" si="117"/>
        <v>4.5281250000000002</v>
      </c>
      <c r="O484" s="36">
        <f t="shared" si="118"/>
        <v>120.75</v>
      </c>
      <c r="P484" s="38">
        <f ca="1">IF(ISERROR(IF(O484&lt;fi_h/20,0,(OFFSET('Base de dados'!$A$5,IF(O484&lt;20,1,IF(O484&gt;1000,10,MATCH(O484,Cargas,1))),Coluna_fih,1,1))*(1+0.13*0.25)*(PI()*(fi_h/1000)^2/4)*SQRT(2*9.81*(O484/100-fi_h/2/1000))*1000)),"",IF(O484&lt;fi_h/20,0,(OFFSET('Base de dados'!$A$5,IF(O484&lt;20,1,IF(O484&gt;1000,10,MATCH(O484,Cargas,1))),Coluna_fih,1,1))*(PI()*(fi_h/1000)^2/4)*SQRT(2*9.81*(O484/100-fi_h/2/1000))*1000))</f>
        <v>2.9246259342247436</v>
      </c>
      <c r="Q484" s="38">
        <f ca="1">IF(O484="","",IF(Tipo_Vertedor="Retangular",IF(O484&lt;=cota_s*100,0,IF(Tipo_Vertedor="Retangular",Cd_sr*Lef_sr*((O484/100-cota_s)^(3/2))*1000)),IF(O484&lt;=cota_s*100+fi_s/20,0,(OFFSET('Base de dados'!$A$4,IF(O484&lt;20,1,IF(O484&gt;1000,10,MATCH(O484,Cargas,1))),Coluna_fis,1,1))*(PI()*(fi_s/1000)^2/4)*(2*9.81*(O484/100-cota_s-fi_s/2/1000))^0.5*1000)))</f>
        <v>0</v>
      </c>
      <c r="R484" s="38">
        <f t="shared" ca="1" si="110"/>
        <v>2.9246259342247436</v>
      </c>
      <c r="S484" s="38">
        <f t="shared" ca="1" si="111"/>
        <v>150.9375</v>
      </c>
      <c r="AD484" s="38"/>
      <c r="AE484" s="38"/>
      <c r="AG484" s="36" t="s">
        <v>182</v>
      </c>
      <c r="AH484" s="36" t="s">
        <v>182</v>
      </c>
      <c r="AI484" s="48" t="s">
        <v>182</v>
      </c>
      <c r="AJ484" s="36" t="s">
        <v>182</v>
      </c>
      <c r="AK484" s="38" t="str">
        <f>IF(A484="","",IF('Hidrograma afluente'!I491="",0,'Hidrograma afluente'!I491)+Simulação!B484)</f>
        <v/>
      </c>
    </row>
    <row r="485" spans="1:37" s="36" customFormat="1">
      <c r="A485" s="23" t="str">
        <f t="shared" si="119"/>
        <v/>
      </c>
      <c r="B485" s="24" t="str">
        <f>IF(A485="","",IF(A485&gt;tc_lot_i+tc,0,IF('Hidrograma afluente'!B492="","",'Hidrograma afluente'!B492)))</f>
        <v/>
      </c>
      <c r="C485" s="41">
        <f t="shared" si="120"/>
        <v>0</v>
      </c>
      <c r="D485" s="41" t="str">
        <f t="shared" si="112"/>
        <v/>
      </c>
      <c r="E485" s="41" t="str">
        <f t="shared" si="113"/>
        <v/>
      </c>
      <c r="F485" s="41" t="str">
        <f t="shared" si="114"/>
        <v/>
      </c>
      <c r="G485" s="41" t="str">
        <f t="shared" si="115"/>
        <v/>
      </c>
      <c r="H485" s="43" t="str">
        <f t="shared" si="121"/>
        <v/>
      </c>
      <c r="I485" s="42" t="str">
        <f t="shared" si="116"/>
        <v/>
      </c>
      <c r="J485" s="18"/>
      <c r="K485" s="76"/>
      <c r="M485" s="132">
        <f t="shared" ca="1" si="109"/>
        <v>154.17769666640154</v>
      </c>
      <c r="N485" s="38">
        <f t="shared" si="117"/>
        <v>4.5374999999999996</v>
      </c>
      <c r="O485" s="36">
        <f t="shared" si="118"/>
        <v>121</v>
      </c>
      <c r="P485" s="38">
        <f ca="1">IF(ISERROR(IF(O485&lt;fi_h/20,0,(OFFSET('Base de dados'!$A$5,IF(O485&lt;20,1,IF(O485&gt;1000,10,MATCH(O485,Cargas,1))),Coluna_fih,1,1))*(1+0.13*0.25)*(PI()*(fi_h/1000)^2/4)*SQRT(2*9.81*(O485/100-fi_h/2/1000))*1000)),"",IF(O485&lt;fi_h/20,0,(OFFSET('Base de dados'!$A$5,IF(O485&lt;20,1,IF(O485&gt;1000,10,MATCH(O485,Cargas,1))),Coluna_fih,1,1))*(PI()*(fi_h/1000)^2/4)*SQRT(2*9.81*(O485/100-fi_h/2/1000))*1000))</f>
        <v>2.9276966664015527</v>
      </c>
      <c r="Q485" s="38">
        <f ca="1">IF(O485="","",IF(Tipo_Vertedor="Retangular",IF(O485&lt;=cota_s*100,0,IF(Tipo_Vertedor="Retangular",Cd_sr*Lef_sr*((O485/100-cota_s)^(3/2))*1000)),IF(O485&lt;=cota_s*100+fi_s/20,0,(OFFSET('Base de dados'!$A$4,IF(O485&lt;20,1,IF(O485&gt;1000,10,MATCH(O485,Cargas,1))),Coluna_fis,1,1))*(PI()*(fi_s/1000)^2/4)*(2*9.81*(O485/100-cota_s-fi_s/2/1000))^0.5*1000)))</f>
        <v>0</v>
      </c>
      <c r="R485" s="38">
        <f t="shared" ca="1" si="110"/>
        <v>2.9276966664015527</v>
      </c>
      <c r="S485" s="38">
        <f t="shared" ca="1" si="111"/>
        <v>151.25</v>
      </c>
      <c r="AD485" s="38"/>
      <c r="AE485" s="38"/>
      <c r="AG485" s="36" t="s">
        <v>182</v>
      </c>
      <c r="AH485" s="36" t="s">
        <v>182</v>
      </c>
      <c r="AI485" s="48" t="s">
        <v>182</v>
      </c>
      <c r="AJ485" s="36" t="s">
        <v>182</v>
      </c>
      <c r="AK485" s="38" t="str">
        <f>IF(A485="","",IF('Hidrograma afluente'!I492="",0,'Hidrograma afluente'!I492)+Simulação!B485)</f>
        <v/>
      </c>
    </row>
    <row r="486" spans="1:37" s="36" customFormat="1">
      <c r="A486" s="23"/>
      <c r="B486" s="24"/>
      <c r="C486" s="41"/>
      <c r="D486" s="41"/>
      <c r="E486" s="41"/>
      <c r="F486" s="41"/>
      <c r="G486" s="41"/>
      <c r="H486" s="43"/>
      <c r="I486" s="55"/>
      <c r="J486" s="18"/>
      <c r="K486" s="76"/>
      <c r="M486" s="132">
        <f t="shared" ca="1" si="109"/>
        <v>154.49326418119534</v>
      </c>
      <c r="N486" s="38">
        <f t="shared" si="117"/>
        <v>4.546875</v>
      </c>
      <c r="O486" s="36">
        <f t="shared" si="118"/>
        <v>121.25</v>
      </c>
      <c r="P486" s="38">
        <f ca="1">IF(ISERROR(IF(O486&lt;fi_h/20,0,(OFFSET('Base de dados'!$A$5,IF(O486&lt;20,1,IF(O486&gt;1000,10,MATCH(O486,Cargas,1))),Coluna_fih,1,1))*(1+0.13*0.25)*(PI()*(fi_h/1000)^2/4)*SQRT(2*9.81*(O486/100-fi_h/2/1000))*1000)),"",IF(O486&lt;fi_h/20,0,(OFFSET('Base de dados'!$A$5,IF(O486&lt;20,1,IF(O486&gt;1000,10,MATCH(O486,Cargas,1))),Coluna_fih,1,1))*(PI()*(fi_h/1000)^2/4)*SQRT(2*9.81*(O486/100-fi_h/2/1000))*1000))</f>
        <v>2.9307641811953369</v>
      </c>
      <c r="Q486" s="38">
        <f ca="1">IF(O486="","",IF(Tipo_Vertedor="Retangular",IF(O486&lt;=cota_s*100,0,IF(Tipo_Vertedor="Retangular",Cd_sr*Lef_sr*((O486/100-cota_s)^(3/2))*1000)),IF(O486&lt;=cota_s*100+fi_s/20,0,(OFFSET('Base de dados'!$A$4,IF(O486&lt;20,1,IF(O486&gt;1000,10,MATCH(O486,Cargas,1))),Coluna_fis,1,1))*(PI()*(fi_s/1000)^2/4)*(2*9.81*(O486/100-cota_s-fi_s/2/1000))^0.5*1000)))</f>
        <v>0</v>
      </c>
      <c r="R486" s="38">
        <f t="shared" ca="1" si="110"/>
        <v>2.9307641811953369</v>
      </c>
      <c r="S486" s="38">
        <f t="shared" ca="1" si="111"/>
        <v>151.5625</v>
      </c>
      <c r="AD486" s="38"/>
      <c r="AE486" s="38"/>
      <c r="AI486" s="48"/>
    </row>
    <row r="487" spans="1:37" s="36" customFormat="1">
      <c r="A487" s="23"/>
      <c r="B487" s="24"/>
      <c r="C487" s="41"/>
      <c r="D487" s="41"/>
      <c r="E487" s="41"/>
      <c r="F487" s="41"/>
      <c r="G487" s="41"/>
      <c r="H487" s="43"/>
      <c r="I487" s="55"/>
      <c r="J487" s="18"/>
      <c r="K487" s="76"/>
      <c r="M487" s="132">
        <f t="shared" ca="1" si="109"/>
        <v>154.80882848869805</v>
      </c>
      <c r="N487" s="38">
        <f t="shared" si="117"/>
        <v>4.5562500000000004</v>
      </c>
      <c r="O487" s="36">
        <f t="shared" si="118"/>
        <v>121.5</v>
      </c>
      <c r="P487" s="38">
        <f ca="1">IF(ISERROR(IF(O487&lt;fi_h/20,0,(OFFSET('Base de dados'!$A$5,IF(O487&lt;20,1,IF(O487&gt;1000,10,MATCH(O487,Cargas,1))),Coluna_fih,1,1))*(1+0.13*0.25)*(PI()*(fi_h/1000)^2/4)*SQRT(2*9.81*(O487/100-fi_h/2/1000))*1000)),"",IF(O487&lt;fi_h/20,0,(OFFSET('Base de dados'!$A$5,IF(O487&lt;20,1,IF(O487&gt;1000,10,MATCH(O487,Cargas,1))),Coluna_fih,1,1))*(PI()*(fi_h/1000)^2/4)*SQRT(2*9.81*(O487/100-fi_h/2/1000))*1000))</f>
        <v>2.9338284886980661</v>
      </c>
      <c r="Q487" s="38">
        <f ca="1">IF(O487="","",IF(Tipo_Vertedor="Retangular",IF(O487&lt;=cota_s*100,0,IF(Tipo_Vertedor="Retangular",Cd_sr*Lef_sr*((O487/100-cota_s)^(3/2))*1000)),IF(O487&lt;=cota_s*100+fi_s/20,0,(OFFSET('Base de dados'!$A$4,IF(O487&lt;20,1,IF(O487&gt;1000,10,MATCH(O487,Cargas,1))),Coluna_fis,1,1))*(PI()*(fi_s/1000)^2/4)*(2*9.81*(O487/100-cota_s-fi_s/2/1000))^0.5*1000)))</f>
        <v>0</v>
      </c>
      <c r="R487" s="38">
        <f t="shared" ca="1" si="110"/>
        <v>2.9338284886980661</v>
      </c>
      <c r="S487" s="38">
        <f t="shared" ca="1" si="111"/>
        <v>151.875</v>
      </c>
      <c r="AD487" s="38"/>
      <c r="AE487" s="38"/>
      <c r="AI487" s="48"/>
    </row>
    <row r="488" spans="1:37" s="36" customFormat="1">
      <c r="A488" s="18"/>
      <c r="B488" s="41"/>
      <c r="C488" s="41"/>
      <c r="D488" s="41"/>
      <c r="E488" s="41"/>
      <c r="F488" s="41"/>
      <c r="G488" s="41"/>
      <c r="H488" s="41"/>
      <c r="I488" s="42"/>
      <c r="J488" s="18"/>
      <c r="K488" s="76"/>
      <c r="M488" s="132">
        <f t="shared" ca="1" si="109"/>
        <v>155.12438959894905</v>
      </c>
      <c r="N488" s="38">
        <f t="shared" si="117"/>
        <v>4.5656249999999998</v>
      </c>
      <c r="O488" s="36">
        <f t="shared" si="118"/>
        <v>121.75</v>
      </c>
      <c r="P488" s="38">
        <f ca="1">IF(ISERROR(IF(O488&lt;fi_h/20,0,(OFFSET('Base de dados'!$A$5,IF(O488&lt;20,1,IF(O488&gt;1000,10,MATCH(O488,Cargas,1))),Coluna_fih,1,1))*(1+0.13*0.25)*(PI()*(fi_h/1000)^2/4)*SQRT(2*9.81*(O488/100-fi_h/2/1000))*1000)),"",IF(O488&lt;fi_h/20,0,(OFFSET('Base de dados'!$A$5,IF(O488&lt;20,1,IF(O488&gt;1000,10,MATCH(O488,Cargas,1))),Coluna_fih,1,1))*(PI()*(fi_h/1000)^2/4)*SQRT(2*9.81*(O488/100-fi_h/2/1000))*1000))</f>
        <v>2.9368895989490631</v>
      </c>
      <c r="Q488" s="38">
        <f ca="1">IF(O488="","",IF(Tipo_Vertedor="Retangular",IF(O488&lt;=cota_s*100,0,IF(Tipo_Vertedor="Retangular",Cd_sr*Lef_sr*((O488/100-cota_s)^(3/2))*1000)),IF(O488&lt;=cota_s*100+fi_s/20,0,(OFFSET('Base de dados'!$A$4,IF(O488&lt;20,1,IF(O488&gt;1000,10,MATCH(O488,Cargas,1))),Coluna_fis,1,1))*(PI()*(fi_s/1000)^2/4)*(2*9.81*(O488/100-cota_s-fi_s/2/1000))^0.5*1000)))</f>
        <v>0</v>
      </c>
      <c r="R488" s="38">
        <f t="shared" ca="1" si="110"/>
        <v>2.9368895989490631</v>
      </c>
      <c r="S488" s="38">
        <f t="shared" ca="1" si="111"/>
        <v>152.1875</v>
      </c>
      <c r="AD488" s="38"/>
      <c r="AE488" s="38"/>
      <c r="AI488" s="48"/>
    </row>
    <row r="489" spans="1:37" s="36" customFormat="1">
      <c r="A489" s="18"/>
      <c r="B489" s="41"/>
      <c r="C489" s="41"/>
      <c r="D489" s="41"/>
      <c r="E489" s="41"/>
      <c r="F489" s="41"/>
      <c r="G489" s="41"/>
      <c r="H489" s="41"/>
      <c r="I489" s="42"/>
      <c r="J489" s="18"/>
      <c r="K489" s="76"/>
      <c r="M489" s="132">
        <f t="shared" ca="1" si="109"/>
        <v>155.57129469056133</v>
      </c>
      <c r="N489" s="38">
        <f t="shared" si="117"/>
        <v>4.5750000000000002</v>
      </c>
      <c r="O489" s="36">
        <f t="shared" si="118"/>
        <v>122</v>
      </c>
      <c r="P489" s="38">
        <f ca="1">IF(ISERROR(IF(O489&lt;fi_h/20,0,(OFFSET('Base de dados'!$A$5,IF(O489&lt;20,1,IF(O489&gt;1000,10,MATCH(O489,Cargas,1))),Coluna_fih,1,1))*(1+0.13*0.25)*(PI()*(fi_h/1000)^2/4)*SQRT(2*9.81*(O489/100-fi_h/2/1000))*1000)),"",IF(O489&lt;fi_h/20,0,(OFFSET('Base de dados'!$A$5,IF(O489&lt;20,1,IF(O489&gt;1000,10,MATCH(O489,Cargas,1))),Coluna_fih,1,1))*(PI()*(fi_h/1000)^2/4)*SQRT(2*9.81*(O489/100-fi_h/2/1000))*1000))</f>
        <v>2.9399475219353821</v>
      </c>
      <c r="Q489" s="38">
        <f ca="1">IF(O489="","",IF(Tipo_Vertedor="Retangular",IF(O489&lt;=cota_s*100,0,IF(Tipo_Vertedor="Retangular",Cd_sr*Lef_sr*((O489/100-cota_s)^(3/2))*1000)),IF(O489&lt;=cota_s*100+fi_s/20,0,(OFFSET('Base de dados'!$A$4,IF(O489&lt;20,1,IF(O489&gt;1000,10,MATCH(O489,Cargas,1))),Coluna_fis,1,1))*(PI()*(fi_s/1000)^2/4)*(2*9.81*(O489/100-cota_s-fi_s/2/1000))^0.5*1000)))</f>
        <v>0.1313471686259586</v>
      </c>
      <c r="R489" s="38">
        <f t="shared" ca="1" si="110"/>
        <v>3.0712946905613405</v>
      </c>
      <c r="S489" s="38">
        <f t="shared" ca="1" si="111"/>
        <v>152.5</v>
      </c>
      <c r="AD489" s="38"/>
      <c r="AE489" s="38"/>
      <c r="AI489" s="48"/>
    </row>
    <row r="490" spans="1:37" s="36" customFormat="1">
      <c r="A490" s="18"/>
      <c r="B490" s="41"/>
      <c r="C490" s="41"/>
      <c r="D490" s="41"/>
      <c r="E490" s="41"/>
      <c r="F490" s="41"/>
      <c r="G490" s="41"/>
      <c r="H490" s="41"/>
      <c r="I490" s="42"/>
      <c r="J490" s="18"/>
      <c r="K490" s="76"/>
      <c r="M490" s="132">
        <f t="shared" ca="1" si="109"/>
        <v>155.94318016726305</v>
      </c>
      <c r="N490" s="38">
        <f t="shared" si="117"/>
        <v>4.5843749999999996</v>
      </c>
      <c r="O490" s="36">
        <f t="shared" si="118"/>
        <v>122.25</v>
      </c>
      <c r="P490" s="38">
        <f ca="1">IF(ISERROR(IF(O490&lt;fi_h/20,0,(OFFSET('Base de dados'!$A$5,IF(O490&lt;20,1,IF(O490&gt;1000,10,MATCH(O490,Cargas,1))),Coluna_fih,1,1))*(1+0.13*0.25)*(PI()*(fi_h/1000)^2/4)*SQRT(2*9.81*(O490/100-fi_h/2/1000))*1000)),"",IF(O490&lt;fi_h/20,0,(OFFSET('Base de dados'!$A$5,IF(O490&lt;20,1,IF(O490&gt;1000,10,MATCH(O490,Cargas,1))),Coluna_fih,1,1))*(PI()*(fi_h/1000)^2/4)*SQRT(2*9.81*(O490/100-fi_h/2/1000))*1000))</f>
        <v>2.9430022675921954</v>
      </c>
      <c r="Q490" s="38">
        <f ca="1">IF(O490="","",IF(Tipo_Vertedor="Retangular",IF(O490&lt;=cota_s*100,0,IF(Tipo_Vertedor="Retangular",Cd_sr*Lef_sr*((O490/100-cota_s)^(3/2))*1000)),IF(O490&lt;=cota_s*100+fi_s/20,0,(OFFSET('Base de dados'!$A$4,IF(O490&lt;20,1,IF(O490&gt;1000,10,MATCH(O490,Cargas,1))),Coluna_fis,1,1))*(PI()*(fi_s/1000)^2/4)*(2*9.81*(O490/100-cota_s-fi_s/2/1000))^0.5*1000)))</f>
        <v>0.18767789967085582</v>
      </c>
      <c r="R490" s="38">
        <f t="shared" ca="1" si="110"/>
        <v>3.1306801672630513</v>
      </c>
      <c r="S490" s="38">
        <f t="shared" ca="1" si="111"/>
        <v>152.8125</v>
      </c>
      <c r="AD490" s="38"/>
      <c r="AE490" s="38"/>
      <c r="AI490" s="48"/>
    </row>
    <row r="491" spans="1:37" s="36" customFormat="1">
      <c r="A491" s="18"/>
      <c r="B491" s="41"/>
      <c r="C491" s="41"/>
      <c r="D491" s="41"/>
      <c r="E491" s="41"/>
      <c r="F491" s="41"/>
      <c r="G491" s="41"/>
      <c r="H491" s="41"/>
      <c r="I491" s="42"/>
      <c r="J491" s="18"/>
      <c r="K491" s="76"/>
      <c r="M491" s="132">
        <f t="shared" ca="1" si="109"/>
        <v>156.30169189414661</v>
      </c>
      <c r="N491" s="38">
        <f t="shared" si="117"/>
        <v>4.59375</v>
      </c>
      <c r="O491" s="36">
        <f t="shared" si="118"/>
        <v>122.5</v>
      </c>
      <c r="P491" s="38">
        <f ca="1">IF(ISERROR(IF(O491&lt;fi_h/20,0,(OFFSET('Base de dados'!$A$5,IF(O491&lt;20,1,IF(O491&gt;1000,10,MATCH(O491,Cargas,1))),Coluna_fih,1,1))*(1+0.13*0.25)*(PI()*(fi_h/1000)^2/4)*SQRT(2*9.81*(O491/100-fi_h/2/1000))*1000)),"",IF(O491&lt;fi_h/20,0,(OFFSET('Base de dados'!$A$5,IF(O491&lt;20,1,IF(O491&gt;1000,10,MATCH(O491,Cargas,1))),Coluna_fih,1,1))*(PI()*(fi_h/1000)^2/4)*SQRT(2*9.81*(O491/100-fi_h/2/1000))*1000))</f>
        <v>2.9460538458031635</v>
      </c>
      <c r="Q491" s="38">
        <f ca="1">IF(O491="","",IF(Tipo_Vertedor="Retangular",IF(O491&lt;=cota_s*100,0,IF(Tipo_Vertedor="Retangular",Cd_sr*Lef_sr*((O491/100-cota_s)^(3/2))*1000)),IF(O491&lt;=cota_s*100+fi_s/20,0,(OFFSET('Base de dados'!$A$4,IF(O491&lt;20,1,IF(O491&gt;1000,10,MATCH(O491,Cargas,1))),Coluna_fis,1,1))*(PI()*(fi_s/1000)^2/4)*(2*9.81*(O491/100-cota_s-fi_s/2/1000))^0.5*1000)))</f>
        <v>0.23063804834344492</v>
      </c>
      <c r="R491" s="38">
        <f t="shared" ca="1" si="110"/>
        <v>3.1766918941466082</v>
      </c>
      <c r="S491" s="38">
        <f t="shared" ca="1" si="111"/>
        <v>153.125</v>
      </c>
      <c r="AD491" s="38"/>
      <c r="AE491" s="38"/>
      <c r="AI491" s="48"/>
    </row>
    <row r="492" spans="1:37" s="36" customFormat="1">
      <c r="A492" s="18"/>
      <c r="B492" s="41"/>
      <c r="C492" s="41"/>
      <c r="D492" s="41"/>
      <c r="E492" s="41"/>
      <c r="F492" s="41"/>
      <c r="G492" s="41"/>
      <c r="H492" s="41"/>
      <c r="I492" s="42"/>
      <c r="J492" s="18"/>
      <c r="K492" s="76"/>
      <c r="M492" s="132">
        <f t="shared" ca="1" si="109"/>
        <v>156.65336962696517</v>
      </c>
      <c r="N492" s="38">
        <f t="shared" si="117"/>
        <v>4.6031250000000004</v>
      </c>
      <c r="O492" s="36">
        <f t="shared" si="118"/>
        <v>122.75</v>
      </c>
      <c r="P492" s="38">
        <f ca="1">IF(ISERROR(IF(O492&lt;fi_h/20,0,(OFFSET('Base de dados'!$A$5,IF(O492&lt;20,1,IF(O492&gt;1000,10,MATCH(O492,Cargas,1))),Coluna_fih,1,1))*(1+0.13*0.25)*(PI()*(fi_h/1000)^2/4)*SQRT(2*9.81*(O492/100-fi_h/2/1000))*1000)),"",IF(O492&lt;fi_h/20,0,(OFFSET('Base de dados'!$A$5,IF(O492&lt;20,1,IF(O492&gt;1000,10,MATCH(O492,Cargas,1))),Coluna_fih,1,1))*(PI()*(fi_h/1000)^2/4)*SQRT(2*9.81*(O492/100-fi_h/2/1000))*1000))</f>
        <v>2.9491022664008146</v>
      </c>
      <c r="Q492" s="38">
        <f ca="1">IF(O492="","",IF(Tipo_Vertedor="Retangular",IF(O492&lt;=cota_s*100,0,IF(Tipo_Vertedor="Retangular",Cd_sr*Lef_sr*((O492/100-cota_s)^(3/2))*1000)),IF(O492&lt;=cota_s*100+fi_s/20,0,(OFFSET('Base de dados'!$A$4,IF(O492&lt;20,1,IF(O492&gt;1000,10,MATCH(O492,Cargas,1))),Coluna_fis,1,1))*(PI()*(fi_s/1000)^2/4)*(2*9.81*(O492/100-cota_s-fi_s/2/1000))^0.5*1000)))</f>
        <v>0.26676736056437089</v>
      </c>
      <c r="R492" s="38">
        <f t="shared" ca="1" si="110"/>
        <v>3.2158696269651856</v>
      </c>
      <c r="S492" s="38">
        <f t="shared" ca="1" si="111"/>
        <v>153.4375</v>
      </c>
      <c r="AD492" s="38"/>
      <c r="AE492" s="38"/>
      <c r="AI492" s="48"/>
    </row>
    <row r="493" spans="1:37" s="36" customFormat="1">
      <c r="A493" s="18"/>
      <c r="B493" s="41"/>
      <c r="C493" s="41"/>
      <c r="D493" s="41"/>
      <c r="E493" s="41"/>
      <c r="F493" s="41"/>
      <c r="G493" s="41"/>
      <c r="H493" s="41"/>
      <c r="I493" s="42"/>
      <c r="J493" s="18"/>
      <c r="K493" s="76"/>
      <c r="M493" s="132">
        <f t="shared" ca="1" si="109"/>
        <v>157.00070363101781</v>
      </c>
      <c r="N493" s="38">
        <f t="shared" si="117"/>
        <v>4.6124999999999998</v>
      </c>
      <c r="O493" s="36">
        <f t="shared" si="118"/>
        <v>123</v>
      </c>
      <c r="P493" s="38">
        <f ca="1">IF(ISERROR(IF(O493&lt;fi_h/20,0,(OFFSET('Base de dados'!$A$5,IF(O493&lt;20,1,IF(O493&gt;1000,10,MATCH(O493,Cargas,1))),Coluna_fih,1,1))*(1+0.13*0.25)*(PI()*(fi_h/1000)^2/4)*SQRT(2*9.81*(O493/100-fi_h/2/1000))*1000)),"",IF(O493&lt;fi_h/20,0,(OFFSET('Base de dados'!$A$5,IF(O493&lt;20,1,IF(O493&gt;1000,10,MATCH(O493,Cargas,1))),Coluna_fih,1,1))*(PI()*(fi_h/1000)^2/4)*SQRT(2*9.81*(O493/100-fi_h/2/1000))*1000))</f>
        <v>2.9521475391669076</v>
      </c>
      <c r="Q493" s="38">
        <f ca="1">IF(O493="","",IF(Tipo_Vertedor="Retangular",IF(O493&lt;=cota_s*100,0,IF(Tipo_Vertedor="Retangular",Cd_sr*Lef_sr*((O493/100-cota_s)^(3/2))*1000)),IF(O493&lt;=cota_s*100+fi_s/20,0,(OFFSET('Base de dados'!$A$4,IF(O493&lt;20,1,IF(O493&gt;1000,10,MATCH(O493,Cargas,1))),Coluna_fis,1,1))*(PI()*(fi_s/1000)^2/4)*(2*9.81*(O493/100-cota_s-fi_s/2/1000))^0.5*1000)))</f>
        <v>0.29855609185090981</v>
      </c>
      <c r="R493" s="38">
        <f t="shared" ca="1" si="110"/>
        <v>3.2507036310178172</v>
      </c>
      <c r="S493" s="38">
        <f t="shared" ca="1" si="111"/>
        <v>153.75</v>
      </c>
      <c r="AD493" s="38"/>
      <c r="AE493" s="38"/>
      <c r="AI493" s="48"/>
    </row>
    <row r="494" spans="1:37" s="36" customFormat="1">
      <c r="A494" s="18"/>
      <c r="B494" s="41"/>
      <c r="C494" s="41"/>
      <c r="D494" s="41"/>
      <c r="E494" s="41"/>
      <c r="F494" s="41"/>
      <c r="G494" s="41"/>
      <c r="H494" s="41"/>
      <c r="I494" s="42"/>
      <c r="J494" s="18"/>
      <c r="K494" s="76"/>
      <c r="M494" s="132">
        <f t="shared" ca="1" si="109"/>
        <v>157.34496120528655</v>
      </c>
      <c r="N494" s="38">
        <f t="shared" si="117"/>
        <v>4.6218749999999993</v>
      </c>
      <c r="O494" s="36">
        <f t="shared" si="118"/>
        <v>123.25</v>
      </c>
      <c r="P494" s="38">
        <f ca="1">IF(ISERROR(IF(O494&lt;fi_h/20,0,(OFFSET('Base de dados'!$A$5,IF(O494&lt;20,1,IF(O494&gt;1000,10,MATCH(O494,Cargas,1))),Coluna_fih,1,1))*(1+0.13*0.25)*(PI()*(fi_h/1000)^2/4)*SQRT(2*9.81*(O494/100-fi_h/2/1000))*1000)),"",IF(O494&lt;fi_h/20,0,(OFFSET('Base de dados'!$A$5,IF(O494&lt;20,1,IF(O494&gt;1000,10,MATCH(O494,Cargas,1))),Coluna_fih,1,1))*(PI()*(fi_h/1000)^2/4)*SQRT(2*9.81*(O494/100-fi_h/2/1000))*1000))</f>
        <v>2.9551896738328041</v>
      </c>
      <c r="Q494" s="38">
        <f ca="1">IF(O494="","",IF(Tipo_Vertedor="Retangular",IF(O494&lt;=cota_s*100,0,IF(Tipo_Vertedor="Retangular",Cd_sr*Lef_sr*((O494/100-cota_s)^(3/2))*1000)),IF(O494&lt;=cota_s*100+fi_s/20,0,(OFFSET('Base de dados'!$A$4,IF(O494&lt;20,1,IF(O494&gt;1000,10,MATCH(O494,Cargas,1))),Coluna_fis,1,1))*(PI()*(fi_s/1000)^2/4)*(2*9.81*(O494/100-cota_s-fi_s/2/1000))^0.5*1000)))</f>
        <v>0.32727153145377114</v>
      </c>
      <c r="R494" s="38">
        <f t="shared" ca="1" si="110"/>
        <v>3.2824612052865754</v>
      </c>
      <c r="S494" s="38">
        <f t="shared" ca="1" si="111"/>
        <v>154.06249999999997</v>
      </c>
      <c r="AD494" s="38"/>
      <c r="AE494" s="38"/>
      <c r="AI494" s="48"/>
    </row>
    <row r="495" spans="1:37" s="36" customFormat="1">
      <c r="A495" s="18"/>
      <c r="B495" s="41"/>
      <c r="C495" s="41"/>
      <c r="D495" s="41"/>
      <c r="E495" s="41"/>
      <c r="F495" s="41"/>
      <c r="G495" s="41"/>
      <c r="H495" s="41"/>
      <c r="I495" s="42"/>
      <c r="J495" s="18"/>
      <c r="K495" s="76"/>
      <c r="M495" s="132">
        <f t="shared" ca="1" si="109"/>
        <v>157.6868917550805</v>
      </c>
      <c r="N495" s="38">
        <f t="shared" si="117"/>
        <v>4.6312500000000005</v>
      </c>
      <c r="O495" s="36">
        <f t="shared" si="118"/>
        <v>123.5</v>
      </c>
      <c r="P495" s="38">
        <f ca="1">IF(ISERROR(IF(O495&lt;fi_h/20,0,(OFFSET('Base de dados'!$A$5,IF(O495&lt;20,1,IF(O495&gt;1000,10,MATCH(O495,Cargas,1))),Coluna_fih,1,1))*(1+0.13*0.25)*(PI()*(fi_h/1000)^2/4)*SQRT(2*9.81*(O495/100-fi_h/2/1000))*1000)),"",IF(O495&lt;fi_h/20,0,(OFFSET('Base de dados'!$A$5,IF(O495&lt;20,1,IF(O495&gt;1000,10,MATCH(O495,Cargas,1))),Coluna_fih,1,1))*(PI()*(fi_h/1000)^2/4)*SQRT(2*9.81*(O495/100-fi_h/2/1000))*1000))</f>
        <v>2.9582286800798285</v>
      </c>
      <c r="Q495" s="38">
        <f ca="1">IF(O495="","",IF(Tipo_Vertedor="Retangular",IF(O495&lt;=cota_s*100,0,IF(Tipo_Vertedor="Retangular",Cd_sr*Lef_sr*((O495/100-cota_s)^(3/2))*1000)),IF(O495&lt;=cota_s*100+fi_s/20,0,(OFFSET('Base de dados'!$A$4,IF(O495&lt;20,1,IF(O495&gt;1000,10,MATCH(O495,Cargas,1))),Coluna_fis,1,1))*(PI()*(fi_s/1000)^2/4)*(2*9.81*(O495/100-cota_s-fi_s/2/1000))^0.5*1000)))</f>
        <v>0.35366307500063693</v>
      </c>
      <c r="R495" s="38">
        <f t="shared" ca="1" si="110"/>
        <v>3.3118917550804654</v>
      </c>
      <c r="S495" s="38">
        <f t="shared" ca="1" si="111"/>
        <v>154.37500000000003</v>
      </c>
      <c r="AD495" s="38"/>
      <c r="AE495" s="38"/>
      <c r="AI495" s="48"/>
    </row>
    <row r="496" spans="1:37" s="36" customFormat="1">
      <c r="A496" s="18"/>
      <c r="B496" s="41"/>
      <c r="C496" s="41"/>
      <c r="D496" s="41"/>
      <c r="E496" s="41"/>
      <c r="F496" s="41"/>
      <c r="G496" s="41"/>
      <c r="H496" s="41"/>
      <c r="I496" s="42"/>
      <c r="J496" s="18"/>
      <c r="K496" s="76"/>
      <c r="M496" s="132">
        <f t="shared" ca="1" si="109"/>
        <v>158.02698207895034</v>
      </c>
      <c r="N496" s="38">
        <f t="shared" si="117"/>
        <v>4.640625</v>
      </c>
      <c r="O496" s="36">
        <f t="shared" si="118"/>
        <v>123.75</v>
      </c>
      <c r="P496" s="38">
        <f ca="1">IF(ISERROR(IF(O496&lt;fi_h/20,0,(OFFSET('Base de dados'!$A$5,IF(O496&lt;20,1,IF(O496&gt;1000,10,MATCH(O496,Cargas,1))),Coluna_fih,1,1))*(1+0.13*0.25)*(PI()*(fi_h/1000)^2/4)*SQRT(2*9.81*(O496/100-fi_h/2/1000))*1000)),"",IF(O496&lt;fi_h/20,0,(OFFSET('Base de dados'!$A$5,IF(O496&lt;20,1,IF(O496&gt;1000,10,MATCH(O496,Cargas,1))),Coluna_fih,1,1))*(PI()*(fi_h/1000)^2/4)*SQRT(2*9.81*(O496/100-fi_h/2/1000))*1000))</f>
        <v>2.9612645675396267</v>
      </c>
      <c r="Q496" s="38">
        <f ca="1">IF(O496="","",IF(Tipo_Vertedor="Retangular",IF(O496&lt;=cota_s*100,0,IF(Tipo_Vertedor="Retangular",Cd_sr*Lef_sr*((O496/100-cota_s)^(3/2))*1000)),IF(O496&lt;=cota_s*100+fi_s/20,0,(OFFSET('Base de dados'!$A$4,IF(O496&lt;20,1,IF(O496&gt;1000,10,MATCH(O496,Cargas,1))),Coluna_fis,1,1))*(PI()*(fi_s/1000)^2/4)*(2*9.81*(O496/100-cota_s-fi_s/2/1000))^0.5*1000)))</f>
        <v>0.37821751141071452</v>
      </c>
      <c r="R496" s="38">
        <f t="shared" ca="1" si="110"/>
        <v>3.3394820789503412</v>
      </c>
      <c r="S496" s="38">
        <f t="shared" ca="1" si="111"/>
        <v>154.6875</v>
      </c>
      <c r="AD496" s="38"/>
      <c r="AE496" s="38"/>
      <c r="AI496" s="48"/>
    </row>
    <row r="497" spans="1:35" s="36" customFormat="1">
      <c r="A497" s="18"/>
      <c r="B497" s="41"/>
      <c r="C497" s="41"/>
      <c r="D497" s="41"/>
      <c r="E497" s="41"/>
      <c r="F497" s="41"/>
      <c r="G497" s="41"/>
      <c r="H497" s="41"/>
      <c r="I497" s="42"/>
      <c r="J497" s="18"/>
      <c r="K497" s="76"/>
      <c r="M497" s="132">
        <f t="shared" ca="1" si="109"/>
        <v>158.36556957415891</v>
      </c>
      <c r="N497" s="38">
        <f t="shared" si="117"/>
        <v>4.6500000000000004</v>
      </c>
      <c r="O497" s="36">
        <f t="shared" si="118"/>
        <v>124</v>
      </c>
      <c r="P497" s="38">
        <f ca="1">IF(ISERROR(IF(O497&lt;fi_h/20,0,(OFFSET('Base de dados'!$A$5,IF(O497&lt;20,1,IF(O497&gt;1000,10,MATCH(O497,Cargas,1))),Coluna_fih,1,1))*(1+0.13*0.25)*(PI()*(fi_h/1000)^2/4)*SQRT(2*9.81*(O497/100-fi_h/2/1000))*1000)),"",IF(O497&lt;fi_h/20,0,(OFFSET('Base de dados'!$A$5,IF(O497&lt;20,1,IF(O497&gt;1000,10,MATCH(O497,Cargas,1))),Coluna_fih,1,1))*(PI()*(fi_h/1000)^2/4)*SQRT(2*9.81*(O497/100-fi_h/2/1000))*1000))</f>
        <v>2.9642973457945239</v>
      </c>
      <c r="Q497" s="38">
        <f ca="1">IF(O497="","",IF(Tipo_Vertedor="Retangular",IF(O497&lt;=cota_s*100,0,IF(Tipo_Vertedor="Retangular",Cd_sr*Lef_sr*((O497/100-cota_s)^(3/2))*1000)),IF(O497&lt;=cota_s*100+fi_s/20,0,(OFFSET('Base de dados'!$A$4,IF(O497&lt;20,1,IF(O497&gt;1000,10,MATCH(O497,Cargas,1))),Coluna_fis,1,1))*(PI()*(fi_s/1000)^2/4)*(2*9.81*(O497/100-cota_s-fi_s/2/1000))^0.5*1000)))</f>
        <v>0.40127222836438825</v>
      </c>
      <c r="R497" s="38">
        <f t="shared" ca="1" si="110"/>
        <v>3.3655695741589122</v>
      </c>
      <c r="S497" s="38">
        <f t="shared" ca="1" si="111"/>
        <v>155</v>
      </c>
      <c r="AD497" s="38"/>
      <c r="AE497" s="38"/>
      <c r="AI497" s="48"/>
    </row>
    <row r="498" spans="1:35" s="36" customFormat="1">
      <c r="A498" s="18"/>
      <c r="B498" s="41"/>
      <c r="C498" s="41"/>
      <c r="D498" s="41"/>
      <c r="E498" s="41"/>
      <c r="F498" s="41"/>
      <c r="G498" s="41"/>
      <c r="H498" s="41"/>
      <c r="I498" s="42"/>
      <c r="J498" s="18"/>
      <c r="K498" s="76"/>
      <c r="M498" s="132">
        <f t="shared" ca="1" si="109"/>
        <v>158.70289949639104</v>
      </c>
      <c r="N498" s="38">
        <f t="shared" si="117"/>
        <v>4.6593749999999998</v>
      </c>
      <c r="O498" s="36">
        <f t="shared" si="118"/>
        <v>124.25</v>
      </c>
      <c r="P498" s="38">
        <f ca="1">IF(ISERROR(IF(O498&lt;fi_h/20,0,(OFFSET('Base de dados'!$A$5,IF(O498&lt;20,1,IF(O498&gt;1000,10,MATCH(O498,Cargas,1))),Coluna_fih,1,1))*(1+0.13*0.25)*(PI()*(fi_h/1000)^2/4)*SQRT(2*9.81*(O498/100-fi_h/2/1000))*1000)),"",IF(O498&lt;fi_h/20,0,(OFFSET('Base de dados'!$A$5,IF(O498&lt;20,1,IF(O498&gt;1000,10,MATCH(O498,Cargas,1))),Coluna_fih,1,1))*(PI()*(fi_h/1000)^2/4)*SQRT(2*9.81*(O498/100-fi_h/2/1000))*1000))</f>
        <v>2.9673270243778775</v>
      </c>
      <c r="Q498" s="38">
        <f ca="1">IF(O498="","",IF(Tipo_Vertedor="Retangular",IF(O498&lt;=cota_s*100,0,IF(Tipo_Vertedor="Retangular",Cd_sr*Lef_sr*((O498/100-cota_s)^(3/2))*1000)),IF(O498&lt;=cota_s*100+fi_s/20,0,(OFFSET('Base de dados'!$A$4,IF(O498&lt;20,1,IF(O498&gt;1000,10,MATCH(O498,Cargas,1))),Coluna_fis,1,1))*(PI()*(fi_s/1000)^2/4)*(2*9.81*(O498/100-cota_s-fi_s/2/1000))^0.5*1000)))</f>
        <v>0.42307247201316417</v>
      </c>
      <c r="R498" s="38">
        <f t="shared" ca="1" si="110"/>
        <v>3.3903994963910415</v>
      </c>
      <c r="S498" s="38">
        <f t="shared" ca="1" si="111"/>
        <v>155.3125</v>
      </c>
      <c r="AD498" s="38"/>
      <c r="AE498" s="38"/>
      <c r="AI498" s="48"/>
    </row>
    <row r="499" spans="1:35" s="36" customFormat="1">
      <c r="A499" s="18"/>
      <c r="B499" s="41"/>
      <c r="C499" s="41"/>
      <c r="D499" s="41"/>
      <c r="E499" s="41"/>
      <c r="F499" s="41"/>
      <c r="G499" s="41"/>
      <c r="H499" s="41"/>
      <c r="I499" s="42"/>
      <c r="J499" s="18"/>
      <c r="K499" s="76"/>
      <c r="M499" s="132">
        <f t="shared" ca="1" si="109"/>
        <v>159.03915675820508</v>
      </c>
      <c r="N499" s="38">
        <f t="shared" si="117"/>
        <v>4.6687500000000002</v>
      </c>
      <c r="O499" s="36">
        <f t="shared" si="118"/>
        <v>124.5</v>
      </c>
      <c r="P499" s="38">
        <f ca="1">IF(ISERROR(IF(O499&lt;fi_h/20,0,(OFFSET('Base de dados'!$A$5,IF(O499&lt;20,1,IF(O499&gt;1000,10,MATCH(O499,Cargas,1))),Coluna_fih,1,1))*(1+0.13*0.25)*(PI()*(fi_h/1000)^2/4)*SQRT(2*9.81*(O499/100-fi_h/2/1000))*1000)),"",IF(O499&lt;fi_h/20,0,(OFFSET('Base de dados'!$A$5,IF(O499&lt;20,1,IF(O499&gt;1000,10,MATCH(O499,Cargas,1))),Coluna_fih,1,1))*(PI()*(fi_h/1000)^2/4)*SQRT(2*9.81*(O499/100-fi_h/2/1000))*1000))</f>
        <v>2.9703536127744248</v>
      </c>
      <c r="Q499" s="38">
        <f ca="1">IF(O499="","",IF(Tipo_Vertedor="Retangular",IF(O499&lt;=cota_s*100,0,IF(Tipo_Vertedor="Retangular",Cd_sr*Lef_sr*((O499/100-cota_s)^(3/2))*1000)),IF(O499&lt;=cota_s*100+fi_s/20,0,(OFFSET('Base de dados'!$A$4,IF(O499&lt;20,1,IF(O499&gt;1000,10,MATCH(O499,Cargas,1))),Coluna_fis,1,1))*(PI()*(fi_s/1000)^2/4)*(2*9.81*(O499/100-cota_s-fi_s/2/1000))^0.5*1000)))</f>
        <v>0.44380314543065036</v>
      </c>
      <c r="R499" s="38">
        <f t="shared" ca="1" si="110"/>
        <v>3.4141567582050749</v>
      </c>
      <c r="S499" s="38">
        <f t="shared" ca="1" si="111"/>
        <v>155.625</v>
      </c>
      <c r="AD499" s="38"/>
      <c r="AE499" s="38"/>
      <c r="AI499" s="48"/>
    </row>
    <row r="500" spans="1:35" s="36" customFormat="1">
      <c r="A500" s="18"/>
      <c r="B500" s="41"/>
      <c r="C500" s="41"/>
      <c r="D500" s="41"/>
      <c r="E500" s="41"/>
      <c r="F500" s="41"/>
      <c r="G500" s="41"/>
      <c r="H500" s="41"/>
      <c r="I500" s="42"/>
      <c r="J500" s="18"/>
      <c r="K500" s="76"/>
      <c r="M500" s="132">
        <f t="shared" ca="1" si="109"/>
        <v>159.37448487187973</v>
      </c>
      <c r="N500" s="38">
        <f t="shared" si="117"/>
        <v>4.6781250000000005</v>
      </c>
      <c r="O500" s="36">
        <f t="shared" si="118"/>
        <v>124.75</v>
      </c>
      <c r="P500" s="38">
        <f ca="1">IF(ISERROR(IF(O500&lt;fi_h/20,0,(OFFSET('Base de dados'!$A$5,IF(O500&lt;20,1,IF(O500&gt;1000,10,MATCH(O500,Cargas,1))),Coluna_fih,1,1))*(1+0.13*0.25)*(PI()*(fi_h/1000)^2/4)*SQRT(2*9.81*(O500/100-fi_h/2/1000))*1000)),"",IF(O500&lt;fi_h/20,0,(OFFSET('Base de dados'!$A$5,IF(O500&lt;20,1,IF(O500&gt;1000,10,MATCH(O500,Cargas,1))),Coluna_fih,1,1))*(PI()*(fi_h/1000)^2/4)*SQRT(2*9.81*(O500/100-fi_h/2/1000))*1000))</f>
        <v>2.973377120420631</v>
      </c>
      <c r="Q500" s="38">
        <f ca="1">IF(O500="","",IF(Tipo_Vertedor="Retangular",IF(O500&lt;=cota_s*100,0,IF(Tipo_Vertedor="Retangular",Cd_sr*Lef_sr*((O500/100-cota_s)^(3/2))*1000)),IF(O500&lt;=cota_s*100+fi_s/20,0,(OFFSET('Base de dados'!$A$4,IF(O500&lt;20,1,IF(O500&gt;1000,10,MATCH(O500,Cargas,1))),Coluna_fis,1,1))*(PI()*(fi_s/1000)^2/4)*(2*9.81*(O500/100-cota_s-fi_s/2/1000))^0.5*1000)))</f>
        <v>0.46360775145908295</v>
      </c>
      <c r="R500" s="38">
        <f t="shared" ca="1" si="110"/>
        <v>3.436984871879714</v>
      </c>
      <c r="S500" s="38">
        <f t="shared" ca="1" si="111"/>
        <v>155.93750000000003</v>
      </c>
      <c r="AD500" s="38"/>
      <c r="AE500" s="38"/>
      <c r="AI500" s="48"/>
    </row>
    <row r="501" spans="1:35">
      <c r="M501" s="132">
        <f t="shared" ca="1" si="109"/>
        <v>159.70899787014437</v>
      </c>
      <c r="N501" s="38">
        <f t="shared" si="117"/>
        <v>4.6875</v>
      </c>
      <c r="O501" s="36">
        <f t="shared" si="118"/>
        <v>125</v>
      </c>
      <c r="P501" s="38">
        <f ca="1">IF(ISERROR(IF(O501&lt;fi_h/20,0,(OFFSET('Base de dados'!$A$5,IF(O501&lt;20,1,IF(O501&gt;1000,10,MATCH(O501,Cargas,1))),Coluna_fih,1,1))*(1+0.13*0.25)*(PI()*(fi_h/1000)^2/4)*SQRT(2*9.81*(O501/100-fi_h/2/1000))*1000)),"",IF(O501&lt;fi_h/20,0,(OFFSET('Base de dados'!$A$5,IF(O501&lt;20,1,IF(O501&gt;1000,10,MATCH(O501,Cargas,1))),Coluna_fih,1,1))*(PI()*(fi_h/1000)^2/4)*SQRT(2*9.81*(O501/100-fi_h/2/1000))*1000))</f>
        <v>2.9763975567050336</v>
      </c>
      <c r="Q501" s="38">
        <f ca="1">IF(O501="","",IF(Tipo_Vertedor="Retangular",IF(O501&lt;=cota_s*100,0,IF(Tipo_Vertedor="Retangular",Cd_sr*Lef_sr*((O501/100-cota_s)^(3/2))*1000)),IF(O501&lt;=cota_s*100+fi_s/20,0,(OFFSET('Base de dados'!$A$4,IF(O501&lt;20,1,IF(O501&gt;1000,10,MATCH(O501,Cargas,1))),Coluna_fis,1,1))*(PI()*(fi_s/1000)^2/4)*(2*9.81*(O501/100-cota_s-fi_s/2/1000))^0.5*1000)))</f>
        <v>0.48260031343934562</v>
      </c>
      <c r="R501" s="38">
        <f t="shared" ca="1" si="110"/>
        <v>3.4589978701443793</v>
      </c>
      <c r="S501" s="38">
        <f t="shared" ca="1" si="111"/>
        <v>156.25</v>
      </c>
    </row>
    <row r="502" spans="1:35">
      <c r="M502" s="132">
        <f t="shared" ca="1" si="109"/>
        <v>160.04278814631408</v>
      </c>
      <c r="N502" s="38">
        <f t="shared" si="117"/>
        <v>4.6968749999999995</v>
      </c>
      <c r="O502" s="36">
        <f t="shared" si="118"/>
        <v>125.25</v>
      </c>
      <c r="P502" s="38">
        <f ca="1">IF(ISERROR(IF(O502&lt;fi_h/20,0,(OFFSET('Base de dados'!$A$5,IF(O502&lt;20,1,IF(O502&gt;1000,10,MATCH(O502,Cargas,1))),Coluna_fih,1,1))*(1+0.13*0.25)*(PI()*(fi_h/1000)^2/4)*SQRT(2*9.81*(O502/100-fi_h/2/1000))*1000)),"",IF(O502&lt;fi_h/20,0,(OFFSET('Base de dados'!$A$5,IF(O502&lt;20,1,IF(O502&gt;1000,10,MATCH(O502,Cargas,1))),Coluna_fih,1,1))*(PI()*(fi_h/1000)^2/4)*SQRT(2*9.81*(O502/100-fi_h/2/1000))*1000))</f>
        <v>2.9794149309685789</v>
      </c>
      <c r="Q502" s="38">
        <f ca="1">IF(O502="","",IF(Tipo_Vertedor="Retangular",IF(O502&lt;=cota_s*100,0,IF(Tipo_Vertedor="Retangular",Cd_sr*Lef_sr*((O502/100-cota_s)^(3/2))*1000)),IF(O502&lt;=cota_s*100+fi_s/20,0,(OFFSET('Base de dados'!$A$4,IF(O502&lt;20,1,IF(O502&gt;1000,10,MATCH(O502,Cargas,1))),Coluna_fis,1,1))*(PI()*(fi_s/1000)^2/4)*(2*9.81*(O502/100-cota_s-fi_s/2/1000))^0.5*1000)))</f>
        <v>0.50087321534552276</v>
      </c>
      <c r="R502" s="38">
        <f t="shared" ref="R502:R565" ca="1" si="122">IF(O502="","",Q502+P502)</f>
        <v>3.4802881463141015</v>
      </c>
      <c r="S502" s="38">
        <f t="shared" ca="1" si="111"/>
        <v>156.56249999999997</v>
      </c>
    </row>
    <row r="503" spans="1:35">
      <c r="M503" s="132">
        <f t="shared" ca="1" si="109"/>
        <v>160.3759318013602</v>
      </c>
      <c r="N503" s="38">
        <f t="shared" si="117"/>
        <v>4.7062499999999998</v>
      </c>
      <c r="O503" s="36">
        <f t="shared" si="118"/>
        <v>125.5</v>
      </c>
      <c r="P503" s="38">
        <f ca="1">IF(ISERROR(IF(O503&lt;fi_h/20,0,(OFFSET('Base de dados'!$A$5,IF(O503&lt;20,1,IF(O503&gt;1000,10,MATCH(O503,Cargas,1))),Coluna_fih,1,1))*(1+0.13*0.25)*(PI()*(fi_h/1000)^2/4)*SQRT(2*9.81*(O503/100-fi_h/2/1000))*1000)),"",IF(O503&lt;fi_h/20,0,(OFFSET('Base de dados'!$A$5,IF(O503&lt;20,1,IF(O503&gt;1000,10,MATCH(O503,Cargas,1))),Coluna_fih,1,1))*(PI()*(fi_h/1000)^2/4)*SQRT(2*9.81*(O503/100-fi_h/2/1000))*1000))</f>
        <v>2.982429252504962</v>
      </c>
      <c r="Q503" s="38">
        <f ca="1">IF(O503="","",IF(Tipo_Vertedor="Retangular",IF(O503&lt;=cota_s*100,0,IF(Tipo_Vertedor="Retangular",Cd_sr*Lef_sr*((O503/100-cota_s)^(3/2))*1000)),IF(O503&lt;=cota_s*100+fi_s/20,0,(OFFSET('Base de dados'!$A$4,IF(O503&lt;20,1,IF(O503&gt;1000,10,MATCH(O503,Cargas,1))),Coluna_fis,1,1))*(PI()*(fi_s/1000)^2/4)*(2*9.81*(O503/100-cota_s-fi_s/2/1000))^0.5*1000)))</f>
        <v>0.51850254885523017</v>
      </c>
      <c r="R503" s="38">
        <f t="shared" ca="1" si="122"/>
        <v>3.500931801360192</v>
      </c>
      <c r="S503" s="38">
        <f t="shared" ca="1" si="111"/>
        <v>156.875</v>
      </c>
    </row>
    <row r="504" spans="1:35">
      <c r="M504" s="132">
        <f t="shared" ca="1" si="109"/>
        <v>160.70849240338765</v>
      </c>
      <c r="N504" s="38">
        <f t="shared" si="117"/>
        <v>4.7156250000000002</v>
      </c>
      <c r="O504" s="36">
        <f t="shared" si="118"/>
        <v>125.75</v>
      </c>
      <c r="P504" s="38">
        <f ca="1">IF(ISERROR(IF(O504&lt;fi_h/20,0,(OFFSET('Base de dados'!$A$5,IF(O504&lt;20,1,IF(O504&gt;1000,10,MATCH(O504,Cargas,1))),Coluna_fih,1,1))*(1+0.13*0.25)*(PI()*(fi_h/1000)^2/4)*SQRT(2*9.81*(O504/100-fi_h/2/1000))*1000)),"",IF(O504&lt;fi_h/20,0,(OFFSET('Base de dados'!$A$5,IF(O504&lt;20,1,IF(O504&gt;1000,10,MATCH(O504,Cargas,1))),Coluna_fih,1,1))*(PI()*(fi_h/1000)^2/4)*SQRT(2*9.81*(O504/100-fi_h/2/1000))*1000))</f>
        <v>2.9854405305609619</v>
      </c>
      <c r="Q504" s="38">
        <f ca="1">IF(O504="","",IF(Tipo_Vertedor="Retangular",IF(O504&lt;=cota_s*100,0,IF(Tipo_Vertedor="Retangular",Cd_sr*Lef_sr*((O504/100-cota_s)^(3/2))*1000)),IF(O504&lt;=cota_s*100+fi_s/20,0,(OFFSET('Base de dados'!$A$4,IF(O504&lt;20,1,IF(O504&gt;1000,10,MATCH(O504,Cargas,1))),Coluna_fis,1,1))*(PI()*(fi_s/1000)^2/4)*(2*9.81*(O504/100-cota_s-fi_s/2/1000))^0.5*1000)))</f>
        <v>0.53555187282669425</v>
      </c>
      <c r="R504" s="38">
        <f t="shared" ca="1" si="122"/>
        <v>3.5209924033876563</v>
      </c>
      <c r="S504" s="38">
        <f t="shared" ca="1" si="111"/>
        <v>157.1875</v>
      </c>
    </row>
    <row r="505" spans="1:35">
      <c r="M505" s="132">
        <f t="shared" ca="1" si="109"/>
        <v>161.04052370023632</v>
      </c>
      <c r="N505" s="38">
        <f t="shared" si="117"/>
        <v>4.7249999999999996</v>
      </c>
      <c r="O505" s="36">
        <f t="shared" si="118"/>
        <v>126</v>
      </c>
      <c r="P505" s="38">
        <f ca="1">IF(ISERROR(IF(O505&lt;fi_h/20,0,(OFFSET('Base de dados'!$A$5,IF(O505&lt;20,1,IF(O505&gt;1000,10,MATCH(O505,Cargas,1))),Coluna_fih,1,1))*(1+0.13*0.25)*(PI()*(fi_h/1000)^2/4)*SQRT(2*9.81*(O505/100-fi_h/2/1000))*1000)),"",IF(O505&lt;fi_h/20,0,(OFFSET('Base de dados'!$A$5,IF(O505&lt;20,1,IF(O505&gt;1000,10,MATCH(O505,Cargas,1))),Coluna_fih,1,1))*(PI()*(fi_h/1000)^2/4)*SQRT(2*9.81*(O505/100-fi_h/2/1000))*1000))</f>
        <v>2.9884487743367671</v>
      </c>
      <c r="Q505" s="38">
        <f ca="1">IF(O505="","",IF(Tipo_Vertedor="Retangular",IF(O505&lt;=cota_s*100,0,IF(Tipo_Vertedor="Retangular",Cd_sr*Lef_sr*((O505/100-cota_s)^(3/2))*1000)),IF(O505&lt;=cota_s*100+fi_s/20,0,(OFFSET('Base de dados'!$A$4,IF(O505&lt;20,1,IF(O505&gt;1000,10,MATCH(O505,Cargas,1))),Coluna_fis,1,1))*(PI()*(fi_s/1000)^2/4)*(2*9.81*(O505/100-cota_s-fi_s/2/1000))^0.5*1000)))</f>
        <v>0.55207492589954443</v>
      </c>
      <c r="R505" s="38">
        <f t="shared" ca="1" si="122"/>
        <v>3.5405237002363115</v>
      </c>
      <c r="S505" s="38">
        <f t="shared" ca="1" si="111"/>
        <v>157.5</v>
      </c>
    </row>
    <row r="506" spans="1:35">
      <c r="M506" s="132">
        <f t="shared" ca="1" si="109"/>
        <v>161.37207162088197</v>
      </c>
      <c r="N506" s="38">
        <f t="shared" si="117"/>
        <v>4.734375</v>
      </c>
      <c r="O506" s="36">
        <f t="shared" si="118"/>
        <v>126.25</v>
      </c>
      <c r="P506" s="38">
        <f ca="1">IF(ISERROR(IF(O506&lt;fi_h/20,0,(OFFSET('Base de dados'!$A$5,IF(O506&lt;20,1,IF(O506&gt;1000,10,MATCH(O506,Cargas,1))),Coluna_fih,1,1))*(1+0.13*0.25)*(PI()*(fi_h/1000)^2/4)*SQRT(2*9.81*(O506/100-fi_h/2/1000))*1000)),"",IF(O506&lt;fi_h/20,0,(OFFSET('Base de dados'!$A$5,IF(O506&lt;20,1,IF(O506&gt;1000,10,MATCH(O506,Cargas,1))),Coluna_fih,1,1))*(PI()*(fi_h/1000)^2/4)*SQRT(2*9.81*(O506/100-fi_h/2/1000))*1000))</f>
        <v>2.9914539929863095</v>
      </c>
      <c r="Q506" s="38">
        <f ca="1">IF(O506="","",IF(Tipo_Vertedor="Retangular",IF(O506&lt;=cota_s*100,0,IF(Tipo_Vertedor="Retangular",Cd_sr*Lef_sr*((O506/100-cota_s)^(3/2))*1000)),IF(O506&lt;=cota_s*100+fi_s/20,0,(OFFSET('Base de dados'!$A$4,IF(O506&lt;20,1,IF(O506&gt;1000,10,MATCH(O506,Cargas,1))),Coluna_fis,1,1))*(PI()*(fi_s/1000)^2/4)*(2*9.81*(O506/100-cota_s-fi_s/2/1000))^0.5*1000)))</f>
        <v>0.56811762789566334</v>
      </c>
      <c r="R506" s="38">
        <f t="shared" ca="1" si="122"/>
        <v>3.559571620881973</v>
      </c>
      <c r="S506" s="38">
        <f t="shared" ca="1" si="111"/>
        <v>157.8125</v>
      </c>
    </row>
    <row r="507" spans="1:35">
      <c r="M507" s="132">
        <f t="shared" ca="1" si="109"/>
        <v>161.70317578107327</v>
      </c>
      <c r="N507" s="38">
        <f t="shared" si="117"/>
        <v>4.7437499999999995</v>
      </c>
      <c r="O507" s="36">
        <f t="shared" si="118"/>
        <v>126.5</v>
      </c>
      <c r="P507" s="38">
        <f ca="1">IF(ISERROR(IF(O507&lt;fi_h/20,0,(OFFSET('Base de dados'!$A$5,IF(O507&lt;20,1,IF(O507&gt;1000,10,MATCH(O507,Cargas,1))),Coluna_fih,1,1))*(1+0.13*0.25)*(PI()*(fi_h/1000)^2/4)*SQRT(2*9.81*(O507/100-fi_h/2/1000))*1000)),"",IF(O507&lt;fi_h/20,0,(OFFSET('Base de dados'!$A$5,IF(O507&lt;20,1,IF(O507&gt;1000,10,MATCH(O507,Cargas,1))),Coluna_fih,1,1))*(PI()*(fi_h/1000)^2/4)*SQRT(2*9.81*(O507/100-fi_h/2/1000))*1000))</f>
        <v>2.9944561956175852</v>
      </c>
      <c r="Q507" s="38">
        <f ca="1">IF(O507="","",IF(Tipo_Vertedor="Retangular",IF(O507&lt;=cota_s*100,0,IF(Tipo_Vertedor="Retangular",Cd_sr*Lef_sr*((O507/100-cota_s)^(3/2))*1000)),IF(O507&lt;=cota_s*100+fi_s/20,0,(OFFSET('Base de dados'!$A$4,IF(O507&lt;20,1,IF(O507&gt;1000,10,MATCH(O507,Cargas,1))),Coluna_fis,1,1))*(PI()*(fi_s/1000)^2/4)*(2*9.81*(O507/100-cota_s-fi_s/2/1000))^0.5*1000)))</f>
        <v>0.58371958545572478</v>
      </c>
      <c r="R507" s="38">
        <f t="shared" ca="1" si="122"/>
        <v>3.5781757810733099</v>
      </c>
      <c r="S507" s="38">
        <f t="shared" ca="1" si="111"/>
        <v>158.12499999999997</v>
      </c>
    </row>
    <row r="508" spans="1:35">
      <c r="M508" s="132">
        <f t="shared" ca="1" si="109"/>
        <v>162.03387063551662</v>
      </c>
      <c r="N508" s="38">
        <f t="shared" si="117"/>
        <v>4.7531250000000007</v>
      </c>
      <c r="O508" s="36">
        <f t="shared" si="118"/>
        <v>126.75</v>
      </c>
      <c r="P508" s="38">
        <f ca="1">IF(ISERROR(IF(O508&lt;fi_h/20,0,(OFFSET('Base de dados'!$A$5,IF(O508&lt;20,1,IF(O508&gt;1000,10,MATCH(O508,Cargas,1))),Coluna_fih,1,1))*(1+0.13*0.25)*(PI()*(fi_h/1000)^2/4)*SQRT(2*9.81*(O508/100-fi_h/2/1000))*1000)),"",IF(O508&lt;fi_h/20,0,(OFFSET('Base de dados'!$A$5,IF(O508&lt;20,1,IF(O508&gt;1000,10,MATCH(O508,Cargas,1))),Coluna_fih,1,1))*(PI()*(fi_h/1000)^2/4)*SQRT(2*9.81*(O508/100-fi_h/2/1000))*1000))</f>
        <v>2.9974553912929798</v>
      </c>
      <c r="Q508" s="38">
        <f ca="1">IF(O508="","",IF(Tipo_Vertedor="Retangular",IF(O508&lt;=cota_s*100,0,IF(Tipo_Vertedor="Retangular",Cd_sr*Lef_sr*((O508/100-cota_s)^(3/2))*1000)),IF(O508&lt;=cota_s*100+fi_s/20,0,(OFFSET('Base de dados'!$A$4,IF(O508&lt;20,1,IF(O508&gt;1000,10,MATCH(O508,Cargas,1))),Coluna_fis,1,1))*(PI()*(fi_s/1000)^2/4)*(2*9.81*(O508/100-cota_s-fi_s/2/1000))^0.5*1000)))</f>
        <v>0.59891524422359843</v>
      </c>
      <c r="R508" s="38">
        <f t="shared" ca="1" si="122"/>
        <v>3.5963706355165783</v>
      </c>
      <c r="S508" s="38">
        <f t="shared" ca="1" si="111"/>
        <v>158.43750000000003</v>
      </c>
    </row>
    <row r="509" spans="1:35">
      <c r="M509" s="132">
        <f t="shared" ca="1" si="109"/>
        <v>162.36418637302199</v>
      </c>
      <c r="N509" s="38">
        <f t="shared" si="117"/>
        <v>4.7625000000000002</v>
      </c>
      <c r="O509" s="36">
        <f t="shared" si="118"/>
        <v>127</v>
      </c>
      <c r="P509" s="38">
        <f ca="1">IF(ISERROR(IF(O509&lt;fi_h/20,0,(OFFSET('Base de dados'!$A$5,IF(O509&lt;20,1,IF(O509&gt;1000,10,MATCH(O509,Cargas,1))),Coluna_fih,1,1))*(1+0.13*0.25)*(PI()*(fi_h/1000)^2/4)*SQRT(2*9.81*(O509/100-fi_h/2/1000))*1000)),"",IF(O509&lt;fi_h/20,0,(OFFSET('Base de dados'!$A$5,IF(O509&lt;20,1,IF(O509&gt;1000,10,MATCH(O509,Cargas,1))),Coluna_fih,1,1))*(PI()*(fi_h/1000)^2/4)*SQRT(2*9.81*(O509/100-fi_h/2/1000))*1000))</f>
        <v>3.0004515890295851</v>
      </c>
      <c r="Q509" s="38">
        <f ca="1">IF(O509="","",IF(Tipo_Vertedor="Retangular",IF(O509&lt;=cota_s*100,0,IF(Tipo_Vertedor="Retangular",Cd_sr*Lef_sr*((O509/100-cota_s)^(3/2))*1000)),IF(O509&lt;=cota_s*100+fi_s/20,0,(OFFSET('Base de dados'!$A$4,IF(O509&lt;20,1,IF(O509&gt;1000,10,MATCH(O509,Cargas,1))),Coluna_fis,1,1))*(PI()*(fi_s/1000)^2/4)*(2*9.81*(O509/100-cota_s-fi_s/2/1000))^0.5*1000)))</f>
        <v>0.61373478399241843</v>
      </c>
      <c r="R509" s="38">
        <f t="shared" ca="1" si="122"/>
        <v>3.6141863730220036</v>
      </c>
      <c r="S509" s="38">
        <f t="shared" ca="1" si="111"/>
        <v>158.75</v>
      </c>
    </row>
    <row r="510" spans="1:35">
      <c r="M510" s="132">
        <f t="shared" ca="1" si="109"/>
        <v>162.69414962140488</v>
      </c>
      <c r="N510" s="38">
        <f t="shared" si="117"/>
        <v>4.7718749999999996</v>
      </c>
      <c r="O510" s="36">
        <f t="shared" si="118"/>
        <v>127.25</v>
      </c>
      <c r="P510" s="38">
        <f ca="1">IF(ISERROR(IF(O510&lt;fi_h/20,0,(OFFSET('Base de dados'!$A$5,IF(O510&lt;20,1,IF(O510&gt;1000,10,MATCH(O510,Cargas,1))),Coluna_fih,1,1))*(1+0.13*0.25)*(PI()*(fi_h/1000)^2/4)*SQRT(2*9.81*(O510/100-fi_h/2/1000))*1000)),"",IF(O510&lt;fi_h/20,0,(OFFSET('Base de dados'!$A$5,IF(O510&lt;20,1,IF(O510&gt;1000,10,MATCH(O510,Cargas,1))),Coluna_fih,1,1))*(PI()*(fi_h/1000)^2/4)*SQRT(2*9.81*(O510/100-fi_h/2/1000))*1000))</f>
        <v>3.0034447977995145</v>
      </c>
      <c r="Q510" s="38">
        <f ca="1">IF(O510="","",IF(Tipo_Vertedor="Retangular",IF(O510&lt;=cota_s*100,0,IF(Tipo_Vertedor="Retangular",Cd_sr*Lef_sr*((O510/100-cota_s)^(3/2))*1000)),IF(O510&lt;=cota_s*100+fi_s/20,0,(OFFSET('Base de dados'!$A$4,IF(O510&lt;20,1,IF(O510&gt;1000,10,MATCH(O510,Cargas,1))),Coluna_fis,1,1))*(PI()*(fi_s/1000)^2/4)*(2*9.81*(O510/100-cota_s-fi_s/2/1000))^0.5*1000)))</f>
        <v>0.62820482360534957</v>
      </c>
      <c r="R510" s="38">
        <f t="shared" ca="1" si="122"/>
        <v>3.6316496214048639</v>
      </c>
      <c r="S510" s="38">
        <f t="shared" ca="1" si="111"/>
        <v>159.0625</v>
      </c>
    </row>
    <row r="511" spans="1:35">
      <c r="M511" s="132">
        <f t="shared" ca="1" si="109"/>
        <v>163.02378400934239</v>
      </c>
      <c r="N511" s="38">
        <f t="shared" si="117"/>
        <v>4.78125</v>
      </c>
      <c r="O511" s="36">
        <f t="shared" si="118"/>
        <v>127.5</v>
      </c>
      <c r="P511" s="38">
        <f ca="1">IF(ISERROR(IF(O511&lt;fi_h/20,0,(OFFSET('Base de dados'!$A$5,IF(O511&lt;20,1,IF(O511&gt;1000,10,MATCH(O511,Cargas,1))),Coluna_fih,1,1))*(1+0.13*0.25)*(PI()*(fi_h/1000)^2/4)*SQRT(2*9.81*(O511/100-fi_h/2/1000))*1000)),"",IF(O511&lt;fi_h/20,0,(OFFSET('Base de dados'!$A$5,IF(O511&lt;20,1,IF(O511&gt;1000,10,MATCH(O511,Cargas,1))),Coluna_fih,1,1))*(PI()*(fi_h/1000)^2/4)*SQRT(2*9.81*(O511/100-fi_h/2/1000))*1000))</f>
        <v>3.0064350265302222</v>
      </c>
      <c r="Q511" s="38">
        <f ca="1">IF(O511="","",IF(Tipo_Vertedor="Retangular",IF(O511&lt;=cota_s*100,0,IF(Tipo_Vertedor="Retangular",Cd_sr*Lef_sr*((O511/100-cota_s)^(3/2))*1000)),IF(O511&lt;=cota_s*100+fi_s/20,0,(OFFSET('Base de dados'!$A$4,IF(O511&lt;20,1,IF(O511&gt;1000,10,MATCH(O511,Cargas,1))),Coluna_fis,1,1))*(PI()*(fi_s/1000)^2/4)*(2*9.81*(O511/100-cota_s-fi_s/2/1000))^0.5*1000)))</f>
        <v>0.64234898281217523</v>
      </c>
      <c r="R511" s="38">
        <f t="shared" ca="1" si="122"/>
        <v>3.6487840093423975</v>
      </c>
      <c r="S511" s="38">
        <f t="shared" ca="1" si="111"/>
        <v>159.375</v>
      </c>
    </row>
    <row r="512" spans="1:35">
      <c r="M512" s="132">
        <f t="shared" ca="1" si="109"/>
        <v>163.35311061914183</v>
      </c>
      <c r="N512" s="38">
        <f t="shared" si="117"/>
        <v>4.7906250000000004</v>
      </c>
      <c r="O512" s="36">
        <f t="shared" si="118"/>
        <v>127.75</v>
      </c>
      <c r="P512" s="38">
        <f ca="1">IF(ISERROR(IF(O512&lt;fi_h/20,0,(OFFSET('Base de dados'!$A$5,IF(O512&lt;20,1,IF(O512&gt;1000,10,MATCH(O512,Cargas,1))),Coluna_fih,1,1))*(1+0.13*0.25)*(PI()*(fi_h/1000)^2/4)*SQRT(2*9.81*(O512/100-fi_h/2/1000))*1000)),"",IF(O512&lt;fi_h/20,0,(OFFSET('Base de dados'!$A$5,IF(O512&lt;20,1,IF(O512&gt;1000,10,MATCH(O512,Cargas,1))),Coluna_fih,1,1))*(PI()*(fi_h/1000)^2/4)*SQRT(2*9.81*(O512/100-fi_h/2/1000))*1000))</f>
        <v>3.0094222841048053</v>
      </c>
      <c r="Q512" s="38">
        <f ca="1">IF(O512="","",IF(Tipo_Vertedor="Retangular",IF(O512&lt;=cota_s*100,0,IF(Tipo_Vertedor="Retangular",Cd_sr*Lef_sr*((O512/100-cota_s)^(3/2))*1000)),IF(O512&lt;=cota_s*100+fi_s/20,0,(OFFSET('Base de dados'!$A$4,IF(O512&lt;20,1,IF(O512&gt;1000,10,MATCH(O512,Cargas,1))),Coluna_fis,1,1))*(PI()*(fi_s/1000)^2/4)*(2*9.81*(O512/100-cota_s-fi_s/2/1000))^0.5*1000)))</f>
        <v>0.65618833503701168</v>
      </c>
      <c r="R512" s="38">
        <f t="shared" ca="1" si="122"/>
        <v>3.665610619141817</v>
      </c>
      <c r="S512" s="38">
        <f t="shared" ca="1" si="111"/>
        <v>159.6875</v>
      </c>
    </row>
    <row r="513" spans="13:19">
      <c r="M513" s="132">
        <f t="shared" ca="1" si="109"/>
        <v>163.68214835524125</v>
      </c>
      <c r="N513" s="38">
        <f t="shared" si="117"/>
        <v>4.8</v>
      </c>
      <c r="O513" s="36">
        <f t="shared" si="118"/>
        <v>128</v>
      </c>
      <c r="P513" s="38">
        <f ca="1">IF(ISERROR(IF(O513&lt;fi_h/20,0,(OFFSET('Base de dados'!$A$5,IF(O513&lt;20,1,IF(O513&gt;1000,10,MATCH(O513,Cargas,1))),Coluna_fih,1,1))*(1+0.13*0.25)*(PI()*(fi_h/1000)^2/4)*SQRT(2*9.81*(O513/100-fi_h/2/1000))*1000)),"",IF(O513&lt;fi_h/20,0,(OFFSET('Base de dados'!$A$5,IF(O513&lt;20,1,IF(O513&gt;1000,10,MATCH(O513,Cargas,1))),Coluna_fih,1,1))*(PI()*(fi_h/1000)^2/4)*SQRT(2*9.81*(O513/100-fi_h/2/1000))*1000))</f>
        <v>3.0124065793623194</v>
      </c>
      <c r="Q513" s="38">
        <f ca="1">IF(O513="","",IF(Tipo_Vertedor="Retangular",IF(O513&lt;=cota_s*100,0,IF(Tipo_Vertedor="Retangular",Cd_sr*Lef_sr*((O513/100-cota_s)^(3/2))*1000)),IF(O513&lt;=cota_s*100+fi_s/20,0,(OFFSET('Base de dados'!$A$4,IF(O513&lt;20,1,IF(O513&gt;1000,10,MATCH(O513,Cargas,1))),Coluna_fis,1,1))*(PI()*(fi_s/1000)^2/4)*(2*9.81*(O513/100-cota_s-fi_s/2/1000))^0.5*1000)))</f>
        <v>0.66974177587892292</v>
      </c>
      <c r="R513" s="38">
        <f t="shared" ca="1" si="122"/>
        <v>3.6821483552412424</v>
      </c>
      <c r="S513" s="38">
        <f t="shared" ca="1" si="111"/>
        <v>160</v>
      </c>
    </row>
    <row r="514" spans="13:19">
      <c r="M514" s="132">
        <f t="shared" ca="1" si="109"/>
        <v>164.01091424685447</v>
      </c>
      <c r="N514" s="38">
        <f t="shared" si="117"/>
        <v>4.8093750000000002</v>
      </c>
      <c r="O514" s="36">
        <f t="shared" si="118"/>
        <v>128.25</v>
      </c>
      <c r="P514" s="38">
        <f ca="1">IF(ISERROR(IF(O514&lt;fi_h/20,0,(OFFSET('Base de dados'!$A$5,IF(O514&lt;20,1,IF(O514&gt;1000,10,MATCH(O514,Cargas,1))),Coluna_fih,1,1))*(1+0.13*0.25)*(PI()*(fi_h/1000)^2/4)*SQRT(2*9.81*(O514/100-fi_h/2/1000))*1000)),"",IF(O514&lt;fi_h/20,0,(OFFSET('Base de dados'!$A$5,IF(O514&lt;20,1,IF(O514&gt;1000,10,MATCH(O514,Cargas,1))),Coluna_fih,1,1))*(PI()*(fi_h/1000)^2/4)*SQRT(2*9.81*(O514/100-fi_h/2/1000))*1000))</f>
        <v>3.0153879210980801</v>
      </c>
      <c r="Q514" s="38">
        <f ca="1">IF(O514="","",IF(Tipo_Vertedor="Retangular",IF(O514&lt;=cota_s*100,0,IF(Tipo_Vertedor="Retangular",Cd_sr*Lef_sr*((O514/100-cota_s)^(3/2))*1000)),IF(O514&lt;=cota_s*100+fi_s/20,0,(OFFSET('Base de dados'!$A$4,IF(O514&lt;20,1,IF(O514&gt;1000,10,MATCH(O514,Cargas,1))),Coluna_fis,1,1))*(PI()*(fi_s/1000)^2/4)*(2*9.81*(O514/100-cota_s-fi_s/2/1000))^0.5*1000)))</f>
        <v>0.68302632575638056</v>
      </c>
      <c r="R514" s="38">
        <f t="shared" ca="1" si="122"/>
        <v>3.6984142468544605</v>
      </c>
      <c r="S514" s="38">
        <f t="shared" ca="1" si="111"/>
        <v>160.3125</v>
      </c>
    </row>
    <row r="515" spans="13:19">
      <c r="M515" s="132">
        <f t="shared" ca="1" si="109"/>
        <v>164.33942369859739</v>
      </c>
      <c r="N515" s="38">
        <f t="shared" si="117"/>
        <v>4.8187499999999996</v>
      </c>
      <c r="O515" s="36">
        <f t="shared" si="118"/>
        <v>128.5</v>
      </c>
      <c r="P515" s="38">
        <f ca="1">IF(ISERROR(IF(O515&lt;fi_h/20,0,(OFFSET('Base de dados'!$A$5,IF(O515&lt;20,1,IF(O515&gt;1000,10,MATCH(O515,Cargas,1))),Coluna_fih,1,1))*(1+0.13*0.25)*(PI()*(fi_h/1000)^2/4)*SQRT(2*9.81*(O515/100-fi_h/2/1000))*1000)),"",IF(O515&lt;fi_h/20,0,(OFFSET('Base de dados'!$A$5,IF(O515&lt;20,1,IF(O515&gt;1000,10,MATCH(O515,Cargas,1))),Coluna_fih,1,1))*(PI()*(fi_h/1000)^2/4)*SQRT(2*9.81*(O515/100-fi_h/2/1000))*1000))</f>
        <v>3.0183663180639635</v>
      </c>
      <c r="Q515" s="38">
        <f ca="1">IF(O515="","",IF(Tipo_Vertedor="Retangular",IF(O515&lt;=cota_s*100,0,IF(Tipo_Vertedor="Retangular",Cd_sr*Lef_sr*((O515/100-cota_s)^(3/2))*1000)),IF(O515&lt;=cota_s*100+fi_s/20,0,(OFFSET('Base de dados'!$A$4,IF(O515&lt;20,1,IF(O515&gt;1000,10,MATCH(O515,Cargas,1))),Coluna_fis,1,1))*(PI()*(fi_s/1000)^2/4)*(2*9.81*(O515/100-cota_s-fi_s/2/1000))^0.5*1000)))</f>
        <v>0.69605738053343635</v>
      </c>
      <c r="R515" s="38">
        <f t="shared" ca="1" si="122"/>
        <v>3.7144236985974</v>
      </c>
      <c r="S515" s="38">
        <f t="shared" ca="1" si="111"/>
        <v>160.625</v>
      </c>
    </row>
    <row r="516" spans="13:19">
      <c r="M516" s="132">
        <f t="shared" ca="1" si="109"/>
        <v>164.66769069962379</v>
      </c>
      <c r="N516" s="38">
        <f t="shared" si="117"/>
        <v>4.828125</v>
      </c>
      <c r="O516" s="36">
        <f t="shared" si="118"/>
        <v>128.75</v>
      </c>
      <c r="P516" s="38">
        <f ca="1">IF(ISERROR(IF(O516&lt;fi_h/20,0,(OFFSET('Base de dados'!$A$5,IF(O516&lt;20,1,IF(O516&gt;1000,10,MATCH(O516,Cargas,1))),Coluna_fih,1,1))*(1+0.13*0.25)*(PI()*(fi_h/1000)^2/4)*SQRT(2*9.81*(O516/100-fi_h/2/1000))*1000)),"",IF(O516&lt;fi_h/20,0,(OFFSET('Base de dados'!$A$5,IF(O516&lt;20,1,IF(O516&gt;1000,10,MATCH(O516,Cargas,1))),Coluna_fih,1,1))*(PI()*(fi_h/1000)^2/4)*SQRT(2*9.81*(O516/100-fi_h/2/1000))*1000))</f>
        <v>3.0213417789687114</v>
      </c>
      <c r="Q516" s="38">
        <f ca="1">IF(O516="","",IF(Tipo_Vertedor="Retangular",IF(O516&lt;=cota_s*100,0,IF(Tipo_Vertedor="Retangular",Cd_sr*Lef_sr*((O516/100-cota_s)^(3/2))*1000)),IF(O516&lt;=cota_s*100+fi_s/20,0,(OFFSET('Base de dados'!$A$4,IF(O516&lt;20,1,IF(O516&gt;1000,10,MATCH(O516,Cargas,1))),Coluna_fis,1,1))*(PI()*(fi_s/1000)^2/4)*(2*9.81*(O516/100-cota_s-fi_s/2/1000))^0.5*1000)))</f>
        <v>0.70884892065508465</v>
      </c>
      <c r="R516" s="38">
        <f t="shared" ca="1" si="122"/>
        <v>3.7301906996237961</v>
      </c>
      <c r="S516" s="38">
        <f t="shared" ca="1" si="111"/>
        <v>160.9375</v>
      </c>
    </row>
    <row r="517" spans="13:19">
      <c r="M517" s="132">
        <f t="shared" ref="M517:M580" ca="1" si="123">IF(O517="","",2*N517*1000/(Passo*60)+R517)</f>
        <v>164.99572799936854</v>
      </c>
      <c r="N517" s="38">
        <f t="shared" si="117"/>
        <v>4.8375000000000004</v>
      </c>
      <c r="O517" s="36">
        <f t="shared" si="118"/>
        <v>129</v>
      </c>
      <c r="P517" s="38">
        <f ca="1">IF(ISERROR(IF(O517&lt;fi_h/20,0,(OFFSET('Base de dados'!$A$5,IF(O517&lt;20,1,IF(O517&gt;1000,10,MATCH(O517,Cargas,1))),Coluna_fih,1,1))*(1+0.13*0.25)*(PI()*(fi_h/1000)^2/4)*SQRT(2*9.81*(O517/100-fi_h/2/1000))*1000)),"",IF(O517&lt;fi_h/20,0,(OFFSET('Base de dados'!$A$5,IF(O517&lt;20,1,IF(O517&gt;1000,10,MATCH(O517,Cargas,1))),Coluna_fih,1,1))*(PI()*(fi_h/1000)^2/4)*SQRT(2*9.81*(O517/100-fi_h/2/1000))*1000))</f>
        <v>3.0243143124782228</v>
      </c>
      <c r="Q517" s="38">
        <f ca="1">IF(O517="","",IF(Tipo_Vertedor="Retangular",IF(O517&lt;=cota_s*100,0,IF(Tipo_Vertedor="Retangular",Cd_sr*Lef_sr*((O517/100-cota_s)^(3/2))*1000)),IF(O517&lt;=cota_s*100+fi_s/20,0,(OFFSET('Base de dados'!$A$4,IF(O517&lt;20,1,IF(O517&gt;1000,10,MATCH(O517,Cargas,1))),Coluna_fis,1,1))*(PI()*(fi_s/1000)^2/4)*(2*9.81*(O517/100-cota_s-fi_s/2/1000))^0.5*1000)))</f>
        <v>0.72141368689032104</v>
      </c>
      <c r="R517" s="38">
        <f t="shared" ca="1" si="122"/>
        <v>3.7457279993685439</v>
      </c>
      <c r="S517" s="38">
        <f t="shared" ref="S517:S580" ca="1" si="124">IF(M517="","",2*N517*1000/(Passo*60))</f>
        <v>161.25</v>
      </c>
    </row>
    <row r="518" spans="13:19">
      <c r="M518" s="132">
        <f t="shared" ca="1" si="123"/>
        <v>165.32354725619291</v>
      </c>
      <c r="N518" s="38">
        <f t="shared" ref="N518:N581" si="125">IF(O518="","",b_0*(O518/100)^c_0)</f>
        <v>4.8468749999999998</v>
      </c>
      <c r="O518" s="36">
        <f t="shared" ref="O518:O581" si="126">IF(ISERROR(IF(O517+passo_altura&gt;h_max_puls*100,"",O517+passo_altura)),"",IF(O517+passo_altura&gt;h_max_puls*100,"",O517+passo_altura))</f>
        <v>129.25</v>
      </c>
      <c r="P518" s="38">
        <f ca="1">IF(ISERROR(IF(O518&lt;fi_h/20,0,(OFFSET('Base de dados'!$A$5,IF(O518&lt;20,1,IF(O518&gt;1000,10,MATCH(O518,Cargas,1))),Coluna_fih,1,1))*(1+0.13*0.25)*(PI()*(fi_h/1000)^2/4)*SQRT(2*9.81*(O518/100-fi_h/2/1000))*1000)),"",IF(O518&lt;fi_h/20,0,(OFFSET('Base de dados'!$A$5,IF(O518&lt;20,1,IF(O518&gt;1000,10,MATCH(O518,Cargas,1))),Coluna_fih,1,1))*(PI()*(fi_h/1000)^2/4)*SQRT(2*9.81*(O518/100-fi_h/2/1000))*1000))</f>
        <v>3.0272839272158518</v>
      </c>
      <c r="Q518" s="38">
        <f ca="1">IF(O518="","",IF(Tipo_Vertedor="Retangular",IF(O518&lt;=cota_s*100,0,IF(Tipo_Vertedor="Retangular",Cd_sr*Lef_sr*((O518/100-cota_s)^(3/2))*1000)),IF(O518&lt;=cota_s*100+fi_s/20,0,(OFFSET('Base de dados'!$A$4,IF(O518&lt;20,1,IF(O518&gt;1000,10,MATCH(O518,Cargas,1))),Coluna_fis,1,1))*(PI()*(fi_s/1000)^2/4)*(2*9.81*(O518/100-cota_s-fi_s/2/1000))^0.5*1000)))</f>
        <v>0.73376332897705787</v>
      </c>
      <c r="R518" s="38">
        <f t="shared" ca="1" si="122"/>
        <v>3.7610472561929096</v>
      </c>
      <c r="S518" s="38">
        <f t="shared" ca="1" si="124"/>
        <v>161.5625</v>
      </c>
    </row>
    <row r="519" spans="13:19">
      <c r="M519" s="132">
        <f t="shared" ca="1" si="123"/>
        <v>165.65115916386986</v>
      </c>
      <c r="N519" s="38">
        <f t="shared" si="125"/>
        <v>4.8562499999999993</v>
      </c>
      <c r="O519" s="36">
        <f t="shared" si="126"/>
        <v>129.5</v>
      </c>
      <c r="P519" s="38">
        <f ca="1">IF(ISERROR(IF(O519&lt;fi_h/20,0,(OFFSET('Base de dados'!$A$5,IF(O519&lt;20,1,IF(O519&gt;1000,10,MATCH(O519,Cargas,1))),Coluna_fih,1,1))*(1+0.13*0.25)*(PI()*(fi_h/1000)^2/4)*SQRT(2*9.81*(O519/100-fi_h/2/1000))*1000)),"",IF(O519&lt;fi_h/20,0,(OFFSET('Base de dados'!$A$5,IF(O519&lt;20,1,IF(O519&gt;1000,10,MATCH(O519,Cargas,1))),Coluna_fih,1,1))*(PI()*(fi_h/1000)^2/4)*SQRT(2*9.81*(O519/100-fi_h/2/1000))*1000))</f>
        <v>3.0302506317627</v>
      </c>
      <c r="Q519" s="38">
        <f ca="1">IF(O519="","",IF(Tipo_Vertedor="Retangular",IF(O519&lt;=cota_s*100,0,IF(Tipo_Vertedor="Retangular",Cd_sr*Lef_sr*((O519/100-cota_s)^(3/2))*1000)),IF(O519&lt;=cota_s*100+fi_s/20,0,(OFFSET('Base de dados'!$A$4,IF(O519&lt;20,1,IF(O519&gt;1000,10,MATCH(O519,Cargas,1))),Coluna_fis,1,1))*(PI()*(fi_s/1000)^2/4)*(2*9.81*(O519/100-cota_s-fi_s/2/1000))^0.5*1000)))</f>
        <v>0.74590853210718933</v>
      </c>
      <c r="R519" s="38">
        <f t="shared" ca="1" si="122"/>
        <v>3.7761591638698895</v>
      </c>
      <c r="S519" s="38">
        <f t="shared" ca="1" si="124"/>
        <v>161.87499999999997</v>
      </c>
    </row>
    <row r="520" spans="13:19">
      <c r="M520" s="132">
        <f t="shared" ca="1" si="123"/>
        <v>165.97857355981847</v>
      </c>
      <c r="N520" s="38">
        <f t="shared" si="125"/>
        <v>4.8656250000000005</v>
      </c>
      <c r="O520" s="36">
        <f t="shared" si="126"/>
        <v>129.75</v>
      </c>
      <c r="P520" s="38">
        <f ca="1">IF(ISERROR(IF(O520&lt;fi_h/20,0,(OFFSET('Base de dados'!$A$5,IF(O520&lt;20,1,IF(O520&gt;1000,10,MATCH(O520,Cargas,1))),Coluna_fih,1,1))*(1+0.13*0.25)*(PI()*(fi_h/1000)^2/4)*SQRT(2*9.81*(O520/100-fi_h/2/1000))*1000)),"",IF(O520&lt;fi_h/20,0,(OFFSET('Base de dados'!$A$5,IF(O520&lt;20,1,IF(O520&gt;1000,10,MATCH(O520,Cargas,1))),Coluna_fih,1,1))*(PI()*(fi_h/1000)^2/4)*SQRT(2*9.81*(O520/100-fi_h/2/1000))*1000))</f>
        <v>3.0332144346579009</v>
      </c>
      <c r="Q520" s="38">
        <f ca="1">IF(O520="","",IF(Tipo_Vertedor="Retangular",IF(O520&lt;=cota_s*100,0,IF(Tipo_Vertedor="Retangular",Cd_sr*Lef_sr*((O520/100-cota_s)^(3/2))*1000)),IF(O520&lt;=cota_s*100+fi_s/20,0,(OFFSET('Base de dados'!$A$4,IF(O520&lt;20,1,IF(O520&gt;1000,10,MATCH(O520,Cargas,1))),Coluna_fis,1,1))*(PI()*(fi_s/1000)^2/4)*(2*9.81*(O520/100-cota_s-fi_s/2/1000))^0.5*1000)))</f>
        <v>0.7578591251605481</v>
      </c>
      <c r="R520" s="38">
        <f t="shared" ca="1" si="122"/>
        <v>3.7910735598184488</v>
      </c>
      <c r="S520" s="38">
        <f t="shared" ca="1" si="124"/>
        <v>162.18750000000003</v>
      </c>
    </row>
    <row r="521" spans="13:19">
      <c r="M521" s="132">
        <f t="shared" ca="1" si="123"/>
        <v>166.30579951820579</v>
      </c>
      <c r="N521" s="38">
        <f t="shared" si="125"/>
        <v>4.875</v>
      </c>
      <c r="O521" s="36">
        <f t="shared" si="126"/>
        <v>130</v>
      </c>
      <c r="P521" s="38">
        <f ca="1">IF(ISERROR(IF(O521&lt;fi_h/20,0,(OFFSET('Base de dados'!$A$5,IF(O521&lt;20,1,IF(O521&gt;1000,10,MATCH(O521,Cargas,1))),Coluna_fih,1,1))*(1+0.13*0.25)*(PI()*(fi_h/1000)^2/4)*SQRT(2*9.81*(O521/100-fi_h/2/1000))*1000)),"",IF(O521&lt;fi_h/20,0,(OFFSET('Base de dados'!$A$5,IF(O521&lt;20,1,IF(O521&gt;1000,10,MATCH(O521,Cargas,1))),Coluna_fih,1,1))*(PI()*(fi_h/1000)^2/4)*SQRT(2*9.81*(O521/100-fi_h/2/1000))*1000))</f>
        <v>3.036175344398913</v>
      </c>
      <c r="Q521" s="38">
        <f ca="1">IF(O521="","",IF(Tipo_Vertedor="Retangular",IF(O521&lt;=cota_s*100,0,IF(Tipo_Vertedor="Retangular",Cd_sr*Lef_sr*((O521/100-cota_s)^(3/2))*1000)),IF(O521&lt;=cota_s*100+fi_s/20,0,(OFFSET('Base de dados'!$A$4,IF(O521&lt;20,1,IF(O521&gt;1000,10,MATCH(O521,Cargas,1))),Coluna_fis,1,1))*(PI()*(fi_s/1000)^2/4)*(2*9.81*(O521/100-cota_s-fi_s/2/1000))^0.5*1000)))</f>
        <v>0.76962417380687775</v>
      </c>
      <c r="R521" s="38">
        <f t="shared" ca="1" si="122"/>
        <v>3.8057995182057907</v>
      </c>
      <c r="S521" s="38">
        <f t="shared" ca="1" si="124"/>
        <v>162.5</v>
      </c>
    </row>
    <row r="522" spans="13:19">
      <c r="M522" s="132">
        <f t="shared" ca="1" si="123"/>
        <v>166.6328454304257</v>
      </c>
      <c r="N522" s="38">
        <f t="shared" si="125"/>
        <v>4.8843750000000004</v>
      </c>
      <c r="O522" s="36">
        <f t="shared" si="126"/>
        <v>130.25</v>
      </c>
      <c r="P522" s="38">
        <f ca="1">IF(ISERROR(IF(O522&lt;fi_h/20,0,(OFFSET('Base de dados'!$A$5,IF(O522&lt;20,1,IF(O522&gt;1000,10,MATCH(O522,Cargas,1))),Coluna_fih,1,1))*(1+0.13*0.25)*(PI()*(fi_h/1000)^2/4)*SQRT(2*9.81*(O522/100-fi_h/2/1000))*1000)),"",IF(O522&lt;fi_h/20,0,(OFFSET('Base de dados'!$A$5,IF(O522&lt;20,1,IF(O522&gt;1000,10,MATCH(O522,Cargas,1))),Coluna_fih,1,1))*(PI()*(fi_h/1000)^2/4)*SQRT(2*9.81*(O522/100-fi_h/2/1000))*1000))</f>
        <v>3.0391333694417999</v>
      </c>
      <c r="Q522" s="38">
        <f ca="1">IF(O522="","",IF(Tipo_Vertedor="Retangular",IF(O522&lt;=cota_s*100,0,IF(Tipo_Vertedor="Retangular",Cd_sr*Lef_sr*((O522/100-cota_s)^(3/2))*1000)),IF(O522&lt;=cota_s*100+fi_s/20,0,(OFFSET('Base de dados'!$A$4,IF(O522&lt;20,1,IF(O522&gt;1000,10,MATCH(O522,Cargas,1))),Coluna_fis,1,1))*(PI()*(fi_s/1000)^2/4)*(2*9.81*(O522/100-cota_s-fi_s/2/1000))^0.5*1000)))</f>
        <v>0.78121206098390916</v>
      </c>
      <c r="R522" s="38">
        <f t="shared" ca="1" si="122"/>
        <v>3.820345430425709</v>
      </c>
      <c r="S522" s="38">
        <f t="shared" ca="1" si="124"/>
        <v>162.8125</v>
      </c>
    </row>
    <row r="523" spans="13:19">
      <c r="M523" s="132">
        <f t="shared" ca="1" si="123"/>
        <v>166.95971907498415</v>
      </c>
      <c r="N523" s="38">
        <f t="shared" si="125"/>
        <v>4.8937499999999998</v>
      </c>
      <c r="O523" s="36">
        <f t="shared" si="126"/>
        <v>130.5</v>
      </c>
      <c r="P523" s="38">
        <f ca="1">IF(ISERROR(IF(O523&lt;fi_h/20,0,(OFFSET('Base de dados'!$A$5,IF(O523&lt;20,1,IF(O523&gt;1000,10,MATCH(O523,Cargas,1))),Coluna_fih,1,1))*(1+0.13*0.25)*(PI()*(fi_h/1000)^2/4)*SQRT(2*9.81*(O523/100-fi_h/2/1000))*1000)),"",IF(O523&lt;fi_h/20,0,(OFFSET('Base de dados'!$A$5,IF(O523&lt;20,1,IF(O523&gt;1000,10,MATCH(O523,Cargas,1))),Coluna_fih,1,1))*(PI()*(fi_h/1000)^2/4)*SQRT(2*9.81*(O523/100-fi_h/2/1000))*1000))</f>
        <v>3.0420885182015125</v>
      </c>
      <c r="Q523" s="38">
        <f ca="1">IF(O523="","",IF(Tipo_Vertedor="Retangular",IF(O523&lt;=cota_s*100,0,IF(Tipo_Vertedor="Retangular",Cd_sr*Lef_sr*((O523/100-cota_s)^(3/2))*1000)),IF(O523&lt;=cota_s*100+fi_s/20,0,(OFFSET('Base de dados'!$A$4,IF(O523&lt;20,1,IF(O523&gt;1000,10,MATCH(O523,Cargas,1))),Coluna_fis,1,1))*(PI()*(fi_s/1000)^2/4)*(2*9.81*(O523/100-cota_s-fi_s/2/1000))^0.5*1000)))</f>
        <v>0.7926305567826254</v>
      </c>
      <c r="R523" s="38">
        <f t="shared" ca="1" si="122"/>
        <v>3.8347190749841378</v>
      </c>
      <c r="S523" s="38">
        <f t="shared" ca="1" si="124"/>
        <v>163.125</v>
      </c>
    </row>
    <row r="524" spans="13:19">
      <c r="M524" s="132">
        <f t="shared" ca="1" si="123"/>
        <v>167.28642767844775</v>
      </c>
      <c r="N524" s="38">
        <f t="shared" si="125"/>
        <v>4.9031250000000002</v>
      </c>
      <c r="O524" s="36">
        <f t="shared" si="126"/>
        <v>130.75</v>
      </c>
      <c r="P524" s="38">
        <f ca="1">IF(ISERROR(IF(O524&lt;fi_h/20,0,(OFFSET('Base de dados'!$A$5,IF(O524&lt;20,1,IF(O524&gt;1000,10,MATCH(O524,Cargas,1))),Coluna_fih,1,1))*(1+0.13*0.25)*(PI()*(fi_h/1000)^2/4)*SQRT(2*9.81*(O524/100-fi_h/2/1000))*1000)),"",IF(O524&lt;fi_h/20,0,(OFFSET('Base de dados'!$A$5,IF(O524&lt;20,1,IF(O524&gt;1000,10,MATCH(O524,Cargas,1))),Coluna_fih,1,1))*(PI()*(fi_h/1000)^2/4)*SQRT(2*9.81*(O524/100-fi_h/2/1000))*1000))</f>
        <v>3.0450407990521713</v>
      </c>
      <c r="Q524" s="38">
        <f ca="1">IF(O524="","",IF(Tipo_Vertedor="Retangular",IF(O524&lt;=cota_s*100,0,IF(Tipo_Vertedor="Retangular",Cd_sr*Lef_sr*((O524/100-cota_s)^(3/2))*1000)),IF(O524&lt;=cota_s*100+fi_s/20,0,(OFFSET('Base de dados'!$A$4,IF(O524&lt;20,1,IF(O524&gt;1000,10,MATCH(O524,Cargas,1))),Coluna_fis,1,1))*(PI()*(fi_s/1000)^2/4)*(2*9.81*(O524/100-cota_s-fi_s/2/1000))^0.5*1000)))</f>
        <v>0.80388687939556769</v>
      </c>
      <c r="R524" s="38">
        <f t="shared" ca="1" si="122"/>
        <v>3.8489276784477391</v>
      </c>
      <c r="S524" s="38">
        <f t="shared" ca="1" si="124"/>
        <v>163.4375</v>
      </c>
    </row>
    <row r="525" spans="13:19">
      <c r="M525" s="132">
        <f t="shared" ca="1" si="123"/>
        <v>167.61297796881391</v>
      </c>
      <c r="N525" s="38">
        <f t="shared" si="125"/>
        <v>4.9125000000000005</v>
      </c>
      <c r="O525" s="36">
        <f t="shared" si="126"/>
        <v>131</v>
      </c>
      <c r="P525" s="38">
        <f ca="1">IF(ISERROR(IF(O525&lt;fi_h/20,0,(OFFSET('Base de dados'!$A$5,IF(O525&lt;20,1,IF(O525&gt;1000,10,MATCH(O525,Cargas,1))),Coluna_fih,1,1))*(1+0.13*0.25)*(PI()*(fi_h/1000)^2/4)*SQRT(2*9.81*(O525/100-fi_h/2/1000))*1000)),"",IF(O525&lt;fi_h/20,0,(OFFSET('Base de dados'!$A$5,IF(O525&lt;20,1,IF(O525&gt;1000,10,MATCH(O525,Cargas,1))),Coluna_fih,1,1))*(PI()*(fi_h/1000)^2/4)*SQRT(2*9.81*(O525/100-fi_h/2/1000))*1000))</f>
        <v>3.0479902203273377</v>
      </c>
      <c r="Q525" s="38">
        <f ca="1">IF(O525="","",IF(Tipo_Vertedor="Retangular",IF(O525&lt;=cota_s*100,0,IF(Tipo_Vertedor="Retangular",Cd_sr*Lef_sr*((O525/100-cota_s)^(3/2))*1000)),IF(O525&lt;=cota_s*100+fi_s/20,0,(OFFSET('Base de dados'!$A$4,IF(O525&lt;20,1,IF(O525&gt;1000,10,MATCH(O525,Cargas,1))),Coluna_fis,1,1))*(PI()*(fi_s/1000)^2/4)*(2*9.81*(O525/100-cota_s-fi_s/2/1000))^0.5*1000)))</f>
        <v>0.81498774848653521</v>
      </c>
      <c r="R525" s="38">
        <f t="shared" ca="1" si="122"/>
        <v>3.862977968813873</v>
      </c>
      <c r="S525" s="38">
        <f t="shared" ca="1" si="124"/>
        <v>163.75000000000003</v>
      </c>
    </row>
    <row r="526" spans="13:19">
      <c r="M526" s="132">
        <f t="shared" ca="1" si="123"/>
        <v>167.93937622242288</v>
      </c>
      <c r="N526" s="38">
        <f t="shared" si="125"/>
        <v>4.921875</v>
      </c>
      <c r="O526" s="36">
        <f t="shared" si="126"/>
        <v>131.25</v>
      </c>
      <c r="P526" s="38">
        <f ca="1">IF(ISERROR(IF(O526&lt;fi_h/20,0,(OFFSET('Base de dados'!$A$5,IF(O526&lt;20,1,IF(O526&gt;1000,10,MATCH(O526,Cargas,1))),Coluna_fih,1,1))*(1+0.13*0.25)*(PI()*(fi_h/1000)^2/4)*SQRT(2*9.81*(O526/100-fi_h/2/1000))*1000)),"",IF(O526&lt;fi_h/20,0,(OFFSET('Base de dados'!$A$5,IF(O526&lt;20,1,IF(O526&gt;1000,10,MATCH(O526,Cargas,1))),Coluna_fih,1,1))*(PI()*(fi_h/1000)^2/4)*SQRT(2*9.81*(O526/100-fi_h/2/1000))*1000))</f>
        <v>3.0509367903202942</v>
      </c>
      <c r="Q526" s="38">
        <f ca="1">IF(O526="","",IF(Tipo_Vertedor="Retangular",IF(O526&lt;=cota_s*100,0,IF(Tipo_Vertedor="Retangular",Cd_sr*Lef_sr*((O526/100-cota_s)^(3/2))*1000)),IF(O526&lt;=cota_s*100+fi_s/20,0,(OFFSET('Base de dados'!$A$4,IF(O526&lt;20,1,IF(O526&gt;1000,10,MATCH(O526,Cargas,1))),Coluna_fis,1,1))*(PI()*(fi_s/1000)^2/4)*(2*9.81*(O526/100-cota_s-fi_s/2/1000))^0.5*1000)))</f>
        <v>0.82593943210259668</v>
      </c>
      <c r="R526" s="38">
        <f t="shared" ca="1" si="122"/>
        <v>3.876876222422891</v>
      </c>
      <c r="S526" s="38">
        <f t="shared" ca="1" si="124"/>
        <v>164.0625</v>
      </c>
    </row>
    <row r="527" spans="13:19">
      <c r="M527" s="132">
        <f t="shared" ca="1" si="123"/>
        <v>168.26562830534277</v>
      </c>
      <c r="N527" s="38">
        <f t="shared" si="125"/>
        <v>4.9312499999999995</v>
      </c>
      <c r="O527" s="36">
        <f t="shared" si="126"/>
        <v>131.5</v>
      </c>
      <c r="P527" s="38">
        <f ca="1">IF(ISERROR(IF(O527&lt;fi_h/20,0,(OFFSET('Base de dados'!$A$5,IF(O527&lt;20,1,IF(O527&gt;1000,10,MATCH(O527,Cargas,1))),Coluna_fih,1,1))*(1+0.13*0.25)*(PI()*(fi_h/1000)^2/4)*SQRT(2*9.81*(O527/100-fi_h/2/1000))*1000)),"",IF(O527&lt;fi_h/20,0,(OFFSET('Base de dados'!$A$5,IF(O527&lt;20,1,IF(O527&gt;1000,10,MATCH(O527,Cargas,1))),Coluna_fih,1,1))*(PI()*(fi_h/1000)^2/4)*SQRT(2*9.81*(O527/100-fi_h/2/1000))*1000))</f>
        <v>3.0538805172843131</v>
      </c>
      <c r="Q527" s="38">
        <f ca="1">IF(O527="","",IF(Tipo_Vertedor="Retangular",IF(O527&lt;=cota_s*100,0,IF(Tipo_Vertedor="Retangular",Cd_sr*Lef_sr*((O527/100-cota_s)^(3/2))*1000)),IF(O527&lt;=cota_s*100+fi_s/20,0,(OFFSET('Base de dados'!$A$4,IF(O527&lt;20,1,IF(O527&gt;1000,10,MATCH(O527,Cargas,1))),Coluna_fis,1,1))*(PI()*(fi_s/1000)^2/4)*(2*9.81*(O527/100-cota_s-fi_s/2/1000))^0.5*1000)))</f>
        <v>0.83674778805848526</v>
      </c>
      <c r="R527" s="38">
        <f t="shared" ca="1" si="122"/>
        <v>3.8906283053427986</v>
      </c>
      <c r="S527" s="38">
        <f t="shared" ca="1" si="124"/>
        <v>164.37499999999997</v>
      </c>
    </row>
    <row r="528" spans="13:19">
      <c r="M528" s="132">
        <f t="shared" ca="1" si="123"/>
        <v>168.59173971000212</v>
      </c>
      <c r="N528" s="38">
        <f t="shared" si="125"/>
        <v>4.9406249999999998</v>
      </c>
      <c r="O528" s="36">
        <f t="shared" si="126"/>
        <v>131.75</v>
      </c>
      <c r="P528" s="38">
        <f ca="1">IF(ISERROR(IF(O528&lt;fi_h/20,0,(OFFSET('Base de dados'!$A$5,IF(O528&lt;20,1,IF(O528&gt;1000,10,MATCH(O528,Cargas,1))),Coluna_fih,1,1))*(1+0.13*0.25)*(PI()*(fi_h/1000)^2/4)*SQRT(2*9.81*(O528/100-fi_h/2/1000))*1000)),"",IF(O528&lt;fi_h/20,0,(OFFSET('Base de dados'!$A$5,IF(O528&lt;20,1,IF(O528&gt;1000,10,MATCH(O528,Cargas,1))),Coluna_fih,1,1))*(PI()*(fi_h/1000)^2/4)*SQRT(2*9.81*(O528/100-fi_h/2/1000))*1000))</f>
        <v>3.0568214094329287</v>
      </c>
      <c r="Q528" s="38">
        <f ca="1">IF(O528="","",IF(Tipo_Vertedor="Retangular",IF(O528&lt;=cota_s*100,0,IF(Tipo_Vertedor="Retangular",Cd_sr*Lef_sr*((O528/100-cota_s)^(3/2))*1000)),IF(O528&lt;=cota_s*100+fi_s/20,0,(OFFSET('Base de dados'!$A$4,IF(O528&lt;20,1,IF(O528&gt;1000,10,MATCH(O528,Cargas,1))),Coluna_fis,1,1))*(PI()*(fi_s/1000)^2/4)*(2*9.81*(O528/100-cota_s-fi_s/2/1000))^0.5*1000)))</f>
        <v>0.84741830056919076</v>
      </c>
      <c r="R528" s="38">
        <f t="shared" ca="1" si="122"/>
        <v>3.9042397100021193</v>
      </c>
      <c r="S528" s="38">
        <f t="shared" ca="1" si="124"/>
        <v>164.6875</v>
      </c>
    </row>
    <row r="529" spans="13:19">
      <c r="M529" s="132">
        <f t="shared" ca="1" si="123"/>
        <v>168.91771558772126</v>
      </c>
      <c r="N529" s="38">
        <f t="shared" si="125"/>
        <v>4.95</v>
      </c>
      <c r="O529" s="36">
        <f t="shared" si="126"/>
        <v>132</v>
      </c>
      <c r="P529" s="38">
        <f ca="1">IF(ISERROR(IF(O529&lt;fi_h/20,0,(OFFSET('Base de dados'!$A$5,IF(O529&lt;20,1,IF(O529&gt;1000,10,MATCH(O529,Cargas,1))),Coluna_fih,1,1))*(1+0.13*0.25)*(PI()*(fi_h/1000)^2/4)*SQRT(2*9.81*(O529/100-fi_h/2/1000))*1000)),"",IF(O529&lt;fi_h/20,0,(OFFSET('Base de dados'!$A$5,IF(O529&lt;20,1,IF(O529&gt;1000,10,MATCH(O529,Cargas,1))),Coluna_fih,1,1))*(PI()*(fi_h/1000)^2/4)*SQRT(2*9.81*(O529/100-fi_h/2/1000))*1000))</f>
        <v>3.0597594749401993</v>
      </c>
      <c r="Q529" s="38">
        <f ca="1">IF(O529="","",IF(Tipo_Vertedor="Retangular",IF(O529&lt;=cota_s*100,0,IF(Tipo_Vertedor="Retangular",Cd_sr*Lef_sr*((O529/100-cota_s)^(3/2))*1000)),IF(O529&lt;=cota_s*100+fi_s/20,0,(OFFSET('Base de dados'!$A$4,IF(O529&lt;20,1,IF(O529&gt;1000,10,MATCH(O529,Cargas,1))),Coluna_fis,1,1))*(PI()*(fi_s/1000)^2/4)*(2*9.81*(O529/100-cota_s-fi_s/2/1000))^0.5*1000)))</f>
        <v>0.85795611278105877</v>
      </c>
      <c r="R529" s="38">
        <f t="shared" ca="1" si="122"/>
        <v>3.9177155877212582</v>
      </c>
      <c r="S529" s="38">
        <f t="shared" ca="1" si="124"/>
        <v>165</v>
      </c>
    </row>
    <row r="530" spans="13:19">
      <c r="M530" s="132">
        <f t="shared" ca="1" si="123"/>
        <v>169.24356077769005</v>
      </c>
      <c r="N530" s="38">
        <f t="shared" si="125"/>
        <v>4.9593749999999996</v>
      </c>
      <c r="O530" s="36">
        <f t="shared" si="126"/>
        <v>132.25</v>
      </c>
      <c r="P530" s="38">
        <f ca="1">IF(ISERROR(IF(O530&lt;fi_h/20,0,(OFFSET('Base de dados'!$A$5,IF(O530&lt;20,1,IF(O530&gt;1000,10,MATCH(O530,Cargas,1))),Coluna_fih,1,1))*(1+0.13*0.25)*(PI()*(fi_h/1000)^2/4)*SQRT(2*9.81*(O530/100-fi_h/2/1000))*1000)),"",IF(O530&lt;fi_h/20,0,(OFFSET('Base de dados'!$A$5,IF(O530&lt;20,1,IF(O530&gt;1000,10,MATCH(O530,Cargas,1))),Coluna_fih,1,1))*(PI()*(fi_h/1000)^2/4)*SQRT(2*9.81*(O530/100-fi_h/2/1000))*1000))</f>
        <v>3.0626947219409786</v>
      </c>
      <c r="Q530" s="38">
        <f ca="1">IF(O530="","",IF(Tipo_Vertedor="Retangular",IF(O530&lt;=cota_s*100,0,IF(Tipo_Vertedor="Retangular",Cd_sr*Lef_sr*((O530/100-cota_s)^(3/2))*1000)),IF(O530&lt;=cota_s*100+fi_s/20,0,(OFFSET('Base de dados'!$A$4,IF(O530&lt;20,1,IF(O530&gt;1000,10,MATCH(O530,Cargas,1))),Coluna_fis,1,1))*(PI()*(fi_s/1000)^2/4)*(2*9.81*(O530/100-cota_s-fi_s/2/1000))^0.5*1000)))</f>
        <v>0.86836605574906744</v>
      </c>
      <c r="R530" s="38">
        <f t="shared" ca="1" si="122"/>
        <v>3.9310607776900461</v>
      </c>
      <c r="S530" s="38">
        <f t="shared" ca="1" si="124"/>
        <v>165.3125</v>
      </c>
    </row>
    <row r="531" spans="13:19">
      <c r="M531" s="132">
        <f t="shared" ca="1" si="123"/>
        <v>169.56927983285476</v>
      </c>
      <c r="N531" s="38">
        <f t="shared" si="125"/>
        <v>4.96875</v>
      </c>
      <c r="O531" s="36">
        <f t="shared" si="126"/>
        <v>132.5</v>
      </c>
      <c r="P531" s="38">
        <f ca="1">IF(ISERROR(IF(O531&lt;fi_h/20,0,(OFFSET('Base de dados'!$A$5,IF(O531&lt;20,1,IF(O531&gt;1000,10,MATCH(O531,Cargas,1))),Coluna_fih,1,1))*(1+0.13*0.25)*(PI()*(fi_h/1000)^2/4)*SQRT(2*9.81*(O531/100-fi_h/2/1000))*1000)),"",IF(O531&lt;fi_h/20,0,(OFFSET('Base de dados'!$A$5,IF(O531&lt;20,1,IF(O531&gt;1000,10,MATCH(O531,Cargas,1))),Coluna_fih,1,1))*(PI()*(fi_h/1000)^2/4)*SQRT(2*9.81*(O531/100-fi_h/2/1000))*1000))</f>
        <v>3.0656271585311767</v>
      </c>
      <c r="Q531" s="38">
        <f ca="1">IF(O531="","",IF(Tipo_Vertedor="Retangular",IF(O531&lt;=cota_s*100,0,IF(Tipo_Vertedor="Retangular",Cd_sr*Lef_sr*((O531/100-cota_s)^(3/2))*1000)),IF(O531&lt;=cota_s*100+fi_s/20,0,(OFFSET('Base de dados'!$A$4,IF(O531&lt;20,1,IF(O531&gt;1000,10,MATCH(O531,Cargas,1))),Coluna_fis,1,1))*(PI()*(fi_s/1000)^2/4)*(2*9.81*(O531/100-cota_s-fi_s/2/1000))^0.5*1000)))</f>
        <v>0.87865267432359218</v>
      </c>
      <c r="R531" s="38">
        <f t="shared" ca="1" si="122"/>
        <v>3.944279832854769</v>
      </c>
      <c r="S531" s="38">
        <f t="shared" ca="1" si="124"/>
        <v>165.625</v>
      </c>
    </row>
    <row r="532" spans="13:19">
      <c r="M532" s="132">
        <f t="shared" ca="1" si="123"/>
        <v>169.89487704310818</v>
      </c>
      <c r="N532" s="38">
        <f t="shared" si="125"/>
        <v>4.9781249999999995</v>
      </c>
      <c r="O532" s="36">
        <f t="shared" si="126"/>
        <v>132.75</v>
      </c>
      <c r="P532" s="38">
        <f ca="1">IF(ISERROR(IF(O532&lt;fi_h/20,0,(OFFSET('Base de dados'!$A$5,IF(O532&lt;20,1,IF(O532&gt;1000,10,MATCH(O532,Cargas,1))),Coluna_fih,1,1))*(1+0.13*0.25)*(PI()*(fi_h/1000)^2/4)*SQRT(2*9.81*(O532/100-fi_h/2/1000))*1000)),"",IF(O532&lt;fi_h/20,0,(OFFSET('Base de dados'!$A$5,IF(O532&lt;20,1,IF(O532&gt;1000,10,MATCH(O532,Cargas,1))),Coluna_fih,1,1))*(PI()*(fi_h/1000)^2/4)*SQRT(2*9.81*(O532/100-fi_h/2/1000))*1000))</f>
        <v>3.0685567927680184</v>
      </c>
      <c r="Q532" s="38">
        <f ca="1">IF(O532="","",IF(Tipo_Vertedor="Retangular",IF(O532&lt;=cota_s*100,0,IF(Tipo_Vertedor="Retangular",Cd_sr*Lef_sr*((O532/100-cota_s)^(3/2))*1000)),IF(O532&lt;=cota_s*100+fi_s/20,0,(OFFSET('Base de dados'!$A$4,IF(O532&lt;20,1,IF(O532&gt;1000,10,MATCH(O532,Cargas,1))),Coluna_fis,1,1))*(PI()*(fi_s/1000)^2/4)*(2*9.81*(O532/100-cota_s-fi_s/2/1000))^0.5*1000)))</f>
        <v>0.88882025034019574</v>
      </c>
      <c r="R532" s="38">
        <f t="shared" ca="1" si="122"/>
        <v>3.957377043108214</v>
      </c>
      <c r="S532" s="38">
        <f t="shared" ca="1" si="124"/>
        <v>165.93749999999997</v>
      </c>
    </row>
    <row r="533" spans="13:19">
      <c r="M533" s="132">
        <f t="shared" ca="1" si="123"/>
        <v>170.22035645611845</v>
      </c>
      <c r="N533" s="38">
        <f t="shared" si="125"/>
        <v>4.9875000000000007</v>
      </c>
      <c r="O533" s="36">
        <f t="shared" si="126"/>
        <v>133</v>
      </c>
      <c r="P533" s="38">
        <f ca="1">IF(ISERROR(IF(O533&lt;fi_h/20,0,(OFFSET('Base de dados'!$A$5,IF(O533&lt;20,1,IF(O533&gt;1000,10,MATCH(O533,Cargas,1))),Coluna_fih,1,1))*(1+0.13*0.25)*(PI()*(fi_h/1000)^2/4)*SQRT(2*9.81*(O533/100-fi_h/2/1000))*1000)),"",IF(O533&lt;fi_h/20,0,(OFFSET('Base de dados'!$A$5,IF(O533&lt;20,1,IF(O533&gt;1000,10,MATCH(O533,Cargas,1))),Coluna_fih,1,1))*(PI()*(fi_h/1000)^2/4)*SQRT(2*9.81*(O533/100-fi_h/2/1000))*1000))</f>
        <v>3.0714836326703021</v>
      </c>
      <c r="Q533" s="38">
        <f ca="1">IF(O533="","",IF(Tipo_Vertedor="Retangular",IF(O533&lt;=cota_s*100,0,IF(Tipo_Vertedor="Retangular",Cd_sr*Lef_sr*((O533/100-cota_s)^(3/2))*1000)),IF(O533&lt;=cota_s*100+fi_s/20,0,(OFFSET('Base de dados'!$A$4,IF(O533&lt;20,1,IF(O533&gt;1000,10,MATCH(O533,Cargas,1))),Coluna_fis,1,1))*(PI()*(fi_s/1000)^2/4)*(2*9.81*(O533/100-cota_s-fi_s/2/1000))^0.5*1000)))</f>
        <v>0.89887282344813257</v>
      </c>
      <c r="R533" s="38">
        <f t="shared" ca="1" si="122"/>
        <v>3.9703564561184348</v>
      </c>
      <c r="S533" s="38">
        <f t="shared" ca="1" si="124"/>
        <v>166.25000000000003</v>
      </c>
    </row>
    <row r="534" spans="13:19">
      <c r="M534" s="132">
        <f t="shared" ca="1" si="123"/>
        <v>170.54572189608359</v>
      </c>
      <c r="N534" s="38">
        <f t="shared" si="125"/>
        <v>4.9968750000000002</v>
      </c>
      <c r="O534" s="36">
        <f t="shared" si="126"/>
        <v>133.25</v>
      </c>
      <c r="P534" s="38">
        <f ca="1">IF(ISERROR(IF(O534&lt;fi_h/20,0,(OFFSET('Base de dados'!$A$5,IF(O534&lt;20,1,IF(O534&gt;1000,10,MATCH(O534,Cargas,1))),Coluna_fih,1,1))*(1+0.13*0.25)*(PI()*(fi_h/1000)^2/4)*SQRT(2*9.81*(O534/100-fi_h/2/1000))*1000)),"",IF(O534&lt;fi_h/20,0,(OFFSET('Base de dados'!$A$5,IF(O534&lt;20,1,IF(O534&gt;1000,10,MATCH(O534,Cargas,1))),Coluna_fih,1,1))*(PI()*(fi_h/1000)^2/4)*SQRT(2*9.81*(O534/100-fi_h/2/1000))*1000))</f>
        <v>3.0744076862186582</v>
      </c>
      <c r="Q534" s="38">
        <f ca="1">IF(O534="","",IF(Tipo_Vertedor="Retangular",IF(O534&lt;=cota_s*100,0,IF(Tipo_Vertedor="Retangular",Cd_sr*Lef_sr*((O534/100-cota_s)^(3/2))*1000)),IF(O534&lt;=cota_s*100+fi_s/20,0,(OFFSET('Base de dados'!$A$4,IF(O534&lt;20,1,IF(O534&gt;1000,10,MATCH(O534,Cargas,1))),Coluna_fis,1,1))*(PI()*(fi_s/1000)^2/4)*(2*9.81*(O534/100-cota_s-fi_s/2/1000))^0.5*1000)))</f>
        <v>0.90881420986493477</v>
      </c>
      <c r="R534" s="38">
        <f t="shared" ca="1" si="122"/>
        <v>3.983221896083593</v>
      </c>
      <c r="S534" s="38">
        <f t="shared" ca="1" si="124"/>
        <v>166.5625</v>
      </c>
    </row>
    <row r="535" spans="13:19">
      <c r="M535" s="132">
        <f t="shared" ca="1" si="123"/>
        <v>170.87097698065983</v>
      </c>
      <c r="N535" s="38">
        <f t="shared" si="125"/>
        <v>5.0062499999999996</v>
      </c>
      <c r="O535" s="36">
        <f t="shared" si="126"/>
        <v>133.5</v>
      </c>
      <c r="P535" s="38">
        <f ca="1">IF(ISERROR(IF(O535&lt;fi_h/20,0,(OFFSET('Base de dados'!$A$5,IF(O535&lt;20,1,IF(O535&gt;1000,10,MATCH(O535,Cargas,1))),Coluna_fih,1,1))*(1+0.13*0.25)*(PI()*(fi_h/1000)^2/4)*SQRT(2*9.81*(O535/100-fi_h/2/1000))*1000)),"",IF(O535&lt;fi_h/20,0,(OFFSET('Base de dados'!$A$5,IF(O535&lt;20,1,IF(O535&gt;1000,10,MATCH(O535,Cargas,1))),Coluna_fih,1,1))*(PI()*(fi_h/1000)^2/4)*SQRT(2*9.81*(O535/100-fi_h/2/1000))*1000))</f>
        <v>3.0773289613558013</v>
      </c>
      <c r="Q535" s="38">
        <f ca="1">IF(O535="","",IF(Tipo_Vertedor="Retangular",IF(O535&lt;=cota_s*100,0,IF(Tipo_Vertedor="Retangular",Cd_sr*Lef_sr*((O535/100-cota_s)^(3/2))*1000)),IF(O535&lt;=cota_s*100+fi_s/20,0,(OFFSET('Base de dados'!$A$4,IF(O535&lt;20,1,IF(O535&gt;1000,10,MATCH(O535,Cargas,1))),Coluna_fis,1,1))*(PI()*(fi_s/1000)^2/4)*(2*9.81*(O535/100-cota_s-fi_s/2/1000))^0.5*1000)))</f>
        <v>0.91864801930403872</v>
      </c>
      <c r="R535" s="38">
        <f t="shared" ca="1" si="122"/>
        <v>3.9959769806598402</v>
      </c>
      <c r="S535" s="38">
        <f t="shared" ca="1" si="124"/>
        <v>166.875</v>
      </c>
    </row>
    <row r="536" spans="13:19">
      <c r="M536" s="132">
        <f t="shared" ca="1" si="123"/>
        <v>171.19612513627513</v>
      </c>
      <c r="N536" s="38">
        <f t="shared" si="125"/>
        <v>5.015625</v>
      </c>
      <c r="O536" s="36">
        <f t="shared" si="126"/>
        <v>133.75</v>
      </c>
      <c r="P536" s="38">
        <f ca="1">IF(ISERROR(IF(O536&lt;fi_h/20,0,(OFFSET('Base de dados'!$A$5,IF(O536&lt;20,1,IF(O536&gt;1000,10,MATCH(O536,Cargas,1))),Coluna_fih,1,1))*(1+0.13*0.25)*(PI()*(fi_h/1000)^2/4)*SQRT(2*9.81*(O536/100-fi_h/2/1000))*1000)),"",IF(O536&lt;fi_h/20,0,(OFFSET('Base de dados'!$A$5,IF(O536&lt;20,1,IF(O536&gt;1000,10,MATCH(O536,Cargas,1))),Coluna_fih,1,1))*(PI()*(fi_h/1000)^2/4)*SQRT(2*9.81*(O536/100-fi_h/2/1000))*1000))</f>
        <v>3.0802474659867798</v>
      </c>
      <c r="Q536" s="38">
        <f ca="1">IF(O536="","",IF(Tipo_Vertedor="Retangular",IF(O536&lt;=cota_s*100,0,IF(Tipo_Vertedor="Retangular",Cd_sr*Lef_sr*((O536/100-cota_s)^(3/2))*1000)),IF(O536&lt;=cota_s*100+fi_s/20,0,(OFFSET('Base de dados'!$A$4,IF(O536&lt;20,1,IF(O536&gt;1000,10,MATCH(O536,Cargas,1))),Coluna_fis,1,1))*(PI()*(fi_s/1000)^2/4)*(2*9.81*(O536/100-cota_s-fi_s/2/1000))^0.5*1000)))</f>
        <v>0.92837767028835916</v>
      </c>
      <c r="R536" s="38">
        <f t="shared" ca="1" si="122"/>
        <v>4.0086251362751391</v>
      </c>
      <c r="S536" s="38">
        <f t="shared" ca="1" si="124"/>
        <v>167.1875</v>
      </c>
    </row>
    <row r="537" spans="13:19">
      <c r="M537" s="132">
        <f t="shared" ca="1" si="123"/>
        <v>171.52116961201327</v>
      </c>
      <c r="N537" s="38">
        <f t="shared" si="125"/>
        <v>5.0250000000000004</v>
      </c>
      <c r="O537" s="36">
        <f t="shared" si="126"/>
        <v>134</v>
      </c>
      <c r="P537" s="38">
        <f ca="1">IF(ISERROR(IF(O537&lt;fi_h/20,0,(OFFSET('Base de dados'!$A$5,IF(O537&lt;20,1,IF(O537&gt;1000,10,MATCH(O537,Cargas,1))),Coluna_fih,1,1))*(1+0.13*0.25)*(PI()*(fi_h/1000)^2/4)*SQRT(2*9.81*(O537/100-fi_h/2/1000))*1000)),"",IF(O537&lt;fi_h/20,0,(OFFSET('Base de dados'!$A$5,IF(O537&lt;20,1,IF(O537&gt;1000,10,MATCH(O537,Cargas,1))),Coluna_fih,1,1))*(PI()*(fi_h/1000)^2/4)*SQRT(2*9.81*(O537/100-fi_h/2/1000))*1000))</f>
        <v>3.0831632079792324</v>
      </c>
      <c r="Q537" s="38">
        <f ca="1">IF(O537="","",IF(Tipo_Vertedor="Retangular",IF(O537&lt;=cota_s*100,0,IF(Tipo_Vertedor="Retangular",Cd_sr*Lef_sr*((O537/100-cota_s)^(3/2))*1000)),IF(O537&lt;=cota_s*100+fi_s/20,0,(OFFSET('Base de dados'!$A$4,IF(O537&lt;20,1,IF(O537&gt;1000,10,MATCH(O537,Cargas,1))),Coluna_fis,1,1))*(PI()*(fi_s/1000)^2/4)*(2*9.81*(O537/100-cota_s-fi_s/2/1000))^0.5*1000)))</f>
        <v>0.93800640403402935</v>
      </c>
      <c r="R537" s="38">
        <f t="shared" ca="1" si="122"/>
        <v>4.0211696120132618</v>
      </c>
      <c r="S537" s="38">
        <f t="shared" ca="1" si="124"/>
        <v>167.5</v>
      </c>
    </row>
    <row r="538" spans="13:19">
      <c r="M538" s="132">
        <f t="shared" ca="1" si="123"/>
        <v>171.8461134922278</v>
      </c>
      <c r="N538" s="38">
        <f t="shared" si="125"/>
        <v>5.0343749999999998</v>
      </c>
      <c r="O538" s="36">
        <f t="shared" si="126"/>
        <v>134.25</v>
      </c>
      <c r="P538" s="38">
        <f ca="1">IF(ISERROR(IF(O538&lt;fi_h/20,0,(OFFSET('Base de dados'!$A$5,IF(O538&lt;20,1,IF(O538&gt;1000,10,MATCH(O538,Cargas,1))),Coluna_fih,1,1))*(1+0.13*0.25)*(PI()*(fi_h/1000)^2/4)*SQRT(2*9.81*(O538/100-fi_h/2/1000))*1000)),"",IF(O538&lt;fi_h/20,0,(OFFSET('Base de dados'!$A$5,IF(O538&lt;20,1,IF(O538&gt;1000,10,MATCH(O538,Cargas,1))),Coluna_fih,1,1))*(PI()*(fi_h/1000)^2/4)*SQRT(2*9.81*(O538/100-fi_h/2/1000))*1000))</f>
        <v>3.0860761951636251</v>
      </c>
      <c r="Q538" s="38">
        <f ca="1">IF(O538="","",IF(Tipo_Vertedor="Retangular",IF(O538&lt;=cota_s*100,0,IF(Tipo_Vertedor="Retangular",Cd_sr*Lef_sr*((O538/100-cota_s)^(3/2))*1000)),IF(O538&lt;=cota_s*100+fi_s/20,0,(OFFSET('Base de dados'!$A$4,IF(O538&lt;20,1,IF(O538&gt;1000,10,MATCH(O538,Cargas,1))),Coluna_fis,1,1))*(PI()*(fi_s/1000)^2/4)*(2*9.81*(O538/100-cota_s-fi_s/2/1000))^0.5*1000)))</f>
        <v>0.94753729706416223</v>
      </c>
      <c r="R538" s="38">
        <f t="shared" ca="1" si="122"/>
        <v>4.0336134922277873</v>
      </c>
      <c r="S538" s="38">
        <f t="shared" ca="1" si="124"/>
        <v>167.8125</v>
      </c>
    </row>
    <row r="539" spans="13:19">
      <c r="M539" s="132">
        <f t="shared" ca="1" si="123"/>
        <v>172.17095970802532</v>
      </c>
      <c r="N539" s="38">
        <f t="shared" si="125"/>
        <v>5.0437500000000002</v>
      </c>
      <c r="O539" s="36">
        <f t="shared" si="126"/>
        <v>134.5</v>
      </c>
      <c r="P539" s="38">
        <f ca="1">IF(ISERROR(IF(O539&lt;fi_h/20,0,(OFFSET('Base de dados'!$A$5,IF(O539&lt;20,1,IF(O539&gt;1000,10,MATCH(O539,Cargas,1))),Coluna_fih,1,1))*(1+0.13*0.25)*(PI()*(fi_h/1000)^2/4)*SQRT(2*9.81*(O539/100-fi_h/2/1000))*1000)),"",IF(O539&lt;fi_h/20,0,(OFFSET('Base de dados'!$A$5,IF(O539&lt;20,1,IF(O539&gt;1000,10,MATCH(O539,Cargas,1))),Coluna_fih,1,1))*(PI()*(fi_h/1000)^2/4)*SQRT(2*9.81*(O539/100-fi_h/2/1000))*1000))</f>
        <v>3.0889864353335073</v>
      </c>
      <c r="Q539" s="38">
        <f ca="1">IF(O539="","",IF(Tipo_Vertedor="Retangular",IF(O539&lt;=cota_s*100,0,IF(Tipo_Vertedor="Retangular",Cd_sr*Lef_sr*((O539/100-cota_s)^(3/2))*1000)),IF(O539&lt;=cota_s*100+fi_s/20,0,(OFFSET('Base de dados'!$A$4,IF(O539&lt;20,1,IF(O539&gt;1000,10,MATCH(O539,Cargas,1))),Coluna_fis,1,1))*(PI()*(fi_s/1000)^2/4)*(2*9.81*(O539/100-cota_s-fi_s/2/1000))^0.5*1000)))</f>
        <v>0.95697327269180643</v>
      </c>
      <c r="R539" s="38">
        <f t="shared" ca="1" si="122"/>
        <v>4.0459597080253138</v>
      </c>
      <c r="S539" s="38">
        <f t="shared" ca="1" si="124"/>
        <v>168.125</v>
      </c>
    </row>
    <row r="540" spans="13:19">
      <c r="M540" s="132">
        <f t="shared" ca="1" si="123"/>
        <v>172.49571104773932</v>
      </c>
      <c r="N540" s="38">
        <f t="shared" si="125"/>
        <v>5.0531249999999996</v>
      </c>
      <c r="O540" s="36">
        <f t="shared" si="126"/>
        <v>134.75</v>
      </c>
      <c r="P540" s="38">
        <f ca="1">IF(ISERROR(IF(O540&lt;fi_h/20,0,(OFFSET('Base de dados'!$A$5,IF(O540&lt;20,1,IF(O540&gt;1000,10,MATCH(O540,Cargas,1))),Coluna_fih,1,1))*(1+0.13*0.25)*(PI()*(fi_h/1000)^2/4)*SQRT(2*9.81*(O540/100-fi_h/2/1000))*1000)),"",IF(O540&lt;fi_h/20,0,(OFFSET('Base de dados'!$A$5,IF(O540&lt;20,1,IF(O540&gt;1000,10,MATCH(O540,Cargas,1))),Coluna_fih,1,1))*(PI()*(fi_h/1000)^2/4)*SQRT(2*9.81*(O540/100-fi_h/2/1000))*1000))</f>
        <v>3.091893936245746</v>
      </c>
      <c r="Q540" s="38">
        <f ca="1">IF(O540="","",IF(Tipo_Vertedor="Retangular",IF(O540&lt;=cota_s*100,0,IF(Tipo_Vertedor="Retangular",Cd_sr*Lef_sr*((O540/100-cota_s)^(3/2))*1000)),IF(O540&lt;=cota_s*100+fi_s/20,0,(OFFSET('Base de dados'!$A$4,IF(O540&lt;20,1,IF(O540&gt;1000,10,MATCH(O540,Cargas,1))),Coluna_fis,1,1))*(PI()*(fi_s/1000)^2/4)*(2*9.81*(O540/100-cota_s-fi_s/2/1000))^0.5*1000)))</f>
        <v>0.9663171114935688</v>
      </c>
      <c r="R540" s="38">
        <f t="shared" ca="1" si="122"/>
        <v>4.0582110477393147</v>
      </c>
      <c r="S540" s="38">
        <f t="shared" ca="1" si="124"/>
        <v>168.4375</v>
      </c>
    </row>
    <row r="541" spans="13:19">
      <c r="M541" s="132">
        <f t="shared" ca="1" si="123"/>
        <v>172.82037016650105</v>
      </c>
      <c r="N541" s="38">
        <f t="shared" si="125"/>
        <v>5.0625</v>
      </c>
      <c r="O541" s="36">
        <f t="shared" si="126"/>
        <v>135</v>
      </c>
      <c r="P541" s="38">
        <f ca="1">IF(ISERROR(IF(O541&lt;fi_h/20,0,(OFFSET('Base de dados'!$A$5,IF(O541&lt;20,1,IF(O541&gt;1000,10,MATCH(O541,Cargas,1))),Coluna_fih,1,1))*(1+0.13*0.25)*(PI()*(fi_h/1000)^2/4)*SQRT(2*9.81*(O541/100-fi_h/2/1000))*1000)),"",IF(O541&lt;fi_h/20,0,(OFFSET('Base de dados'!$A$5,IF(O541&lt;20,1,IF(O541&gt;1000,10,MATCH(O541,Cargas,1))),Coluna_fih,1,1))*(PI()*(fi_h/1000)^2/4)*SQRT(2*9.81*(O541/100-fi_h/2/1000))*1000))</f>
        <v>3.0947987056207746</v>
      </c>
      <c r="Q541" s="38">
        <f ca="1">IF(O541="","",IF(Tipo_Vertedor="Retangular",IF(O541&lt;=cota_s*100,0,IF(Tipo_Vertedor="Retangular",Cd_sr*Lef_sr*((O541/100-cota_s)^(3/2))*1000)),IF(O541&lt;=cota_s*100+fi_s/20,0,(OFFSET('Base de dados'!$A$4,IF(O541&lt;20,1,IF(O541&gt;1000,10,MATCH(O541,Cargas,1))),Coluna_fis,1,1))*(PI()*(fi_s/1000)^2/4)*(2*9.81*(O541/100-cota_s-fi_s/2/1000))^0.5*1000)))</f>
        <v>0.97557146088027991</v>
      </c>
      <c r="R541" s="38">
        <f t="shared" ca="1" si="122"/>
        <v>4.0703701665010543</v>
      </c>
      <c r="S541" s="38">
        <f t="shared" ca="1" si="124"/>
        <v>168.75</v>
      </c>
    </row>
    <row r="542" spans="13:19">
      <c r="M542" s="132">
        <f t="shared" ca="1" si="123"/>
        <v>173.14493959500089</v>
      </c>
      <c r="N542" s="38">
        <f t="shared" si="125"/>
        <v>5.0718750000000004</v>
      </c>
      <c r="O542" s="36">
        <f t="shared" si="126"/>
        <v>135.25</v>
      </c>
      <c r="P542" s="38">
        <f ca="1">IF(ISERROR(IF(O542&lt;fi_h/20,0,(OFFSET('Base de dados'!$A$5,IF(O542&lt;20,1,IF(O542&gt;1000,10,MATCH(O542,Cargas,1))),Coluna_fih,1,1))*(1+0.13*0.25)*(PI()*(fi_h/1000)^2/4)*SQRT(2*9.81*(O542/100-fi_h/2/1000))*1000)),"",IF(O542&lt;fi_h/20,0,(OFFSET('Base de dados'!$A$5,IF(O542&lt;20,1,IF(O542&gt;1000,10,MATCH(O542,Cargas,1))),Coluna_fih,1,1))*(PI()*(fi_h/1000)^2/4)*SQRT(2*9.81*(O542/100-fi_h/2/1000))*1000))</f>
        <v>3.0977007511428263</v>
      </c>
      <c r="Q542" s="38">
        <f ca="1">IF(O542="","",IF(Tipo_Vertedor="Retangular",IF(O542&lt;=cota_s*100,0,IF(Tipo_Vertedor="Retangular",Cd_sr*Lef_sr*((O542/100-cota_s)^(3/2))*1000)),IF(O542&lt;=cota_s*100+fi_s/20,0,(OFFSET('Base de dados'!$A$4,IF(O542&lt;20,1,IF(O542&gt;1000,10,MATCH(O542,Cargas,1))),Coluna_fis,1,1))*(PI()*(fi_s/1000)^2/4)*(2*9.81*(O542/100-cota_s-fi_s/2/1000))^0.5*1000)))</f>
        <v>0.98473884385805133</v>
      </c>
      <c r="R542" s="38">
        <f t="shared" ca="1" si="122"/>
        <v>4.0824395950008778</v>
      </c>
      <c r="S542" s="38">
        <f t="shared" ca="1" si="124"/>
        <v>169.0625</v>
      </c>
    </row>
    <row r="543" spans="13:19">
      <c r="M543" s="132">
        <f t="shared" ca="1" si="123"/>
        <v>173.46942174752206</v>
      </c>
      <c r="N543" s="38">
        <f t="shared" si="125"/>
        <v>5.0812499999999998</v>
      </c>
      <c r="O543" s="36">
        <f t="shared" si="126"/>
        <v>135.5</v>
      </c>
      <c r="P543" s="38">
        <f ca="1">IF(ISERROR(IF(O543&lt;fi_h/20,0,(OFFSET('Base de dados'!$A$5,IF(O543&lt;20,1,IF(O543&gt;1000,10,MATCH(O543,Cargas,1))),Coluna_fih,1,1))*(1+0.13*0.25)*(PI()*(fi_h/1000)^2/4)*SQRT(2*9.81*(O543/100-fi_h/2/1000))*1000)),"",IF(O543&lt;fi_h/20,0,(OFFSET('Base de dados'!$A$5,IF(O543&lt;20,1,IF(O543&gt;1000,10,MATCH(O543,Cargas,1))),Coluna_fih,1,1))*(PI()*(fi_h/1000)^2/4)*SQRT(2*9.81*(O543/100-fi_h/2/1000))*1000))</f>
        <v>3.1006000804601741</v>
      </c>
      <c r="Q543" s="38">
        <f ca="1">IF(O543="","",IF(Tipo_Vertedor="Retangular",IF(O543&lt;=cota_s*100,0,IF(Tipo_Vertedor="Retangular",Cd_sr*Lef_sr*((O543/100-cota_s)^(3/2))*1000)),IF(O543&lt;=cota_s*100+fi_s/20,0,(OFFSET('Base de dados'!$A$4,IF(O543&lt;20,1,IF(O543&gt;1000,10,MATCH(O543,Cargas,1))),Coluna_fis,1,1))*(PI()*(fi_s/1000)^2/4)*(2*9.81*(O543/100-cota_s-fi_s/2/1000))^0.5*1000)))</f>
        <v>0.99382166706190267</v>
      </c>
      <c r="R543" s="38">
        <f t="shared" ca="1" si="122"/>
        <v>4.0944217475220768</v>
      </c>
      <c r="S543" s="38">
        <f t="shared" ca="1" si="124"/>
        <v>169.375</v>
      </c>
    </row>
    <row r="544" spans="13:19">
      <c r="M544" s="132">
        <f t="shared" ca="1" si="123"/>
        <v>173.79381892931977</v>
      </c>
      <c r="N544" s="38">
        <f t="shared" si="125"/>
        <v>5.0906249999999993</v>
      </c>
      <c r="O544" s="36">
        <f t="shared" si="126"/>
        <v>135.75</v>
      </c>
      <c r="P544" s="38">
        <f ca="1">IF(ISERROR(IF(O544&lt;fi_h/20,0,(OFFSET('Base de dados'!$A$5,IF(O544&lt;20,1,IF(O544&gt;1000,10,MATCH(O544,Cargas,1))),Coluna_fih,1,1))*(1+0.13*0.25)*(PI()*(fi_h/1000)^2/4)*SQRT(2*9.81*(O544/100-fi_h/2/1000))*1000)),"",IF(O544&lt;fi_h/20,0,(OFFSET('Base de dados'!$A$5,IF(O544&lt;20,1,IF(O544&gt;1000,10,MATCH(O544,Cargas,1))),Coluna_fih,1,1))*(PI()*(fi_h/1000)^2/4)*SQRT(2*9.81*(O544/100-fi_h/2/1000))*1000))</f>
        <v>3.1034967011853656</v>
      </c>
      <c r="Q544" s="38">
        <f ca="1">IF(O544="","",IF(Tipo_Vertedor="Retangular",IF(O544&lt;=cota_s*100,0,IF(Tipo_Vertedor="Retangular",Cd_sr*Lef_sr*((O544/100-cota_s)^(3/2))*1000)),IF(O544&lt;=cota_s*100+fi_s/20,0,(OFFSET('Base de dados'!$A$4,IF(O544&lt;20,1,IF(O544&gt;1000,10,MATCH(O544,Cargas,1))),Coluna_fis,1,1))*(PI()*(fi_s/1000)^2/4)*(2*9.81*(O544/100-cota_s-fi_s/2/1000))^0.5*1000)))</f>
        <v>1.0028222281344321</v>
      </c>
      <c r="R544" s="38">
        <f t="shared" ca="1" si="122"/>
        <v>4.1063189293197979</v>
      </c>
      <c r="S544" s="38">
        <f t="shared" ca="1" si="124"/>
        <v>169.68749999999997</v>
      </c>
    </row>
    <row r="545" spans="13:19">
      <c r="M545" s="132">
        <f t="shared" ca="1" si="123"/>
        <v>174.11813334340911</v>
      </c>
      <c r="N545" s="38">
        <f t="shared" si="125"/>
        <v>5.1000000000000005</v>
      </c>
      <c r="O545" s="36">
        <f t="shared" si="126"/>
        <v>136</v>
      </c>
      <c r="P545" s="38">
        <f ca="1">IF(ISERROR(IF(O545&lt;fi_h/20,0,(OFFSET('Base de dados'!$A$5,IF(O545&lt;20,1,IF(O545&gt;1000,10,MATCH(O545,Cargas,1))),Coluna_fih,1,1))*(1+0.13*0.25)*(PI()*(fi_h/1000)^2/4)*SQRT(2*9.81*(O545/100-fi_h/2/1000))*1000)),"",IF(O545&lt;fi_h/20,0,(OFFSET('Base de dados'!$A$5,IF(O545&lt;20,1,IF(O545&gt;1000,10,MATCH(O545,Cargas,1))),Coluna_fih,1,1))*(PI()*(fi_h/1000)^2/4)*SQRT(2*9.81*(O545/100-fi_h/2/1000))*1000))</f>
        <v>3.1063906208954557</v>
      </c>
      <c r="Q545" s="38">
        <f ca="1">IF(O545="","",IF(Tipo_Vertedor="Retangular",IF(O545&lt;=cota_s*100,0,IF(Tipo_Vertedor="Retangular",Cd_sr*Lef_sr*((O545/100-cota_s)^(3/2))*1000)),IF(O545&lt;=cota_s*100+fi_s/20,0,(OFFSET('Base de dados'!$A$4,IF(O545&lt;20,1,IF(O545&gt;1000,10,MATCH(O545,Cargas,1))),Coluna_fis,1,1))*(PI()*(fi_s/1000)^2/4)*(2*9.81*(O545/100-cota_s-fi_s/2/1000))^0.5*1000)))</f>
        <v>1.0117427225136422</v>
      </c>
      <c r="R545" s="38">
        <f t="shared" ca="1" si="122"/>
        <v>4.1181333434090979</v>
      </c>
      <c r="S545" s="38">
        <f t="shared" ca="1" si="124"/>
        <v>170.00000000000003</v>
      </c>
    </row>
    <row r="546" spans="13:19">
      <c r="M546" s="132">
        <f t="shared" ca="1" si="123"/>
        <v>174.44236709681897</v>
      </c>
      <c r="N546" s="38">
        <f t="shared" si="125"/>
        <v>5.109375</v>
      </c>
      <c r="O546" s="36">
        <f t="shared" si="126"/>
        <v>136.25</v>
      </c>
      <c r="P546" s="38">
        <f ca="1">IF(ISERROR(IF(O546&lt;fi_h/20,0,(OFFSET('Base de dados'!$A$5,IF(O546&lt;20,1,IF(O546&gt;1000,10,MATCH(O546,Cargas,1))),Coluna_fih,1,1))*(1+0.13*0.25)*(PI()*(fi_h/1000)^2/4)*SQRT(2*9.81*(O546/100-fi_h/2/1000))*1000)),"",IF(O546&lt;fi_h/20,0,(OFFSET('Base de dados'!$A$5,IF(O546&lt;20,1,IF(O546&gt;1000,10,MATCH(O546,Cargas,1))),Coluna_fih,1,1))*(PI()*(fi_h/1000)^2/4)*SQRT(2*9.81*(O546/100-fi_h/2/1000))*1000))</f>
        <v>3.1092818471322383</v>
      </c>
      <c r="Q546" s="38">
        <f ca="1">IF(O546="","",IF(Tipo_Vertedor="Retangular",IF(O546&lt;=cota_s*100,0,IF(Tipo_Vertedor="Retangular",Cd_sr*Lef_sr*((O546/100-cota_s)^(3/2))*1000)),IF(O546&lt;=cota_s*100+fi_s/20,0,(OFFSET('Base de dados'!$A$4,IF(O546&lt;20,1,IF(O546&gt;1000,10,MATCH(O546,Cargas,1))),Coluna_fis,1,1))*(PI()*(fi_s/1000)^2/4)*(2*9.81*(O546/100-cota_s-fi_s/2/1000))^0.5*1000)))</f>
        <v>1.0205852496867296</v>
      </c>
      <c r="R546" s="38">
        <f t="shared" ca="1" si="122"/>
        <v>4.1298670968189679</v>
      </c>
      <c r="S546" s="38">
        <f t="shared" ca="1" si="124"/>
        <v>170.3125</v>
      </c>
    </row>
    <row r="547" spans="13:19">
      <c r="M547" s="132">
        <f t="shared" ca="1" si="123"/>
        <v>174.76652220636279</v>
      </c>
      <c r="N547" s="38">
        <f t="shared" si="125"/>
        <v>5.1187500000000004</v>
      </c>
      <c r="O547" s="36">
        <f t="shared" si="126"/>
        <v>136.5</v>
      </c>
      <c r="P547" s="38">
        <f ca="1">IF(ISERROR(IF(O547&lt;fi_h/20,0,(OFFSET('Base de dados'!$A$5,IF(O547&lt;20,1,IF(O547&gt;1000,10,MATCH(O547,Cargas,1))),Coluna_fih,1,1))*(1+0.13*0.25)*(PI()*(fi_h/1000)^2/4)*SQRT(2*9.81*(O547/100-fi_h/2/1000))*1000)),"",IF(O547&lt;fi_h/20,0,(OFFSET('Base de dados'!$A$5,IF(O547&lt;20,1,IF(O547&gt;1000,10,MATCH(O547,Cargas,1))),Coluna_fih,1,1))*(PI()*(fi_h/1000)^2/4)*SQRT(2*9.81*(O547/100-fi_h/2/1000))*1000))</f>
        <v>3.1121703874024749</v>
      </c>
      <c r="Q547" s="38">
        <f ca="1">IF(O547="","",IF(Tipo_Vertedor="Retangular",IF(O547&lt;=cota_s*100,0,IF(Tipo_Vertedor="Retangular",Cd_sr*Lef_sr*((O547/100-cota_s)^(3/2))*1000)),IF(O547&lt;=cota_s*100+fi_s/20,0,(OFFSET('Base de dados'!$A$4,IF(O547&lt;20,1,IF(O547&gt;1000,10,MATCH(O547,Cargas,1))),Coluna_fis,1,1))*(PI()*(fi_s/1000)^2/4)*(2*9.81*(O547/100-cota_s-fi_s/2/1000))^0.5*1000)))</f>
        <v>1.0293518189603261</v>
      </c>
      <c r="R547" s="38">
        <f t="shared" ca="1" si="122"/>
        <v>4.1415222063628008</v>
      </c>
      <c r="S547" s="38">
        <f t="shared" ca="1" si="124"/>
        <v>170.625</v>
      </c>
    </row>
    <row r="548" spans="13:19">
      <c r="M548" s="132">
        <f t="shared" ca="1" si="123"/>
        <v>175.09060060397022</v>
      </c>
      <c r="N548" s="38">
        <f t="shared" si="125"/>
        <v>5.1281249999999998</v>
      </c>
      <c r="O548" s="36">
        <f t="shared" si="126"/>
        <v>136.75</v>
      </c>
      <c r="P548" s="38">
        <f ca="1">IF(ISERROR(IF(O548&lt;fi_h/20,0,(OFFSET('Base de dados'!$A$5,IF(O548&lt;20,1,IF(O548&gt;1000,10,MATCH(O548,Cargas,1))),Coluna_fih,1,1))*(1+0.13*0.25)*(PI()*(fi_h/1000)^2/4)*SQRT(2*9.81*(O548/100-fi_h/2/1000))*1000)),"",IF(O548&lt;fi_h/20,0,(OFFSET('Base de dados'!$A$5,IF(O548&lt;20,1,IF(O548&gt;1000,10,MATCH(O548,Cargas,1))),Coluna_fih,1,1))*(PI()*(fi_h/1000)^2/4)*SQRT(2*9.81*(O548/100-fi_h/2/1000))*1000))</f>
        <v>3.1150562491781231</v>
      </c>
      <c r="Q548" s="38">
        <f ca="1">IF(O548="","",IF(Tipo_Vertedor="Retangular",IF(O548&lt;=cota_s*100,0,IF(Tipo_Vertedor="Retangular",Cd_sr*Lef_sr*((O548/100-cota_s)^(3/2))*1000)),IF(O548&lt;=cota_s*100+fi_s/20,0,(OFFSET('Base de dados'!$A$4,IF(O548&lt;20,1,IF(O548&gt;1000,10,MATCH(O548,Cargas,1))),Coluna_fis,1,1))*(PI()*(fi_s/1000)^2/4)*(2*9.81*(O548/100-cota_s-fi_s/2/1000))^0.5*1000)))</f>
        <v>1.0380443547920963</v>
      </c>
      <c r="R548" s="38">
        <f t="shared" ca="1" si="122"/>
        <v>4.1531006039702199</v>
      </c>
      <c r="S548" s="38">
        <f t="shared" ca="1" si="124"/>
        <v>170.9375</v>
      </c>
    </row>
    <row r="549" spans="13:19">
      <c r="M549" s="132">
        <f t="shared" ca="1" si="123"/>
        <v>175.41460414162034</v>
      </c>
      <c r="N549" s="38">
        <f t="shared" si="125"/>
        <v>5.1375000000000002</v>
      </c>
      <c r="O549" s="36">
        <f t="shared" si="126"/>
        <v>137</v>
      </c>
      <c r="P549" s="38">
        <f ca="1">IF(ISERROR(IF(O549&lt;fi_h/20,0,(OFFSET('Base de dados'!$A$5,IF(O549&lt;20,1,IF(O549&gt;1000,10,MATCH(O549,Cargas,1))),Coluna_fih,1,1))*(1+0.13*0.25)*(PI()*(fi_h/1000)^2/4)*SQRT(2*9.81*(O549/100-fi_h/2/1000))*1000)),"",IF(O549&lt;fi_h/20,0,(OFFSET('Base de dados'!$A$5,IF(O549&lt;20,1,IF(O549&gt;1000,10,MATCH(O549,Cargas,1))),Coluna_fih,1,1))*(PI()*(fi_h/1000)^2/4)*SQRT(2*9.81*(O549/100-fi_h/2/1000))*1000))</f>
        <v>3.1179394398965621</v>
      </c>
      <c r="Q549" s="38">
        <f ca="1">IF(O549="","",IF(Tipo_Vertedor="Retangular",IF(O549&lt;=cota_s*100,0,IF(Tipo_Vertedor="Retangular",Cd_sr*Lef_sr*((O549/100-cota_s)^(3/2))*1000)),IF(O549&lt;=cota_s*100+fi_s/20,0,(OFFSET('Base de dados'!$A$4,IF(O549&lt;20,1,IF(O549&gt;1000,10,MATCH(O549,Cargas,1))),Coluna_fis,1,1))*(PI()*(fi_s/1000)^2/4)*(2*9.81*(O549/100-cota_s-fi_s/2/1000))^0.5*1000)))</f>
        <v>1.0466647017237896</v>
      </c>
      <c r="R549" s="38">
        <f t="shared" ca="1" si="122"/>
        <v>4.1646041416203516</v>
      </c>
      <c r="S549" s="38">
        <f t="shared" ca="1" si="124"/>
        <v>171.25</v>
      </c>
    </row>
    <row r="550" spans="13:19">
      <c r="M550" s="132">
        <f t="shared" ca="1" si="123"/>
        <v>175.7385345959124</v>
      </c>
      <c r="N550" s="38">
        <f t="shared" si="125"/>
        <v>5.1468750000000005</v>
      </c>
      <c r="O550" s="36">
        <f t="shared" si="126"/>
        <v>137.25</v>
      </c>
      <c r="P550" s="38">
        <f ca="1">IF(ISERROR(IF(O550&lt;fi_h/20,0,(OFFSET('Base de dados'!$A$5,IF(O550&lt;20,1,IF(O550&gt;1000,10,MATCH(O550,Cargas,1))),Coluna_fih,1,1))*(1+0.13*0.25)*(PI()*(fi_h/1000)^2/4)*SQRT(2*9.81*(O550/100-fi_h/2/1000))*1000)),"",IF(O550&lt;fi_h/20,0,(OFFSET('Base de dados'!$A$5,IF(O550&lt;20,1,IF(O550&gt;1000,10,MATCH(O550,Cargas,1))),Coluna_fih,1,1))*(PI()*(fi_h/1000)^2/4)*SQRT(2*9.81*(O550/100-fi_h/2/1000))*1000))</f>
        <v>3.1208199669608141</v>
      </c>
      <c r="Q550" s="38">
        <f ca="1">IF(O550="","",IF(Tipo_Vertedor="Retangular",IF(O550&lt;=cota_s*100,0,IF(Tipo_Vertedor="Retangular",Cd_sr*Lef_sr*((O550/100-cota_s)^(3/2))*1000)),IF(O550&lt;=cota_s*100+fi_s/20,0,(OFFSET('Base de dados'!$A$4,IF(O550&lt;20,1,IF(O550&gt;1000,10,MATCH(O550,Cargas,1))),Coluna_fis,1,1))*(PI()*(fi_s/1000)^2/4)*(2*9.81*(O550/100-cota_s-fi_s/2/1000))^0.5*1000)))</f>
        <v>1.05521462895155</v>
      </c>
      <c r="R550" s="38">
        <f t="shared" ca="1" si="122"/>
        <v>4.1760345959123644</v>
      </c>
      <c r="S550" s="38">
        <f t="shared" ca="1" si="124"/>
        <v>171.56250000000003</v>
      </c>
    </row>
    <row r="551" spans="13:19">
      <c r="M551" s="132">
        <f t="shared" ca="1" si="123"/>
        <v>176.06239367230535</v>
      </c>
      <c r="N551" s="38">
        <f t="shared" si="125"/>
        <v>5.15625</v>
      </c>
      <c r="O551" s="36">
        <f t="shared" si="126"/>
        <v>137.5</v>
      </c>
      <c r="P551" s="38">
        <f ca="1">IF(ISERROR(IF(O551&lt;fi_h/20,0,(OFFSET('Base de dados'!$A$5,IF(O551&lt;20,1,IF(O551&gt;1000,10,MATCH(O551,Cargas,1))),Coluna_fih,1,1))*(1+0.13*0.25)*(PI()*(fi_h/1000)^2/4)*SQRT(2*9.81*(O551/100-fi_h/2/1000))*1000)),"",IF(O551&lt;fi_h/20,0,(OFFSET('Base de dados'!$A$5,IF(O551&lt;20,1,IF(O551&gt;1000,10,MATCH(O551,Cargas,1))),Coluna_fih,1,1))*(PI()*(fi_h/1000)^2/4)*SQRT(2*9.81*(O551/100-fi_h/2/1000))*1000))</f>
        <v>3.1236978377397682</v>
      </c>
      <c r="Q551" s="38">
        <f ca="1">IF(O551="","",IF(Tipo_Vertedor="Retangular",IF(O551&lt;=cota_s*100,0,IF(Tipo_Vertedor="Retangular",Cd_sr*Lef_sr*((O551/100-cota_s)^(3/2))*1000)),IF(O551&lt;=cota_s*100+fi_s/20,0,(OFFSET('Base de dados'!$A$4,IF(O551&lt;20,1,IF(O551&gt;1000,10,MATCH(O551,Cargas,1))),Coluna_fis,1,1))*(PI()*(fi_s/1000)^2/4)*(2*9.81*(O551/100-cota_s-fi_s/2/1000))^0.5*1000)))</f>
        <v>1.0636958345655798</v>
      </c>
      <c r="R551" s="38">
        <f t="shared" ca="1" si="122"/>
        <v>4.1873936723053475</v>
      </c>
      <c r="S551" s="38">
        <f t="shared" ca="1" si="124"/>
        <v>171.875</v>
      </c>
    </row>
    <row r="552" spans="13:19">
      <c r="M552" s="132">
        <f t="shared" ca="1" si="123"/>
        <v>176.38618300905628</v>
      </c>
      <c r="N552" s="38">
        <f t="shared" si="125"/>
        <v>5.1656249999999995</v>
      </c>
      <c r="O552" s="36">
        <f t="shared" si="126"/>
        <v>137.75</v>
      </c>
      <c r="P552" s="38">
        <f ca="1">IF(ISERROR(IF(O552&lt;fi_h/20,0,(OFFSET('Base de dados'!$A$5,IF(O552&lt;20,1,IF(O552&gt;1000,10,MATCH(O552,Cargas,1))),Coluna_fih,1,1))*(1+0.13*0.25)*(PI()*(fi_h/1000)^2/4)*SQRT(2*9.81*(O552/100-fi_h/2/1000))*1000)),"",IF(O552&lt;fi_h/20,0,(OFFSET('Base de dados'!$A$5,IF(O552&lt;20,1,IF(O552&gt;1000,10,MATCH(O552,Cargas,1))),Coluna_fih,1,1))*(PI()*(fi_h/1000)^2/4)*SQRT(2*9.81*(O552/100-fi_h/2/1000))*1000))</f>
        <v>3.1265730595684009</v>
      </c>
      <c r="Q552" s="38">
        <f ca="1">IF(O552="","",IF(Tipo_Vertedor="Retangular",IF(O552&lt;=cota_s*100,0,IF(Tipo_Vertedor="Retangular",Cd_sr*Lef_sr*((O552/100-cota_s)^(3/2))*1000)),IF(O552&lt;=cota_s*100+fi_s/20,0,(OFFSET('Base de dados'!$A$4,IF(O552&lt;20,1,IF(O552&gt;1000,10,MATCH(O552,Cargas,1))),Coluna_fis,1,1))*(PI()*(fi_s/1000)^2/4)*(2*9.81*(O552/100-cota_s-fi_s/2/1000))^0.5*1000)))</f>
        <v>1.0721099494879118</v>
      </c>
      <c r="R552" s="38">
        <f t="shared" ca="1" si="122"/>
        <v>4.198683009056313</v>
      </c>
      <c r="S552" s="38">
        <f t="shared" ca="1" si="124"/>
        <v>172.18749999999997</v>
      </c>
    </row>
    <row r="553" spans="13:19">
      <c r="M553" s="132">
        <f t="shared" ca="1" si="123"/>
        <v>176.70990418088218</v>
      </c>
      <c r="N553" s="38">
        <f t="shared" si="125"/>
        <v>5.1749999999999998</v>
      </c>
      <c r="O553" s="36">
        <f t="shared" si="126"/>
        <v>138</v>
      </c>
      <c r="P553" s="38">
        <f ca="1">IF(ISERROR(IF(O553&lt;fi_h/20,0,(OFFSET('Base de dados'!$A$5,IF(O553&lt;20,1,IF(O553&gt;1000,10,MATCH(O553,Cargas,1))),Coluna_fih,1,1))*(1+0.13*0.25)*(PI()*(fi_h/1000)^2/4)*SQRT(2*9.81*(O553/100-fi_h/2/1000))*1000)),"",IF(O553&lt;fi_h/20,0,(OFFSET('Base de dados'!$A$5,IF(O553&lt;20,1,IF(O553&gt;1000,10,MATCH(O553,Cargas,1))),Coluna_fih,1,1))*(PI()*(fi_h/1000)^2/4)*SQRT(2*9.81*(O553/100-fi_h/2/1000))*1000))</f>
        <v>3.1294456397479924</v>
      </c>
      <c r="Q553" s="38">
        <f ca="1">IF(O553="","",IF(Tipo_Vertedor="Retangular",IF(O553&lt;=cota_s*100,0,IF(Tipo_Vertedor="Retangular",Cd_sr*Lef_sr*((O553/100-cota_s)^(3/2))*1000)),IF(O553&lt;=cota_s*100+fi_s/20,0,(OFFSET('Base de dados'!$A$4,IF(O553&lt;20,1,IF(O553&gt;1000,10,MATCH(O553,Cargas,1))),Coluna_fis,1,1))*(PI()*(fi_s/1000)^2/4)*(2*9.81*(O553/100-cota_s-fi_s/2/1000))^0.5*1000)))</f>
        <v>1.0804585411341707</v>
      </c>
      <c r="R553" s="38">
        <f t="shared" ca="1" si="122"/>
        <v>4.2099041808821633</v>
      </c>
      <c r="S553" s="38">
        <f t="shared" ca="1" si="124"/>
        <v>172.5</v>
      </c>
    </row>
    <row r="554" spans="13:19">
      <c r="M554" s="132">
        <f t="shared" ca="1" si="123"/>
        <v>177.03355870236894</v>
      </c>
      <c r="N554" s="38">
        <f t="shared" si="125"/>
        <v>5.1843750000000002</v>
      </c>
      <c r="O554" s="36">
        <f t="shared" si="126"/>
        <v>138.25</v>
      </c>
      <c r="P554" s="38">
        <f ca="1">IF(ISERROR(IF(O554&lt;fi_h/20,0,(OFFSET('Base de dados'!$A$5,IF(O554&lt;20,1,IF(O554&gt;1000,10,MATCH(O554,Cargas,1))),Coluna_fih,1,1))*(1+0.13*0.25)*(PI()*(fi_h/1000)^2/4)*SQRT(2*9.81*(O554/100-fi_h/2/1000))*1000)),"",IF(O554&lt;fi_h/20,0,(OFFSET('Base de dados'!$A$5,IF(O554&lt;20,1,IF(O554&gt;1000,10,MATCH(O554,Cargas,1))),Coluna_fih,1,1))*(PI()*(fi_h/1000)^2/4)*SQRT(2*9.81*(O554/100-fi_h/2/1000))*1000))</f>
        <v>3.1323155855463432</v>
      </c>
      <c r="Q554" s="38">
        <f ca="1">IF(O554="","",IF(Tipo_Vertedor="Retangular",IF(O554&lt;=cota_s*100,0,IF(Tipo_Vertedor="Retangular",Cd_sr*Lef_sr*((O554/100-cota_s)^(3/2))*1000)),IF(O554&lt;=cota_s*100+fi_s/20,0,(OFFSET('Base de dados'!$A$4,IF(O554&lt;20,1,IF(O554&gt;1000,10,MATCH(O554,Cargas,1))),Coluna_fis,1,1))*(PI()*(fi_s/1000)^2/4)*(2*9.81*(O554/100-cota_s-fi_s/2/1000))^0.5*1000)))</f>
        <v>1.0887431168226001</v>
      </c>
      <c r="R554" s="38">
        <f t="shared" ca="1" si="122"/>
        <v>4.2210587023689428</v>
      </c>
      <c r="S554" s="38">
        <f t="shared" ca="1" si="124"/>
        <v>172.8125</v>
      </c>
    </row>
    <row r="555" spans="13:19">
      <c r="M555" s="132">
        <f t="shared" ca="1" si="123"/>
        <v>177.35714803114934</v>
      </c>
      <c r="N555" s="38">
        <f t="shared" si="125"/>
        <v>5.1937499999999996</v>
      </c>
      <c r="O555" s="36">
        <f t="shared" si="126"/>
        <v>138.5</v>
      </c>
      <c r="P555" s="38">
        <f ca="1">IF(ISERROR(IF(O555&lt;fi_h/20,0,(OFFSET('Base de dados'!$A$5,IF(O555&lt;20,1,IF(O555&gt;1000,10,MATCH(O555,Cargas,1))),Coluna_fih,1,1))*(1+0.13*0.25)*(PI()*(fi_h/1000)^2/4)*SQRT(2*9.81*(O555/100-fi_h/2/1000))*1000)),"",IF(O555&lt;fi_h/20,0,(OFFSET('Base de dados'!$A$5,IF(O555&lt;20,1,IF(O555&gt;1000,10,MATCH(O555,Cargas,1))),Coluna_fih,1,1))*(PI()*(fi_h/1000)^2/4)*SQRT(2*9.81*(O555/100-fi_h/2/1000))*1000))</f>
        <v>3.1351829041979888</v>
      </c>
      <c r="Q555" s="38">
        <f ca="1">IF(O555="","",IF(Tipo_Vertedor="Retangular",IF(O555&lt;=cota_s*100,0,IF(Tipo_Vertedor="Retangular",Cd_sr*Lef_sr*((O555/100-cota_s)^(3/2))*1000)),IF(O555&lt;=cota_s*100+fi_s/20,0,(OFFSET('Base de dados'!$A$4,IF(O555&lt;20,1,IF(O555&gt;1000,10,MATCH(O555,Cargas,1))),Coluna_fis,1,1))*(PI()*(fi_s/1000)^2/4)*(2*9.81*(O555/100-cota_s-fi_s/2/1000))^0.5*1000)))</f>
        <v>1.096965126951353</v>
      </c>
      <c r="R555" s="38">
        <f t="shared" ca="1" si="122"/>
        <v>4.2321480311493413</v>
      </c>
      <c r="S555" s="38">
        <f t="shared" ca="1" si="124"/>
        <v>173.125</v>
      </c>
    </row>
    <row r="556" spans="13:19">
      <c r="M556" s="132">
        <f t="shared" ca="1" si="123"/>
        <v>177.68067357086744</v>
      </c>
      <c r="N556" s="38">
        <f t="shared" si="125"/>
        <v>5.203125</v>
      </c>
      <c r="O556" s="36">
        <f t="shared" si="126"/>
        <v>138.75</v>
      </c>
      <c r="P556" s="38">
        <f ca="1">IF(ISERROR(IF(O556&lt;fi_h/20,0,(OFFSET('Base de dados'!$A$5,IF(O556&lt;20,1,IF(O556&gt;1000,10,MATCH(O556,Cargas,1))),Coluna_fih,1,1))*(1+0.13*0.25)*(PI()*(fi_h/1000)^2/4)*SQRT(2*9.81*(O556/100-fi_h/2/1000))*1000)),"",IF(O556&lt;fi_h/20,0,(OFFSET('Base de dados'!$A$5,IF(O556&lt;20,1,IF(O556&gt;1000,10,MATCH(O556,Cargas,1))),Coluna_fih,1,1))*(PI()*(fi_h/1000)^2/4)*SQRT(2*9.81*(O556/100-fi_h/2/1000))*1000))</f>
        <v>3.1380476029044151</v>
      </c>
      <c r="Q556" s="38">
        <f ca="1">IF(O556="","",IF(Tipo_Vertedor="Retangular",IF(O556&lt;=cota_s*100,0,IF(Tipo_Vertedor="Retangular",Cd_sr*Lef_sr*((O556/100-cota_s)^(3/2))*1000)),IF(O556&lt;=cota_s*100+fi_s/20,0,(OFFSET('Base de dados'!$A$4,IF(O556&lt;20,1,IF(O556&gt;1000,10,MATCH(O556,Cargas,1))),Coluna_fis,1,1))*(PI()*(fi_s/1000)^2/4)*(2*9.81*(O556/100-cota_s-fi_s/2/1000))^0.5*1000)))</f>
        <v>1.1051259679630219</v>
      </c>
      <c r="R556" s="38">
        <f t="shared" ca="1" si="122"/>
        <v>4.2431735708674374</v>
      </c>
      <c r="S556" s="38">
        <f t="shared" ca="1" si="124"/>
        <v>173.4375</v>
      </c>
    </row>
    <row r="557" spans="13:19">
      <c r="M557" s="132">
        <f t="shared" ca="1" si="123"/>
        <v>178.00413667394778</v>
      </c>
      <c r="N557" s="38">
        <f t="shared" si="125"/>
        <v>5.2124999999999995</v>
      </c>
      <c r="O557" s="36">
        <f t="shared" si="126"/>
        <v>139</v>
      </c>
      <c r="P557" s="38">
        <f ca="1">IF(ISERROR(IF(O557&lt;fi_h/20,0,(OFFSET('Base de dados'!$A$5,IF(O557&lt;20,1,IF(O557&gt;1000,10,MATCH(O557,Cargas,1))),Coluna_fih,1,1))*(1+0.13*0.25)*(PI()*(fi_h/1000)^2/4)*SQRT(2*9.81*(O557/100-fi_h/2/1000))*1000)),"",IF(O557&lt;fi_h/20,0,(OFFSET('Base de dados'!$A$5,IF(O557&lt;20,1,IF(O557&gt;1000,10,MATCH(O557,Cargas,1))),Coluna_fih,1,1))*(PI()*(fi_h/1000)^2/4)*SQRT(2*9.81*(O557/100-fi_h/2/1000))*1000))</f>
        <v>3.140909688834264</v>
      </c>
      <c r="Q557" s="38">
        <f ca="1">IF(O557="","",IF(Tipo_Vertedor="Retangular",IF(O557&lt;=cota_s*100,0,IF(Tipo_Vertedor="Retangular",Cd_sr*Lef_sr*((O557/100-cota_s)^(3/2))*1000)),IF(O557&lt;=cota_s*100+fi_s/20,0,(OFFSET('Base de dados'!$A$4,IF(O557&lt;20,1,IF(O557&gt;1000,10,MATCH(O557,Cargas,1))),Coluna_fis,1,1))*(PI()*(fi_s/1000)^2/4)*(2*9.81*(O557/100-cota_s-fi_s/2/1000))^0.5*1000)))</f>
        <v>1.1132269851135543</v>
      </c>
      <c r="R557" s="38">
        <f t="shared" ca="1" si="122"/>
        <v>4.2541366739478184</v>
      </c>
      <c r="S557" s="38">
        <f t="shared" ca="1" si="124"/>
        <v>173.74999999999997</v>
      </c>
    </row>
    <row r="558" spans="13:19">
      <c r="M558" s="132">
        <f t="shared" ca="1" si="123"/>
        <v>178.3275386441847</v>
      </c>
      <c r="N558" s="38">
        <f t="shared" si="125"/>
        <v>5.2218750000000007</v>
      </c>
      <c r="O558" s="36">
        <f t="shared" si="126"/>
        <v>139.25</v>
      </c>
      <c r="P558" s="38">
        <f ca="1">IF(ISERROR(IF(O558&lt;fi_h/20,0,(OFFSET('Base de dados'!$A$5,IF(O558&lt;20,1,IF(O558&gt;1000,10,MATCH(O558,Cargas,1))),Coluna_fih,1,1))*(1+0.13*0.25)*(PI()*(fi_h/1000)^2/4)*SQRT(2*9.81*(O558/100-fi_h/2/1000))*1000)),"",IF(O558&lt;fi_h/20,0,(OFFSET('Base de dados'!$A$5,IF(O558&lt;20,1,IF(O558&gt;1000,10,MATCH(O558,Cargas,1))),Coluna_fih,1,1))*(PI()*(fi_h/1000)^2/4)*SQRT(2*9.81*(O558/100-fi_h/2/1000))*1000))</f>
        <v>3.1437691691235474</v>
      </c>
      <c r="Q558" s="38">
        <f ca="1">IF(O558="","",IF(Tipo_Vertedor="Retangular",IF(O558&lt;=cota_s*100,0,IF(Tipo_Vertedor="Retangular",Cd_sr*Lef_sr*((O558/100-cota_s)^(3/2))*1000)),IF(O558&lt;=cota_s*100+fi_s/20,0,(OFFSET('Base de dados'!$A$4,IF(O558&lt;20,1,IF(O558&gt;1000,10,MATCH(O558,Cargas,1))),Coluna_fis,1,1))*(PI()*(fi_s/1000)^2/4)*(2*9.81*(O558/100-cota_s-fi_s/2/1000))^0.5*1000)))</f>
        <v>1.1212694750611125</v>
      </c>
      <c r="R558" s="38">
        <f t="shared" ca="1" si="122"/>
        <v>4.2650386441846599</v>
      </c>
      <c r="S558" s="38">
        <f t="shared" ca="1" si="124"/>
        <v>174.06250000000003</v>
      </c>
    </row>
    <row r="559" spans="13:19">
      <c r="M559" s="132">
        <f t="shared" ca="1" si="123"/>
        <v>178.65088073916482</v>
      </c>
      <c r="N559" s="38">
        <f t="shared" si="125"/>
        <v>5.2312500000000002</v>
      </c>
      <c r="O559" s="36">
        <f t="shared" si="126"/>
        <v>139.5</v>
      </c>
      <c r="P559" s="38">
        <f ca="1">IF(ISERROR(IF(O559&lt;fi_h/20,0,(OFFSET('Base de dados'!$A$5,IF(O559&lt;20,1,IF(O559&gt;1000,10,MATCH(O559,Cargas,1))),Coluna_fih,1,1))*(1+0.13*0.25)*(PI()*(fi_h/1000)^2/4)*SQRT(2*9.81*(O559/100-fi_h/2/1000))*1000)),"",IF(O559&lt;fi_h/20,0,(OFFSET('Base de dados'!$A$5,IF(O559&lt;20,1,IF(O559&gt;1000,10,MATCH(O559,Cargas,1))),Coluna_fih,1,1))*(PI()*(fi_h/1000)^2/4)*SQRT(2*9.81*(O559/100-fi_h/2/1000))*1000))</f>
        <v>3.1466260508758537</v>
      </c>
      <c r="Q559" s="38">
        <f ca="1">IF(O559="","",IF(Tipo_Vertedor="Retangular",IF(O559&lt;=cota_s*100,0,IF(Tipo_Vertedor="Retangular",Cd_sr*Lef_sr*((O559/100-cota_s)^(3/2))*1000)),IF(O559&lt;=cota_s*100+fi_s/20,0,(OFFSET('Base de dados'!$A$4,IF(O559&lt;20,1,IF(O559&gt;1000,10,MATCH(O559,Cargas,1))),Coluna_fis,1,1))*(PI()*(fi_s/1000)^2/4)*(2*9.81*(O559/100-cota_s-fi_s/2/1000))^0.5*1000)))</f>
        <v>1.1292546882889754</v>
      </c>
      <c r="R559" s="38">
        <f t="shared" ca="1" si="122"/>
        <v>4.2758807391648288</v>
      </c>
      <c r="S559" s="38">
        <f t="shared" ca="1" si="124"/>
        <v>174.375</v>
      </c>
    </row>
    <row r="560" spans="13:19">
      <c r="M560" s="132">
        <f t="shared" ca="1" si="123"/>
        <v>178.97416417253785</v>
      </c>
      <c r="N560" s="38">
        <f t="shared" si="125"/>
        <v>5.2406249999999996</v>
      </c>
      <c r="O560" s="36">
        <f t="shared" si="126"/>
        <v>139.75</v>
      </c>
      <c r="P560" s="38">
        <f ca="1">IF(ISERROR(IF(O560&lt;fi_h/20,0,(OFFSET('Base de dados'!$A$5,IF(O560&lt;20,1,IF(O560&gt;1000,10,MATCH(O560,Cargas,1))),Coluna_fih,1,1))*(1+0.13*0.25)*(PI()*(fi_h/1000)^2/4)*SQRT(2*9.81*(O560/100-fi_h/2/1000))*1000)),"",IF(O560&lt;fi_h/20,0,(OFFSET('Base de dados'!$A$5,IF(O560&lt;20,1,IF(O560&gt;1000,10,MATCH(O560,Cargas,1))),Coluna_fih,1,1))*(PI()*(fi_h/1000)^2/4)*SQRT(2*9.81*(O560/100-fi_h/2/1000))*1000))</f>
        <v>3.1494803411625507</v>
      </c>
      <c r="Q560" s="38">
        <f ca="1">IF(O560="","",IF(Tipo_Vertedor="Retangular",IF(O560&lt;=cota_s*100,0,IF(Tipo_Vertedor="Retangular",Cd_sr*Lef_sr*((O560/100-cota_s)^(3/2))*1000)),IF(O560&lt;=cota_s*100+fi_s/20,0,(OFFSET('Base de dados'!$A$4,IF(O560&lt;20,1,IF(O560&gt;1000,10,MATCH(O560,Cargas,1))),Coluna_fis,1,1))*(PI()*(fi_s/1000)^2/4)*(2*9.81*(O560/100-cota_s-fi_s/2/1000))^0.5*1000)))</f>
        <v>1.137183831375314</v>
      </c>
      <c r="R560" s="38">
        <f t="shared" ca="1" si="122"/>
        <v>4.2866641725378649</v>
      </c>
      <c r="S560" s="38">
        <f t="shared" ca="1" si="124"/>
        <v>174.6875</v>
      </c>
    </row>
    <row r="561" spans="13:19">
      <c r="M561" s="132">
        <f t="shared" ca="1" si="123"/>
        <v>179.2973901161445</v>
      </c>
      <c r="N561" s="38">
        <f t="shared" si="125"/>
        <v>5.25</v>
      </c>
      <c r="O561" s="36">
        <f t="shared" si="126"/>
        <v>140</v>
      </c>
      <c r="P561" s="38">
        <f ca="1">IF(ISERROR(IF(O561&lt;fi_h/20,0,(OFFSET('Base de dados'!$A$5,IF(O561&lt;20,1,IF(O561&gt;1000,10,MATCH(O561,Cargas,1))),Coluna_fih,1,1))*(1+0.13*0.25)*(PI()*(fi_h/1000)^2/4)*SQRT(2*9.81*(O561/100-fi_h/2/1000))*1000)),"",IF(O561&lt;fi_h/20,0,(OFFSET('Base de dados'!$A$5,IF(O561&lt;20,1,IF(O561&gt;1000,10,MATCH(O561,Cargas,1))),Coluna_fih,1,1))*(PI()*(fi_h/1000)^2/4)*SQRT(2*9.81*(O561/100-fi_h/2/1000))*1000))</f>
        <v>3.1523320470229947</v>
      </c>
      <c r="Q561" s="38">
        <f ca="1">IF(O561="","",IF(Tipo_Vertedor="Retangular",IF(O561&lt;=cota_s*100,0,IF(Tipo_Vertedor="Retangular",Cd_sr*Lef_sr*((O561/100-cota_s)^(3/2))*1000)),IF(O561&lt;=cota_s*100+fi_s/20,0,(OFFSET('Base de dados'!$A$4,IF(O561&lt;20,1,IF(O561&gt;1000,10,MATCH(O561,Cargas,1))),Coluna_fis,1,1))*(PI()*(fi_s/1000)^2/4)*(2*9.81*(O561/100-cota_s-fi_s/2/1000))^0.5*1000)))</f>
        <v>1.1450580691214951</v>
      </c>
      <c r="R561" s="38">
        <f t="shared" ca="1" si="122"/>
        <v>4.2973901161444896</v>
      </c>
      <c r="S561" s="38">
        <f t="shared" ca="1" si="124"/>
        <v>175</v>
      </c>
    </row>
    <row r="562" spans="13:19">
      <c r="M562" s="132">
        <f t="shared" ca="1" si="123"/>
        <v>179.62055970201428</v>
      </c>
      <c r="N562" s="38">
        <f t="shared" si="125"/>
        <v>5.2593750000000004</v>
      </c>
      <c r="O562" s="36">
        <f t="shared" si="126"/>
        <v>140.25</v>
      </c>
      <c r="P562" s="38">
        <f ca="1">IF(ISERROR(IF(O562&lt;fi_h/20,0,(OFFSET('Base de dados'!$A$5,IF(O562&lt;20,1,IF(O562&gt;1000,10,MATCH(O562,Cargas,1))),Coluna_fih,1,1))*(1+0.13*0.25)*(PI()*(fi_h/1000)^2/4)*SQRT(2*9.81*(O562/100-fi_h/2/1000))*1000)),"",IF(O562&lt;fi_h/20,0,(OFFSET('Base de dados'!$A$5,IF(O562&lt;20,1,IF(O562&gt;1000,10,MATCH(O562,Cargas,1))),Coluna_fih,1,1))*(PI()*(fi_h/1000)^2/4)*SQRT(2*9.81*(O562/100-fi_h/2/1000))*1000))</f>
        <v>3.1551811754647296</v>
      </c>
      <c r="Q562" s="38">
        <f ca="1">IF(O562="","",IF(Tipo_Vertedor="Retangular",IF(O562&lt;=cota_s*100,0,IF(Tipo_Vertedor="Retangular",Cd_sr*Lef_sr*((O562/100-cota_s)^(3/2))*1000)),IF(O562&lt;=cota_s*100+fi_s/20,0,(OFFSET('Base de dados'!$A$4,IF(O562&lt;20,1,IF(O562&gt;1000,10,MATCH(O562,Cargas,1))),Coluna_fis,1,1))*(PI()*(fi_s/1000)^2/4)*(2*9.81*(O562/100-cota_s-fi_s/2/1000))^0.5*1000)))</f>
        <v>1.1528785265495476</v>
      </c>
      <c r="R562" s="38">
        <f t="shared" ca="1" si="122"/>
        <v>4.308059702014277</v>
      </c>
      <c r="S562" s="38">
        <f t="shared" ca="1" si="124"/>
        <v>175.3125</v>
      </c>
    </row>
    <row r="563" spans="13:19">
      <c r="M563" s="132">
        <f t="shared" ca="1" si="123"/>
        <v>179.94367402424217</v>
      </c>
      <c r="N563" s="38">
        <f t="shared" si="125"/>
        <v>5.2687499999999998</v>
      </c>
      <c r="O563" s="36">
        <f t="shared" si="126"/>
        <v>140.5</v>
      </c>
      <c r="P563" s="38">
        <f ca="1">IF(ISERROR(IF(O563&lt;fi_h/20,0,(OFFSET('Base de dados'!$A$5,IF(O563&lt;20,1,IF(O563&gt;1000,10,MATCH(O563,Cargas,1))),Coluna_fih,1,1))*(1+0.13*0.25)*(PI()*(fi_h/1000)^2/4)*SQRT(2*9.81*(O563/100-fi_h/2/1000))*1000)),"",IF(O563&lt;fi_h/20,0,(OFFSET('Base de dados'!$A$5,IF(O563&lt;20,1,IF(O563&gt;1000,10,MATCH(O563,Cargas,1))),Coluna_fih,1,1))*(PI()*(fi_h/1000)^2/4)*SQRT(2*9.81*(O563/100-fi_h/2/1000))*1000))</f>
        <v>3.158027733463689</v>
      </c>
      <c r="Q563" s="38">
        <f ca="1">IF(O563="","",IF(Tipo_Vertedor="Retangular",IF(O563&lt;=cota_s*100,0,IF(Tipo_Vertedor="Retangular",Cd_sr*Lef_sr*((O563/100-cota_s)^(3/2))*1000)),IF(O563&lt;=cota_s*100+fi_s/20,0,(OFFSET('Base de dados'!$A$4,IF(O563&lt;20,1,IF(O563&gt;1000,10,MATCH(O563,Cargas,1))),Coluna_fis,1,1))*(PI()*(fi_s/1000)^2/4)*(2*9.81*(O563/100-cota_s-fi_s/2/1000))^0.5*1000)))</f>
        <v>1.1606462907784885</v>
      </c>
      <c r="R563" s="38">
        <f t="shared" ca="1" si="122"/>
        <v>4.3186740242421777</v>
      </c>
      <c r="S563" s="38">
        <f t="shared" ca="1" si="124"/>
        <v>175.625</v>
      </c>
    </row>
    <row r="564" spans="13:19">
      <c r="M564" s="132">
        <f t="shared" ca="1" si="123"/>
        <v>180.26673414075276</v>
      </c>
      <c r="N564" s="38">
        <f t="shared" si="125"/>
        <v>5.2781250000000002</v>
      </c>
      <c r="O564" s="36">
        <f t="shared" si="126"/>
        <v>140.75</v>
      </c>
      <c r="P564" s="38">
        <f ca="1">IF(ISERROR(IF(O564&lt;fi_h/20,0,(OFFSET('Base de dados'!$A$5,IF(O564&lt;20,1,IF(O564&gt;1000,10,MATCH(O564,Cargas,1))),Coluna_fih,1,1))*(1+0.13*0.25)*(PI()*(fi_h/1000)^2/4)*SQRT(2*9.81*(O564/100-fi_h/2/1000))*1000)),"",IF(O564&lt;fi_h/20,0,(OFFSET('Base de dados'!$A$5,IF(O564&lt;20,1,IF(O564&gt;1000,10,MATCH(O564,Cargas,1))),Coluna_fih,1,1))*(PI()*(fi_h/1000)^2/4)*SQRT(2*9.81*(O564/100-fi_h/2/1000))*1000))</f>
        <v>3.1608717279643934</v>
      </c>
      <c r="Q564" s="38">
        <f ca="1">IF(O564="","",IF(Tipo_Vertedor="Retangular",IF(O564&lt;=cota_s*100,0,IF(Tipo_Vertedor="Retangular",Cd_sr*Lef_sr*((O564/100-cota_s)^(3/2))*1000)),IF(O564&lt;=cota_s*100+fi_s/20,0,(OFFSET('Base de dados'!$A$4,IF(O564&lt;20,1,IF(O564&gt;1000,10,MATCH(O564,Cargas,1))),Coluna_fis,1,1))*(PI()*(fi_s/1000)^2/4)*(2*9.81*(O564/100-cota_s-fi_s/2/1000))^0.5*1000)))</f>
        <v>1.1683624127883743</v>
      </c>
      <c r="R564" s="38">
        <f t="shared" ca="1" si="122"/>
        <v>4.3292341407527672</v>
      </c>
      <c r="S564" s="38">
        <f t="shared" ca="1" si="124"/>
        <v>175.9375</v>
      </c>
    </row>
    <row r="565" spans="13:19">
      <c r="M565" s="132">
        <f t="shared" ca="1" si="123"/>
        <v>180.58974107496033</v>
      </c>
      <c r="N565" s="38">
        <f t="shared" si="125"/>
        <v>5.2874999999999996</v>
      </c>
      <c r="O565" s="36">
        <f t="shared" si="126"/>
        <v>141</v>
      </c>
      <c r="P565" s="38">
        <f ca="1">IF(ISERROR(IF(O565&lt;fi_h/20,0,(OFFSET('Base de dados'!$A$5,IF(O565&lt;20,1,IF(O565&gt;1000,10,MATCH(O565,Cargas,1))),Coluna_fih,1,1))*(1+0.13*0.25)*(PI()*(fi_h/1000)^2/4)*SQRT(2*9.81*(O565/100-fi_h/2/1000))*1000)),"",IF(O565&lt;fi_h/20,0,(OFFSET('Base de dados'!$A$5,IF(O565&lt;20,1,IF(O565&gt;1000,10,MATCH(O565,Cargas,1))),Coluna_fih,1,1))*(PI()*(fi_h/1000)^2/4)*SQRT(2*9.81*(O565/100-fi_h/2/1000))*1000))</f>
        <v>3.1637131658801527</v>
      </c>
      <c r="Q565" s="38">
        <f ca="1">IF(O565="","",IF(Tipo_Vertedor="Retangular",IF(O565&lt;=cota_s*100,0,IF(Tipo_Vertedor="Retangular",Cd_sr*Lef_sr*((O565/100-cota_s)^(3/2))*1000)),IF(O565&lt;=cota_s*100+fi_s/20,0,(OFFSET('Base de dados'!$A$4,IF(O565&lt;20,1,IF(O565&gt;1000,10,MATCH(O565,Cargas,1))),Coluna_fis,1,1))*(PI()*(fi_s/1000)^2/4)*(2*9.81*(O565/100-cota_s-fi_s/2/1000))^0.5*1000)))</f>
        <v>1.1760279090801711</v>
      </c>
      <c r="R565" s="38">
        <f t="shared" ca="1" si="122"/>
        <v>4.3397410749603242</v>
      </c>
      <c r="S565" s="38">
        <f t="shared" ca="1" si="124"/>
        <v>176.25</v>
      </c>
    </row>
    <row r="566" spans="13:19">
      <c r="M566" s="132">
        <f t="shared" ca="1" si="123"/>
        <v>180.91269581733212</v>
      </c>
      <c r="N566" s="38">
        <f t="shared" si="125"/>
        <v>5.296875</v>
      </c>
      <c r="O566" s="36">
        <f t="shared" si="126"/>
        <v>141.25</v>
      </c>
      <c r="P566" s="38">
        <f ca="1">IF(ISERROR(IF(O566&lt;fi_h/20,0,(OFFSET('Base de dados'!$A$5,IF(O566&lt;20,1,IF(O566&gt;1000,10,MATCH(O566,Cargas,1))),Coluna_fih,1,1))*(1+0.13*0.25)*(PI()*(fi_h/1000)^2/4)*SQRT(2*9.81*(O566/100-fi_h/2/1000))*1000)),"",IF(O566&lt;fi_h/20,0,(OFFSET('Base de dados'!$A$5,IF(O566&lt;20,1,IF(O566&gt;1000,10,MATCH(O566,Cargas,1))),Coluna_fih,1,1))*(PI()*(fi_h/1000)^2/4)*SQRT(2*9.81*(O566/100-fi_h/2/1000))*1000))</f>
        <v>3.1665520540932572</v>
      </c>
      <c r="Q566" s="38">
        <f ca="1">IF(O566="","",IF(Tipo_Vertedor="Retangular",IF(O566&lt;=cota_s*100,0,IF(Tipo_Vertedor="Retangular",Cd_sr*Lef_sr*((O566/100-cota_s)^(3/2))*1000)),IF(O566&lt;=cota_s*100+fi_s/20,0,(OFFSET('Base de dados'!$A$4,IF(O566&lt;20,1,IF(O566&gt;1000,10,MATCH(O566,Cargas,1))),Coluna_fis,1,1))*(PI()*(fi_s/1000)^2/4)*(2*9.81*(O566/100-cota_s-fi_s/2/1000))^0.5*1000)))</f>
        <v>1.1836437632388763</v>
      </c>
      <c r="R566" s="38">
        <f t="shared" ref="R566:R629" ca="1" si="127">IF(O566="","",Q566+P566)</f>
        <v>4.3501958173321338</v>
      </c>
      <c r="S566" s="38">
        <f t="shared" ca="1" si="124"/>
        <v>176.5625</v>
      </c>
    </row>
    <row r="567" spans="13:19">
      <c r="M567" s="132">
        <f t="shared" ca="1" si="123"/>
        <v>181.23559932686186</v>
      </c>
      <c r="N567" s="38">
        <f t="shared" si="125"/>
        <v>5.3062500000000004</v>
      </c>
      <c r="O567" s="36">
        <f t="shared" si="126"/>
        <v>141.5</v>
      </c>
      <c r="P567" s="38">
        <f ca="1">IF(ISERROR(IF(O567&lt;fi_h/20,0,(OFFSET('Base de dados'!$A$5,IF(O567&lt;20,1,IF(O567&gt;1000,10,MATCH(O567,Cargas,1))),Coluna_fih,1,1))*(1+0.13*0.25)*(PI()*(fi_h/1000)^2/4)*SQRT(2*9.81*(O567/100-fi_h/2/1000))*1000)),"",IF(O567&lt;fi_h/20,0,(OFFSET('Base de dados'!$A$5,IF(O567&lt;20,1,IF(O567&gt;1000,10,MATCH(O567,Cargas,1))),Coluna_fih,1,1))*(PI()*(fi_h/1000)^2/4)*SQRT(2*9.81*(O567/100-fi_h/2/1000))*1000))</f>
        <v>3.1693883994551748</v>
      </c>
      <c r="Q567" s="38">
        <f ca="1">IF(O567="","",IF(Tipo_Vertedor="Retangular",IF(O567&lt;=cota_s*100,0,IF(Tipo_Vertedor="Retangular",Cd_sr*Lef_sr*((O567/100-cota_s)^(3/2))*1000)),IF(O567&lt;=cota_s*100+fi_s/20,0,(OFFSET('Base de dados'!$A$4,IF(O567&lt;20,1,IF(O567&gt;1000,10,MATCH(O567,Cargas,1))),Coluna_fis,1,1))*(PI()*(fi_s/1000)^2/4)*(2*9.81*(O567/100-cota_s-fi_s/2/1000))^0.5*1000)))</f>
        <v>1.1912109274066858</v>
      </c>
      <c r="R567" s="38">
        <f t="shared" ca="1" si="127"/>
        <v>4.3605993268618608</v>
      </c>
      <c r="S567" s="38">
        <f t="shared" ca="1" si="124"/>
        <v>176.875</v>
      </c>
    </row>
    <row r="568" spans="13:19">
      <c r="M568" s="132">
        <f t="shared" ca="1" si="123"/>
        <v>181.55845253245923</v>
      </c>
      <c r="N568" s="38">
        <f t="shared" si="125"/>
        <v>5.3156249999999998</v>
      </c>
      <c r="O568" s="36">
        <f t="shared" si="126"/>
        <v>141.75</v>
      </c>
      <c r="P568" s="38">
        <f ca="1">IF(ISERROR(IF(O568&lt;fi_h/20,0,(OFFSET('Base de dados'!$A$5,IF(O568&lt;20,1,IF(O568&gt;1000,10,MATCH(O568,Cargas,1))),Coluna_fih,1,1))*(1+0.13*0.25)*(PI()*(fi_h/1000)^2/4)*SQRT(2*9.81*(O568/100-fi_h/2/1000))*1000)),"",IF(O568&lt;fi_h/20,0,(OFFSET('Base de dados'!$A$5,IF(O568&lt;20,1,IF(O568&gt;1000,10,MATCH(O568,Cargas,1))),Coluna_fih,1,1))*(PI()*(fi_h/1000)^2/4)*SQRT(2*9.81*(O568/100-fi_h/2/1000))*1000))</f>
        <v>3.1722222087867431</v>
      </c>
      <c r="Q568" s="38">
        <f ca="1">IF(O568="","",IF(Tipo_Vertedor="Retangular",IF(O568&lt;=cota_s*100,0,IF(Tipo_Vertedor="Retangular",Cd_sr*Lef_sr*((O568/100-cota_s)^(3/2))*1000)),IF(O568&lt;=cota_s*100+fi_s/20,0,(OFFSET('Base de dados'!$A$4,IF(O568&lt;20,1,IF(O568&gt;1000,10,MATCH(O568,Cargas,1))),Coluna_fis,1,1))*(PI()*(fi_s/1000)^2/4)*(2*9.81*(O568/100-cota_s-fi_s/2/1000))^0.5*1000)))</f>
        <v>1.19873032367247</v>
      </c>
      <c r="R568" s="38">
        <f t="shared" ca="1" si="127"/>
        <v>4.3709525324592136</v>
      </c>
      <c r="S568" s="38">
        <f t="shared" ca="1" si="124"/>
        <v>177.1875</v>
      </c>
    </row>
    <row r="569" spans="13:19">
      <c r="M569" s="132">
        <f t="shared" ca="1" si="123"/>
        <v>181.88125633426162</v>
      </c>
      <c r="N569" s="38">
        <f t="shared" si="125"/>
        <v>5.3249999999999993</v>
      </c>
      <c r="O569" s="36">
        <f t="shared" si="126"/>
        <v>142</v>
      </c>
      <c r="P569" s="38">
        <f ca="1">IF(ISERROR(IF(O569&lt;fi_h/20,0,(OFFSET('Base de dados'!$A$5,IF(O569&lt;20,1,IF(O569&gt;1000,10,MATCH(O569,Cargas,1))),Coluna_fih,1,1))*(1+0.13*0.25)*(PI()*(fi_h/1000)^2/4)*SQRT(2*9.81*(O569/100-fi_h/2/1000))*1000)),"",IF(O569&lt;fi_h/20,0,(OFFSET('Base de dados'!$A$5,IF(O569&lt;20,1,IF(O569&gt;1000,10,MATCH(O569,Cargas,1))),Coluna_fih,1,1))*(PI()*(fi_h/1000)^2/4)*SQRT(2*9.81*(O569/100-fi_h/2/1000))*1000))</f>
        <v>3.175053488878361</v>
      </c>
      <c r="Q569" s="38">
        <f ca="1">IF(O569="","",IF(Tipo_Vertedor="Retangular",IF(O569&lt;=cota_s*100,0,IF(Tipo_Vertedor="Retangular",Cd_sr*Lef_sr*((O569/100-cota_s)^(3/2))*1000)),IF(O569&lt;=cota_s*100+fi_s/20,0,(OFFSET('Base de dados'!$A$4,IF(O569&lt;20,1,IF(O569&gt;1000,10,MATCH(O569,Cargas,1))),Coluna_fis,1,1))*(PI()*(fi_s/1000)^2/4)*(2*9.81*(O569/100-cota_s-fi_s/2/1000))^0.5*1000)))</f>
        <v>1.2062028453832763</v>
      </c>
      <c r="R569" s="38">
        <f t="shared" ca="1" si="127"/>
        <v>4.3812563342616375</v>
      </c>
      <c r="S569" s="38">
        <f t="shared" ca="1" si="124"/>
        <v>177.49999999999997</v>
      </c>
    </row>
    <row r="570" spans="13:19">
      <c r="M570" s="132">
        <f t="shared" ca="1" si="123"/>
        <v>182.20401160487336</v>
      </c>
      <c r="N570" s="38">
        <f t="shared" si="125"/>
        <v>5.3343750000000005</v>
      </c>
      <c r="O570" s="36">
        <f t="shared" si="126"/>
        <v>142.25</v>
      </c>
      <c r="P570" s="38">
        <f ca="1">IF(ISERROR(IF(O570&lt;fi_h/20,0,(OFFSET('Base de dados'!$A$5,IF(O570&lt;20,1,IF(O570&gt;1000,10,MATCH(O570,Cargas,1))),Coluna_fih,1,1))*(1+0.13*0.25)*(PI()*(fi_h/1000)^2/4)*SQRT(2*9.81*(O570/100-fi_h/2/1000))*1000)),"",IF(O570&lt;fi_h/20,0,(OFFSET('Base de dados'!$A$5,IF(O570&lt;20,1,IF(O570&gt;1000,10,MATCH(O570,Cargas,1))),Coluna_fih,1,1))*(PI()*(fi_h/1000)^2/4)*SQRT(2*9.81*(O570/100-fi_h/2/1000))*1000))</f>
        <v>3.1778822464901779</v>
      </c>
      <c r="Q570" s="38">
        <f ca="1">IF(O570="","",IF(Tipo_Vertedor="Retangular",IF(O570&lt;=cota_s*100,0,IF(Tipo_Vertedor="Retangular",Cd_sr*Lef_sr*((O570/100-cota_s)^(3/2))*1000)),IF(O570&lt;=cota_s*100+fi_s/20,0,(OFFSET('Base de dados'!$A$4,IF(O570&lt;20,1,IF(O570&gt;1000,10,MATCH(O570,Cargas,1))),Coluna_fis,1,1))*(PI()*(fi_s/1000)^2/4)*(2*9.81*(O570/100-cota_s-fi_s/2/1000))^0.5*1000)))</f>
        <v>1.2136293583831603</v>
      </c>
      <c r="R570" s="38">
        <f t="shared" ca="1" si="127"/>
        <v>4.3915116048733385</v>
      </c>
      <c r="S570" s="38">
        <f t="shared" ca="1" si="124"/>
        <v>177.81250000000003</v>
      </c>
    </row>
    <row r="571" spans="13:19">
      <c r="M571" s="132">
        <f t="shared" ca="1" si="123"/>
        <v>182.52671919053648</v>
      </c>
      <c r="N571" s="38">
        <f t="shared" si="125"/>
        <v>5.34375</v>
      </c>
      <c r="O571" s="36">
        <f t="shared" si="126"/>
        <v>142.5</v>
      </c>
      <c r="P571" s="38">
        <f ca="1">IF(ISERROR(IF(O571&lt;fi_h/20,0,(OFFSET('Base de dados'!$A$5,IF(O571&lt;20,1,IF(O571&gt;1000,10,MATCH(O571,Cargas,1))),Coluna_fih,1,1))*(1+0.13*0.25)*(PI()*(fi_h/1000)^2/4)*SQRT(2*9.81*(O571/100-fi_h/2/1000))*1000)),"",IF(O571&lt;fi_h/20,0,(OFFSET('Base de dados'!$A$5,IF(O571&lt;20,1,IF(O571&gt;1000,10,MATCH(O571,Cargas,1))),Coluna_fih,1,1))*(PI()*(fi_h/1000)^2/4)*SQRT(2*9.81*(O571/100-fi_h/2/1000))*1000))</f>
        <v>3.180708488352284</v>
      </c>
      <c r="Q571" s="38">
        <f ca="1">IF(O571="","",IF(Tipo_Vertedor="Retangular",IF(O571&lt;=cota_s*100,0,IF(Tipo_Vertedor="Retangular",Cd_sr*Lef_sr*((O571/100-cota_s)^(3/2))*1000)),IF(O571&lt;=cota_s*100+fi_s/20,0,(OFFSET('Base de dados'!$A$4,IF(O571&lt;20,1,IF(O571&gt;1000,10,MATCH(O571,Cargas,1))),Coluna_fis,1,1))*(PI()*(fi_s/1000)^2/4)*(2*9.81*(O571/100-cota_s-fi_s/2/1000))^0.5*1000)))</f>
        <v>1.2210107021841903</v>
      </c>
      <c r="R571" s="38">
        <f t="shared" ca="1" si="127"/>
        <v>4.4017191905364745</v>
      </c>
      <c r="S571" s="38">
        <f t="shared" ca="1" si="124"/>
        <v>178.125</v>
      </c>
    </row>
    <row r="572" spans="13:19">
      <c r="M572" s="132">
        <f t="shared" ca="1" si="123"/>
        <v>182.84937991223902</v>
      </c>
      <c r="N572" s="38">
        <f t="shared" si="125"/>
        <v>5.3531250000000004</v>
      </c>
      <c r="O572" s="36">
        <f t="shared" si="126"/>
        <v>142.75</v>
      </c>
      <c r="P572" s="38">
        <f ca="1">IF(ISERROR(IF(O572&lt;fi_h/20,0,(OFFSET('Base de dados'!$A$5,IF(O572&lt;20,1,IF(O572&gt;1000,10,MATCH(O572,Cargas,1))),Coluna_fih,1,1))*(1+0.13*0.25)*(PI()*(fi_h/1000)^2/4)*SQRT(2*9.81*(O572/100-fi_h/2/1000))*1000)),"",IF(O572&lt;fi_h/20,0,(OFFSET('Base de dados'!$A$5,IF(O572&lt;20,1,IF(O572&gt;1000,10,MATCH(O572,Cargas,1))),Coluna_fih,1,1))*(PI()*(fi_h/1000)^2/4)*SQRT(2*9.81*(O572/100-fi_h/2/1000))*1000))</f>
        <v>3.1835322211648927</v>
      </c>
      <c r="Q572" s="38">
        <f ca="1">IF(O572="","",IF(Tipo_Vertedor="Retangular",IF(O572&lt;=cota_s*100,0,IF(Tipo_Vertedor="Retangular",Cd_sr*Lef_sr*((O572/100-cota_s)^(3/2))*1000)),IF(O572&lt;=cota_s*100+fi_s/20,0,(OFFSET('Base de dados'!$A$4,IF(O572&lt;20,1,IF(O572&gt;1000,10,MATCH(O572,Cargas,1))),Coluna_fis,1,1))*(PI()*(fi_s/1000)^2/4)*(2*9.81*(O572/100-cota_s-fi_s/2/1000))^0.5*1000)))</f>
        <v>1.2283476910741262</v>
      </c>
      <c r="R572" s="38">
        <f t="shared" ca="1" si="127"/>
        <v>4.4118799122390193</v>
      </c>
      <c r="S572" s="38">
        <f t="shared" ca="1" si="124"/>
        <v>178.4375</v>
      </c>
    </row>
    <row r="573" spans="13:19">
      <c r="M573" s="132">
        <f t="shared" ca="1" si="123"/>
        <v>183.17199456676343</v>
      </c>
      <c r="N573" s="38">
        <f t="shared" si="125"/>
        <v>5.3624999999999998</v>
      </c>
      <c r="O573" s="36">
        <f t="shared" si="126"/>
        <v>143</v>
      </c>
      <c r="P573" s="38">
        <f ca="1">IF(ISERROR(IF(O573&lt;fi_h/20,0,(OFFSET('Base de dados'!$A$5,IF(O573&lt;20,1,IF(O573&gt;1000,10,MATCH(O573,Cargas,1))),Coluna_fih,1,1))*(1+0.13*0.25)*(PI()*(fi_h/1000)^2/4)*SQRT(2*9.81*(O573/100-fi_h/2/1000))*1000)),"",IF(O573&lt;fi_h/20,0,(OFFSET('Base de dados'!$A$5,IF(O573&lt;20,1,IF(O573&gt;1000,10,MATCH(O573,Cargas,1))),Coluna_fih,1,1))*(PI()*(fi_h/1000)^2/4)*SQRT(2*9.81*(O573/100-fi_h/2/1000))*1000))</f>
        <v>3.1863534515985328</v>
      </c>
      <c r="Q573" s="38">
        <f ca="1">IF(O573="","",IF(Tipo_Vertedor="Retangular",IF(O573&lt;=cota_s*100,0,IF(Tipo_Vertedor="Retangular",Cd_sr*Lef_sr*((O573/100-cota_s)^(3/2))*1000)),IF(O573&lt;=cota_s*100+fi_s/20,0,(OFFSET('Base de dados'!$A$4,IF(O573&lt;20,1,IF(O573&gt;1000,10,MATCH(O573,Cargas,1))),Coluna_fis,1,1))*(PI()*(fi_s/1000)^2/4)*(2*9.81*(O573/100-cota_s-fi_s/2/1000))^0.5*1000)))</f>
        <v>1.2356411151648949</v>
      </c>
      <c r="R573" s="38">
        <f t="shared" ca="1" si="127"/>
        <v>4.4219945667634279</v>
      </c>
      <c r="S573" s="38">
        <f t="shared" ca="1" si="124"/>
        <v>178.75</v>
      </c>
    </row>
    <row r="574" spans="13:19">
      <c r="M574" s="132">
        <f t="shared" ca="1" si="123"/>
        <v>183.49456392767991</v>
      </c>
      <c r="N574" s="38">
        <f t="shared" si="125"/>
        <v>5.3718750000000002</v>
      </c>
      <c r="O574" s="36">
        <f t="shared" si="126"/>
        <v>143.25</v>
      </c>
      <c r="P574" s="38">
        <f ca="1">IF(ISERROR(IF(O574&lt;fi_h/20,0,(OFFSET('Base de dados'!$A$5,IF(O574&lt;20,1,IF(O574&gt;1000,10,MATCH(O574,Cargas,1))),Coluna_fih,1,1))*(1+0.13*0.25)*(PI()*(fi_h/1000)^2/4)*SQRT(2*9.81*(O574/100-fi_h/2/1000))*1000)),"",IF(O574&lt;fi_h/20,0,(OFFSET('Base de dados'!$A$5,IF(O574&lt;20,1,IF(O574&gt;1000,10,MATCH(O574,Cargas,1))),Coluna_fih,1,1))*(PI()*(fi_h/1000)^2/4)*SQRT(2*9.81*(O574/100-fi_h/2/1000))*1000))</f>
        <v>3.1891721862942264</v>
      </c>
      <c r="Q574" s="38">
        <f ca="1">IF(O574="","",IF(Tipo_Vertedor="Retangular",IF(O574&lt;=cota_s*100,0,IF(Tipo_Vertedor="Retangular",Cd_sr*Lef_sr*((O574/100-cota_s)^(3/2))*1000)),IF(O574&lt;=cota_s*100+fi_s/20,0,(OFFSET('Base de dados'!$A$4,IF(O574&lt;20,1,IF(O574&gt;1000,10,MATCH(O574,Cargas,1))),Coluna_fis,1,1))*(PI()*(fi_s/1000)^2/4)*(2*9.81*(O574/100-cota_s-fi_s/2/1000))^0.5*1000)))</f>
        <v>1.2428917413856908</v>
      </c>
      <c r="R574" s="38">
        <f t="shared" ca="1" si="127"/>
        <v>4.4320639276799172</v>
      </c>
      <c r="S574" s="38">
        <f t="shared" ca="1" si="124"/>
        <v>179.0625</v>
      </c>
    </row>
    <row r="575" spans="13:19">
      <c r="M575" s="132">
        <f t="shared" ca="1" si="123"/>
        <v>183.81708874628794</v>
      </c>
      <c r="N575" s="38">
        <f t="shared" si="125"/>
        <v>5.3812500000000005</v>
      </c>
      <c r="O575" s="36">
        <f t="shared" si="126"/>
        <v>143.5</v>
      </c>
      <c r="P575" s="38">
        <f ca="1">IF(ISERROR(IF(O575&lt;fi_h/20,0,(OFFSET('Base de dados'!$A$5,IF(O575&lt;20,1,IF(O575&gt;1000,10,MATCH(O575,Cargas,1))),Coluna_fih,1,1))*(1+0.13*0.25)*(PI()*(fi_h/1000)^2/4)*SQRT(2*9.81*(O575/100-fi_h/2/1000))*1000)),"",IF(O575&lt;fi_h/20,0,(OFFSET('Base de dados'!$A$5,IF(O575&lt;20,1,IF(O575&gt;1000,10,MATCH(O575,Cargas,1))),Coluna_fih,1,1))*(PI()*(fi_h/1000)^2/4)*SQRT(2*9.81*(O575/100-fi_h/2/1000))*1000))</f>
        <v>3.1919884318636713</v>
      </c>
      <c r="Q575" s="38">
        <f ca="1">IF(O575="","",IF(Tipo_Vertedor="Retangular",IF(O575&lt;=cota_s*100,0,IF(Tipo_Vertedor="Retangular",Cd_sr*Lef_sr*((O575/100-cota_s)^(3/2))*1000)),IF(O575&lt;=cota_s*100+fi_s/20,0,(OFFSET('Base de dados'!$A$4,IF(O575&lt;20,1,IF(O575&gt;1000,10,MATCH(O575,Cargas,1))),Coluna_fis,1,1))*(PI()*(fi_s/1000)^2/4)*(2*9.81*(O575/100-cota_s-fi_s/2/1000))^0.5*1000)))</f>
        <v>1.2501003144242315</v>
      </c>
      <c r="R575" s="38">
        <f t="shared" ca="1" si="127"/>
        <v>4.4420887462879026</v>
      </c>
      <c r="S575" s="38">
        <f t="shared" ca="1" si="124"/>
        <v>179.37500000000003</v>
      </c>
    </row>
    <row r="576" spans="13:19">
      <c r="M576" s="132">
        <f t="shared" ca="1" si="123"/>
        <v>184.13956975250886</v>
      </c>
      <c r="N576" s="38">
        <f t="shared" si="125"/>
        <v>5.390625</v>
      </c>
      <c r="O576" s="36">
        <f t="shared" si="126"/>
        <v>143.75</v>
      </c>
      <c r="P576" s="38">
        <f ca="1">IF(ISERROR(IF(O576&lt;fi_h/20,0,(OFFSET('Base de dados'!$A$5,IF(O576&lt;20,1,IF(O576&gt;1000,10,MATCH(O576,Cargas,1))),Coluna_fih,1,1))*(1+0.13*0.25)*(PI()*(fi_h/1000)^2/4)*SQRT(2*9.81*(O576/100-fi_h/2/1000))*1000)),"",IF(O576&lt;fi_h/20,0,(OFFSET('Base de dados'!$A$5,IF(O576&lt;20,1,IF(O576&gt;1000,10,MATCH(O576,Cargas,1))),Coluna_fih,1,1))*(PI()*(fi_h/1000)^2/4)*SQRT(2*9.81*(O576/100-fi_h/2/1000))*1000))</f>
        <v>3.1948021948894283</v>
      </c>
      <c r="Q576" s="38">
        <f ca="1">IF(O576="","",IF(Tipo_Vertedor="Retangular",IF(O576&lt;=cota_s*100,0,IF(Tipo_Vertedor="Retangular",Cd_sr*Lef_sr*((O576/100-cota_s)^(3/2))*1000)),IF(O576&lt;=cota_s*100+fi_s/20,0,(OFFSET('Base de dados'!$A$4,IF(O576&lt;20,1,IF(O576&gt;1000,10,MATCH(O576,Cargas,1))),Coluna_fis,1,1))*(PI()*(fi_s/1000)^2/4)*(2*9.81*(O576/100-cota_s-fi_s/2/1000))^0.5*1000)))</f>
        <v>1.2572675576194474</v>
      </c>
      <c r="R576" s="38">
        <f t="shared" ca="1" si="127"/>
        <v>4.4520697525088755</v>
      </c>
      <c r="S576" s="38">
        <f t="shared" ca="1" si="124"/>
        <v>179.6875</v>
      </c>
    </row>
    <row r="577" spans="13:19">
      <c r="M577" s="132">
        <f t="shared" ca="1" si="123"/>
        <v>184.46200765573369</v>
      </c>
      <c r="N577" s="38">
        <f t="shared" si="125"/>
        <v>5.3999999999999995</v>
      </c>
      <c r="O577" s="36">
        <f t="shared" si="126"/>
        <v>144</v>
      </c>
      <c r="P577" s="38">
        <f ca="1">IF(ISERROR(IF(O577&lt;fi_h/20,0,(OFFSET('Base de dados'!$A$5,IF(O577&lt;20,1,IF(O577&gt;1000,10,MATCH(O577,Cargas,1))),Coluna_fih,1,1))*(1+0.13*0.25)*(PI()*(fi_h/1000)^2/4)*SQRT(2*9.81*(O577/100-fi_h/2/1000))*1000)),"",IF(O577&lt;fi_h/20,0,(OFFSET('Base de dados'!$A$5,IF(O577&lt;20,1,IF(O577&gt;1000,10,MATCH(O577,Cargas,1))),Coluna_fih,1,1))*(PI()*(fi_h/1000)^2/4)*SQRT(2*9.81*(O577/100-fi_h/2/1000))*1000))</f>
        <v>3.1976134819250932</v>
      </c>
      <c r="Q577" s="38">
        <f ca="1">IF(O577="","",IF(Tipo_Vertedor="Retangular",IF(O577&lt;=cota_s*100,0,IF(Tipo_Vertedor="Retangular",Cd_sr*Lef_sr*((O577/100-cota_s)^(3/2))*1000)),IF(O577&lt;=cota_s*100+fi_s/20,0,(OFFSET('Base de dados'!$A$4,IF(O577&lt;20,1,IF(O577&gt;1000,10,MATCH(O577,Cargas,1))),Coluna_fis,1,1))*(PI()*(fi_s/1000)^2/4)*(2*9.81*(O577/100-cota_s-fi_s/2/1000))^0.5*1000)))</f>
        <v>1.2643941738086182</v>
      </c>
      <c r="R577" s="38">
        <f t="shared" ca="1" si="127"/>
        <v>4.4620076557337116</v>
      </c>
      <c r="S577" s="38">
        <f t="shared" ca="1" si="124"/>
        <v>179.99999999999997</v>
      </c>
    </row>
    <row r="578" spans="13:19">
      <c r="M578" s="132">
        <f t="shared" ca="1" si="123"/>
        <v>184.78440314562727</v>
      </c>
      <c r="N578" s="38">
        <f t="shared" si="125"/>
        <v>5.4093749999999998</v>
      </c>
      <c r="O578" s="36">
        <f t="shared" si="126"/>
        <v>144.25</v>
      </c>
      <c r="P578" s="38">
        <f ca="1">IF(ISERROR(IF(O578&lt;fi_h/20,0,(OFFSET('Base de dados'!$A$5,IF(O578&lt;20,1,IF(O578&gt;1000,10,MATCH(O578,Cargas,1))),Coluna_fih,1,1))*(1+0.13*0.25)*(PI()*(fi_h/1000)^2/4)*SQRT(2*9.81*(O578/100-fi_h/2/1000))*1000)),"",IF(O578&lt;fi_h/20,0,(OFFSET('Base de dados'!$A$5,IF(O578&lt;20,1,IF(O578&gt;1000,10,MATCH(O578,Cargas,1))),Coluna_fih,1,1))*(PI()*(fi_h/1000)^2/4)*SQRT(2*9.81*(O578/100-fi_h/2/1000))*1000))</f>
        <v>3.2004222994954783</v>
      </c>
      <c r="Q578" s="38">
        <f ca="1">IF(O578="","",IF(Tipo_Vertedor="Retangular",IF(O578&lt;=cota_s*100,0,IF(Tipo_Vertedor="Retangular",Cd_sr*Lef_sr*((O578/100-cota_s)^(3/2))*1000)),IF(O578&lt;=cota_s*100+fi_s/20,0,(OFFSET('Base de dados'!$A$4,IF(O578&lt;20,1,IF(O578&gt;1000,10,MATCH(O578,Cargas,1))),Coluna_fis,1,1))*(PI()*(fi_s/1000)^2/4)*(2*9.81*(O578/100-cota_s-fi_s/2/1000))^0.5*1000)))</f>
        <v>1.2714808461317795</v>
      </c>
      <c r="R578" s="38">
        <f t="shared" ca="1" si="127"/>
        <v>4.471903145627258</v>
      </c>
      <c r="S578" s="38">
        <f t="shared" ca="1" si="124"/>
        <v>180.3125</v>
      </c>
    </row>
    <row r="579" spans="13:19">
      <c r="M579" s="132">
        <f t="shared" ca="1" si="123"/>
        <v>185.10675689289278</v>
      </c>
      <c r="N579" s="38">
        <f t="shared" si="125"/>
        <v>5.4187500000000002</v>
      </c>
      <c r="O579" s="36">
        <f t="shared" si="126"/>
        <v>144.5</v>
      </c>
      <c r="P579" s="38">
        <f ca="1">IF(ISERROR(IF(O579&lt;fi_h/20,0,(OFFSET('Base de dados'!$A$5,IF(O579&lt;20,1,IF(O579&gt;1000,10,MATCH(O579,Cargas,1))),Coluna_fih,1,1))*(1+0.13*0.25)*(PI()*(fi_h/1000)^2/4)*SQRT(2*9.81*(O579/100-fi_h/2/1000))*1000)),"",IF(O579&lt;fi_h/20,0,(OFFSET('Base de dados'!$A$5,IF(O579&lt;20,1,IF(O579&gt;1000,10,MATCH(O579,Cargas,1))),Coluna_fih,1,1))*(PI()*(fi_h/1000)^2/4)*SQRT(2*9.81*(O579/100-fi_h/2/1000))*1000))</f>
        <v>3.2032286540967903</v>
      </c>
      <c r="Q579" s="38">
        <f ca="1">IF(O579="","",IF(Tipo_Vertedor="Retangular",IF(O579&lt;=cota_s*100,0,IF(Tipo_Vertedor="Retangular",Cd_sr*Lef_sr*((O579/100-cota_s)^(3/2))*1000)),IF(O579&lt;=cota_s*100+fi_s/20,0,(OFFSET('Base de dados'!$A$4,IF(O579&lt;20,1,IF(O579&gt;1000,10,MATCH(O579,Cargas,1))),Coluna_fis,1,1))*(PI()*(fi_s/1000)^2/4)*(2*9.81*(O579/100-cota_s-fi_s/2/1000))^0.5*1000)))</f>
        <v>1.2785282387959978</v>
      </c>
      <c r="R579" s="38">
        <f t="shared" ca="1" si="127"/>
        <v>4.481756892892788</v>
      </c>
      <c r="S579" s="38">
        <f t="shared" ca="1" si="124"/>
        <v>180.625</v>
      </c>
    </row>
    <row r="580" spans="13:19">
      <c r="M580" s="132">
        <f t="shared" ca="1" si="123"/>
        <v>185.42906954999873</v>
      </c>
      <c r="N580" s="38">
        <f t="shared" si="125"/>
        <v>5.4281249999999996</v>
      </c>
      <c r="O580" s="36">
        <f t="shared" si="126"/>
        <v>144.75</v>
      </c>
      <c r="P580" s="38">
        <f ca="1">IF(ISERROR(IF(O580&lt;fi_h/20,0,(OFFSET('Base de dados'!$A$5,IF(O580&lt;20,1,IF(O580&gt;1000,10,MATCH(O580,Cargas,1))),Coluna_fih,1,1))*(1+0.13*0.25)*(PI()*(fi_h/1000)^2/4)*SQRT(2*9.81*(O580/100-fi_h/2/1000))*1000)),"",IF(O580&lt;fi_h/20,0,(OFFSET('Base de dados'!$A$5,IF(O580&lt;20,1,IF(O580&gt;1000,10,MATCH(O580,Cargas,1))),Coluna_fih,1,1))*(PI()*(fi_h/1000)^2/4)*SQRT(2*9.81*(O580/100-fi_h/2/1000))*1000))</f>
        <v>3.2060325521968025</v>
      </c>
      <c r="Q580" s="38">
        <f ca="1">IF(O580="","",IF(Tipo_Vertedor="Retangular",IF(O580&lt;=cota_s*100,0,IF(Tipo_Vertedor="Retangular",Cd_sr*Lef_sr*((O580/100-cota_s)^(3/2))*1000)),IF(O580&lt;=cota_s*100+fi_s/20,0,(OFFSET('Base de dados'!$A$4,IF(O580&lt;20,1,IF(O580&gt;1000,10,MATCH(O580,Cargas,1))),Coluna_fis,1,1))*(PI()*(fi_s/1000)^2/4)*(2*9.81*(O580/100-cota_s-fi_s/2/1000))^0.5*1000)))</f>
        <v>1.2855369978019315</v>
      </c>
      <c r="R580" s="38">
        <f t="shared" ca="1" si="127"/>
        <v>4.4915695499987338</v>
      </c>
      <c r="S580" s="38">
        <f t="shared" ca="1" si="124"/>
        <v>180.9375</v>
      </c>
    </row>
    <row r="581" spans="13:19">
      <c r="M581" s="132">
        <f t="shared" ref="M581:M644" ca="1" si="128">IF(O581="","",2*N581*1000/(Passo*60)+R581)</f>
        <v>185.75134175186997</v>
      </c>
      <c r="N581" s="38">
        <f t="shared" si="125"/>
        <v>5.4375</v>
      </c>
      <c r="O581" s="36">
        <f t="shared" si="126"/>
        <v>145</v>
      </c>
      <c r="P581" s="38">
        <f ca="1">IF(ISERROR(IF(O581&lt;fi_h/20,0,(OFFSET('Base de dados'!$A$5,IF(O581&lt;20,1,IF(O581&gt;1000,10,MATCH(O581,Cargas,1))),Coluna_fih,1,1))*(1+0.13*0.25)*(PI()*(fi_h/1000)^2/4)*SQRT(2*9.81*(O581/100-fi_h/2/1000))*1000)),"",IF(O581&lt;fi_h/20,0,(OFFSET('Base de dados'!$A$5,IF(O581&lt;20,1,IF(O581&gt;1000,10,MATCH(O581,Cargas,1))),Coluna_fih,1,1))*(PI()*(fi_h/1000)^2/4)*SQRT(2*9.81*(O581/100-fi_h/2/1000))*1000))</f>
        <v>3.2088340002350306</v>
      </c>
      <c r="Q581" s="38">
        <f ca="1">IF(O581="","",IF(Tipo_Vertedor="Retangular",IF(O581&lt;=cota_s*100,0,IF(Tipo_Vertedor="Retangular",Cd_sr*Lef_sr*((O581/100-cota_s)^(3/2))*1000)),IF(O581&lt;=cota_s*100+fi_s/20,0,(OFFSET('Base de dados'!$A$4,IF(O581&lt;20,1,IF(O581&gt;1000,10,MATCH(O581,Cargas,1))),Coluna_fis,1,1))*(PI()*(fi_s/1000)^2/4)*(2*9.81*(O581/100-cota_s-fi_s/2/1000))^0.5*1000)))</f>
        <v>1.2925077516349412</v>
      </c>
      <c r="R581" s="38">
        <f t="shared" ca="1" si="127"/>
        <v>4.5013417518699717</v>
      </c>
      <c r="S581" s="38">
        <f t="shared" ref="S581:S644" ca="1" si="129">IF(M581="","",2*N581*1000/(Passo*60))</f>
        <v>181.25</v>
      </c>
    </row>
    <row r="582" spans="13:19">
      <c r="M582" s="132">
        <f t="shared" ca="1" si="128"/>
        <v>186.0735741165457</v>
      </c>
      <c r="N582" s="38">
        <f t="shared" ref="N582:N645" si="130">IF(O582="","",b_0*(O582/100)^c_0)</f>
        <v>5.4468749999999995</v>
      </c>
      <c r="O582" s="36">
        <f t="shared" ref="O582:O645" si="131">IF(ISERROR(IF(O581+passo_altura&gt;h_max_puls*100,"",O581+passo_altura)),"",IF(O581+passo_altura&gt;h_max_puls*100,"",O581+passo_altura))</f>
        <v>145.25</v>
      </c>
      <c r="P582" s="38">
        <f ca="1">IF(ISERROR(IF(O582&lt;fi_h/20,0,(OFFSET('Base de dados'!$A$5,IF(O582&lt;20,1,IF(O582&gt;1000,10,MATCH(O582,Cargas,1))),Coluna_fih,1,1))*(1+0.13*0.25)*(PI()*(fi_h/1000)^2/4)*SQRT(2*9.81*(O582/100-fi_h/2/1000))*1000)),"",IF(O582&lt;fi_h/20,0,(OFFSET('Base de dados'!$A$5,IF(O582&lt;20,1,IF(O582&gt;1000,10,MATCH(O582,Cargas,1))),Coluna_fih,1,1))*(PI()*(fi_h/1000)^2/4)*SQRT(2*9.81*(O582/100-fi_h/2/1000))*1000))</f>
        <v>3.2116330046229069</v>
      </c>
      <c r="Q582" s="38">
        <f ca="1">IF(O582="","",IF(Tipo_Vertedor="Retangular",IF(O582&lt;=cota_s*100,0,IF(Tipo_Vertedor="Retangular",Cd_sr*Lef_sr*((O582/100-cota_s)^(3/2))*1000)),IF(O582&lt;=cota_s*100+fi_s/20,0,(OFFSET('Base de dados'!$A$4,IF(O582&lt;20,1,IF(O582&gt;1000,10,MATCH(O582,Cargas,1))),Coluna_fis,1,1))*(PI()*(fi_s/1000)^2/4)*(2*9.81*(O582/100-cota_s-fi_s/2/1000))^0.5*1000)))</f>
        <v>1.2994411119228215</v>
      </c>
      <c r="R582" s="38">
        <f t="shared" ca="1" si="127"/>
        <v>4.5110741165457284</v>
      </c>
      <c r="S582" s="38">
        <f t="shared" ca="1" si="129"/>
        <v>181.56249999999997</v>
      </c>
    </row>
    <row r="583" spans="13:19">
      <c r="M583" s="132">
        <f t="shared" ca="1" si="128"/>
        <v>186.3957672458061</v>
      </c>
      <c r="N583" s="38">
        <f t="shared" si="130"/>
        <v>5.4562500000000007</v>
      </c>
      <c r="O583" s="36">
        <f t="shared" si="131"/>
        <v>145.5</v>
      </c>
      <c r="P583" s="38">
        <f ca="1">IF(ISERROR(IF(O583&lt;fi_h/20,0,(OFFSET('Base de dados'!$A$5,IF(O583&lt;20,1,IF(O583&gt;1000,10,MATCH(O583,Cargas,1))),Coluna_fih,1,1))*(1+0.13*0.25)*(PI()*(fi_h/1000)^2/4)*SQRT(2*9.81*(O583/100-fi_h/2/1000))*1000)),"",IF(O583&lt;fi_h/20,0,(OFFSET('Base de dados'!$A$5,IF(O583&lt;20,1,IF(O583&gt;1000,10,MATCH(O583,Cargas,1))),Coluna_fih,1,1))*(PI()*(fi_h/1000)^2/4)*SQRT(2*9.81*(O583/100-fi_h/2/1000))*1000))</f>
        <v>3.2144295717439459</v>
      </c>
      <c r="Q583" s="38">
        <f ca="1">IF(O583="","",IF(Tipo_Vertedor="Retangular",IF(O583&lt;=cota_s*100,0,IF(Tipo_Vertedor="Retangular",Cd_sr*Lef_sr*((O583/100-cota_s)^(3/2))*1000)),IF(O583&lt;=cota_s*100+fi_s/20,0,(OFFSET('Base de dados'!$A$4,IF(O583&lt;20,1,IF(O583&gt;1000,10,MATCH(O583,Cargas,1))),Coluna_fis,1,1))*(PI()*(fi_s/1000)^2/4)*(2*9.81*(O583/100-cota_s-fi_s/2/1000))^0.5*1000)))</f>
        <v>1.3063376740621195</v>
      </c>
      <c r="R583" s="38">
        <f t="shared" ca="1" si="127"/>
        <v>4.5207672458060655</v>
      </c>
      <c r="S583" s="38">
        <f t="shared" ca="1" si="129"/>
        <v>181.87500000000003</v>
      </c>
    </row>
    <row r="584" spans="13:19">
      <c r="M584" s="132">
        <f t="shared" ca="1" si="128"/>
        <v>186.71792172576878</v>
      </c>
      <c r="N584" s="38">
        <f t="shared" si="130"/>
        <v>5.4656250000000002</v>
      </c>
      <c r="O584" s="36">
        <f t="shared" si="131"/>
        <v>145.75</v>
      </c>
      <c r="P584" s="38">
        <f ca="1">IF(ISERROR(IF(O584&lt;fi_h/20,0,(OFFSET('Base de dados'!$A$5,IF(O584&lt;20,1,IF(O584&gt;1000,10,MATCH(O584,Cargas,1))),Coluna_fih,1,1))*(1+0.13*0.25)*(PI()*(fi_h/1000)^2/4)*SQRT(2*9.81*(O584/100-fi_h/2/1000))*1000)),"",IF(O584&lt;fi_h/20,0,(OFFSET('Base de dados'!$A$5,IF(O584&lt;20,1,IF(O584&gt;1000,10,MATCH(O584,Cargas,1))),Coluna_fih,1,1))*(PI()*(fi_h/1000)^2/4)*SQRT(2*9.81*(O584/100-fi_h/2/1000))*1000))</f>
        <v>3.2172237079539205</v>
      </c>
      <c r="Q584" s="38">
        <f ca="1">IF(O584="","",IF(Tipo_Vertedor="Retangular",IF(O584&lt;=cota_s*100,0,IF(Tipo_Vertedor="Retangular",Cd_sr*Lef_sr*((O584/100-cota_s)^(3/2))*1000)),IF(O584&lt;=cota_s*100+fi_s/20,0,(OFFSET('Base de dados'!$A$4,IF(O584&lt;20,1,IF(O584&gt;1000,10,MATCH(O584,Cargas,1))),Coluna_fis,1,1))*(PI()*(fi_s/1000)^2/4)*(2*9.81*(O584/100-cota_s-fi_s/2/1000))^0.5*1000)))</f>
        <v>1.3131980178148441</v>
      </c>
      <c r="R584" s="38">
        <f t="shared" ca="1" si="127"/>
        <v>4.5304217257687647</v>
      </c>
      <c r="S584" s="38">
        <f t="shared" ca="1" si="129"/>
        <v>182.1875</v>
      </c>
    </row>
    <row r="585" spans="13:19">
      <c r="M585" s="132">
        <f t="shared" ca="1" si="128"/>
        <v>187.0400381274583</v>
      </c>
      <c r="N585" s="38">
        <f t="shared" si="130"/>
        <v>5.4749999999999996</v>
      </c>
      <c r="O585" s="36">
        <f t="shared" si="131"/>
        <v>146</v>
      </c>
      <c r="P585" s="38">
        <f ca="1">IF(ISERROR(IF(O585&lt;fi_h/20,0,(OFFSET('Base de dados'!$A$5,IF(O585&lt;20,1,IF(O585&gt;1000,10,MATCH(O585,Cargas,1))),Coluna_fih,1,1))*(1+0.13*0.25)*(PI()*(fi_h/1000)^2/4)*SQRT(2*9.81*(O585/100-fi_h/2/1000))*1000)),"",IF(O585&lt;fi_h/20,0,(OFFSET('Base de dados'!$A$5,IF(O585&lt;20,1,IF(O585&gt;1000,10,MATCH(O585,Cargas,1))),Coluna_fih,1,1))*(PI()*(fi_h/1000)^2/4)*SQRT(2*9.81*(O585/100-fi_h/2/1000))*1000))</f>
        <v>3.2200154195810278</v>
      </c>
      <c r="Q585" s="38">
        <f ca="1">IF(O585="","",IF(Tipo_Vertedor="Retangular",IF(O585&lt;=cota_s*100,0,IF(Tipo_Vertedor="Retangular",Cd_sr*Lef_sr*((O585/100-cota_s)^(3/2))*1000)),IF(O585&lt;=cota_s*100+fi_s/20,0,(OFFSET('Base de dados'!$A$4,IF(O585&lt;20,1,IF(O585&gt;1000,10,MATCH(O585,Cargas,1))),Coluna_fis,1,1))*(PI()*(fi_s/1000)^2/4)*(2*9.81*(O585/100-cota_s-fi_s/2/1000))^0.5*1000)))</f>
        <v>1.3200227078772713</v>
      </c>
      <c r="R585" s="38">
        <f t="shared" ca="1" si="127"/>
        <v>4.540038127458299</v>
      </c>
      <c r="S585" s="38">
        <f t="shared" ca="1" si="129"/>
        <v>182.5</v>
      </c>
    </row>
    <row r="586" spans="13:19">
      <c r="M586" s="132">
        <f t="shared" ca="1" si="128"/>
        <v>187.36211700734847</v>
      </c>
      <c r="N586" s="38">
        <f t="shared" si="130"/>
        <v>5.484375</v>
      </c>
      <c r="O586" s="36">
        <f t="shared" si="131"/>
        <v>146.25</v>
      </c>
      <c r="P586" s="38">
        <f ca="1">IF(ISERROR(IF(O586&lt;fi_h/20,0,(OFFSET('Base de dados'!$A$5,IF(O586&lt;20,1,IF(O586&gt;1000,10,MATCH(O586,Cargas,1))),Coluna_fih,1,1))*(1+0.13*0.25)*(PI()*(fi_h/1000)^2/4)*SQRT(2*9.81*(O586/100-fi_h/2/1000))*1000)),"",IF(O586&lt;fi_h/20,0,(OFFSET('Base de dados'!$A$5,IF(O586&lt;20,1,IF(O586&gt;1000,10,MATCH(O586,Cargas,1))),Coluna_fih,1,1))*(PI()*(fi_h/1000)^2/4)*SQRT(2*9.81*(O586/100-fi_h/2/1000))*1000))</f>
        <v>3.2228047129260546</v>
      </c>
      <c r="Q586" s="38">
        <f ca="1">IF(O586="","",IF(Tipo_Vertedor="Retangular",IF(O586&lt;=cota_s*100,0,IF(Tipo_Vertedor="Retangular",Cd_sr*Lef_sr*((O586/100-cota_s)^(3/2))*1000)),IF(O586&lt;=cota_s*100+fi_s/20,0,(OFFSET('Base de dados'!$A$4,IF(O586&lt;20,1,IF(O586&gt;1000,10,MATCH(O586,Cargas,1))),Coluna_fis,1,1))*(PI()*(fi_s/1000)^2/4)*(2*9.81*(O586/100-cota_s-fi_s/2/1000))^0.5*1000)))</f>
        <v>1.3268122944224068</v>
      </c>
      <c r="R586" s="38">
        <f t="shared" ca="1" si="127"/>
        <v>4.549617007348461</v>
      </c>
      <c r="S586" s="38">
        <f t="shared" ca="1" si="129"/>
        <v>182.8125</v>
      </c>
    </row>
    <row r="587" spans="13:19">
      <c r="M587" s="132">
        <f t="shared" ca="1" si="128"/>
        <v>187.68415890788015</v>
      </c>
      <c r="N587" s="38">
        <f t="shared" si="130"/>
        <v>5.4937500000000004</v>
      </c>
      <c r="O587" s="36">
        <f t="shared" si="131"/>
        <v>146.5</v>
      </c>
      <c r="P587" s="38">
        <f ca="1">IF(ISERROR(IF(O587&lt;fi_h/20,0,(OFFSET('Base de dados'!$A$5,IF(O587&lt;20,1,IF(O587&gt;1000,10,MATCH(O587,Cargas,1))),Coluna_fih,1,1))*(1+0.13*0.25)*(PI()*(fi_h/1000)^2/4)*SQRT(2*9.81*(O587/100-fi_h/2/1000))*1000)),"",IF(O587&lt;fi_h/20,0,(OFFSET('Base de dados'!$A$5,IF(O587&lt;20,1,IF(O587&gt;1000,10,MATCH(O587,Cargas,1))),Coluna_fih,1,1))*(PI()*(fi_h/1000)^2/4)*SQRT(2*9.81*(O587/100-fi_h/2/1000))*1000))</f>
        <v>3.2255915942625473</v>
      </c>
      <c r="Q587" s="38">
        <f ca="1">IF(O587="","",IF(Tipo_Vertedor="Retangular",IF(O587&lt;=cota_s*100,0,IF(Tipo_Vertedor="Retangular",Cd_sr*Lef_sr*((O587/100-cota_s)^(3/2))*1000)),IF(O587&lt;=cota_s*100+fi_s/20,0,(OFFSET('Base de dados'!$A$4,IF(O587&lt;20,1,IF(O587&gt;1000,10,MATCH(O587,Cargas,1))),Coluna_fis,1,1))*(PI()*(fi_s/1000)^2/4)*(2*9.81*(O587/100-cota_s-fi_s/2/1000))^0.5*1000)))</f>
        <v>1.3335673136175996</v>
      </c>
      <c r="R587" s="38">
        <f t="shared" ca="1" si="127"/>
        <v>4.5591589078801471</v>
      </c>
      <c r="S587" s="38">
        <f t="shared" ca="1" si="129"/>
        <v>183.125</v>
      </c>
    </row>
    <row r="588" spans="13:19">
      <c r="M588" s="132">
        <f t="shared" ca="1" si="128"/>
        <v>188.00616435795564</v>
      </c>
      <c r="N588" s="38">
        <f t="shared" si="130"/>
        <v>5.5031249999999998</v>
      </c>
      <c r="O588" s="36">
        <f t="shared" si="131"/>
        <v>146.75</v>
      </c>
      <c r="P588" s="38">
        <f ca="1">IF(ISERROR(IF(O588&lt;fi_h/20,0,(OFFSET('Base de dados'!$A$5,IF(O588&lt;20,1,IF(O588&gt;1000,10,MATCH(O588,Cargas,1))),Coluna_fih,1,1))*(1+0.13*0.25)*(PI()*(fi_h/1000)^2/4)*SQRT(2*9.81*(O588/100-fi_h/2/1000))*1000)),"",IF(O588&lt;fi_h/20,0,(OFFSET('Base de dados'!$A$5,IF(O588&lt;20,1,IF(O588&gt;1000,10,MATCH(O588,Cargas,1))),Coluna_fih,1,1))*(PI()*(fi_h/1000)^2/4)*SQRT(2*9.81*(O588/100-fi_h/2/1000))*1000))</f>
        <v>3.2283760698369712</v>
      </c>
      <c r="Q588" s="38">
        <f ca="1">IF(O588="","",IF(Tipo_Vertedor="Retangular",IF(O588&lt;=cota_s*100,0,IF(Tipo_Vertedor="Retangular",Cd_sr*Lef_sr*((O588/100-cota_s)^(3/2))*1000)),IF(O588&lt;=cota_s*100+fi_s/20,0,(OFFSET('Base de dados'!$A$4,IF(O588&lt;20,1,IF(O588&gt;1000,10,MATCH(O588,Cargas,1))),Coluna_fis,1,1))*(PI()*(fi_s/1000)^2/4)*(2*9.81*(O588/100-cota_s-fi_s/2/1000))^0.5*1000)))</f>
        <v>1.3402882881186677</v>
      </c>
      <c r="R588" s="38">
        <f t="shared" ca="1" si="127"/>
        <v>4.5686643579556385</v>
      </c>
      <c r="S588" s="38">
        <f t="shared" ca="1" si="129"/>
        <v>183.4375</v>
      </c>
    </row>
    <row r="589" spans="13:19">
      <c r="M589" s="132">
        <f t="shared" ca="1" si="128"/>
        <v>188.32813387341074</v>
      </c>
      <c r="N589" s="38">
        <f t="shared" si="130"/>
        <v>5.5125000000000002</v>
      </c>
      <c r="O589" s="36">
        <f t="shared" si="131"/>
        <v>147</v>
      </c>
      <c r="P589" s="38">
        <f ca="1">IF(ISERROR(IF(O589&lt;fi_h/20,0,(OFFSET('Base de dados'!$A$5,IF(O589&lt;20,1,IF(O589&gt;1000,10,MATCH(O589,Cargas,1))),Coluna_fih,1,1))*(1+0.13*0.25)*(PI()*(fi_h/1000)^2/4)*SQRT(2*9.81*(O589/100-fi_h/2/1000))*1000)),"",IF(O589&lt;fi_h/20,0,(OFFSET('Base de dados'!$A$5,IF(O589&lt;20,1,IF(O589&gt;1000,10,MATCH(O589,Cargas,1))),Coluna_fih,1,1))*(PI()*(fi_h/1000)^2/4)*SQRT(2*9.81*(O589/100-fi_h/2/1000))*1000))</f>
        <v>3.2311581458688794</v>
      </c>
      <c r="Q589" s="38">
        <f ca="1">IF(O589="","",IF(Tipo_Vertedor="Retangular",IF(O589&lt;=cota_s*100,0,IF(Tipo_Vertedor="Retangular",Cd_sr*Lef_sr*((O589/100-cota_s)^(3/2))*1000)),IF(O589&lt;=cota_s*100+fi_s/20,0,(OFFSET('Base de dados'!$A$4,IF(O589&lt;20,1,IF(O589&gt;1000,10,MATCH(O589,Cargas,1))),Coluna_fis,1,1))*(PI()*(fi_s/1000)^2/4)*(2*9.81*(O589/100-cota_s-fi_s/2/1000))^0.5*1000)))</f>
        <v>1.3469757275418428</v>
      </c>
      <c r="R589" s="38">
        <f t="shared" ca="1" si="127"/>
        <v>4.5781338734107226</v>
      </c>
      <c r="S589" s="38">
        <f t="shared" ca="1" si="129"/>
        <v>183.75</v>
      </c>
    </row>
    <row r="590" spans="13:19">
      <c r="M590" s="132">
        <f t="shared" ca="1" si="128"/>
        <v>188.65006795746578</v>
      </c>
      <c r="N590" s="38">
        <f t="shared" si="130"/>
        <v>5.5218749999999996</v>
      </c>
      <c r="O590" s="36">
        <f t="shared" si="131"/>
        <v>147.25</v>
      </c>
      <c r="P590" s="38">
        <f ca="1">IF(ISERROR(IF(O590&lt;fi_h/20,0,(OFFSET('Base de dados'!$A$5,IF(O590&lt;20,1,IF(O590&gt;1000,10,MATCH(O590,Cargas,1))),Coluna_fih,1,1))*(1+0.13*0.25)*(PI()*(fi_h/1000)^2/4)*SQRT(2*9.81*(O590/100-fi_h/2/1000))*1000)),"",IF(O590&lt;fi_h/20,0,(OFFSET('Base de dados'!$A$5,IF(O590&lt;20,1,IF(O590&gt;1000,10,MATCH(O590,Cargas,1))),Coluna_fih,1,1))*(PI()*(fi_h/1000)^2/4)*SQRT(2*9.81*(O590/100-fi_h/2/1000))*1000))</f>
        <v>3.2339378285510718</v>
      </c>
      <c r="Q590" s="38">
        <f ca="1">IF(O590="","",IF(Tipo_Vertedor="Retangular",IF(O590&lt;=cota_s*100,0,IF(Tipo_Vertedor="Retangular",Cd_sr*Lef_sr*((O590/100-cota_s)^(3/2))*1000)),IF(O590&lt;=cota_s*100+fi_s/20,0,(OFFSET('Base de dados'!$A$4,IF(O590&lt;20,1,IF(O590&gt;1000,10,MATCH(O590,Cargas,1))),Coluna_fis,1,1))*(PI()*(fi_s/1000)^2/4)*(2*9.81*(O590/100-cota_s-fi_s/2/1000))^0.5*1000)))</f>
        <v>1.353630128914721</v>
      </c>
      <c r="R590" s="38">
        <f t="shared" ca="1" si="127"/>
        <v>4.5875679574657928</v>
      </c>
      <c r="S590" s="38">
        <f t="shared" ca="1" si="129"/>
        <v>184.0625</v>
      </c>
    </row>
    <row r="591" spans="13:19">
      <c r="M591" s="132">
        <f t="shared" ca="1" si="128"/>
        <v>188.97196710115713</v>
      </c>
      <c r="N591" s="38">
        <f t="shared" si="130"/>
        <v>5.53125</v>
      </c>
      <c r="O591" s="36">
        <f t="shared" si="131"/>
        <v>147.5</v>
      </c>
      <c r="P591" s="38">
        <f ca="1">IF(ISERROR(IF(O591&lt;fi_h/20,0,(OFFSET('Base de dados'!$A$5,IF(O591&lt;20,1,IF(O591&gt;1000,10,MATCH(O591,Cargas,1))),Coluna_fih,1,1))*(1+0.13*0.25)*(PI()*(fi_h/1000)^2/4)*SQRT(2*9.81*(O591/100-fi_h/2/1000))*1000)),"",IF(O591&lt;fi_h/20,0,(OFFSET('Base de dados'!$A$5,IF(O591&lt;20,1,IF(O591&gt;1000,10,MATCH(O591,Cargas,1))),Coluna_fih,1,1))*(PI()*(fi_h/1000)^2/4)*SQRT(2*9.81*(O591/100-fi_h/2/1000))*1000))</f>
        <v>3.2367151240497569</v>
      </c>
      <c r="Q591" s="38">
        <f ca="1">IF(O591="","",IF(Tipo_Vertedor="Retangular",IF(O591&lt;=cota_s*100,0,IF(Tipo_Vertedor="Retangular",Cd_sr*Lef_sr*((O591/100-cota_s)^(3/2))*1000)),IF(O591&lt;=cota_s*100+fi_s/20,0,(OFFSET('Base de dados'!$A$4,IF(O591&lt;20,1,IF(O591&gt;1000,10,MATCH(O591,Cargas,1))),Coluna_fis,1,1))*(PI()*(fi_s/1000)^2/4)*(2*9.81*(O591/100-cota_s-fi_s/2/1000))^0.5*1000)))</f>
        <v>1.3602519771073645</v>
      </c>
      <c r="R591" s="38">
        <f t="shared" ca="1" si="127"/>
        <v>4.5969671011571211</v>
      </c>
      <c r="S591" s="38">
        <f t="shared" ca="1" si="129"/>
        <v>184.375</v>
      </c>
    </row>
    <row r="592" spans="13:19">
      <c r="M592" s="132">
        <f t="shared" ca="1" si="128"/>
        <v>189.29383178374931</v>
      </c>
      <c r="N592" s="38">
        <f t="shared" si="130"/>
        <v>5.5406250000000004</v>
      </c>
      <c r="O592" s="36">
        <f t="shared" si="131"/>
        <v>147.75</v>
      </c>
      <c r="P592" s="38">
        <f ca="1">IF(ISERROR(IF(O592&lt;fi_h/20,0,(OFFSET('Base de dados'!$A$5,IF(O592&lt;20,1,IF(O592&gt;1000,10,MATCH(O592,Cargas,1))),Coluna_fih,1,1))*(1+0.13*0.25)*(PI()*(fi_h/1000)^2/4)*SQRT(2*9.81*(O592/100-fi_h/2/1000))*1000)),"",IF(O592&lt;fi_h/20,0,(OFFSET('Base de dados'!$A$5,IF(O592&lt;20,1,IF(O592&gt;1000,10,MATCH(O592,Cargas,1))),Coluna_fih,1,1))*(PI()*(fi_h/1000)^2/4)*SQRT(2*9.81*(O592/100-fi_h/2/1000))*1000))</f>
        <v>3.2394900385047087</v>
      </c>
      <c r="Q592" s="38">
        <f ca="1">IF(O592="","",IF(Tipo_Vertedor="Retangular",IF(O592&lt;=cota_s*100,0,IF(Tipo_Vertedor="Retangular",Cd_sr*Lef_sr*((O592/100-cota_s)^(3/2))*1000)),IF(O592&lt;=cota_s*100+fi_s/20,0,(OFFSET('Base de dados'!$A$4,IF(O592&lt;20,1,IF(O592&gt;1000,10,MATCH(O592,Cargas,1))),Coluna_fis,1,1))*(PI()*(fi_s/1000)^2/4)*(2*9.81*(O592/100-cota_s-fi_s/2/1000))^0.5*1000)))</f>
        <v>1.3668417452445993</v>
      </c>
      <c r="R592" s="38">
        <f t="shared" ca="1" si="127"/>
        <v>4.6063317837493081</v>
      </c>
      <c r="S592" s="38">
        <f t="shared" ca="1" si="129"/>
        <v>184.6875</v>
      </c>
    </row>
    <row r="593" spans="13:19">
      <c r="M593" s="132">
        <f t="shared" ca="1" si="128"/>
        <v>189.61566247312996</v>
      </c>
      <c r="N593" s="38">
        <f t="shared" si="130"/>
        <v>5.55</v>
      </c>
      <c r="O593" s="36">
        <f t="shared" si="131"/>
        <v>148</v>
      </c>
      <c r="P593" s="38">
        <f ca="1">IF(ISERROR(IF(O593&lt;fi_h/20,0,(OFFSET('Base de dados'!$A$5,IF(O593&lt;20,1,IF(O593&gt;1000,10,MATCH(O593,Cargas,1))),Coluna_fih,1,1))*(1+0.13*0.25)*(PI()*(fi_h/1000)^2/4)*SQRT(2*9.81*(O593/100-fi_h/2/1000))*1000)),"",IF(O593&lt;fi_h/20,0,(OFFSET('Base de dados'!$A$5,IF(O593&lt;20,1,IF(O593&gt;1000,10,MATCH(O593,Cargas,1))),Coluna_fih,1,1))*(PI()*(fi_h/1000)^2/4)*SQRT(2*9.81*(O593/100-fi_h/2/1000))*1000))</f>
        <v>3.2422625780294303</v>
      </c>
      <c r="Q593" s="38">
        <f ca="1">IF(O593="","",IF(Tipo_Vertedor="Retangular",IF(O593&lt;=cota_s*100,0,IF(Tipo_Vertedor="Retangular",Cd_sr*Lef_sr*((O593/100-cota_s)^(3/2))*1000)),IF(O593&lt;=cota_s*100+fi_s/20,0,(OFFSET('Base de dados'!$A$4,IF(O593&lt;20,1,IF(O593&gt;1000,10,MATCH(O593,Cargas,1))),Coluna_fis,1,1))*(PI()*(fi_s/1000)^2/4)*(2*9.81*(O593/100-cota_s-fi_s/2/1000))^0.5*1000)))</f>
        <v>1.3733998951005164</v>
      </c>
      <c r="R593" s="38">
        <f t="shared" ca="1" si="127"/>
        <v>4.6156624731299463</v>
      </c>
      <c r="S593" s="38">
        <f t="shared" ca="1" si="129"/>
        <v>185</v>
      </c>
    </row>
    <row r="594" spans="13:19">
      <c r="M594" s="132">
        <f t="shared" ca="1" si="128"/>
        <v>189.93745962618738</v>
      </c>
      <c r="N594" s="38">
        <f t="shared" si="130"/>
        <v>5.5593749999999993</v>
      </c>
      <c r="O594" s="36">
        <f t="shared" si="131"/>
        <v>148.25</v>
      </c>
      <c r="P594" s="38">
        <f ca="1">IF(ISERROR(IF(O594&lt;fi_h/20,0,(OFFSET('Base de dados'!$A$5,IF(O594&lt;20,1,IF(O594&gt;1000,10,MATCH(O594,Cargas,1))),Coluna_fih,1,1))*(1+0.13*0.25)*(PI()*(fi_h/1000)^2/4)*SQRT(2*9.81*(O594/100-fi_h/2/1000))*1000)),"",IF(O594&lt;fi_h/20,0,(OFFSET('Base de dados'!$A$5,IF(O594&lt;20,1,IF(O594&gt;1000,10,MATCH(O594,Cargas,1))),Coluna_fih,1,1))*(PI()*(fi_h/1000)^2/4)*SQRT(2*9.81*(O594/100-fi_h/2/1000))*1000))</f>
        <v>3.245032748711306</v>
      </c>
      <c r="Q594" s="38">
        <f ca="1">IF(O594="","",IF(Tipo_Vertedor="Retangular",IF(O594&lt;=cota_s*100,0,IF(Tipo_Vertedor="Retangular",Cd_sr*Lef_sr*((O594/100-cota_s)^(3/2))*1000)),IF(O594&lt;=cota_s*100+fi_s/20,0,(OFFSET('Base de dados'!$A$4,IF(O594&lt;20,1,IF(O594&gt;1000,10,MATCH(O594,Cargas,1))),Coluna_fis,1,1))*(PI()*(fi_s/1000)^2/4)*(2*9.81*(O594/100-cota_s-fi_s/2/1000))^0.5*1000)))</f>
        <v>1.379926877476092</v>
      </c>
      <c r="R594" s="38">
        <f t="shared" ca="1" si="127"/>
        <v>4.6249596261873975</v>
      </c>
      <c r="S594" s="38">
        <f t="shared" ca="1" si="129"/>
        <v>185.31249999999997</v>
      </c>
    </row>
    <row r="595" spans="13:19">
      <c r="M595" s="132">
        <f t="shared" ca="1" si="128"/>
        <v>190.25922368917259</v>
      </c>
      <c r="N595" s="38">
        <f t="shared" si="130"/>
        <v>5.5687500000000005</v>
      </c>
      <c r="O595" s="36">
        <f t="shared" si="131"/>
        <v>148.5</v>
      </c>
      <c r="P595" s="38">
        <f ca="1">IF(ISERROR(IF(O595&lt;fi_h/20,0,(OFFSET('Base de dados'!$A$5,IF(O595&lt;20,1,IF(O595&gt;1000,10,MATCH(O595,Cargas,1))),Coluna_fih,1,1))*(1+0.13*0.25)*(PI()*(fi_h/1000)^2/4)*SQRT(2*9.81*(O595/100-fi_h/2/1000))*1000)),"",IF(O595&lt;fi_h/20,0,(OFFSET('Base de dados'!$A$5,IF(O595&lt;20,1,IF(O595&gt;1000,10,MATCH(O595,Cargas,1))),Coluna_fih,1,1))*(PI()*(fi_h/1000)^2/4)*SQRT(2*9.81*(O595/100-fi_h/2/1000))*1000))</f>
        <v>3.2478005566117614</v>
      </c>
      <c r="Q595" s="38">
        <f ca="1">IF(O595="","",IF(Tipo_Vertedor="Retangular",IF(O595&lt;=cota_s*100,0,IF(Tipo_Vertedor="Retangular",Cd_sr*Lef_sr*((O595/100-cota_s)^(3/2))*1000)),IF(O595&lt;=cota_s*100+fi_s/20,0,(OFFSET('Base de dados'!$A$4,IF(O595&lt;20,1,IF(O595&gt;1000,10,MATCH(O595,Cargas,1))),Coluna_fis,1,1))*(PI()*(fi_s/1000)^2/4)*(2*9.81*(O595/100-cota_s-fi_s/2/1000))^0.5*1000)))</f>
        <v>1.3864231325608092</v>
      </c>
      <c r="R595" s="38">
        <f t="shared" ca="1" si="127"/>
        <v>4.6342236891725701</v>
      </c>
      <c r="S595" s="38">
        <f t="shared" ca="1" si="129"/>
        <v>185.62500000000003</v>
      </c>
    </row>
    <row r="596" spans="13:19">
      <c r="M596" s="132">
        <f t="shared" ca="1" si="128"/>
        <v>190.58095509804551</v>
      </c>
      <c r="N596" s="38">
        <f t="shared" si="130"/>
        <v>5.578125</v>
      </c>
      <c r="O596" s="36">
        <f t="shared" si="131"/>
        <v>148.75</v>
      </c>
      <c r="P596" s="38">
        <f ca="1">IF(ISERROR(IF(O596&lt;fi_h/20,0,(OFFSET('Base de dados'!$A$5,IF(O596&lt;20,1,IF(O596&gt;1000,10,MATCH(O596,Cargas,1))),Coluna_fih,1,1))*(1+0.13*0.25)*(PI()*(fi_h/1000)^2/4)*SQRT(2*9.81*(O596/100-fi_h/2/1000))*1000)),"",IF(O596&lt;fi_h/20,0,(OFFSET('Base de dados'!$A$5,IF(O596&lt;20,1,IF(O596&gt;1000,10,MATCH(O596,Cargas,1))),Coluna_fih,1,1))*(PI()*(fi_h/1000)^2/4)*SQRT(2*9.81*(O596/100-fi_h/2/1000))*1000))</f>
        <v>3.2505660077664129</v>
      </c>
      <c r="Q596" s="38">
        <f ca="1">IF(O596="","",IF(Tipo_Vertedor="Retangular",IF(O596&lt;=cota_s*100,0,IF(Tipo_Vertedor="Retangular",Cd_sr*Lef_sr*((O596/100-cota_s)^(3/2))*1000)),IF(O596&lt;=cota_s*100+fi_s/20,0,(OFFSET('Base de dados'!$A$4,IF(O596&lt;20,1,IF(O596&gt;1000,10,MATCH(O596,Cargas,1))),Coluna_fis,1,1))*(PI()*(fi_s/1000)^2/4)*(2*9.81*(O596/100-cota_s-fi_s/2/1000))^0.5*1000)))</f>
        <v>1.3928890902790985</v>
      </c>
      <c r="R596" s="38">
        <f t="shared" ca="1" si="127"/>
        <v>4.6434550980455116</v>
      </c>
      <c r="S596" s="38">
        <f t="shared" ca="1" si="129"/>
        <v>185.9375</v>
      </c>
    </row>
    <row r="597" spans="13:19">
      <c r="M597" s="132">
        <f t="shared" ca="1" si="128"/>
        <v>190.9026542788076</v>
      </c>
      <c r="N597" s="38">
        <f t="shared" si="130"/>
        <v>5.5875000000000004</v>
      </c>
      <c r="O597" s="36">
        <f t="shared" si="131"/>
        <v>149</v>
      </c>
      <c r="P597" s="38">
        <f ca="1">IF(ISERROR(IF(O597&lt;fi_h/20,0,(OFFSET('Base de dados'!$A$5,IF(O597&lt;20,1,IF(O597&gt;1000,10,MATCH(O597,Cargas,1))),Coluna_fih,1,1))*(1+0.13*0.25)*(PI()*(fi_h/1000)^2/4)*SQRT(2*9.81*(O597/100-fi_h/2/1000))*1000)),"",IF(O597&lt;fi_h/20,0,(OFFSET('Base de dados'!$A$5,IF(O597&lt;20,1,IF(O597&gt;1000,10,MATCH(O597,Cargas,1))),Coluna_fih,1,1))*(PI()*(fi_h/1000)^2/4)*SQRT(2*9.81*(O597/100-fi_h/2/1000))*1000))</f>
        <v>3.2533291081852265</v>
      </c>
      <c r="Q597" s="38">
        <f ca="1">IF(O597="","",IF(Tipo_Vertedor="Retangular",IF(O597&lt;=cota_s*100,0,IF(Tipo_Vertedor="Retangular",Cd_sr*Lef_sr*((O597/100-cota_s)^(3/2))*1000)),IF(O597&lt;=cota_s*100+fi_s/20,0,(OFFSET('Base de dados'!$A$4,IF(O597&lt;20,1,IF(O597&gt;1000,10,MATCH(O597,Cargas,1))),Coluna_fis,1,1))*(PI()*(fi_s/1000)^2/4)*(2*9.81*(O597/100-cota_s-fi_s/2/1000))^0.5*1000)))</f>
        <v>1.3993251706223764</v>
      </c>
      <c r="R597" s="38">
        <f t="shared" ca="1" si="127"/>
        <v>4.6526542788076029</v>
      </c>
      <c r="S597" s="38">
        <f t="shared" ca="1" si="129"/>
        <v>186.25</v>
      </c>
    </row>
    <row r="598" spans="13:19">
      <c r="M598" s="132">
        <f t="shared" ca="1" si="128"/>
        <v>191.22432164782006</v>
      </c>
      <c r="N598" s="38">
        <f t="shared" si="130"/>
        <v>5.5968749999999998</v>
      </c>
      <c r="O598" s="36">
        <f t="shared" si="131"/>
        <v>149.25</v>
      </c>
      <c r="P598" s="38">
        <f ca="1">IF(ISERROR(IF(O598&lt;fi_h/20,0,(OFFSET('Base de dados'!$A$5,IF(O598&lt;20,1,IF(O598&gt;1000,10,MATCH(O598,Cargas,1))),Coluna_fih,1,1))*(1+0.13*0.25)*(PI()*(fi_h/1000)^2/4)*SQRT(2*9.81*(O598/100-fi_h/2/1000))*1000)),"",IF(O598&lt;fi_h/20,0,(OFFSET('Base de dados'!$A$5,IF(O598&lt;20,1,IF(O598&gt;1000,10,MATCH(O598,Cargas,1))),Coluna_fih,1,1))*(PI()*(fi_h/1000)^2/4)*SQRT(2*9.81*(O598/100-fi_h/2/1000))*1000))</f>
        <v>3.2560898638526687</v>
      </c>
      <c r="Q598" s="38">
        <f ca="1">IF(O598="","",IF(Tipo_Vertedor="Retangular",IF(O598&lt;=cota_s*100,0,IF(Tipo_Vertedor="Retangular",Cd_sr*Lef_sr*((O598/100-cota_s)^(3/2))*1000)),IF(O598&lt;=cota_s*100+fi_s/20,0,(OFFSET('Base de dados'!$A$4,IF(O598&lt;20,1,IF(O598&gt;1000,10,MATCH(O598,Cargas,1))),Coluna_fis,1,1))*(PI()*(fi_s/1000)^2/4)*(2*9.81*(O598/100-cota_s-fi_s/2/1000))^0.5*1000)))</f>
        <v>1.4057317839673935</v>
      </c>
      <c r="R598" s="38">
        <f t="shared" ca="1" si="127"/>
        <v>4.6618216478200623</v>
      </c>
      <c r="S598" s="38">
        <f t="shared" ca="1" si="129"/>
        <v>186.5625</v>
      </c>
    </row>
    <row r="599" spans="13:19">
      <c r="M599" s="132">
        <f t="shared" ca="1" si="128"/>
        <v>191.54595761210945</v>
      </c>
      <c r="N599" s="38">
        <f t="shared" si="130"/>
        <v>5.6062500000000002</v>
      </c>
      <c r="O599" s="36">
        <f t="shared" si="131"/>
        <v>149.5</v>
      </c>
      <c r="P599" s="38">
        <f ca="1">IF(ISERROR(IF(O599&lt;fi_h/20,0,(OFFSET('Base de dados'!$A$5,IF(O599&lt;20,1,IF(O599&gt;1000,10,MATCH(O599,Cargas,1))),Coluna_fih,1,1))*(1+0.13*0.25)*(PI()*(fi_h/1000)^2/4)*SQRT(2*9.81*(O599/100-fi_h/2/1000))*1000)),"",IF(O599&lt;fi_h/20,0,(OFFSET('Base de dados'!$A$5,IF(O599&lt;20,1,IF(O599&gt;1000,10,MATCH(O599,Cargas,1))),Coluna_fih,1,1))*(PI()*(fi_h/1000)^2/4)*SQRT(2*9.81*(O599/100-fi_h/2/1000))*1000))</f>
        <v>3.2588482807278556</v>
      </c>
      <c r="Q599" s="38">
        <f ca="1">IF(O599="","",IF(Tipo_Vertedor="Retangular",IF(O599&lt;=cota_s*100,0,IF(Tipo_Vertedor="Retangular",Cd_sr*Lef_sr*((O599/100-cota_s)^(3/2))*1000)),IF(O599&lt;=cota_s*100+fi_s/20,0,(OFFSET('Base de dados'!$A$4,IF(O599&lt;20,1,IF(O599&gt;1000,10,MATCH(O599,Cargas,1))),Coluna_fis,1,1))*(PI()*(fi_s/1000)^2/4)*(2*9.81*(O599/100-cota_s-fi_s/2/1000))^0.5*1000)))</f>
        <v>1.4121093313815896</v>
      </c>
      <c r="R599" s="38">
        <f t="shared" ca="1" si="127"/>
        <v>4.6709576121094454</v>
      </c>
      <c r="S599" s="38">
        <f t="shared" ca="1" si="129"/>
        <v>186.875</v>
      </c>
    </row>
    <row r="600" spans="13:19">
      <c r="M600" s="132">
        <f t="shared" ca="1" si="128"/>
        <v>191.86756256966083</v>
      </c>
      <c r="N600" s="38">
        <f t="shared" si="130"/>
        <v>5.6156250000000005</v>
      </c>
      <c r="O600" s="36">
        <f t="shared" si="131"/>
        <v>149.75</v>
      </c>
      <c r="P600" s="38">
        <f ca="1">IF(ISERROR(IF(O600&lt;fi_h/20,0,(OFFSET('Base de dados'!$A$5,IF(O600&lt;20,1,IF(O600&gt;1000,10,MATCH(O600,Cargas,1))),Coluna_fih,1,1))*(1+0.13*0.25)*(PI()*(fi_h/1000)^2/4)*SQRT(2*9.81*(O600/100-fi_h/2/1000))*1000)),"",IF(O600&lt;fi_h/20,0,(OFFSET('Base de dados'!$A$5,IF(O600&lt;20,1,IF(O600&gt;1000,10,MATCH(O600,Cargas,1))),Coluna_fih,1,1))*(PI()*(fi_h/1000)^2/4)*SQRT(2*9.81*(O600/100-fi_h/2/1000))*1000))</f>
        <v>3.2616043647447044</v>
      </c>
      <c r="Q600" s="38">
        <f ca="1">IF(O600="","",IF(Tipo_Vertedor="Retangular",IF(O600&lt;=cota_s*100,0,IF(Tipo_Vertedor="Retangular",Cd_sr*Lef_sr*((O600/100-cota_s)^(3/2))*1000)),IF(O600&lt;=cota_s*100+fi_s/20,0,(OFFSET('Base de dados'!$A$4,IF(O600&lt;20,1,IF(O600&gt;1000,10,MATCH(O600,Cargas,1))),Coluna_fis,1,1))*(PI()*(fi_s/1000)^2/4)*(2*9.81*(O600/100-cota_s-fi_s/2/1000))^0.5*1000)))</f>
        <v>1.418458204916087</v>
      </c>
      <c r="R600" s="38">
        <f t="shared" ca="1" si="127"/>
        <v>4.6800625696607909</v>
      </c>
      <c r="S600" s="38">
        <f t="shared" ca="1" si="129"/>
        <v>187.18750000000003</v>
      </c>
    </row>
    <row r="601" spans="13:19">
      <c r="M601" s="132">
        <f t="shared" ca="1" si="128"/>
        <v>192.18913690969902</v>
      </c>
      <c r="N601" s="38">
        <f t="shared" si="130"/>
        <v>5.625</v>
      </c>
      <c r="O601" s="36">
        <f t="shared" si="131"/>
        <v>150</v>
      </c>
      <c r="P601" s="38">
        <f ca="1">IF(ISERROR(IF(O601&lt;fi_h/20,0,(OFFSET('Base de dados'!$A$5,IF(O601&lt;20,1,IF(O601&gt;1000,10,MATCH(O601,Cargas,1))),Coluna_fih,1,1))*(1+0.13*0.25)*(PI()*(fi_h/1000)^2/4)*SQRT(2*9.81*(O601/100-fi_h/2/1000))*1000)),"",IF(O601&lt;fi_h/20,0,(OFFSET('Base de dados'!$A$5,IF(O601&lt;20,1,IF(O601&gt;1000,10,MATCH(O601,Cargas,1))),Coluna_fih,1,1))*(PI()*(fi_h/1000)^2/4)*SQRT(2*9.81*(O601/100-fi_h/2/1000))*1000))</f>
        <v>3.2643581218120836</v>
      </c>
      <c r="Q601" s="38">
        <f ca="1">IF(O601="","",IF(Tipo_Vertedor="Retangular",IF(O601&lt;=cota_s*100,0,IF(Tipo_Vertedor="Retangular",Cd_sr*Lef_sr*((O601/100-cota_s)^(3/2))*1000)),IF(O601&lt;=cota_s*100+fi_s/20,0,(OFFSET('Base de dados'!$A$4,IF(O601&lt;20,1,IF(O601&gt;1000,10,MATCH(O601,Cargas,1))),Coluna_fis,1,1))*(PI()*(fi_s/1000)^2/4)*(2*9.81*(O601/100-cota_s-fi_s/2/1000))^0.5*1000)))</f>
        <v>1.4247787878869391</v>
      </c>
      <c r="R601" s="38">
        <f t="shared" ca="1" si="127"/>
        <v>4.6891369096990232</v>
      </c>
      <c r="S601" s="38">
        <f t="shared" ca="1" si="129"/>
        <v>187.5</v>
      </c>
    </row>
    <row r="602" spans="13:19">
      <c r="M602" s="132">
        <f t="shared" ca="1" si="128"/>
        <v>192.51068101295911</v>
      </c>
      <c r="N602" s="38">
        <f t="shared" si="130"/>
        <v>5.6343749999999995</v>
      </c>
      <c r="O602" s="36">
        <f t="shared" si="131"/>
        <v>150.25</v>
      </c>
      <c r="P602" s="38">
        <f ca="1">IF(ISERROR(IF(O602&lt;fi_h/20,0,(OFFSET('Base de dados'!$A$5,IF(O602&lt;20,1,IF(O602&gt;1000,10,MATCH(O602,Cargas,1))),Coluna_fih,1,1))*(1+0.13*0.25)*(PI()*(fi_h/1000)^2/4)*SQRT(2*9.81*(O602/100-fi_h/2/1000))*1000)),"",IF(O602&lt;fi_h/20,0,(OFFSET('Base de dados'!$A$5,IF(O602&lt;20,1,IF(O602&gt;1000,10,MATCH(O602,Cargas,1))),Coluna_fih,1,1))*(PI()*(fi_h/1000)^2/4)*SQRT(2*9.81*(O602/100-fi_h/2/1000))*1000))</f>
        <v>3.2671095578139591</v>
      </c>
      <c r="Q602" s="38">
        <f ca="1">IF(O602="","",IF(Tipo_Vertedor="Retangular",IF(O602&lt;=cota_s*100,0,IF(Tipo_Vertedor="Retangular",Cd_sr*Lef_sr*((O602/100-cota_s)^(3/2))*1000)),IF(O602&lt;=cota_s*100+fi_s/20,0,(OFFSET('Base de dados'!$A$4,IF(O602&lt;20,1,IF(O602&gt;1000,10,MATCH(O602,Cargas,1))),Coluna_fis,1,1))*(PI()*(fi_s/1000)^2/4)*(2*9.81*(O602/100-cota_s-fi_s/2/1000))^0.5*1000)))</f>
        <v>1.431071455145194</v>
      </c>
      <c r="R602" s="38">
        <f t="shared" ca="1" si="127"/>
        <v>4.6981810129591528</v>
      </c>
      <c r="S602" s="38">
        <f t="shared" ca="1" si="129"/>
        <v>187.81249999999997</v>
      </c>
    </row>
    <row r="603" spans="13:19">
      <c r="M603" s="132">
        <f t="shared" ca="1" si="128"/>
        <v>192.83219525194585</v>
      </c>
      <c r="N603" s="38">
        <f t="shared" si="130"/>
        <v>5.6437499999999998</v>
      </c>
      <c r="O603" s="36">
        <f t="shared" si="131"/>
        <v>150.5</v>
      </c>
      <c r="P603" s="38">
        <f ca="1">IF(ISERROR(IF(O603&lt;fi_h/20,0,(OFFSET('Base de dados'!$A$5,IF(O603&lt;20,1,IF(O603&gt;1000,10,MATCH(O603,Cargas,1))),Coluna_fih,1,1))*(1+0.13*0.25)*(PI()*(fi_h/1000)^2/4)*SQRT(2*9.81*(O603/100-fi_h/2/1000))*1000)),"",IF(O603&lt;fi_h/20,0,(OFFSET('Base de dados'!$A$5,IF(O603&lt;20,1,IF(O603&gt;1000,10,MATCH(O603,Cargas,1))),Coluna_fih,1,1))*(PI()*(fi_h/1000)^2/4)*SQRT(2*9.81*(O603/100-fi_h/2/1000))*1000))</f>
        <v>3.2698586786095403</v>
      </c>
      <c r="Q603" s="38">
        <f ca="1">IF(O603="","",IF(Tipo_Vertedor="Retangular",IF(O603&lt;=cota_s*100,0,IF(Tipo_Vertedor="Retangular",Cd_sr*Lef_sr*((O603/100-cota_s)^(3/2))*1000)),IF(O603&lt;=cota_s*100+fi_s/20,0,(OFFSET('Base de dados'!$A$4,IF(O603&lt;20,1,IF(O603&gt;1000,10,MATCH(O603,Cargas,1))),Coluna_fis,1,1))*(PI()*(fi_s/1000)^2/4)*(2*9.81*(O603/100-cota_s-fi_s/2/1000))^0.5*1000)))</f>
        <v>1.437336573336319</v>
      </c>
      <c r="R603" s="38">
        <f t="shared" ca="1" si="127"/>
        <v>4.7071952519458593</v>
      </c>
      <c r="S603" s="38">
        <f t="shared" ca="1" si="129"/>
        <v>188.125</v>
      </c>
    </row>
    <row r="604" spans="13:19">
      <c r="M604" s="132">
        <f t="shared" ca="1" si="128"/>
        <v>193.15367999118291</v>
      </c>
      <c r="N604" s="38">
        <f t="shared" si="130"/>
        <v>5.6531250000000002</v>
      </c>
      <c r="O604" s="36">
        <f t="shared" si="131"/>
        <v>150.75</v>
      </c>
      <c r="P604" s="38">
        <f ca="1">IF(ISERROR(IF(O604&lt;fi_h/20,0,(OFFSET('Base de dados'!$A$5,IF(O604&lt;20,1,IF(O604&gt;1000,10,MATCH(O604,Cargas,1))),Coluna_fih,1,1))*(1+0.13*0.25)*(PI()*(fi_h/1000)^2/4)*SQRT(2*9.81*(O604/100-fi_h/2/1000))*1000)),"",IF(O604&lt;fi_h/20,0,(OFFSET('Base de dados'!$A$5,IF(O604&lt;20,1,IF(O604&gt;1000,10,MATCH(O604,Cargas,1))),Coluna_fih,1,1))*(PI()*(fi_h/1000)^2/4)*SQRT(2*9.81*(O604/100-fi_h/2/1000))*1000))</f>
        <v>3.2726054900334285</v>
      </c>
      <c r="Q604" s="38">
        <f ca="1">IF(O604="","",IF(Tipo_Vertedor="Retangular",IF(O604&lt;=cota_s*100,0,IF(Tipo_Vertedor="Retangular",Cd_sr*Lef_sr*((O604/100-cota_s)^(3/2))*1000)),IF(O604&lt;=cota_s*100+fi_s/20,0,(OFFSET('Base de dados'!$A$4,IF(O604&lt;20,1,IF(O604&gt;1000,10,MATCH(O604,Cargas,1))),Coluna_fis,1,1))*(PI()*(fi_s/1000)^2/4)*(2*9.81*(O604/100-cota_s-fi_s/2/1000))^0.5*1000)))</f>
        <v>1.4435745011494907</v>
      </c>
      <c r="R604" s="38">
        <f t="shared" ca="1" si="127"/>
        <v>4.7161799911829192</v>
      </c>
      <c r="S604" s="38">
        <f t="shared" ca="1" si="129"/>
        <v>188.4375</v>
      </c>
    </row>
    <row r="605" spans="13:19">
      <c r="M605" s="132">
        <f t="shared" ca="1" si="128"/>
        <v>193.475135587453</v>
      </c>
      <c r="N605" s="38">
        <f t="shared" si="130"/>
        <v>5.6624999999999996</v>
      </c>
      <c r="O605" s="36">
        <f t="shared" si="131"/>
        <v>151</v>
      </c>
      <c r="P605" s="38">
        <f ca="1">IF(ISERROR(IF(O605&lt;fi_h/20,0,(OFFSET('Base de dados'!$A$5,IF(O605&lt;20,1,IF(O605&gt;1000,10,MATCH(O605,Cargas,1))),Coluna_fih,1,1))*(1+0.13*0.25)*(PI()*(fi_h/1000)^2/4)*SQRT(2*9.81*(O605/100-fi_h/2/1000))*1000)),"",IF(O605&lt;fi_h/20,0,(OFFSET('Base de dados'!$A$5,IF(O605&lt;20,1,IF(O605&gt;1000,10,MATCH(O605,Cargas,1))),Coluna_fih,1,1))*(PI()*(fi_h/1000)^2/4)*SQRT(2*9.81*(O605/100-fi_h/2/1000))*1000))</f>
        <v>3.2753499978957583</v>
      </c>
      <c r="Q605" s="38">
        <f ca="1">IF(O605="","",IF(Tipo_Vertedor="Retangular",IF(O605&lt;=cota_s*100,0,IF(Tipo_Vertedor="Retangular",Cd_sr*Lef_sr*((O605/100-cota_s)^(3/2))*1000)),IF(O605&lt;=cota_s*100+fi_s/20,0,(OFFSET('Base de dados'!$A$4,IF(O605&lt;20,1,IF(O605&gt;1000,10,MATCH(O605,Cargas,1))),Coluna_fis,1,1))*(PI()*(fi_s/1000)^2/4)*(2*9.81*(O605/100-cota_s-fi_s/2/1000))^0.5*1000)))</f>
        <v>1.4497855895572314</v>
      </c>
      <c r="R605" s="38">
        <f t="shared" ca="1" si="127"/>
        <v>4.7251355874529892</v>
      </c>
      <c r="S605" s="38">
        <f t="shared" ca="1" si="129"/>
        <v>188.75</v>
      </c>
    </row>
    <row r="606" spans="13:19">
      <c r="M606" s="132">
        <f t="shared" ca="1" si="128"/>
        <v>193.79656239002819</v>
      </c>
      <c r="N606" s="38">
        <f t="shared" si="130"/>
        <v>5.671875</v>
      </c>
      <c r="O606" s="36">
        <f t="shared" si="131"/>
        <v>151.25</v>
      </c>
      <c r="P606" s="38">
        <f ca="1">IF(ISERROR(IF(O606&lt;fi_h/20,0,(OFFSET('Base de dados'!$A$5,IF(O606&lt;20,1,IF(O606&gt;1000,10,MATCH(O606,Cargas,1))),Coluna_fih,1,1))*(1+0.13*0.25)*(PI()*(fi_h/1000)^2/4)*SQRT(2*9.81*(O606/100-fi_h/2/1000))*1000)),"",IF(O606&lt;fi_h/20,0,(OFFSET('Base de dados'!$A$5,IF(O606&lt;20,1,IF(O606&gt;1000,10,MATCH(O606,Cargas,1))),Coluna_fih,1,1))*(PI()*(fi_h/1000)^2/4)*SQRT(2*9.81*(O606/100-fi_h/2/1000))*1000))</f>
        <v>3.2780922079823429</v>
      </c>
      <c r="Q606" s="38">
        <f ca="1">IF(O606="","",IF(Tipo_Vertedor="Retangular",IF(O606&lt;=cota_s*100,0,IF(Tipo_Vertedor="Retangular",Cd_sr*Lef_sr*((O606/100-cota_s)^(3/2))*1000)),IF(O606&lt;=cota_s*100+fi_s/20,0,(OFFSET('Base de dados'!$A$4,IF(O606&lt;20,1,IF(O606&gt;1000,10,MATCH(O606,Cargas,1))),Coluna_fis,1,1))*(PI()*(fi_s/1000)^2/4)*(2*9.81*(O606/100-cota_s-fi_s/2/1000))^0.5*1000)))</f>
        <v>1.4559701820458468</v>
      </c>
      <c r="R606" s="38">
        <f t="shared" ca="1" si="127"/>
        <v>4.73406239002819</v>
      </c>
      <c r="S606" s="38">
        <f t="shared" ca="1" si="129"/>
        <v>189.0625</v>
      </c>
    </row>
    <row r="607" spans="13:19">
      <c r="M607" s="132">
        <f t="shared" ca="1" si="128"/>
        <v>194.11796074089187</v>
      </c>
      <c r="N607" s="38">
        <f t="shared" si="130"/>
        <v>5.6812499999999995</v>
      </c>
      <c r="O607" s="36">
        <f t="shared" si="131"/>
        <v>151.5</v>
      </c>
      <c r="P607" s="38">
        <f ca="1">IF(ISERROR(IF(O607&lt;fi_h/20,0,(OFFSET('Base de dados'!$A$5,IF(O607&lt;20,1,IF(O607&gt;1000,10,MATCH(O607,Cargas,1))),Coluna_fih,1,1))*(1+0.13*0.25)*(PI()*(fi_h/1000)^2/4)*SQRT(2*9.81*(O607/100-fi_h/2/1000))*1000)),"",IF(O607&lt;fi_h/20,0,(OFFSET('Base de dados'!$A$5,IF(O607&lt;20,1,IF(O607&gt;1000,10,MATCH(O607,Cargas,1))),Coluna_fih,1,1))*(PI()*(fi_h/1000)^2/4)*SQRT(2*9.81*(O607/100-fi_h/2/1000))*1000))</f>
        <v>3.2808321260548161</v>
      </c>
      <c r="Q607" s="38">
        <f ca="1">IF(O607="","",IF(Tipo_Vertedor="Retangular",IF(O607&lt;=cota_s*100,0,IF(Tipo_Vertedor="Retangular",Cd_sr*Lef_sr*((O607/100-cota_s)^(3/2))*1000)),IF(O607&lt;=cota_s*100+fi_s/20,0,(OFFSET('Base de dados'!$A$4,IF(O607&lt;20,1,IF(O607&gt;1000,10,MATCH(O607,Cargas,1))),Coluna_fis,1,1))*(PI()*(fi_s/1000)^2/4)*(2*9.81*(O607/100-cota_s-fi_s/2/1000))^0.5*1000)))</f>
        <v>1.4621286148370889</v>
      </c>
      <c r="R607" s="38">
        <f t="shared" ca="1" si="127"/>
        <v>4.7429607408919052</v>
      </c>
      <c r="S607" s="38">
        <f t="shared" ca="1" si="129"/>
        <v>189.37499999999997</v>
      </c>
    </row>
    <row r="608" spans="13:19">
      <c r="M608" s="132">
        <f t="shared" ca="1" si="128"/>
        <v>194.43933097495224</v>
      </c>
      <c r="N608" s="38">
        <f t="shared" si="130"/>
        <v>5.6906250000000007</v>
      </c>
      <c r="O608" s="36">
        <f t="shared" si="131"/>
        <v>151.75</v>
      </c>
      <c r="P608" s="38">
        <f ca="1">IF(ISERROR(IF(O608&lt;fi_h/20,0,(OFFSET('Base de dados'!$A$5,IF(O608&lt;20,1,IF(O608&gt;1000,10,MATCH(O608,Cargas,1))),Coluna_fih,1,1))*(1+0.13*0.25)*(PI()*(fi_h/1000)^2/4)*SQRT(2*9.81*(O608/100-fi_h/2/1000))*1000)),"",IF(O608&lt;fi_h/20,0,(OFFSET('Base de dados'!$A$5,IF(O608&lt;20,1,IF(O608&gt;1000,10,MATCH(O608,Cargas,1))),Coluna_fih,1,1))*(PI()*(fi_h/1000)^2/4)*SQRT(2*9.81*(O608/100-fi_h/2/1000))*1000))</f>
        <v>3.283569757850771</v>
      </c>
      <c r="Q608" s="38">
        <f ca="1">IF(O608="","",IF(Tipo_Vertedor="Retangular",IF(O608&lt;=cota_s*100,0,IF(Tipo_Vertedor="Retangular",Cd_sr*Lef_sr*((O608/100-cota_s)^(3/2))*1000)),IF(O608&lt;=cota_s*100+fi_s/20,0,(OFFSET('Base de dados'!$A$4,IF(O608&lt;20,1,IF(O608&gt;1000,10,MATCH(O608,Cargas,1))),Coluna_fis,1,1))*(PI()*(fi_s/1000)^2/4)*(2*9.81*(O608/100-cota_s-fi_s/2/1000))^0.5*1000)))</f>
        <v>1.4682612171014506</v>
      </c>
      <c r="R608" s="38">
        <f t="shared" ca="1" si="127"/>
        <v>4.7518309749522221</v>
      </c>
      <c r="S608" s="38">
        <f t="shared" ca="1" si="129"/>
        <v>189.68750000000003</v>
      </c>
    </row>
    <row r="609" spans="13:19">
      <c r="M609" s="132">
        <f t="shared" ca="1" si="128"/>
        <v>194.76067342024737</v>
      </c>
      <c r="N609" s="38">
        <f t="shared" si="130"/>
        <v>5.7</v>
      </c>
      <c r="O609" s="36">
        <f t="shared" si="131"/>
        <v>152</v>
      </c>
      <c r="P609" s="38">
        <f ca="1">IF(ISERROR(IF(O609&lt;fi_h/20,0,(OFFSET('Base de dados'!$A$5,IF(O609&lt;20,1,IF(O609&gt;1000,10,MATCH(O609,Cargas,1))),Coluna_fih,1,1))*(1+0.13*0.25)*(PI()*(fi_h/1000)^2/4)*SQRT(2*9.81*(O609/100-fi_h/2/1000))*1000)),"",IF(O609&lt;fi_h/20,0,(OFFSET('Base de dados'!$A$5,IF(O609&lt;20,1,IF(O609&gt;1000,10,MATCH(O609,Cargas,1))),Coluna_fih,1,1))*(PI()*(fi_h/1000)^2/4)*SQRT(2*9.81*(O609/100-fi_h/2/1000))*1000))</f>
        <v>3.2863051090839055</v>
      </c>
      <c r="Q609" s="38">
        <f ca="1">IF(O609="","",IF(Tipo_Vertedor="Retangular",IF(O609&lt;=cota_s*100,0,IF(Tipo_Vertedor="Retangular",Cd_sr*Lef_sr*((O609/100-cota_s)^(3/2))*1000)),IF(O609&lt;=cota_s*100+fi_s/20,0,(OFFSET('Base de dados'!$A$4,IF(O609&lt;20,1,IF(O609&gt;1000,10,MATCH(O609,Cargas,1))),Coluna_fis,1,1))*(PI()*(fi_s/1000)^2/4)*(2*9.81*(O609/100-cota_s-fi_s/2/1000))^0.5*1000)))</f>
        <v>1.4743683111634762</v>
      </c>
      <c r="R609" s="38">
        <f t="shared" ca="1" si="127"/>
        <v>4.7606734202473815</v>
      </c>
      <c r="S609" s="38">
        <f t="shared" ca="1" si="129"/>
        <v>190</v>
      </c>
    </row>
    <row r="610" spans="13:19">
      <c r="M610" s="132">
        <f t="shared" ca="1" si="128"/>
        <v>195.08198839814361</v>
      </c>
      <c r="N610" s="38">
        <f t="shared" si="130"/>
        <v>5.7093749999999996</v>
      </c>
      <c r="O610" s="36">
        <f t="shared" si="131"/>
        <v>152.25</v>
      </c>
      <c r="P610" s="38">
        <f ca="1">IF(ISERROR(IF(O610&lt;fi_h/20,0,(OFFSET('Base de dados'!$A$5,IF(O610&lt;20,1,IF(O610&gt;1000,10,MATCH(O610,Cargas,1))),Coluna_fih,1,1))*(1+0.13*0.25)*(PI()*(fi_h/1000)^2/4)*SQRT(2*9.81*(O610/100-fi_h/2/1000))*1000)),"",IF(O610&lt;fi_h/20,0,(OFFSET('Base de dados'!$A$5,IF(O610&lt;20,1,IF(O610&gt;1000,10,MATCH(O610,Cargas,1))),Coluna_fih,1,1))*(PI()*(fi_h/1000)^2/4)*SQRT(2*9.81*(O610/100-fi_h/2/1000))*1000))</f>
        <v>3.2890381854441562</v>
      </c>
      <c r="Q610" s="38">
        <f ca="1">IF(O610="","",IF(Tipo_Vertedor="Retangular",IF(O610&lt;=cota_s*100,0,IF(Tipo_Vertedor="Retangular",Cd_sr*Lef_sr*((O610/100-cota_s)^(3/2))*1000)),IF(O610&lt;=cota_s*100+fi_s/20,0,(OFFSET('Base de dados'!$A$4,IF(O610&lt;20,1,IF(O610&gt;1000,10,MATCH(O610,Cargas,1))),Coluna_fis,1,1))*(PI()*(fi_s/1000)^2/4)*(2*9.81*(O610/100-cota_s-fi_s/2/1000))^0.5*1000)))</f>
        <v>1.4804502126994508</v>
      </c>
      <c r="R610" s="38">
        <f t="shared" ca="1" si="127"/>
        <v>4.7694883981436069</v>
      </c>
      <c r="S610" s="38">
        <f t="shared" ca="1" si="129"/>
        <v>190.3125</v>
      </c>
    </row>
    <row r="611" spans="13:19">
      <c r="M611" s="132">
        <f t="shared" ca="1" si="128"/>
        <v>195.40327622352564</v>
      </c>
      <c r="N611" s="38">
        <f t="shared" si="130"/>
        <v>5.71875</v>
      </c>
      <c r="O611" s="36">
        <f t="shared" si="131"/>
        <v>152.5</v>
      </c>
      <c r="P611" s="38">
        <f ca="1">IF(ISERROR(IF(O611&lt;fi_h/20,0,(OFFSET('Base de dados'!$A$5,IF(O611&lt;20,1,IF(O611&gt;1000,10,MATCH(O611,Cargas,1))),Coluna_fih,1,1))*(1+0.13*0.25)*(PI()*(fi_h/1000)^2/4)*SQRT(2*9.81*(O611/100-fi_h/2/1000))*1000)),"",IF(O611&lt;fi_h/20,0,(OFFSET('Base de dados'!$A$5,IF(O611&lt;20,1,IF(O611&gt;1000,10,MATCH(O611,Cargas,1))),Coluna_fih,1,1))*(PI()*(fi_h/1000)^2/4)*SQRT(2*9.81*(O611/100-fi_h/2/1000))*1000))</f>
        <v>3.2917689925978393</v>
      </c>
      <c r="Q611" s="38">
        <f ca="1">IF(O611="","",IF(Tipo_Vertedor="Retangular",IF(O611&lt;=cota_s*100,0,IF(Tipo_Vertedor="Retangular",Cd_sr*Lef_sr*((O611/100-cota_s)^(3/2))*1000)),IF(O611&lt;=cota_s*100+fi_s/20,0,(OFFSET('Base de dados'!$A$4,IF(O611&lt;20,1,IF(O611&gt;1000,10,MATCH(O611,Cargas,1))),Coluna_fis,1,1))*(PI()*(fi_s/1000)^2/4)*(2*9.81*(O611/100-cota_s-fi_s/2/1000))^0.5*1000)))</f>
        <v>1.4865072309278071</v>
      </c>
      <c r="R611" s="38">
        <f t="shared" ca="1" si="127"/>
        <v>4.778276223525646</v>
      </c>
      <c r="S611" s="38">
        <f t="shared" ca="1" si="129"/>
        <v>190.625</v>
      </c>
    </row>
    <row r="612" spans="13:19">
      <c r="M612" s="132">
        <f t="shared" ca="1" si="128"/>
        <v>195.72453720498038</v>
      </c>
      <c r="N612" s="38">
        <f t="shared" si="130"/>
        <v>5.7281250000000004</v>
      </c>
      <c r="O612" s="36">
        <f t="shared" si="131"/>
        <v>152.75</v>
      </c>
      <c r="P612" s="38">
        <f ca="1">IF(ISERROR(IF(O612&lt;fi_h/20,0,(OFFSET('Base de dados'!$A$5,IF(O612&lt;20,1,IF(O612&gt;1000,10,MATCH(O612,Cargas,1))),Coluna_fih,1,1))*(1+0.13*0.25)*(PI()*(fi_h/1000)^2/4)*SQRT(2*9.81*(O612/100-fi_h/2/1000))*1000)),"",IF(O612&lt;fi_h/20,0,(OFFSET('Base de dados'!$A$5,IF(O612&lt;20,1,IF(O612&gt;1000,10,MATCH(O612,Cargas,1))),Coluna_fih,1,1))*(PI()*(fi_h/1000)^2/4)*SQRT(2*9.81*(O612/100-fi_h/2/1000))*1000))</f>
        <v>3.2944975361877877</v>
      </c>
      <c r="Q612" s="38">
        <f ca="1">IF(O612="","",IF(Tipo_Vertedor="Retangular",IF(O612&lt;=cota_s*100,0,IF(Tipo_Vertedor="Retangular",Cd_sr*Lef_sr*((O612/100-cota_s)^(3/2))*1000)),IF(O612&lt;=cota_s*100+fi_s/20,0,(OFFSET('Base de dados'!$A$4,IF(O612&lt;20,1,IF(O612&gt;1000,10,MATCH(O612,Cargas,1))),Coluna_fis,1,1))*(PI()*(fi_s/1000)^2/4)*(2*9.81*(O612/100-cota_s-fi_s/2/1000))^0.5*1000)))</f>
        <v>1.4925396687925805</v>
      </c>
      <c r="R612" s="38">
        <f t="shared" ca="1" si="127"/>
        <v>4.7870372049803684</v>
      </c>
      <c r="S612" s="38">
        <f t="shared" ca="1" si="129"/>
        <v>190.9375</v>
      </c>
    </row>
    <row r="613" spans="13:19">
      <c r="M613" s="132">
        <f t="shared" ca="1" si="128"/>
        <v>196.04577164497371</v>
      </c>
      <c r="N613" s="38">
        <f t="shared" si="130"/>
        <v>5.7374999999999998</v>
      </c>
      <c r="O613" s="36">
        <f t="shared" si="131"/>
        <v>153</v>
      </c>
      <c r="P613" s="38">
        <f ca="1">IF(ISERROR(IF(O613&lt;fi_h/20,0,(OFFSET('Base de dados'!$A$5,IF(O613&lt;20,1,IF(O613&gt;1000,10,MATCH(O613,Cargas,1))),Coluna_fih,1,1))*(1+0.13*0.25)*(PI()*(fi_h/1000)^2/4)*SQRT(2*9.81*(O613/100-fi_h/2/1000))*1000)),"",IF(O613&lt;fi_h/20,0,(OFFSET('Base de dados'!$A$5,IF(O613&lt;20,1,IF(O613&gt;1000,10,MATCH(O613,Cargas,1))),Coluna_fih,1,1))*(PI()*(fi_h/1000)^2/4)*SQRT(2*9.81*(O613/100-fi_h/2/1000))*1000))</f>
        <v>3.2972238218334851</v>
      </c>
      <c r="Q613" s="38">
        <f ca="1">IF(O613="","",IF(Tipo_Vertedor="Retangular",IF(O613&lt;=cota_s*100,0,IF(Tipo_Vertedor="Retangular",Cd_sr*Lef_sr*((O613/100-cota_s)^(3/2))*1000)),IF(O613&lt;=cota_s*100+fi_s/20,0,(OFFSET('Base de dados'!$A$4,IF(O613&lt;20,1,IF(O613&gt;1000,10,MATCH(O613,Cargas,1))),Coluna_fis,1,1))*(PI()*(fi_s/1000)^2/4)*(2*9.81*(O613/100-cota_s-fi_s/2/1000))^0.5*1000)))</f>
        <v>1.4985478231402141</v>
      </c>
      <c r="R613" s="38">
        <f t="shared" ca="1" si="127"/>
        <v>4.7957716449736996</v>
      </c>
      <c r="S613" s="38">
        <f t="shared" ca="1" si="129"/>
        <v>191.25</v>
      </c>
    </row>
    <row r="614" spans="13:19">
      <c r="M614" s="132">
        <f t="shared" ca="1" si="128"/>
        <v>196.3669798400212</v>
      </c>
      <c r="N614" s="38">
        <f t="shared" si="130"/>
        <v>5.7468750000000002</v>
      </c>
      <c r="O614" s="36">
        <f t="shared" si="131"/>
        <v>153.25</v>
      </c>
      <c r="P614" s="38">
        <f ca="1">IF(ISERROR(IF(O614&lt;fi_h/20,0,(OFFSET('Base de dados'!$A$5,IF(O614&lt;20,1,IF(O614&gt;1000,10,MATCH(O614,Cargas,1))),Coluna_fih,1,1))*(1+0.13*0.25)*(PI()*(fi_h/1000)^2/4)*SQRT(2*9.81*(O614/100-fi_h/2/1000))*1000)),"",IF(O614&lt;fi_h/20,0,(OFFSET('Base de dados'!$A$5,IF(O614&lt;20,1,IF(O614&gt;1000,10,MATCH(O614,Cargas,1))),Coluna_fih,1,1))*(PI()*(fi_h/1000)^2/4)*SQRT(2*9.81*(O614/100-fi_h/2/1000))*1000))</f>
        <v>3.2999478551312027</v>
      </c>
      <c r="Q614" s="38">
        <f ca="1">IF(O614="","",IF(Tipo_Vertedor="Retangular",IF(O614&lt;=cota_s*100,0,IF(Tipo_Vertedor="Retangular",Cd_sr*Lef_sr*((O614/100-cota_s)^(3/2))*1000)),IF(O614&lt;=cota_s*100+fi_s/20,0,(OFFSET('Base de dados'!$A$4,IF(O614&lt;20,1,IF(O614&gt;1000,10,MATCH(O614,Cargas,1))),Coluna_fis,1,1))*(PI()*(fi_s/1000)^2/4)*(2*9.81*(O614/100-cota_s-fi_s/2/1000))^0.5*1000)))</f>
        <v>1.5045319848900129</v>
      </c>
      <c r="R614" s="38">
        <f t="shared" ca="1" si="127"/>
        <v>4.8044798400212159</v>
      </c>
      <c r="S614" s="38">
        <f t="shared" ca="1" si="129"/>
        <v>191.5625</v>
      </c>
    </row>
    <row r="615" spans="13:19">
      <c r="M615" s="132">
        <f t="shared" ca="1" si="128"/>
        <v>196.68816208085263</v>
      </c>
      <c r="N615" s="38">
        <f t="shared" si="130"/>
        <v>5.7562499999999996</v>
      </c>
      <c r="O615" s="36">
        <f t="shared" si="131"/>
        <v>153.5</v>
      </c>
      <c r="P615" s="38">
        <f ca="1">IF(ISERROR(IF(O615&lt;fi_h/20,0,(OFFSET('Base de dados'!$A$5,IF(O615&lt;20,1,IF(O615&gt;1000,10,MATCH(O615,Cargas,1))),Coluna_fih,1,1))*(1+0.13*0.25)*(PI()*(fi_h/1000)^2/4)*SQRT(2*9.81*(O615/100-fi_h/2/1000))*1000)),"",IF(O615&lt;fi_h/20,0,(OFFSET('Base de dados'!$A$5,IF(O615&lt;20,1,IF(O615&gt;1000,10,MATCH(O615,Cargas,1))),Coluna_fih,1,1))*(PI()*(fi_h/1000)^2/4)*SQRT(2*9.81*(O615/100-fi_h/2/1000))*1000))</f>
        <v>3.302669641654131</v>
      </c>
      <c r="Q615" s="38">
        <f ca="1">IF(O615="","",IF(Tipo_Vertedor="Retangular",IF(O615&lt;=cota_s*100,0,IF(Tipo_Vertedor="Retangular",Cd_sr*Lef_sr*((O615/100-cota_s)^(3/2))*1000)),IF(O615&lt;=cota_s*100+fi_s/20,0,(OFFSET('Base de dados'!$A$4,IF(O615&lt;20,1,IF(O615&gt;1000,10,MATCH(O615,Cargas,1))),Coluna_fis,1,1))*(PI()*(fi_s/1000)^2/4)*(2*9.81*(O615/100-cota_s-fi_s/2/1000))^0.5*1000)))</f>
        <v>1.5104924391985182</v>
      </c>
      <c r="R615" s="38">
        <f t="shared" ca="1" si="127"/>
        <v>4.8131620808526492</v>
      </c>
      <c r="S615" s="38">
        <f t="shared" ca="1" si="129"/>
        <v>191.875</v>
      </c>
    </row>
    <row r="616" spans="13:19">
      <c r="M616" s="132">
        <f t="shared" ca="1" si="128"/>
        <v>197.00931865257058</v>
      </c>
      <c r="N616" s="38">
        <f t="shared" si="130"/>
        <v>5.765625</v>
      </c>
      <c r="O616" s="36">
        <f t="shared" si="131"/>
        <v>153.75</v>
      </c>
      <c r="P616" s="38">
        <f ca="1">IF(ISERROR(IF(O616&lt;fi_h/20,0,(OFFSET('Base de dados'!$A$5,IF(O616&lt;20,1,IF(O616&gt;1000,10,MATCH(O616,Cargas,1))),Coluna_fih,1,1))*(1+0.13*0.25)*(PI()*(fi_h/1000)^2/4)*SQRT(2*9.81*(O616/100-fi_h/2/1000))*1000)),"",IF(O616&lt;fi_h/20,0,(OFFSET('Base de dados'!$A$5,IF(O616&lt;20,1,IF(O616&gt;1000,10,MATCH(O616,Cargas,1))),Coluna_fih,1,1))*(PI()*(fi_h/1000)^2/4)*SQRT(2*9.81*(O616/100-fi_h/2/1000))*1000))</f>
        <v>3.3053891869525196</v>
      </c>
      <c r="Q616" s="38">
        <f ca="1">IF(O616="","",IF(Tipo_Vertedor="Retangular",IF(O616&lt;=cota_s*100,0,IF(Tipo_Vertedor="Retangular",Cd_sr*Lef_sr*((O616/100-cota_s)^(3/2))*1000)),IF(O616&lt;=cota_s*100+fi_s/20,0,(OFFSET('Base de dados'!$A$4,IF(O616&lt;20,1,IF(O616&gt;1000,10,MATCH(O616,Cargas,1))),Coluna_fis,1,1))*(PI()*(fi_s/1000)^2/4)*(2*9.81*(O616/100-cota_s-fi_s/2/1000))^0.5*1000)))</f>
        <v>1.5164294656180681</v>
      </c>
      <c r="R616" s="38">
        <f t="shared" ca="1" si="127"/>
        <v>4.8218186525705882</v>
      </c>
      <c r="S616" s="38">
        <f t="shared" ca="1" si="129"/>
        <v>192.1875</v>
      </c>
    </row>
    <row r="617" spans="13:19">
      <c r="M617" s="132">
        <f t="shared" ca="1" si="128"/>
        <v>197.33044983480357</v>
      </c>
      <c r="N617" s="38">
        <f t="shared" si="130"/>
        <v>5.7750000000000004</v>
      </c>
      <c r="O617" s="36">
        <f t="shared" si="131"/>
        <v>154</v>
      </c>
      <c r="P617" s="38">
        <f ca="1">IF(ISERROR(IF(O617&lt;fi_h/20,0,(OFFSET('Base de dados'!$A$5,IF(O617&lt;20,1,IF(O617&gt;1000,10,MATCH(O617,Cargas,1))),Coluna_fih,1,1))*(1+0.13*0.25)*(PI()*(fi_h/1000)^2/4)*SQRT(2*9.81*(O617/100-fi_h/2/1000))*1000)),"",IF(O617&lt;fi_h/20,0,(OFFSET('Base de dados'!$A$5,IF(O617&lt;20,1,IF(O617&gt;1000,10,MATCH(O617,Cargas,1))),Coluna_fih,1,1))*(PI()*(fi_h/1000)^2/4)*SQRT(2*9.81*(O617/100-fi_h/2/1000))*1000))</f>
        <v>3.3081064965537985</v>
      </c>
      <c r="Q617" s="38">
        <f ca="1">IF(O617="","",IF(Tipo_Vertedor="Retangular",IF(O617&lt;=cota_s*100,0,IF(Tipo_Vertedor="Retangular",Cd_sr*Lef_sr*((O617/100-cota_s)^(3/2))*1000)),IF(O617&lt;=cota_s*100+fi_s/20,0,(OFFSET('Base de dados'!$A$4,IF(O617&lt;20,1,IF(O617&gt;1000,10,MATCH(O617,Cargas,1))),Coluna_fis,1,1))*(PI()*(fi_s/1000)^2/4)*(2*9.81*(O617/100-cota_s-fi_s/2/1000))^0.5*1000)))</f>
        <v>1.5223433382497875</v>
      </c>
      <c r="R617" s="38">
        <f t="shared" ca="1" si="127"/>
        <v>4.830449834803586</v>
      </c>
      <c r="S617" s="38">
        <f t="shared" ca="1" si="129"/>
        <v>192.5</v>
      </c>
    </row>
    <row r="618" spans="13:19">
      <c r="M618" s="132">
        <f t="shared" ca="1" si="128"/>
        <v>197.65155590185398</v>
      </c>
      <c r="N618" s="38">
        <f t="shared" si="130"/>
        <v>5.7843749999999998</v>
      </c>
      <c r="O618" s="36">
        <f t="shared" si="131"/>
        <v>154.25</v>
      </c>
      <c r="P618" s="38">
        <f ca="1">IF(ISERROR(IF(O618&lt;fi_h/20,0,(OFFSET('Base de dados'!$A$5,IF(O618&lt;20,1,IF(O618&gt;1000,10,MATCH(O618,Cargas,1))),Coluna_fih,1,1))*(1+0.13*0.25)*(PI()*(fi_h/1000)^2/4)*SQRT(2*9.81*(O618/100-fi_h/2/1000))*1000)),"",IF(O618&lt;fi_h/20,0,(OFFSET('Base de dados'!$A$5,IF(O618&lt;20,1,IF(O618&gt;1000,10,MATCH(O618,Cargas,1))),Coluna_fih,1,1))*(PI()*(fi_h/1000)^2/4)*SQRT(2*9.81*(O618/100-fi_h/2/1000))*1000))</f>
        <v>3.3108215759627178</v>
      </c>
      <c r="Q618" s="38">
        <f ca="1">IF(O618="","",IF(Tipo_Vertedor="Retangular",IF(O618&lt;=cota_s*100,0,IF(Tipo_Vertedor="Retangular",Cd_sr*Lef_sr*((O618/100-cota_s)^(3/2))*1000)),IF(O618&lt;=cota_s*100+fi_s/20,0,(OFFSET('Base de dados'!$A$4,IF(O618&lt;20,1,IF(O618&gt;1000,10,MATCH(O618,Cargas,1))),Coluna_fis,1,1))*(PI()*(fi_s/1000)^2/4)*(2*9.81*(O618/100-cota_s-fi_s/2/1000))^0.5*1000)))</f>
        <v>1.5282343258912605</v>
      </c>
      <c r="R618" s="38">
        <f t="shared" ca="1" si="127"/>
        <v>4.8390559018539783</v>
      </c>
      <c r="S618" s="38">
        <f t="shared" ca="1" si="129"/>
        <v>192.8125</v>
      </c>
    </row>
    <row r="619" spans="13:19">
      <c r="M619" s="132">
        <f t="shared" ca="1" si="128"/>
        <v>197.97263712284052</v>
      </c>
      <c r="N619" s="38">
        <f t="shared" si="130"/>
        <v>5.7937499999999993</v>
      </c>
      <c r="O619" s="36">
        <f t="shared" si="131"/>
        <v>154.5</v>
      </c>
      <c r="P619" s="38">
        <f ca="1">IF(ISERROR(IF(O619&lt;fi_h/20,0,(OFFSET('Base de dados'!$A$5,IF(O619&lt;20,1,IF(O619&gt;1000,10,MATCH(O619,Cargas,1))),Coluna_fih,1,1))*(1+0.13*0.25)*(PI()*(fi_h/1000)^2/4)*SQRT(2*9.81*(O619/100-fi_h/2/1000))*1000)),"",IF(O619&lt;fi_h/20,0,(OFFSET('Base de dados'!$A$5,IF(O619&lt;20,1,IF(O619&gt;1000,10,MATCH(O619,Cargas,1))),Coluna_fih,1,1))*(PI()*(fi_h/1000)^2/4)*SQRT(2*9.81*(O619/100-fi_h/2/1000))*1000))</f>
        <v>3.3135344306614742</v>
      </c>
      <c r="Q619" s="38">
        <f ca="1">IF(O619="","",IF(Tipo_Vertedor="Retangular",IF(O619&lt;=cota_s*100,0,IF(Tipo_Vertedor="Retangular",Cd_sr*Lef_sr*((O619/100-cota_s)^(3/2))*1000)),IF(O619&lt;=cota_s*100+fi_s/20,0,(OFFSET('Base de dados'!$A$4,IF(O619&lt;20,1,IF(O619&gt;1000,10,MATCH(O619,Cargas,1))),Coluna_fis,1,1))*(PI()*(fi_s/1000)^2/4)*(2*9.81*(O619/100-cota_s-fi_s/2/1000))^0.5*1000)))</f>
        <v>1.534102692179087</v>
      </c>
      <c r="R619" s="38">
        <f t="shared" ca="1" si="127"/>
        <v>4.8476371228405615</v>
      </c>
      <c r="S619" s="38">
        <f t="shared" ca="1" si="129"/>
        <v>193.12499999999997</v>
      </c>
    </row>
    <row r="620" spans="13:19">
      <c r="M620" s="132">
        <f t="shared" ca="1" si="128"/>
        <v>198.29369376183644</v>
      </c>
      <c r="N620" s="38">
        <f t="shared" si="130"/>
        <v>5.8031250000000005</v>
      </c>
      <c r="O620" s="36">
        <f t="shared" si="131"/>
        <v>154.75</v>
      </c>
      <c r="P620" s="38">
        <f ca="1">IF(ISERROR(IF(O620&lt;fi_h/20,0,(OFFSET('Base de dados'!$A$5,IF(O620&lt;20,1,IF(O620&gt;1000,10,MATCH(O620,Cargas,1))),Coluna_fih,1,1))*(1+0.13*0.25)*(PI()*(fi_h/1000)^2/4)*SQRT(2*9.81*(O620/100-fi_h/2/1000))*1000)),"",IF(O620&lt;fi_h/20,0,(OFFSET('Base de dados'!$A$5,IF(O620&lt;20,1,IF(O620&gt;1000,10,MATCH(O620,Cargas,1))),Coluna_fih,1,1))*(PI()*(fi_h/1000)^2/4)*SQRT(2*9.81*(O620/100-fi_h/2/1000))*1000))</f>
        <v>3.3162450661098424</v>
      </c>
      <c r="Q620" s="38">
        <f ca="1">IF(O620="","",IF(Tipo_Vertedor="Retangular",IF(O620&lt;=cota_s*100,0,IF(Tipo_Vertedor="Retangular",Cd_sr*Lef_sr*((O620/100-cota_s)^(3/2))*1000)),IF(O620&lt;=cota_s*100+fi_s/20,0,(OFFSET('Base de dados'!$A$4,IF(O620&lt;20,1,IF(O620&gt;1000,10,MATCH(O620,Cargas,1))),Coluna_fis,1,1))*(PI()*(fi_s/1000)^2/4)*(2*9.81*(O620/100-cota_s-fi_s/2/1000))^0.5*1000)))</f>
        <v>1.5399486957265593</v>
      </c>
      <c r="R620" s="38">
        <f t="shared" ca="1" si="127"/>
        <v>4.8561937618364013</v>
      </c>
      <c r="S620" s="38">
        <f t="shared" ca="1" si="129"/>
        <v>193.43750000000003</v>
      </c>
    </row>
    <row r="621" spans="13:19">
      <c r="M621" s="132">
        <f t="shared" ca="1" si="128"/>
        <v>198.61472607800195</v>
      </c>
      <c r="N621" s="38">
        <f t="shared" si="130"/>
        <v>5.8125</v>
      </c>
      <c r="O621" s="36">
        <f t="shared" si="131"/>
        <v>155</v>
      </c>
      <c r="P621" s="38">
        <f ca="1">IF(ISERROR(IF(O621&lt;fi_h/20,0,(OFFSET('Base de dados'!$A$5,IF(O621&lt;20,1,IF(O621&gt;1000,10,MATCH(O621,Cargas,1))),Coluna_fih,1,1))*(1+0.13*0.25)*(PI()*(fi_h/1000)^2/4)*SQRT(2*9.81*(O621/100-fi_h/2/1000))*1000)),"",IF(O621&lt;fi_h/20,0,(OFFSET('Base de dados'!$A$5,IF(O621&lt;20,1,IF(O621&gt;1000,10,MATCH(O621,Cargas,1))),Coluna_fih,1,1))*(PI()*(fi_h/1000)^2/4)*SQRT(2*9.81*(O621/100-fi_h/2/1000))*1000))</f>
        <v>3.318953487745298</v>
      </c>
      <c r="Q621" s="38">
        <f ca="1">IF(O621="","",IF(Tipo_Vertedor="Retangular",IF(O621&lt;=cota_s*100,0,IF(Tipo_Vertedor="Retangular",Cd_sr*Lef_sr*((O621/100-cota_s)^(3/2))*1000)),IF(O621&lt;=cota_s*100+fi_s/20,0,(OFFSET('Base de dados'!$A$4,IF(O621&lt;20,1,IF(O621&gt;1000,10,MATCH(O621,Cargas,1))),Coluna_fis,1,1))*(PI()*(fi_s/1000)^2/4)*(2*9.81*(O621/100-cota_s-fi_s/2/1000))^0.5*1000)))</f>
        <v>1.5457725902566457</v>
      </c>
      <c r="R621" s="38">
        <f t="shared" ca="1" si="127"/>
        <v>4.8647260780019437</v>
      </c>
      <c r="S621" s="38">
        <f t="shared" ca="1" si="129"/>
        <v>193.75</v>
      </c>
    </row>
    <row r="622" spans="13:19">
      <c r="M622" s="132">
        <f t="shared" ca="1" si="128"/>
        <v>198.93573432571364</v>
      </c>
      <c r="N622" s="38">
        <f t="shared" si="130"/>
        <v>5.8218750000000004</v>
      </c>
      <c r="O622" s="36">
        <f t="shared" si="131"/>
        <v>155.25</v>
      </c>
      <c r="P622" s="38">
        <f ca="1">IF(ISERROR(IF(O622&lt;fi_h/20,0,(OFFSET('Base de dados'!$A$5,IF(O622&lt;20,1,IF(O622&gt;1000,10,MATCH(O622,Cargas,1))),Coluna_fih,1,1))*(1+0.13*0.25)*(PI()*(fi_h/1000)^2/4)*SQRT(2*9.81*(O622/100-fi_h/2/1000))*1000)),"",IF(O622&lt;fi_h/20,0,(OFFSET('Base de dados'!$A$5,IF(O622&lt;20,1,IF(O622&gt;1000,10,MATCH(O622,Cargas,1))),Coluna_fih,1,1))*(PI()*(fi_h/1000)^2/4)*SQRT(2*9.81*(O622/100-fi_h/2/1000))*1000))</f>
        <v>3.3216597009831523</v>
      </c>
      <c r="Q622" s="38">
        <f ca="1">IF(O622="","",IF(Tipo_Vertedor="Retangular",IF(O622&lt;=cota_s*100,0,IF(Tipo_Vertedor="Retangular",Cd_sr*Lef_sr*((O622/100-cota_s)^(3/2))*1000)),IF(O622&lt;=cota_s*100+fi_s/20,0,(OFFSET('Base de dados'!$A$4,IF(O622&lt;20,1,IF(O622&gt;1000,10,MATCH(O622,Cargas,1))),Coluna_fis,1,1))*(PI()*(fi_s/1000)^2/4)*(2*9.81*(O622/100-cota_s-fi_s/2/1000))^0.5*1000)))</f>
        <v>1.5515746247304858</v>
      </c>
      <c r="R622" s="38">
        <f t="shared" ca="1" si="127"/>
        <v>4.8732343257136383</v>
      </c>
      <c r="S622" s="38">
        <f t="shared" ca="1" si="129"/>
        <v>194.0625</v>
      </c>
    </row>
    <row r="623" spans="13:19">
      <c r="M623" s="132">
        <f t="shared" ca="1" si="128"/>
        <v>199.25671875468825</v>
      </c>
      <c r="N623" s="38">
        <f t="shared" si="130"/>
        <v>5.8312499999999998</v>
      </c>
      <c r="O623" s="36">
        <f t="shared" si="131"/>
        <v>155.5</v>
      </c>
      <c r="P623" s="38">
        <f ca="1">IF(ISERROR(IF(O623&lt;fi_h/20,0,(OFFSET('Base de dados'!$A$5,IF(O623&lt;20,1,IF(O623&gt;1000,10,MATCH(O623,Cargas,1))),Coluna_fih,1,1))*(1+0.13*0.25)*(PI()*(fi_h/1000)^2/4)*SQRT(2*9.81*(O623/100-fi_h/2/1000))*1000)),"",IF(O623&lt;fi_h/20,0,(OFFSET('Base de dados'!$A$5,IF(O623&lt;20,1,IF(O623&gt;1000,10,MATCH(O623,Cargas,1))),Coluna_fih,1,1))*(PI()*(fi_h/1000)^2/4)*SQRT(2*9.81*(O623/100-fi_h/2/1000))*1000))</f>
        <v>3.3243637112166735</v>
      </c>
      <c r="Q623" s="38">
        <f ca="1">IF(O623="","",IF(Tipo_Vertedor="Retangular",IF(O623&lt;=cota_s*100,0,IF(Tipo_Vertedor="Retangular",Cd_sr*Lef_sr*((O623/100-cota_s)^(3/2))*1000)),IF(O623&lt;=cota_s*100+fi_s/20,0,(OFFSET('Base de dados'!$A$4,IF(O623&lt;20,1,IF(O623&gt;1000,10,MATCH(O623,Cargas,1))),Coluna_fis,1,1))*(PI()*(fi_s/1000)^2/4)*(2*9.81*(O623/100-cota_s-fi_s/2/1000))^0.5*1000)))</f>
        <v>1.5573550434715762</v>
      </c>
      <c r="R623" s="38">
        <f t="shared" ca="1" si="127"/>
        <v>4.8817187546882499</v>
      </c>
      <c r="S623" s="38">
        <f t="shared" ca="1" si="129"/>
        <v>194.375</v>
      </c>
    </row>
    <row r="624" spans="13:19">
      <c r="M624" s="132">
        <f t="shared" ca="1" si="128"/>
        <v>199.57767961010305</v>
      </c>
      <c r="N624" s="38">
        <f t="shared" si="130"/>
        <v>5.8406250000000002</v>
      </c>
      <c r="O624" s="36">
        <f t="shared" si="131"/>
        <v>155.75</v>
      </c>
      <c r="P624" s="38">
        <f ca="1">IF(ISERROR(IF(O624&lt;fi_h/20,0,(OFFSET('Base de dados'!$A$5,IF(O624&lt;20,1,IF(O624&gt;1000,10,MATCH(O624,Cargas,1))),Coluna_fih,1,1))*(1+0.13*0.25)*(PI()*(fi_h/1000)^2/4)*SQRT(2*9.81*(O624/100-fi_h/2/1000))*1000)),"",IF(O624&lt;fi_h/20,0,(OFFSET('Base de dados'!$A$5,IF(O624&lt;20,1,IF(O624&gt;1000,10,MATCH(O624,Cargas,1))),Coluna_fih,1,1))*(PI()*(fi_h/1000)^2/4)*SQRT(2*9.81*(O624/100-fi_h/2/1000))*1000))</f>
        <v>3.3270655238172124</v>
      </c>
      <c r="Q624" s="38">
        <f ca="1">IF(O624="","",IF(Tipo_Vertedor="Retangular",IF(O624&lt;=cota_s*100,0,IF(Tipo_Vertedor="Retangular",Cd_sr*Lef_sr*((O624/100-cota_s)^(3/2))*1000)),IF(O624&lt;=cota_s*100+fi_s/20,0,(OFFSET('Base de dados'!$A$4,IF(O624&lt;20,1,IF(O624&gt;1000,10,MATCH(O624,Cargas,1))),Coluna_fis,1,1))*(PI()*(fi_s/1000)^2/4)*(2*9.81*(O624/100-cota_s-fi_s/2/1000))^0.5*1000)))</f>
        <v>1.5631140862858235</v>
      </c>
      <c r="R624" s="38">
        <f t="shared" ca="1" si="127"/>
        <v>4.8901796101030364</v>
      </c>
      <c r="S624" s="38">
        <f t="shared" ca="1" si="129"/>
        <v>194.6875</v>
      </c>
    </row>
    <row r="625" spans="13:19">
      <c r="M625" s="132">
        <f t="shared" ca="1" si="128"/>
        <v>199.89861713271199</v>
      </c>
      <c r="N625" s="38">
        <f t="shared" si="130"/>
        <v>5.8500000000000005</v>
      </c>
      <c r="O625" s="36">
        <f t="shared" si="131"/>
        <v>156</v>
      </c>
      <c r="P625" s="38">
        <f ca="1">IF(ISERROR(IF(O625&lt;fi_h/20,0,(OFFSET('Base de dados'!$A$5,IF(O625&lt;20,1,IF(O625&gt;1000,10,MATCH(O625,Cargas,1))),Coluna_fih,1,1))*(1+0.13*0.25)*(PI()*(fi_h/1000)^2/4)*SQRT(2*9.81*(O625/100-fi_h/2/1000))*1000)),"",IF(O625&lt;fi_h/20,0,(OFFSET('Base de dados'!$A$5,IF(O625&lt;20,1,IF(O625&gt;1000,10,MATCH(O625,Cargas,1))),Coluna_fih,1,1))*(PI()*(fi_h/1000)^2/4)*SQRT(2*9.81*(O625/100-fi_h/2/1000))*1000))</f>
        <v>3.329765144134329</v>
      </c>
      <c r="Q625" s="38">
        <f ca="1">IF(O625="","",IF(Tipo_Vertedor="Retangular",IF(O625&lt;=cota_s*100,0,IF(Tipo_Vertedor="Retangular",Cd_sr*Lef_sr*((O625/100-cota_s)^(3/2))*1000)),IF(O625&lt;=cota_s*100+fi_s/20,0,(OFFSET('Base de dados'!$A$4,IF(O625&lt;20,1,IF(O625&gt;1000,10,MATCH(O625,Cargas,1))),Coluna_fis,1,1))*(PI()*(fi_s/1000)^2/4)*(2*9.81*(O625/100-cota_s-fi_s/2/1000))^0.5*1000)))</f>
        <v>1.5688519885776264</v>
      </c>
      <c r="R625" s="38">
        <f t="shared" ca="1" si="127"/>
        <v>4.898617132711955</v>
      </c>
      <c r="S625" s="38">
        <f t="shared" ca="1" si="129"/>
        <v>195.00000000000003</v>
      </c>
    </row>
    <row r="626" spans="13:19">
      <c r="M626" s="132">
        <f t="shared" ca="1" si="128"/>
        <v>200.21953155895807</v>
      </c>
      <c r="N626" s="38">
        <f t="shared" si="130"/>
        <v>5.859375</v>
      </c>
      <c r="O626" s="36">
        <f t="shared" si="131"/>
        <v>156.25</v>
      </c>
      <c r="P626" s="38">
        <f ca="1">IF(ISERROR(IF(O626&lt;fi_h/20,0,(OFFSET('Base de dados'!$A$5,IF(O626&lt;20,1,IF(O626&gt;1000,10,MATCH(O626,Cargas,1))),Coluna_fih,1,1))*(1+0.13*0.25)*(PI()*(fi_h/1000)^2/4)*SQRT(2*9.81*(O626/100-fi_h/2/1000))*1000)),"",IF(O626&lt;fi_h/20,0,(OFFSET('Base de dados'!$A$5,IF(O626&lt;20,1,IF(O626&gt;1000,10,MATCH(O626,Cargas,1))),Coluna_fih,1,1))*(PI()*(fi_h/1000)^2/4)*SQRT(2*9.81*(O626/100-fi_h/2/1000))*1000))</f>
        <v>3.3324625774959151</v>
      </c>
      <c r="Q626" s="38">
        <f ca="1">IF(O626="","",IF(Tipo_Vertedor="Retangular",IF(O626&lt;=cota_s*100,0,IF(Tipo_Vertedor="Retangular",Cd_sr*Lef_sr*((O626/100-cota_s)^(3/2))*1000)),IF(O626&lt;=cota_s*100+fi_s/20,0,(OFFSET('Base de dados'!$A$4,IF(O626&lt;20,1,IF(O626&gt;1000,10,MATCH(O626,Cargas,1))),Coluna_fis,1,1))*(PI()*(fi_s/1000)^2/4)*(2*9.81*(O626/100-cota_s-fi_s/2/1000))^0.5*1000)))</f>
        <v>1.5745689814621588</v>
      </c>
      <c r="R626" s="38">
        <f t="shared" ca="1" si="127"/>
        <v>4.9070315589580744</v>
      </c>
      <c r="S626" s="38">
        <f t="shared" ca="1" si="129"/>
        <v>195.3125</v>
      </c>
    </row>
    <row r="627" spans="13:19">
      <c r="M627" s="132">
        <f t="shared" ca="1" si="128"/>
        <v>200.54042312108228</v>
      </c>
      <c r="N627" s="38">
        <f t="shared" si="130"/>
        <v>5.8687499999999995</v>
      </c>
      <c r="O627" s="36">
        <f t="shared" si="131"/>
        <v>156.5</v>
      </c>
      <c r="P627" s="38">
        <f ca="1">IF(ISERROR(IF(O627&lt;fi_h/20,0,(OFFSET('Base de dados'!$A$5,IF(O627&lt;20,1,IF(O627&gt;1000,10,MATCH(O627,Cargas,1))),Coluna_fih,1,1))*(1+0.13*0.25)*(PI()*(fi_h/1000)^2/4)*SQRT(2*9.81*(O627/100-fi_h/2/1000))*1000)),"",IF(O627&lt;fi_h/20,0,(OFFSET('Base de dados'!$A$5,IF(O627&lt;20,1,IF(O627&gt;1000,10,MATCH(O627,Cargas,1))),Coluna_fih,1,1))*(PI()*(fi_h/1000)^2/4)*SQRT(2*9.81*(O627/100-fi_h/2/1000))*1000))</f>
        <v>3.3351578292083159</v>
      </c>
      <c r="Q627" s="38">
        <f ca="1">IF(O627="","",IF(Tipo_Vertedor="Retangular",IF(O627&lt;=cota_s*100,0,IF(Tipo_Vertedor="Retangular",Cd_sr*Lef_sr*((O627/100-cota_s)^(3/2))*1000)),IF(O627&lt;=cota_s*100+fi_s/20,0,(OFFSET('Base de dados'!$A$4,IF(O627&lt;20,1,IF(O627&gt;1000,10,MATCH(O627,Cargas,1))),Coluna_fis,1,1))*(PI()*(fi_s/1000)^2/4)*(2*9.81*(O627/100-cota_s-fi_s/2/1000))^0.5*1000)))</f>
        <v>1.5802652918739903</v>
      </c>
      <c r="R627" s="38">
        <f t="shared" ca="1" si="127"/>
        <v>4.9154231210823065</v>
      </c>
      <c r="S627" s="38">
        <f t="shared" ca="1" si="129"/>
        <v>195.62499999999997</v>
      </c>
    </row>
    <row r="628" spans="13:19">
      <c r="M628" s="132">
        <f t="shared" ca="1" si="128"/>
        <v>200.86129204722866</v>
      </c>
      <c r="N628" s="38">
        <f t="shared" si="130"/>
        <v>5.8781249999999998</v>
      </c>
      <c r="O628" s="36">
        <f t="shared" si="131"/>
        <v>156.75</v>
      </c>
      <c r="P628" s="38">
        <f ca="1">IF(ISERROR(IF(O628&lt;fi_h/20,0,(OFFSET('Base de dados'!$A$5,IF(O628&lt;20,1,IF(O628&gt;1000,10,MATCH(O628,Cargas,1))),Coluna_fih,1,1))*(1+0.13*0.25)*(PI()*(fi_h/1000)^2/4)*SQRT(2*9.81*(O628/100-fi_h/2/1000))*1000)),"",IF(O628&lt;fi_h/20,0,(OFFSET('Base de dados'!$A$5,IF(O628&lt;20,1,IF(O628&gt;1000,10,MATCH(O628,Cargas,1))),Coluna_fih,1,1))*(PI()*(fi_h/1000)^2/4)*SQRT(2*9.81*(O628/100-fi_h/2/1000))*1000))</f>
        <v>3.3378509045564533</v>
      </c>
      <c r="Q628" s="38">
        <f ca="1">IF(O628="","",IF(Tipo_Vertedor="Retangular",IF(O628&lt;=cota_s*100,0,IF(Tipo_Vertedor="Retangular",Cd_sr*Lef_sr*((O628/100-cota_s)^(3/2))*1000)),IF(O628&lt;=cota_s*100+fi_s/20,0,(OFFSET('Base de dados'!$A$4,IF(O628&lt;20,1,IF(O628&gt;1000,10,MATCH(O628,Cargas,1))),Coluna_fis,1,1))*(PI()*(fi_s/1000)^2/4)*(2*9.81*(O628/100-cota_s-fi_s/2/1000))^0.5*1000)))</f>
        <v>1.5859411426721977</v>
      </c>
      <c r="R628" s="38">
        <f t="shared" ca="1" si="127"/>
        <v>4.9237920472286509</v>
      </c>
      <c r="S628" s="38">
        <f t="shared" ca="1" si="129"/>
        <v>195.9375</v>
      </c>
    </row>
    <row r="629" spans="13:19">
      <c r="M629" s="132">
        <f t="shared" ca="1" si="128"/>
        <v>201.18213856154605</v>
      </c>
      <c r="N629" s="38">
        <f t="shared" si="130"/>
        <v>5.8875000000000002</v>
      </c>
      <c r="O629" s="36">
        <f t="shared" si="131"/>
        <v>157</v>
      </c>
      <c r="P629" s="38">
        <f ca="1">IF(ISERROR(IF(O629&lt;fi_h/20,0,(OFFSET('Base de dados'!$A$5,IF(O629&lt;20,1,IF(O629&gt;1000,10,MATCH(O629,Cargas,1))),Coluna_fih,1,1))*(1+0.13*0.25)*(PI()*(fi_h/1000)^2/4)*SQRT(2*9.81*(O629/100-fi_h/2/1000))*1000)),"",IF(O629&lt;fi_h/20,0,(OFFSET('Base de dados'!$A$5,IF(O629&lt;20,1,IF(O629&gt;1000,10,MATCH(O629,Cargas,1))),Coluna_fih,1,1))*(PI()*(fi_h/1000)^2/4)*SQRT(2*9.81*(O629/100-fi_h/2/1000))*1000))</f>
        <v>3.3405418088039469</v>
      </c>
      <c r="Q629" s="38">
        <f ca="1">IF(O629="","",IF(Tipo_Vertedor="Retangular",IF(O629&lt;=cota_s*100,0,IF(Tipo_Vertedor="Retangular",Cd_sr*Lef_sr*((O629/100-cota_s)^(3/2))*1000)),IF(O629&lt;=cota_s*100+fi_s/20,0,(OFFSET('Base de dados'!$A$4,IF(O629&lt;20,1,IF(O629&gt;1000,10,MATCH(O629,Cargas,1))),Coluna_fis,1,1))*(PI()*(fi_s/1000)^2/4)*(2*9.81*(O629/100-cota_s-fi_s/2/1000))^0.5*1000)))</f>
        <v>1.5915967527421027</v>
      </c>
      <c r="R629" s="38">
        <f t="shared" ca="1" si="127"/>
        <v>4.9321385615460498</v>
      </c>
      <c r="S629" s="38">
        <f t="shared" ca="1" si="129"/>
        <v>196.25</v>
      </c>
    </row>
    <row r="630" spans="13:19">
      <c r="M630" s="132">
        <f t="shared" ca="1" si="128"/>
        <v>201.502962884287</v>
      </c>
      <c r="N630" s="38">
        <f t="shared" si="130"/>
        <v>5.8968749999999996</v>
      </c>
      <c r="O630" s="36">
        <f t="shared" si="131"/>
        <v>157.25</v>
      </c>
      <c r="P630" s="38">
        <f ca="1">IF(ISERROR(IF(O630&lt;fi_h/20,0,(OFFSET('Base de dados'!$A$5,IF(O630&lt;20,1,IF(O630&gt;1000,10,MATCH(O630,Cargas,1))),Coluna_fih,1,1))*(1+0.13*0.25)*(PI()*(fi_h/1000)^2/4)*SQRT(2*9.81*(O630/100-fi_h/2/1000))*1000)),"",IF(O630&lt;fi_h/20,0,(OFFSET('Base de dados'!$A$5,IF(O630&lt;20,1,IF(O630&gt;1000,10,MATCH(O630,Cargas,1))),Coluna_fih,1,1))*(PI()*(fi_h/1000)^2/4)*SQRT(2*9.81*(O630/100-fi_h/2/1000))*1000))</f>
        <v>3.3432305471932313</v>
      </c>
      <c r="Q630" s="38">
        <f ca="1">IF(O630="","",IF(Tipo_Vertedor="Retangular",IF(O630&lt;=cota_s*100,0,IF(Tipo_Vertedor="Retangular",Cd_sr*Lef_sr*((O630/100-cota_s)^(3/2))*1000)),IF(O630&lt;=cota_s*100+fi_s/20,0,(OFFSET('Base de dados'!$A$4,IF(O630&lt;20,1,IF(O630&gt;1000,10,MATCH(O630,Cargas,1))),Coluna_fis,1,1))*(PI()*(fi_s/1000)^2/4)*(2*9.81*(O630/100-cota_s-fi_s/2/1000))^0.5*1000)))</f>
        <v>1.597232337093766</v>
      </c>
      <c r="R630" s="38">
        <f t="shared" ref="R630:R658" ca="1" si="132">IF(O630="","",Q630+P630)</f>
        <v>4.9404628842869975</v>
      </c>
      <c r="S630" s="38">
        <f t="shared" ca="1" si="129"/>
        <v>196.5625</v>
      </c>
    </row>
    <row r="631" spans="13:19">
      <c r="M631" s="132">
        <f t="shared" ca="1" si="128"/>
        <v>201.82376523190305</v>
      </c>
      <c r="N631" s="38">
        <f t="shared" si="130"/>
        <v>5.90625</v>
      </c>
      <c r="O631" s="36">
        <f t="shared" si="131"/>
        <v>157.5</v>
      </c>
      <c r="P631" s="38">
        <f ca="1">IF(ISERROR(IF(O631&lt;fi_h/20,0,(OFFSET('Base de dados'!$A$5,IF(O631&lt;20,1,IF(O631&gt;1000,10,MATCH(O631,Cargas,1))),Coluna_fih,1,1))*(1+0.13*0.25)*(PI()*(fi_h/1000)^2/4)*SQRT(2*9.81*(O631/100-fi_h/2/1000))*1000)),"",IF(O631&lt;fi_h/20,0,(OFFSET('Base de dados'!$A$5,IF(O631&lt;20,1,IF(O631&gt;1000,10,MATCH(O631,Cargas,1))),Coluna_fih,1,1))*(PI()*(fi_h/1000)^2/4)*SQRT(2*9.81*(O631/100-fi_h/2/1000))*1000))</f>
        <v>3.3459171249456792</v>
      </c>
      <c r="Q631" s="38">
        <f ca="1">IF(O631="","",IF(Tipo_Vertedor="Retangular",IF(O631&lt;=cota_s*100,0,IF(Tipo_Vertedor="Retangular",Cd_sr*Lef_sr*((O631/100-cota_s)^(3/2))*1000)),IF(O631&lt;=cota_s*100+fi_s/20,0,(OFFSET('Base de dados'!$A$4,IF(O631&lt;20,1,IF(O631&gt;1000,10,MATCH(O631,Cargas,1))),Coluna_fis,1,1))*(PI()*(fi_s/1000)^2/4)*(2*9.81*(O631/100-cota_s-fi_s/2/1000))^0.5*1000)))</f>
        <v>1.602848106957369</v>
      </c>
      <c r="R631" s="38">
        <f t="shared" ca="1" si="132"/>
        <v>4.9487652319030477</v>
      </c>
      <c r="S631" s="38">
        <f t="shared" ca="1" si="129"/>
        <v>196.875</v>
      </c>
    </row>
    <row r="632" spans="13:19">
      <c r="M632" s="132">
        <f t="shared" ca="1" si="128"/>
        <v>202.14454581713727</v>
      </c>
      <c r="N632" s="38">
        <f t="shared" si="130"/>
        <v>5.9156249999999995</v>
      </c>
      <c r="O632" s="36">
        <f t="shared" si="131"/>
        <v>157.75</v>
      </c>
      <c r="P632" s="38">
        <f ca="1">IF(ISERROR(IF(O632&lt;fi_h/20,0,(OFFSET('Base de dados'!$A$5,IF(O632&lt;20,1,IF(O632&gt;1000,10,MATCH(O632,Cargas,1))),Coluna_fih,1,1))*(1+0.13*0.25)*(PI()*(fi_h/1000)^2/4)*SQRT(2*9.81*(O632/100-fi_h/2/1000))*1000)),"",IF(O632&lt;fi_h/20,0,(OFFSET('Base de dados'!$A$5,IF(O632&lt;20,1,IF(O632&gt;1000,10,MATCH(O632,Cargas,1))),Coluna_fih,1,1))*(PI()*(fi_h/1000)^2/4)*SQRT(2*9.81*(O632/100-fi_h/2/1000))*1000))</f>
        <v>3.3486015472617177</v>
      </c>
      <c r="Q632" s="38">
        <f ca="1">IF(O632="","",IF(Tipo_Vertedor="Retangular",IF(O632&lt;=cota_s*100,0,IF(Tipo_Vertedor="Retangular",Cd_sr*Lef_sr*((O632/100-cota_s)^(3/2))*1000)),IF(O632&lt;=cota_s*100+fi_s/20,0,(OFFSET('Base de dados'!$A$4,IF(O632&lt;20,1,IF(O632&gt;1000,10,MATCH(O632,Cargas,1))),Coluna_fis,1,1))*(PI()*(fi_s/1000)^2/4)*(2*9.81*(O632/100-cota_s-fi_s/2/1000))^0.5*1000)))</f>
        <v>1.608444269875593</v>
      </c>
      <c r="R632" s="38">
        <f t="shared" ca="1" si="132"/>
        <v>4.9570458171373106</v>
      </c>
      <c r="S632" s="38">
        <f t="shared" ca="1" si="129"/>
        <v>197.18749999999997</v>
      </c>
    </row>
    <row r="633" spans="13:19">
      <c r="M633" s="132">
        <f t="shared" ca="1" si="128"/>
        <v>202.46530484911409</v>
      </c>
      <c r="N633" s="38">
        <f t="shared" si="130"/>
        <v>5.9250000000000007</v>
      </c>
      <c r="O633" s="36">
        <f t="shared" si="131"/>
        <v>158</v>
      </c>
      <c r="P633" s="38">
        <f ca="1">IF(ISERROR(IF(O633&lt;fi_h/20,0,(OFFSET('Base de dados'!$A$5,IF(O633&lt;20,1,IF(O633&gt;1000,10,MATCH(O633,Cargas,1))),Coluna_fih,1,1))*(1+0.13*0.25)*(PI()*(fi_h/1000)^2/4)*SQRT(2*9.81*(O633/100-fi_h/2/1000))*1000)),"",IF(O633&lt;fi_h/20,0,(OFFSET('Base de dados'!$A$5,IF(O633&lt;20,1,IF(O633&gt;1000,10,MATCH(O633,Cargas,1))),Coluna_fih,1,1))*(PI()*(fi_h/1000)^2/4)*SQRT(2*9.81*(O633/100-fi_h/2/1000))*1000))</f>
        <v>3.3512838193209444</v>
      </c>
      <c r="Q633" s="38">
        <f ca="1">IF(O633="","",IF(Tipo_Vertedor="Retangular",IF(O633&lt;=cota_s*100,0,IF(Tipo_Vertedor="Retangular",Cd_sr*Lef_sr*((O633/100-cota_s)^(3/2))*1000)),IF(O633&lt;=cota_s*100+fi_s/20,0,(OFFSET('Base de dados'!$A$4,IF(O633&lt;20,1,IF(O633&gt;1000,10,MATCH(O633,Cargas,1))),Coluna_fis,1,1))*(PI()*(fi_s/1000)^2/4)*(2*9.81*(O633/100-cota_s-fi_s/2/1000))^0.5*1000)))</f>
        <v>1.6140210297931186</v>
      </c>
      <c r="R633" s="38">
        <f t="shared" ca="1" si="132"/>
        <v>4.9653048491140632</v>
      </c>
      <c r="S633" s="38">
        <f t="shared" ca="1" si="129"/>
        <v>197.50000000000003</v>
      </c>
    </row>
    <row r="634" spans="13:19">
      <c r="M634" s="132">
        <f t="shared" ca="1" si="128"/>
        <v>202.78604253342559</v>
      </c>
      <c r="N634" s="38">
        <f t="shared" si="130"/>
        <v>5.9343750000000002</v>
      </c>
      <c r="O634" s="36">
        <f t="shared" si="131"/>
        <v>158.25</v>
      </c>
      <c r="P634" s="38">
        <f ca="1">IF(ISERROR(IF(O634&lt;fi_h/20,0,(OFFSET('Base de dados'!$A$5,IF(O634&lt;20,1,IF(O634&gt;1000,10,MATCH(O634,Cargas,1))),Coluna_fih,1,1))*(1+0.13*0.25)*(PI()*(fi_h/1000)^2/4)*SQRT(2*9.81*(O634/100-fi_h/2/1000))*1000)),"",IF(O634&lt;fi_h/20,0,(OFFSET('Base de dados'!$A$5,IF(O634&lt;20,1,IF(O634&gt;1000,10,MATCH(O634,Cargas,1))),Coluna_fih,1,1))*(PI()*(fi_h/1000)^2/4)*SQRT(2*9.81*(O634/100-fi_h/2/1000))*1000))</f>
        <v>3.3539639462822475</v>
      </c>
      <c r="Q634" s="38">
        <f ca="1">IF(O634="","",IF(Tipo_Vertedor="Retangular",IF(O634&lt;=cota_s*100,0,IF(Tipo_Vertedor="Retangular",Cd_sr*Lef_sr*((O634/100-cota_s)^(3/2))*1000)),IF(O634&lt;=cota_s*100+fi_s/20,0,(OFFSET('Base de dados'!$A$4,IF(O634&lt;20,1,IF(O634&gt;1000,10,MATCH(O634,Cargas,1))),Coluna_fis,1,1))*(PI()*(fi_s/1000)^2/4)*(2*9.81*(O634/100-cota_s-fi_s/2/1000))^0.5*1000)))</f>
        <v>1.619578587143349</v>
      </c>
      <c r="R634" s="38">
        <f t="shared" ca="1" si="132"/>
        <v>4.9735425334255963</v>
      </c>
      <c r="S634" s="38">
        <f t="shared" ca="1" si="129"/>
        <v>197.8125</v>
      </c>
    </row>
    <row r="635" spans="13:19">
      <c r="M635" s="132">
        <f t="shared" ca="1" si="128"/>
        <v>203.10675907221639</v>
      </c>
      <c r="N635" s="38">
        <f t="shared" si="130"/>
        <v>5.9437499999999996</v>
      </c>
      <c r="O635" s="36">
        <f t="shared" si="131"/>
        <v>158.5</v>
      </c>
      <c r="P635" s="38">
        <f ca="1">IF(ISERROR(IF(O635&lt;fi_h/20,0,(OFFSET('Base de dados'!$A$5,IF(O635&lt;20,1,IF(O635&gt;1000,10,MATCH(O635,Cargas,1))),Coluna_fih,1,1))*(1+0.13*0.25)*(PI()*(fi_h/1000)^2/4)*SQRT(2*9.81*(O635/100-fi_h/2/1000))*1000)),"",IF(O635&lt;fi_h/20,0,(OFFSET('Base de dados'!$A$5,IF(O635&lt;20,1,IF(O635&gt;1000,10,MATCH(O635,Cargas,1))),Coluna_fih,1,1))*(PI()*(fi_h/1000)^2/4)*SQRT(2*9.81*(O635/100-fi_h/2/1000))*1000))</f>
        <v>3.356641933283917</v>
      </c>
      <c r="Q635" s="38">
        <f ca="1">IF(O635="","",IF(Tipo_Vertedor="Retangular",IF(O635&lt;=cota_s*100,0,IF(Tipo_Vertedor="Retangular",Cd_sr*Lef_sr*((O635/100-cota_s)^(3/2))*1000)),IF(O635&lt;=cota_s*100+fi_s/20,0,(OFFSET('Base de dados'!$A$4,IF(O635&lt;20,1,IF(O635&gt;1000,10,MATCH(O635,Cargas,1))),Coluna_fis,1,1))*(PI()*(fi_s/1000)^2/4)*(2*9.81*(O635/100-cota_s-fi_s/2/1000))^0.5*1000)))</f>
        <v>1.6251171389324692</v>
      </c>
      <c r="R635" s="38">
        <f t="shared" ca="1" si="132"/>
        <v>4.981759072216386</v>
      </c>
      <c r="S635" s="38">
        <f t="shared" ca="1" si="129"/>
        <v>198.125</v>
      </c>
    </row>
    <row r="636" spans="13:19">
      <c r="M636" s="132">
        <f t="shared" ca="1" si="128"/>
        <v>203.4274546642647</v>
      </c>
      <c r="N636" s="38">
        <f t="shared" si="130"/>
        <v>5.953125</v>
      </c>
      <c r="O636" s="36">
        <f t="shared" si="131"/>
        <v>158.75</v>
      </c>
      <c r="P636" s="38">
        <f ca="1">IF(ISERROR(IF(O636&lt;fi_h/20,0,(OFFSET('Base de dados'!$A$5,IF(O636&lt;20,1,IF(O636&gt;1000,10,MATCH(O636,Cargas,1))),Coluna_fih,1,1))*(1+0.13*0.25)*(PI()*(fi_h/1000)^2/4)*SQRT(2*9.81*(O636/100-fi_h/2/1000))*1000)),"",IF(O636&lt;fi_h/20,0,(OFFSET('Base de dados'!$A$5,IF(O636&lt;20,1,IF(O636&gt;1000,10,MATCH(O636,Cargas,1))),Coluna_fih,1,1))*(PI()*(fi_h/1000)^2/4)*SQRT(2*9.81*(O636/100-fi_h/2/1000))*1000))</f>
        <v>3.359317785443765</v>
      </c>
      <c r="Q636" s="38">
        <f ca="1">IF(O636="","",IF(Tipo_Vertedor="Retangular",IF(O636&lt;=cota_s*100,0,IF(Tipo_Vertedor="Retangular",Cd_sr*Lef_sr*((O636/100-cota_s)^(3/2))*1000)),IF(O636&lt;=cota_s*100+fi_s/20,0,(OFFSET('Base de dados'!$A$4,IF(O636&lt;20,1,IF(O636&gt;1000,10,MATCH(O636,Cargas,1))),Coluna_fis,1,1))*(PI()*(fi_s/1000)^2/4)*(2*9.81*(O636/100-cota_s-fi_s/2/1000))^0.5*1000)))</f>
        <v>1.6306368788209291</v>
      </c>
      <c r="R636" s="38">
        <f t="shared" ca="1" si="132"/>
        <v>4.9899546642646939</v>
      </c>
      <c r="S636" s="38">
        <f t="shared" ca="1" si="129"/>
        <v>198.4375</v>
      </c>
    </row>
    <row r="637" spans="13:19">
      <c r="M637" s="132">
        <f t="shared" ca="1" si="128"/>
        <v>203.74812950506168</v>
      </c>
      <c r="N637" s="38">
        <f t="shared" si="130"/>
        <v>5.9625000000000004</v>
      </c>
      <c r="O637" s="36">
        <f t="shared" si="131"/>
        <v>159</v>
      </c>
      <c r="P637" s="38">
        <f ca="1">IF(ISERROR(IF(O637&lt;fi_h/20,0,(OFFSET('Base de dados'!$A$5,IF(O637&lt;20,1,IF(O637&gt;1000,10,MATCH(O637,Cargas,1))),Coluna_fih,1,1))*(1+0.13*0.25)*(PI()*(fi_h/1000)^2/4)*SQRT(2*9.81*(O637/100-fi_h/2/1000))*1000)),"",IF(O637&lt;fi_h/20,0,(OFFSET('Base de dados'!$A$5,IF(O637&lt;20,1,IF(O637&gt;1000,10,MATCH(O637,Cargas,1))),Coluna_fih,1,1))*(PI()*(fi_h/1000)^2/4)*SQRT(2*9.81*(O637/100-fi_h/2/1000))*1000))</f>
        <v>3.3619915078592348</v>
      </c>
      <c r="Q637" s="38">
        <f ca="1">IF(O637="","",IF(Tipo_Vertedor="Retangular",IF(O637&lt;=cota_s*100,0,IF(Tipo_Vertedor="Retangular",Cd_sr*Lef_sr*((O637/100-cota_s)^(3/2))*1000)),IF(O637&lt;=cota_s*100+fi_s/20,0,(OFFSET('Base de dados'!$A$4,IF(O637&lt;20,1,IF(O637&gt;1000,10,MATCH(O637,Cargas,1))),Coluna_fis,1,1))*(PI()*(fi_s/1000)^2/4)*(2*9.81*(O637/100-cota_s-fi_s/2/1000))^0.5*1000)))</f>
        <v>1.6361379972024583</v>
      </c>
      <c r="R637" s="38">
        <f t="shared" ca="1" si="132"/>
        <v>4.9981295050616934</v>
      </c>
      <c r="S637" s="38">
        <f t="shared" ca="1" si="129"/>
        <v>198.75</v>
      </c>
    </row>
    <row r="638" spans="13:19">
      <c r="M638" s="132">
        <f t="shared" ca="1" si="128"/>
        <v>204.06878378688822</v>
      </c>
      <c r="N638" s="38">
        <f t="shared" si="130"/>
        <v>5.9718749999999998</v>
      </c>
      <c r="O638" s="36">
        <f t="shared" si="131"/>
        <v>159.25</v>
      </c>
      <c r="P638" s="38">
        <f ca="1">IF(ISERROR(IF(O638&lt;fi_h/20,0,(OFFSET('Base de dados'!$A$5,IF(O638&lt;20,1,IF(O638&gt;1000,10,MATCH(O638,Cargas,1))),Coluna_fih,1,1))*(1+0.13*0.25)*(PI()*(fi_h/1000)^2/4)*SQRT(2*9.81*(O638/100-fi_h/2/1000))*1000)),"",IF(O638&lt;fi_h/20,0,(OFFSET('Base de dados'!$A$5,IF(O638&lt;20,1,IF(O638&gt;1000,10,MATCH(O638,Cargas,1))),Coluna_fih,1,1))*(PI()*(fi_h/1000)^2/4)*SQRT(2*9.81*(O638/100-fi_h/2/1000))*1000))</f>
        <v>3.3646631056075162</v>
      </c>
      <c r="Q638" s="38">
        <f ca="1">IF(O638="","",IF(Tipo_Vertedor="Retangular",IF(O638&lt;=cota_s*100,0,IF(Tipo_Vertedor="Retangular",Cd_sr*Lef_sr*((O638/100-cota_s)^(3/2))*1000)),IF(O638&lt;=cota_s*100+fi_s/20,0,(OFFSET('Base de dados'!$A$4,IF(O638&lt;20,1,IF(O638&gt;1000,10,MATCH(O638,Cargas,1))),Coluna_fis,1,1))*(PI()*(fi_s/1000)^2/4)*(2*9.81*(O638/100-cota_s-fi_s/2/1000))^0.5*1000)))</f>
        <v>1.6416206812806908</v>
      </c>
      <c r="R638" s="38">
        <f t="shared" ca="1" si="132"/>
        <v>5.0062837868882069</v>
      </c>
      <c r="S638" s="38">
        <f t="shared" ca="1" si="129"/>
        <v>199.0625</v>
      </c>
    </row>
    <row r="639" spans="13:19">
      <c r="M639" s="132">
        <f t="shared" ca="1" si="128"/>
        <v>204.38941769888916</v>
      </c>
      <c r="N639" s="38">
        <f t="shared" si="130"/>
        <v>5.9812500000000002</v>
      </c>
      <c r="O639" s="36">
        <f t="shared" si="131"/>
        <v>159.5</v>
      </c>
      <c r="P639" s="38">
        <f ca="1">IF(ISERROR(IF(O639&lt;fi_h/20,0,(OFFSET('Base de dados'!$A$5,IF(O639&lt;20,1,IF(O639&gt;1000,10,MATCH(O639,Cargas,1))),Coluna_fih,1,1))*(1+0.13*0.25)*(PI()*(fi_h/1000)^2/4)*SQRT(2*9.81*(O639/100-fi_h/2/1000))*1000)),"",IF(O639&lt;fi_h/20,0,(OFFSET('Base de dados'!$A$5,IF(O639&lt;20,1,IF(O639&gt;1000,10,MATCH(O639,Cargas,1))),Coluna_fih,1,1))*(PI()*(fi_h/1000)^2/4)*SQRT(2*9.81*(O639/100-fi_h/2/1000))*1000))</f>
        <v>3.3673325837456605</v>
      </c>
      <c r="Q639" s="38">
        <f ca="1">IF(O639="","",IF(Tipo_Vertedor="Retangular",IF(O639&lt;=cota_s*100,0,IF(Tipo_Vertedor="Retangular",Cd_sr*Lef_sr*((O639/100-cota_s)^(3/2))*1000)),IF(O639&lt;=cota_s*100+fi_s/20,0,(OFFSET('Base de dados'!$A$4,IF(O639&lt;20,1,IF(O639&gt;1000,10,MATCH(O639,Cargas,1))),Coluna_fis,1,1))*(PI()*(fi_s/1000)^2/4)*(2*9.81*(O639/100-cota_s-fi_s/2/1000))^0.5*1000)))</f>
        <v>1.6470851151435031</v>
      </c>
      <c r="R639" s="38">
        <f t="shared" ca="1" si="132"/>
        <v>5.0144176988891633</v>
      </c>
      <c r="S639" s="38">
        <f t="shared" ca="1" si="129"/>
        <v>199.375</v>
      </c>
    </row>
    <row r="640" spans="13:19">
      <c r="M640" s="132">
        <f t="shared" ca="1" si="128"/>
        <v>204.71003142714582</v>
      </c>
      <c r="N640" s="38">
        <f t="shared" si="130"/>
        <v>5.9906249999999996</v>
      </c>
      <c r="O640" s="36">
        <f t="shared" si="131"/>
        <v>159.75</v>
      </c>
      <c r="P640" s="38">
        <f ca="1">IF(ISERROR(IF(O640&lt;fi_h/20,0,(OFFSET('Base de dados'!$A$5,IF(O640&lt;20,1,IF(O640&gt;1000,10,MATCH(O640,Cargas,1))),Coluna_fih,1,1))*(1+0.13*0.25)*(PI()*(fi_h/1000)^2/4)*SQRT(2*9.81*(O640/100-fi_h/2/1000))*1000)),"",IF(O640&lt;fi_h/20,0,(OFFSET('Base de dados'!$A$5,IF(O640&lt;20,1,IF(O640&gt;1000,10,MATCH(O640,Cargas,1))),Coluna_fih,1,1))*(PI()*(fi_h/1000)^2/4)*SQRT(2*9.81*(O640/100-fi_h/2/1000))*1000))</f>
        <v>3.3699999473106872</v>
      </c>
      <c r="Q640" s="38">
        <f ca="1">IF(O640="","",IF(Tipo_Vertedor="Retangular",IF(O640&lt;=cota_s*100,0,IF(Tipo_Vertedor="Retangular",Cd_sr*Lef_sr*((O640/100-cota_s)^(3/2))*1000)),IF(O640&lt;=cota_s*100+fi_s/20,0,(OFFSET('Base de dados'!$A$4,IF(O640&lt;20,1,IF(O640&gt;1000,10,MATCH(O640,Cargas,1))),Coluna_fis,1,1))*(PI()*(fi_s/1000)^2/4)*(2*9.81*(O640/100-cota_s-fi_s/2/1000))^0.5*1000)))</f>
        <v>1.6525314798351332</v>
      </c>
      <c r="R640" s="38">
        <f t="shared" ca="1" si="132"/>
        <v>5.0225314271458199</v>
      </c>
      <c r="S640" s="38">
        <f t="shared" ca="1" si="129"/>
        <v>199.6875</v>
      </c>
    </row>
    <row r="641" spans="13:19">
      <c r="M641" s="132">
        <f t="shared" ca="1" si="128"/>
        <v>205.03062515474588</v>
      </c>
      <c r="N641" s="38">
        <f t="shared" si="130"/>
        <v>6</v>
      </c>
      <c r="O641" s="36">
        <f t="shared" si="131"/>
        <v>160</v>
      </c>
      <c r="P641" s="38">
        <f ca="1">IF(ISERROR(IF(O641&lt;fi_h/20,0,(OFFSET('Base de dados'!$A$5,IF(O641&lt;20,1,IF(O641&gt;1000,10,MATCH(O641,Cargas,1))),Coluna_fih,1,1))*(1+0.13*0.25)*(PI()*(fi_h/1000)^2/4)*SQRT(2*9.81*(O641/100-fi_h/2/1000))*1000)),"",IF(O641&lt;fi_h/20,0,(OFFSET('Base de dados'!$A$5,IF(O641&lt;20,1,IF(O641&gt;1000,10,MATCH(O641,Cargas,1))),Coluna_fih,1,1))*(PI()*(fi_h/1000)^2/4)*SQRT(2*9.81*(O641/100-fi_h/2/1000))*1000))</f>
        <v>3.3726652013196987</v>
      </c>
      <c r="Q641" s="38">
        <f ca="1">IF(O641="","",IF(Tipo_Vertedor="Retangular",IF(O641&lt;=cota_s*100,0,IF(Tipo_Vertedor="Retangular",Cd_sr*Lef_sr*((O641/100-cota_s)^(3/2))*1000)),IF(O641&lt;=cota_s*100+fi_s/20,0,(OFFSET('Base de dados'!$A$4,IF(O641&lt;20,1,IF(O641&gt;1000,10,MATCH(O641,Cargas,1))),Coluna_fis,1,1))*(PI()*(fi_s/1000)^2/4)*(2*9.81*(O641/100-cota_s-fi_s/2/1000))^0.5*1000)))</f>
        <v>1.6579599534261689</v>
      </c>
      <c r="R641" s="38">
        <f t="shared" ca="1" si="132"/>
        <v>5.0306251547458674</v>
      </c>
      <c r="S641" s="38">
        <f t="shared" ca="1" si="129"/>
        <v>200</v>
      </c>
    </row>
    <row r="642" spans="13:19">
      <c r="M642" s="132">
        <f t="shared" ca="1" si="128"/>
        <v>205.35119906185147</v>
      </c>
      <c r="N642" s="38">
        <f t="shared" si="130"/>
        <v>6.0093750000000004</v>
      </c>
      <c r="O642" s="36">
        <f t="shared" si="131"/>
        <v>160.25</v>
      </c>
      <c r="P642" s="38">
        <f ca="1">IF(ISERROR(IF(O642&lt;fi_h/20,0,(OFFSET('Base de dados'!$A$5,IF(O642&lt;20,1,IF(O642&gt;1000,10,MATCH(O642,Cargas,1))),Coluna_fih,1,1))*(1+0.13*0.25)*(PI()*(fi_h/1000)^2/4)*SQRT(2*9.81*(O642/100-fi_h/2/1000))*1000)),"",IF(O642&lt;fi_h/20,0,(OFFSET('Base de dados'!$A$5,IF(O642&lt;20,1,IF(O642&gt;1000,10,MATCH(O642,Cargas,1))),Coluna_fih,1,1))*(PI()*(fi_h/1000)^2/4)*SQRT(2*9.81*(O642/100-fi_h/2/1000))*1000))</f>
        <v>3.3753283507699887</v>
      </c>
      <c r="Q642" s="38">
        <f ca="1">IF(O642="","",IF(Tipo_Vertedor="Retangular",IF(O642&lt;=cota_s*100,0,IF(Tipo_Vertedor="Retangular",Cd_sr*Lef_sr*((O642/100-cota_s)^(3/2))*1000)),IF(O642&lt;=cota_s*100+fi_s/20,0,(OFFSET('Base de dados'!$A$4,IF(O642&lt;20,1,IF(O642&gt;1000,10,MATCH(O642,Cargas,1))),Coluna_fis,1,1))*(PI()*(fi_s/1000)^2/4)*(2*9.81*(O642/100-cota_s-fi_s/2/1000))^0.5*1000)))</f>
        <v>1.6633707110814813</v>
      </c>
      <c r="R642" s="38">
        <f t="shared" ca="1" si="132"/>
        <v>5.03869906185147</v>
      </c>
      <c r="S642" s="38">
        <f t="shared" ca="1" si="129"/>
        <v>200.3125</v>
      </c>
    </row>
    <row r="643" spans="13:19">
      <c r="M643" s="132">
        <f t="shared" ca="1" si="128"/>
        <v>205.67175332576534</v>
      </c>
      <c r="N643" s="38">
        <f t="shared" si="130"/>
        <v>6.0187499999999998</v>
      </c>
      <c r="O643" s="36">
        <f t="shared" si="131"/>
        <v>160.5</v>
      </c>
      <c r="P643" s="38">
        <f ca="1">IF(ISERROR(IF(O643&lt;fi_h/20,0,(OFFSET('Base de dados'!$A$5,IF(O643&lt;20,1,IF(O643&gt;1000,10,MATCH(O643,Cargas,1))),Coluna_fih,1,1))*(1+0.13*0.25)*(PI()*(fi_h/1000)^2/4)*SQRT(2*9.81*(O643/100-fi_h/2/1000))*1000)),"",IF(O643&lt;fi_h/20,0,(OFFSET('Base de dados'!$A$5,IF(O643&lt;20,1,IF(O643&gt;1000,10,MATCH(O643,Cargas,1))),Coluna_fih,1,1))*(PI()*(fi_h/1000)^2/4)*SQRT(2*9.81*(O643/100-fi_h/2/1000))*1000))</f>
        <v>3.377989400639152</v>
      </c>
      <c r="Q643" s="38">
        <f ca="1">IF(O643="","",IF(Tipo_Vertedor="Retangular",IF(O643&lt;=cota_s*100,0,IF(Tipo_Vertedor="Retangular",Cd_sr*Lef_sr*((O643/100-cota_s)^(3/2))*1000)),IF(O643&lt;=cota_s*100+fi_s/20,0,(OFFSET('Base de dados'!$A$4,IF(O643&lt;20,1,IF(O643&gt;1000,10,MATCH(O643,Cargas,1))),Coluna_fis,1,1))*(PI()*(fi_s/1000)^2/4)*(2*9.81*(O643/100-cota_s-fi_s/2/1000))^0.5*1000)))</f>
        <v>1.6687639251261754</v>
      </c>
      <c r="R643" s="38">
        <f t="shared" ca="1" si="132"/>
        <v>5.0467533257653274</v>
      </c>
      <c r="S643" s="38">
        <f t="shared" ca="1" si="129"/>
        <v>200.625</v>
      </c>
    </row>
    <row r="644" spans="13:19">
      <c r="M644" s="132">
        <f t="shared" ca="1" si="128"/>
        <v>205.9922881209948</v>
      </c>
      <c r="N644" s="38">
        <f t="shared" si="130"/>
        <v>6.0281249999999993</v>
      </c>
      <c r="O644" s="36">
        <f t="shared" si="131"/>
        <v>160.75</v>
      </c>
      <c r="P644" s="38">
        <f ca="1">IF(ISERROR(IF(O644&lt;fi_h/20,0,(OFFSET('Base de dados'!$A$5,IF(O644&lt;20,1,IF(O644&gt;1000,10,MATCH(O644,Cargas,1))),Coluna_fih,1,1))*(1+0.13*0.25)*(PI()*(fi_h/1000)^2/4)*SQRT(2*9.81*(O644/100-fi_h/2/1000))*1000)),"",IF(O644&lt;fi_h/20,0,(OFFSET('Base de dados'!$A$5,IF(O644&lt;20,1,IF(O644&gt;1000,10,MATCH(O644,Cargas,1))),Coluna_fih,1,1))*(PI()*(fi_h/1000)^2/4)*SQRT(2*9.81*(O644/100-fi_h/2/1000))*1000))</f>
        <v>3.3806483558851941</v>
      </c>
      <c r="Q644" s="38">
        <f ca="1">IF(O644="","",IF(Tipo_Vertedor="Retangular",IF(O644&lt;=cota_s*100,0,IF(Tipo_Vertedor="Retangular",Cd_sr*Lef_sr*((O644/100-cota_s)^(3/2))*1000)),IF(O644&lt;=cota_s*100+fi_s/20,0,(OFFSET('Base de dados'!$A$4,IF(O644&lt;20,1,IF(O644&gt;1000,10,MATCH(O644,Cargas,1))),Coluna_fis,1,1))*(PI()*(fi_s/1000)^2/4)*(2*9.81*(O644/100-cota_s-fi_s/2/1000))^0.5*1000)))</f>
        <v>1.6741397651096301</v>
      </c>
      <c r="R644" s="38">
        <f t="shared" ca="1" si="132"/>
        <v>5.0547881209948242</v>
      </c>
      <c r="S644" s="38">
        <f t="shared" ca="1" si="129"/>
        <v>200.93749999999997</v>
      </c>
    </row>
    <row r="645" spans="13:19">
      <c r="M645" s="132">
        <f t="shared" ref="M645:M708" ca="1" si="133">IF(O645="","",2*N645*1000/(Passo*60)+R645)</f>
        <v>206.31280361931437</v>
      </c>
      <c r="N645" s="38">
        <f t="shared" si="130"/>
        <v>6.0375000000000005</v>
      </c>
      <c r="O645" s="36">
        <f t="shared" si="131"/>
        <v>161</v>
      </c>
      <c r="P645" s="38">
        <f ca="1">IF(ISERROR(IF(O645&lt;fi_h/20,0,(OFFSET('Base de dados'!$A$5,IF(O645&lt;20,1,IF(O645&gt;1000,10,MATCH(O645,Cargas,1))),Coluna_fih,1,1))*(1+0.13*0.25)*(PI()*(fi_h/1000)^2/4)*SQRT(2*9.81*(O645/100-fi_h/2/1000))*1000)),"",IF(O645&lt;fi_h/20,0,(OFFSET('Base de dados'!$A$5,IF(O645&lt;20,1,IF(O645&gt;1000,10,MATCH(O645,Cargas,1))),Coluna_fih,1,1))*(PI()*(fi_h/1000)^2/4)*SQRT(2*9.81*(O645/100-fi_h/2/1000))*1000))</f>
        <v>3.3833052214466366</v>
      </c>
      <c r="Q645" s="38">
        <f ca="1">IF(O645="","",IF(Tipo_Vertedor="Retangular",IF(O645&lt;=cota_s*100,0,IF(Tipo_Vertedor="Retangular",Cd_sr*Lef_sr*((O645/100-cota_s)^(3/2))*1000)),IF(O645&lt;=cota_s*100+fi_s/20,0,(OFFSET('Base de dados'!$A$4,IF(O645&lt;20,1,IF(O645&gt;1000,10,MATCH(O645,Cargas,1))),Coluna_fis,1,1))*(PI()*(fi_s/1000)^2/4)*(2*9.81*(O645/100-cota_s-fi_s/2/1000))^0.5*1000)))</f>
        <v>1.6794983978676898</v>
      </c>
      <c r="R645" s="38">
        <f t="shared" ca="1" si="132"/>
        <v>5.0628036193143267</v>
      </c>
      <c r="S645" s="38">
        <f t="shared" ref="S645:S708" ca="1" si="134">IF(M645="","",2*N645*1000/(Passo*60))</f>
        <v>201.25000000000003</v>
      </c>
    </row>
    <row r="646" spans="13:19">
      <c r="M646" s="132">
        <f t="shared" ca="1" si="133"/>
        <v>206.6332999898257</v>
      </c>
      <c r="N646" s="38">
        <f t="shared" ref="N646:N709" si="135">IF(O646="","",b_0*(O646/100)^c_0)</f>
        <v>6.046875</v>
      </c>
      <c r="O646" s="36">
        <f t="shared" ref="O646:O658" si="136">IF(ISERROR(IF(O645+passo_altura&gt;h_max_puls*100,"",O645+passo_altura)),"",IF(O645+passo_altura&gt;h_max_puls*100,"",O645+passo_altura))</f>
        <v>161.25</v>
      </c>
      <c r="P646" s="38">
        <f ca="1">IF(ISERROR(IF(O646&lt;fi_h/20,0,(OFFSET('Base de dados'!$A$5,IF(O646&lt;20,1,IF(O646&gt;1000,10,MATCH(O646,Cargas,1))),Coluna_fih,1,1))*(1+0.13*0.25)*(PI()*(fi_h/1000)^2/4)*SQRT(2*9.81*(O646/100-fi_h/2/1000))*1000)),"",IF(O646&lt;fi_h/20,0,(OFFSET('Base de dados'!$A$5,IF(O646&lt;20,1,IF(O646&gt;1000,10,MATCH(O646,Cargas,1))),Coluna_fih,1,1))*(PI()*(fi_h/1000)^2/4)*SQRT(2*9.81*(O646/100-fi_h/2/1000))*1000))</f>
        <v>3.3859600022426259</v>
      </c>
      <c r="Q646" s="38">
        <f ca="1">IF(O646="","",IF(Tipo_Vertedor="Retangular",IF(O646&lt;=cota_s*100,0,IF(Tipo_Vertedor="Retangular",Cd_sr*Lef_sr*((O646/100-cota_s)^(3/2))*1000)),IF(O646&lt;=cota_s*100+fi_s/20,0,(OFFSET('Base de dados'!$A$4,IF(O646&lt;20,1,IF(O646&gt;1000,10,MATCH(O646,Cargas,1))),Coluna_fis,1,1))*(PI()*(fi_s/1000)^2/4)*(2*9.81*(O646/100-cota_s-fi_s/2/1000))^0.5*1000)))</f>
        <v>1.6848399875830777</v>
      </c>
      <c r="R646" s="38">
        <f t="shared" ca="1" si="132"/>
        <v>5.0707999898257032</v>
      </c>
      <c r="S646" s="38">
        <f t="shared" ca="1" si="134"/>
        <v>201.5625</v>
      </c>
    </row>
    <row r="647" spans="13:19">
      <c r="M647" s="132">
        <f t="shared" ca="1" si="133"/>
        <v>206.95377739901713</v>
      </c>
      <c r="N647" s="38">
        <f t="shared" si="135"/>
        <v>6.0562500000000004</v>
      </c>
      <c r="O647" s="36">
        <f t="shared" si="136"/>
        <v>161.5</v>
      </c>
      <c r="P647" s="38">
        <f ca="1">IF(ISERROR(IF(O647&lt;fi_h/20,0,(OFFSET('Base de dados'!$A$5,IF(O647&lt;20,1,IF(O647&gt;1000,10,MATCH(O647,Cargas,1))),Coluna_fih,1,1))*(1+0.13*0.25)*(PI()*(fi_h/1000)^2/4)*SQRT(2*9.81*(O647/100-fi_h/2/1000))*1000)),"",IF(O647&lt;fi_h/20,0,(OFFSET('Base de dados'!$A$5,IF(O647&lt;20,1,IF(O647&gt;1000,10,MATCH(O647,Cargas,1))),Coluna_fih,1,1))*(PI()*(fi_h/1000)^2/4)*SQRT(2*9.81*(O647/100-fi_h/2/1000))*1000))</f>
        <v>3.3886127031730395</v>
      </c>
      <c r="Q647" s="38">
        <f ca="1">IF(O647="","",IF(Tipo_Vertedor="Retangular",IF(O647&lt;=cota_s*100,0,IF(Tipo_Vertedor="Retangular",Cd_sr*Lef_sr*((O647/100-cota_s)^(3/2))*1000)),IF(O647&lt;=cota_s*100+fi_s/20,0,(OFFSET('Base de dados'!$A$4,IF(O647&lt;20,1,IF(O647&gt;1000,10,MATCH(O647,Cargas,1))),Coluna_fis,1,1))*(PI()*(fi_s/1000)^2/4)*(2*9.81*(O647/100-cota_s-fi_s/2/1000))^0.5*1000)))</f>
        <v>1.6901646958440923</v>
      </c>
      <c r="R647" s="38">
        <f t="shared" ca="1" si="132"/>
        <v>5.0787773990171319</v>
      </c>
      <c r="S647" s="38">
        <f t="shared" ca="1" si="134"/>
        <v>201.875</v>
      </c>
    </row>
    <row r="648" spans="13:19">
      <c r="M648" s="132">
        <f t="shared" ca="1" si="133"/>
        <v>207.27423601082023</v>
      </c>
      <c r="N648" s="38">
        <f t="shared" si="135"/>
        <v>6.0656249999999998</v>
      </c>
      <c r="O648" s="36">
        <f t="shared" si="136"/>
        <v>161.75</v>
      </c>
      <c r="P648" s="38">
        <f ca="1">IF(ISERROR(IF(O648&lt;fi_h/20,0,(OFFSET('Base de dados'!$A$5,IF(O648&lt;20,1,IF(O648&gt;1000,10,MATCH(O648,Cargas,1))),Coluna_fih,1,1))*(1+0.13*0.25)*(PI()*(fi_h/1000)^2/4)*SQRT(2*9.81*(O648/100-fi_h/2/1000))*1000)),"",IF(O648&lt;fi_h/20,0,(OFFSET('Base de dados'!$A$5,IF(O648&lt;20,1,IF(O648&gt;1000,10,MATCH(O648,Cargas,1))),Coluna_fih,1,1))*(PI()*(fi_h/1000)^2/4)*SQRT(2*9.81*(O648/100-fi_h/2/1000))*1000))</f>
        <v>3.3912633291185896</v>
      </c>
      <c r="Q648" s="38">
        <f ca="1">IF(O648="","",IF(Tipo_Vertedor="Retangular",IF(O648&lt;=cota_s*100,0,IF(Tipo_Vertedor="Retangular",Cd_sr*Lef_sr*((O648/100-cota_s)^(3/2))*1000)),IF(O648&lt;=cota_s*100+fi_s/20,0,(OFFSET('Base de dados'!$A$4,IF(O648&lt;20,1,IF(O648&gt;1000,10,MATCH(O648,Cargas,1))),Coluna_fis,1,1))*(PI()*(fi_s/1000)^2/4)*(2*9.81*(O648/100-cota_s-fi_s/2/1000))^0.5*1000)))</f>
        <v>1.695472681701643</v>
      </c>
      <c r="R648" s="38">
        <f t="shared" ca="1" si="132"/>
        <v>5.0867360108202329</v>
      </c>
      <c r="S648" s="38">
        <f t="shared" ca="1" si="134"/>
        <v>202.1875</v>
      </c>
    </row>
    <row r="649" spans="13:19">
      <c r="M649" s="132">
        <f t="shared" ca="1" si="133"/>
        <v>207.59467598666561</v>
      </c>
      <c r="N649" s="38">
        <f t="shared" si="135"/>
        <v>6.0750000000000002</v>
      </c>
      <c r="O649" s="36">
        <f t="shared" si="136"/>
        <v>162</v>
      </c>
      <c r="P649" s="38">
        <f ca="1">IF(ISERROR(IF(O649&lt;fi_h/20,0,(OFFSET('Base de dados'!$A$5,IF(O649&lt;20,1,IF(O649&gt;1000,10,MATCH(O649,Cargas,1))),Coluna_fih,1,1))*(1+0.13*0.25)*(PI()*(fi_h/1000)^2/4)*SQRT(2*9.81*(O649/100-fi_h/2/1000))*1000)),"",IF(O649&lt;fi_h/20,0,(OFFSET('Base de dados'!$A$5,IF(O649&lt;20,1,IF(O649&gt;1000,10,MATCH(O649,Cargas,1))),Coluna_fih,1,1))*(PI()*(fi_h/1000)^2/4)*SQRT(2*9.81*(O649/100-fi_h/2/1000))*1000))</f>
        <v>3.3939118849409318</v>
      </c>
      <c r="Q649" s="38">
        <f ca="1">IF(O649="","",IF(Tipo_Vertedor="Retangular",IF(O649&lt;=cota_s*100,0,IF(Tipo_Vertedor="Retangular",Cd_sr*Lef_sr*((O649/100-cota_s)^(3/2))*1000)),IF(O649&lt;=cota_s*100+fi_s/20,0,(OFFSET('Base de dados'!$A$4,IF(O649&lt;20,1,IF(O649&gt;1000,10,MATCH(O649,Cargas,1))),Coluna_fis,1,1))*(PI()*(fi_s/1000)^2/4)*(2*9.81*(O649/100-cota_s-fi_s/2/1000))^0.5*1000)))</f>
        <v>1.7007641017246835</v>
      </c>
      <c r="R649" s="38">
        <f t="shared" ca="1" si="132"/>
        <v>5.0946759866656155</v>
      </c>
      <c r="S649" s="38">
        <f t="shared" ca="1" si="134"/>
        <v>202.5</v>
      </c>
    </row>
    <row r="650" spans="13:19">
      <c r="M650" s="132">
        <f t="shared" ca="1" si="133"/>
        <v>207.9150974855369</v>
      </c>
      <c r="N650" s="38">
        <f t="shared" si="135"/>
        <v>6.0843750000000005</v>
      </c>
      <c r="O650" s="36">
        <f t="shared" si="136"/>
        <v>162.25</v>
      </c>
      <c r="P650" s="38">
        <f ca="1">IF(ISERROR(IF(O650&lt;fi_h/20,0,(OFFSET('Base de dados'!$A$5,IF(O650&lt;20,1,IF(O650&gt;1000,10,MATCH(O650,Cargas,1))),Coluna_fih,1,1))*(1+0.13*0.25)*(PI()*(fi_h/1000)^2/4)*SQRT(2*9.81*(O650/100-fi_h/2/1000))*1000)),"",IF(O650&lt;fi_h/20,0,(OFFSET('Base de dados'!$A$5,IF(O650&lt;20,1,IF(O650&gt;1000,10,MATCH(O650,Cargas,1))),Coluna_fih,1,1))*(PI()*(fi_h/1000)^2/4)*SQRT(2*9.81*(O650/100-fi_h/2/1000))*1000))</f>
        <v>3.3965583754827646</v>
      </c>
      <c r="Q650" s="38">
        <f ca="1">IF(O650="","",IF(Tipo_Vertedor="Retangular",IF(O650&lt;=cota_s*100,0,IF(Tipo_Vertedor="Retangular",Cd_sr*Lef_sr*((O650/100-cota_s)^(3/2))*1000)),IF(O650&lt;=cota_s*100+fi_s/20,0,(OFFSET('Base de dados'!$A$4,IF(O650&lt;20,1,IF(O650&gt;1000,10,MATCH(O650,Cargas,1))),Coluna_fis,1,1))*(PI()*(fi_s/1000)^2/4)*(2*9.81*(O650/100-cota_s-fi_s/2/1000))^0.5*1000)))</f>
        <v>1.7060391100540977</v>
      </c>
      <c r="R650" s="38">
        <f t="shared" ca="1" si="132"/>
        <v>5.1025974855368625</v>
      </c>
      <c r="S650" s="38">
        <f t="shared" ca="1" si="134"/>
        <v>202.81250000000003</v>
      </c>
    </row>
    <row r="651" spans="13:19">
      <c r="M651" s="132">
        <f t="shared" ca="1" si="133"/>
        <v>208.23550066402302</v>
      </c>
      <c r="N651" s="38">
        <f t="shared" si="135"/>
        <v>6.09375</v>
      </c>
      <c r="O651" s="36">
        <f t="shared" si="136"/>
        <v>162.5</v>
      </c>
      <c r="P651" s="38">
        <f ca="1">IF(ISERROR(IF(O651&lt;fi_h/20,0,(OFFSET('Base de dados'!$A$5,IF(O651&lt;20,1,IF(O651&gt;1000,10,MATCH(O651,Cargas,1))),Coluna_fih,1,1))*(1+0.13*0.25)*(PI()*(fi_h/1000)^2/4)*SQRT(2*9.81*(O651/100-fi_h/2/1000))*1000)),"",IF(O651&lt;fi_h/20,0,(OFFSET('Base de dados'!$A$5,IF(O651&lt;20,1,IF(O651&gt;1000,10,MATCH(O651,Cargas,1))),Coluna_fih,1,1))*(PI()*(fi_h/1000)^2/4)*SQRT(2*9.81*(O651/100-fi_h/2/1000))*1000))</f>
        <v>3.3992028055679357</v>
      </c>
      <c r="Q651" s="38">
        <f ca="1">IF(O651="","",IF(Tipo_Vertedor="Retangular",IF(O651&lt;=cota_s*100,0,IF(Tipo_Vertedor="Retangular",Cd_sr*Lef_sr*((O651/100-cota_s)^(3/2))*1000)),IF(O651&lt;=cota_s*100+fi_s/20,0,(OFFSET('Base de dados'!$A$4,IF(O651&lt;20,1,IF(O651&gt;1000,10,MATCH(O651,Cargas,1))),Coluna_fis,1,1))*(PI()*(fi_s/1000)^2/4)*(2*9.81*(O651/100-cota_s-fi_s/2/1000))^0.5*1000)))</f>
        <v>1.7112978584550924</v>
      </c>
      <c r="R651" s="38">
        <f t="shared" ca="1" si="132"/>
        <v>5.1105006640230286</v>
      </c>
      <c r="S651" s="38">
        <f t="shared" ca="1" si="134"/>
        <v>203.125</v>
      </c>
    </row>
    <row r="652" spans="13:19">
      <c r="M652" s="132">
        <f t="shared" ca="1" si="133"/>
        <v>208.55588567636966</v>
      </c>
      <c r="N652" s="38">
        <f t="shared" si="135"/>
        <v>6.1031249999999995</v>
      </c>
      <c r="O652" s="36">
        <f t="shared" si="136"/>
        <v>162.75</v>
      </c>
      <c r="P652" s="38">
        <f ca="1">IF(ISERROR(IF(O652&lt;fi_h/20,0,(OFFSET('Base de dados'!$A$5,IF(O652&lt;20,1,IF(O652&gt;1000,10,MATCH(O652,Cargas,1))),Coluna_fih,1,1))*(1+0.13*0.25)*(PI()*(fi_h/1000)^2/4)*SQRT(2*9.81*(O652/100-fi_h/2/1000))*1000)),"",IF(O652&lt;fi_h/20,0,(OFFSET('Base de dados'!$A$5,IF(O652&lt;20,1,IF(O652&gt;1000,10,MATCH(O652,Cargas,1))),Coluna_fih,1,1))*(PI()*(fi_h/1000)^2/4)*SQRT(2*9.81*(O652/100-fi_h/2/1000))*1000))</f>
        <v>3.4018451800015432</v>
      </c>
      <c r="Q652" s="38">
        <f ca="1">IF(O652="","",IF(Tipo_Vertedor="Retangular",IF(O652&lt;=cota_s*100,0,IF(Tipo_Vertedor="Retangular",Cd_sr*Lef_sr*((O652/100-cota_s)^(3/2))*1000)),IF(O652&lt;=cota_s*100+fi_s/20,0,(OFFSET('Base de dados'!$A$4,IF(O652&lt;20,1,IF(O652&gt;1000,10,MATCH(O652,Cargas,1))),Coluna_fis,1,1))*(PI()*(fi_s/1000)^2/4)*(2*9.81*(O652/100-cota_s-fi_s/2/1000))^0.5*1000)))</f>
        <v>1.7165404963681437</v>
      </c>
      <c r="R652" s="38">
        <f t="shared" ca="1" si="132"/>
        <v>5.1183856763696873</v>
      </c>
      <c r="S652" s="38">
        <f t="shared" ca="1" si="134"/>
        <v>203.43749999999997</v>
      </c>
    </row>
    <row r="653" spans="13:19">
      <c r="M653" s="132">
        <f t="shared" ca="1" si="133"/>
        <v>208.87625267452859</v>
      </c>
      <c r="N653" s="38">
        <f t="shared" si="135"/>
        <v>6.1124999999999998</v>
      </c>
      <c r="O653" s="36">
        <f t="shared" si="136"/>
        <v>163</v>
      </c>
      <c r="P653" s="38">
        <f ca="1">IF(ISERROR(IF(O653&lt;fi_h/20,0,(OFFSET('Base de dados'!$A$5,IF(O653&lt;20,1,IF(O653&gt;1000,10,MATCH(O653,Cargas,1))),Coluna_fih,1,1))*(1+0.13*0.25)*(PI()*(fi_h/1000)^2/4)*SQRT(2*9.81*(O653/100-fi_h/2/1000))*1000)),"",IF(O653&lt;fi_h/20,0,(OFFSET('Base de dados'!$A$5,IF(O653&lt;20,1,IF(O653&gt;1000,10,MATCH(O653,Cargas,1))),Coluna_fih,1,1))*(PI()*(fi_h/1000)^2/4)*SQRT(2*9.81*(O653/100-fi_h/2/1000))*1000))</f>
        <v>3.4044855035700388</v>
      </c>
      <c r="Q653" s="38">
        <f ca="1">IF(O653="","",IF(Tipo_Vertedor="Retangular",IF(O653&lt;=cota_s*100,0,IF(Tipo_Vertedor="Retangular",Cd_sr*Lef_sr*((O653/100-cota_s)^(3/2))*1000)),IF(O653&lt;=cota_s*100+fi_s/20,0,(OFFSET('Base de dados'!$A$4,IF(O653&lt;20,1,IF(O653&gt;1000,10,MATCH(O653,Cargas,1))),Coluna_fis,1,1))*(PI()*(fi_s/1000)^2/4)*(2*9.81*(O653/100-cota_s-fi_s/2/1000))^0.5*1000)))</f>
        <v>1.721767170958548</v>
      </c>
      <c r="R653" s="38">
        <f t="shared" ca="1" si="132"/>
        <v>5.1262526745285868</v>
      </c>
      <c r="S653" s="38">
        <f t="shared" ca="1" si="134"/>
        <v>203.75</v>
      </c>
    </row>
    <row r="654" spans="13:19">
      <c r="M654" s="132">
        <f t="shared" ca="1" si="133"/>
        <v>209.19660180820594</v>
      </c>
      <c r="N654" s="38">
        <f t="shared" si="135"/>
        <v>6.1218750000000002</v>
      </c>
      <c r="O654" s="36">
        <f t="shared" si="136"/>
        <v>163.25</v>
      </c>
      <c r="P654" s="38">
        <f ca="1">IF(ISERROR(IF(O654&lt;fi_h/20,0,(OFFSET('Base de dados'!$A$5,IF(O654&lt;20,1,IF(O654&gt;1000,10,MATCH(O654,Cargas,1))),Coluna_fih,1,1))*(1+0.13*0.25)*(PI()*(fi_h/1000)^2/4)*SQRT(2*9.81*(O654/100-fi_h/2/1000))*1000)),"",IF(O654&lt;fi_h/20,0,(OFFSET('Base de dados'!$A$5,IF(O654&lt;20,1,IF(O654&gt;1000,10,MATCH(O654,Cargas,1))),Coluna_fih,1,1))*(PI()*(fi_h/1000)^2/4)*SQRT(2*9.81*(O654/100-fi_h/2/1000))*1000))</f>
        <v>3.4071237810413271</v>
      </c>
      <c r="Q654" s="38">
        <f ca="1">IF(O654="","",IF(Tipo_Vertedor="Retangular",IF(O654&lt;=cota_s*100,0,IF(Tipo_Vertedor="Retangular",Cd_sr*Lef_sr*((O654/100-cota_s)^(3/2))*1000)),IF(O654&lt;=cota_s*100+fi_s/20,0,(OFFSET('Base de dados'!$A$4,IF(O654&lt;20,1,IF(O654&gt;1000,10,MATCH(O654,Cargas,1))),Coluna_fis,1,1))*(PI()*(fi_s/1000)^2/4)*(2*9.81*(O654/100-cota_s-fi_s/2/1000))^0.5*1000)))</f>
        <v>1.7269780271646222</v>
      </c>
      <c r="R654" s="38">
        <f t="shared" ca="1" si="132"/>
        <v>5.1341018082059495</v>
      </c>
      <c r="S654" s="38">
        <f t="shared" ca="1" si="134"/>
        <v>204.0625</v>
      </c>
    </row>
    <row r="655" spans="13:19">
      <c r="M655" s="132">
        <f t="shared" ca="1" si="133"/>
        <v>209.51693322490948</v>
      </c>
      <c r="N655" s="38">
        <f t="shared" si="135"/>
        <v>6.1312499999999996</v>
      </c>
      <c r="O655" s="36">
        <f t="shared" si="136"/>
        <v>163.5</v>
      </c>
      <c r="P655" s="38">
        <f ca="1">IF(ISERROR(IF(O655&lt;fi_h/20,0,(OFFSET('Base de dados'!$A$5,IF(O655&lt;20,1,IF(O655&gt;1000,10,MATCH(O655,Cargas,1))),Coluna_fih,1,1))*(1+0.13*0.25)*(PI()*(fi_h/1000)^2/4)*SQRT(2*9.81*(O655/100-fi_h/2/1000))*1000)),"",IF(O655&lt;fi_h/20,0,(OFFSET('Base de dados'!$A$5,IF(O655&lt;20,1,IF(O655&gt;1000,10,MATCH(O655,Cargas,1))),Coluna_fih,1,1))*(PI()*(fi_h/1000)^2/4)*SQRT(2*9.81*(O655/100-fi_h/2/1000))*1000))</f>
        <v>3.4097600171648677</v>
      </c>
      <c r="Q655" s="38">
        <f ca="1">IF(O655="","",IF(Tipo_Vertedor="Retangular",IF(O655&lt;=cota_s*100,0,IF(Tipo_Vertedor="Retangular",Cd_sr*Lef_sr*((O655/100-cota_s)^(3/2))*1000)),IF(O655&lt;=cota_s*100+fi_s/20,0,(OFFSET('Base de dados'!$A$4,IF(O655&lt;20,1,IF(O655&gt;1000,10,MATCH(O655,Cargas,1))),Coluna_fis,1,1))*(PI()*(fi_s/1000)^2/4)*(2*9.81*(O655/100-cota_s-fi_s/2/1000))^0.5*1000)))</f>
        <v>1.7321732077446002</v>
      </c>
      <c r="R655" s="38">
        <f t="shared" ca="1" si="132"/>
        <v>5.1419332249094678</v>
      </c>
      <c r="S655" s="38">
        <f t="shared" ca="1" si="134"/>
        <v>204.375</v>
      </c>
    </row>
    <row r="656" spans="13:19">
      <c r="M656" s="132">
        <f t="shared" ca="1" si="133"/>
        <v>209.83724706999405</v>
      </c>
      <c r="N656" s="38">
        <f t="shared" si="135"/>
        <v>6.140625</v>
      </c>
      <c r="O656" s="36">
        <f t="shared" si="136"/>
        <v>163.75</v>
      </c>
      <c r="P656" s="38">
        <f ca="1">IF(ISERROR(IF(O656&lt;fi_h/20,0,(OFFSET('Base de dados'!$A$5,IF(O656&lt;20,1,IF(O656&gt;1000,10,MATCH(O656,Cargas,1))),Coluna_fih,1,1))*(1+0.13*0.25)*(PI()*(fi_h/1000)^2/4)*SQRT(2*9.81*(O656/100-fi_h/2/1000))*1000)),"",IF(O656&lt;fi_h/20,0,(OFFSET('Base de dados'!$A$5,IF(O656&lt;20,1,IF(O656&gt;1000,10,MATCH(O656,Cargas,1))),Coluna_fih,1,1))*(PI()*(fi_h/1000)^2/4)*SQRT(2*9.81*(O656/100-fi_h/2/1000))*1000))</f>
        <v>3.4123942166717729</v>
      </c>
      <c r="Q656" s="38">
        <f ca="1">IF(O656="","",IF(Tipo_Vertedor="Retangular",IF(O656&lt;=cota_s*100,0,IF(Tipo_Vertedor="Retangular",Cd_sr*Lef_sr*((O656/100-cota_s)^(3/2))*1000)),IF(O656&lt;=cota_s*100+fi_s/20,0,(OFFSET('Base de dados'!$A$4,IF(O656&lt;20,1,IF(O656&gt;1000,10,MATCH(O656,Cargas,1))),Coluna_fis,1,1))*(PI()*(fi_s/1000)^2/4)*(2*9.81*(O656/100-cota_s-fi_s/2/1000))^0.5*1000)))</f>
        <v>1.737352853322268</v>
      </c>
      <c r="R656" s="38">
        <f t="shared" ca="1" si="132"/>
        <v>5.1497470699940404</v>
      </c>
      <c r="S656" s="38">
        <f t="shared" ca="1" si="134"/>
        <v>204.6875</v>
      </c>
    </row>
    <row r="657" spans="13:19">
      <c r="M657" s="132">
        <f t="shared" ca="1" si="133"/>
        <v>210.15754348670626</v>
      </c>
      <c r="N657" s="38">
        <f t="shared" si="135"/>
        <v>6.1499999999999995</v>
      </c>
      <c r="O657" s="36">
        <f t="shared" si="136"/>
        <v>164</v>
      </c>
      <c r="P657" s="38">
        <f ca="1">IF(ISERROR(IF(O657&lt;fi_h/20,0,(OFFSET('Base de dados'!$A$5,IF(O657&lt;20,1,IF(O657&gt;1000,10,MATCH(O657,Cargas,1))),Coluna_fih,1,1))*(1+0.13*0.25)*(PI()*(fi_h/1000)^2/4)*SQRT(2*9.81*(O657/100-fi_h/2/1000))*1000)),"",IF(O657&lt;fi_h/20,0,(OFFSET('Base de dados'!$A$5,IF(O657&lt;20,1,IF(O657&gt;1000,10,MATCH(O657,Cargas,1))),Coluna_fih,1,1))*(PI()*(fi_h/1000)^2/4)*SQRT(2*9.81*(O657/100-fi_h/2/1000))*1000))</f>
        <v>3.4150263842749111</v>
      </c>
      <c r="Q657" s="38">
        <f ca="1">IF(O657="","",IF(Tipo_Vertedor="Retangular",IF(O657&lt;=cota_s*100,0,IF(Tipo_Vertedor="Retangular",Cd_sr*Lef_sr*((O657/100-cota_s)^(3/2))*1000)),IF(O657&lt;=cota_s*100+fi_s/20,0,(OFFSET('Base de dados'!$A$4,IF(O657&lt;20,1,IF(O657&gt;1000,10,MATCH(O657,Cargas,1))),Coluna_fis,1,1))*(PI()*(fi_s/1000)^2/4)*(2*9.81*(O657/100-cota_s-fi_s/2/1000))^0.5*1000)))</f>
        <v>1.7425171024313748</v>
      </c>
      <c r="R657" s="38">
        <f t="shared" ca="1" si="132"/>
        <v>5.1575434867062864</v>
      </c>
      <c r="S657" s="38">
        <f t="shared" ca="1" si="134"/>
        <v>204.99999999999997</v>
      </c>
    </row>
    <row r="658" spans="13:19">
      <c r="M658" s="132">
        <f t="shared" ca="1" si="133"/>
        <v>210.47782261622788</v>
      </c>
      <c r="N658" s="38">
        <f t="shared" si="135"/>
        <v>6.1593750000000007</v>
      </c>
      <c r="O658" s="36">
        <f t="shared" si="136"/>
        <v>164.25</v>
      </c>
      <c r="P658" s="38">
        <f ca="1">IF(ISERROR(IF(O658&lt;fi_h/20,0,(OFFSET('Base de dados'!$A$5,IF(O658&lt;20,1,IF(O658&gt;1000,10,MATCH(O658,Cargas,1))),Coluna_fih,1,1))*(1+0.13*0.25)*(PI()*(fi_h/1000)^2/4)*SQRT(2*9.81*(O658/100-fi_h/2/1000))*1000)),"",IF(O658&lt;fi_h/20,0,(OFFSET('Base de dados'!$A$5,IF(O658&lt;20,1,IF(O658&gt;1000,10,MATCH(O658,Cargas,1))),Coluna_fih,1,1))*(PI()*(fi_h/1000)^2/4)*SQRT(2*9.81*(O658/100-fi_h/2/1000))*1000))</f>
        <v>3.4176565246689989</v>
      </c>
      <c r="Q658" s="38">
        <f ca="1">IF(O658="","",IF(Tipo_Vertedor="Retangular",IF(O658&lt;=cota_s*100,0,IF(Tipo_Vertedor="Retangular",Cd_sr*Lef_sr*((O658/100-cota_s)^(3/2))*1000)),IF(O658&lt;=cota_s*100+fi_s/20,0,(OFFSET('Base de dados'!$A$4,IF(O658&lt;20,1,IF(O658&gt;1000,10,MATCH(O658,Cargas,1))),Coluna_fis,1,1))*(PI()*(fi_s/1000)^2/4)*(2*9.81*(O658/100-cota_s-fi_s/2/1000))^0.5*1000)))</f>
        <v>1.7476660915588664</v>
      </c>
      <c r="R658" s="38">
        <f t="shared" ca="1" si="132"/>
        <v>5.1653226162278649</v>
      </c>
      <c r="S658" s="38">
        <f t="shared" ca="1" si="134"/>
        <v>205.31250000000003</v>
      </c>
    </row>
    <row r="659" spans="13:19">
      <c r="M659" s="132">
        <f t="shared" ca="1" si="133"/>
        <v>210.79808459771769</v>
      </c>
      <c r="N659" s="38">
        <f t="shared" si="135"/>
        <v>6.1687500000000002</v>
      </c>
      <c r="O659" s="36">
        <f t="shared" ref="O659:O722" si="137">IF(ISERROR(IF(O658+passo_altura&gt;h_max_puls*100,"",O658+passo_altura)),"",IF(O658+passo_altura&gt;h_max_puls*100,"",O658+passo_altura))</f>
        <v>164.5</v>
      </c>
      <c r="P659" s="38">
        <f ca="1">IF(ISERROR(IF(O659&lt;fi_h/20,0,(OFFSET('Base de dados'!$A$5,IF(O659&lt;20,1,IF(O659&gt;1000,10,MATCH(O659,Cargas,1))),Coluna_fih,1,1))*(1+0.13*0.25)*(PI()*(fi_h/1000)^2/4)*SQRT(2*9.81*(O659/100-fi_h/2/1000))*1000)),"",IF(O659&lt;fi_h/20,0,(OFFSET('Base de dados'!$A$5,IF(O659&lt;20,1,IF(O659&gt;1000,10,MATCH(O659,Cargas,1))),Coluna_fih,1,1))*(PI()*(fi_h/1000)^2/4)*SQRT(2*9.81*(O659/100-fi_h/2/1000))*1000))</f>
        <v>3.4202846425307043</v>
      </c>
      <c r="Q659" s="38">
        <f ca="1">IF(O659="","",IF(Tipo_Vertedor="Retangular",IF(O659&lt;=cota_s*100,0,IF(Tipo_Vertedor="Retangular",Cd_sr*Lef_sr*((O659/100-cota_s)^(3/2))*1000)),IF(O659&lt;=cota_s*100+fi_s/20,0,(OFFSET('Base de dados'!$A$4,IF(O659&lt;20,1,IF(O659&gt;1000,10,MATCH(O659,Cargas,1))),Coluna_fis,1,1))*(PI()*(fi_s/1000)^2/4)*(2*9.81*(O659/100-cota_s-fi_s/2/1000))^0.5*1000)))</f>
        <v>1.7527999551869722</v>
      </c>
      <c r="R659" s="38">
        <f t="shared" ref="R659:R722" ca="1" si="138">IF(O659="","",Q659+P659)</f>
        <v>5.1730845977176765</v>
      </c>
      <c r="S659" s="38">
        <f t="shared" ca="1" si="134"/>
        <v>205.625</v>
      </c>
    </row>
    <row r="660" spans="13:19">
      <c r="M660" s="132">
        <f t="shared" ca="1" si="133"/>
        <v>211.11832956835292</v>
      </c>
      <c r="N660" s="38">
        <f t="shared" si="135"/>
        <v>6.1781249999999996</v>
      </c>
      <c r="O660" s="36">
        <f t="shared" si="137"/>
        <v>164.75</v>
      </c>
      <c r="P660" s="38">
        <f ca="1">IF(ISERROR(IF(O660&lt;fi_h/20,0,(OFFSET('Base de dados'!$A$5,IF(O660&lt;20,1,IF(O660&gt;1000,10,MATCH(O660,Cargas,1))),Coluna_fih,1,1))*(1+0.13*0.25)*(PI()*(fi_h/1000)^2/4)*SQRT(2*9.81*(O660/100-fi_h/2/1000))*1000)),"",IF(O660&lt;fi_h/20,0,(OFFSET('Base de dados'!$A$5,IF(O660&lt;20,1,IF(O660&gt;1000,10,MATCH(O660,Cargas,1))),Coluna_fih,1,1))*(PI()*(fi_h/1000)^2/4)*SQRT(2*9.81*(O660/100-fi_h/2/1000))*1000))</f>
        <v>3.4229107425187415</v>
      </c>
      <c r="Q660" s="38">
        <f ca="1">IF(O660="","",IF(Tipo_Vertedor="Retangular",IF(O660&lt;=cota_s*100,0,IF(Tipo_Vertedor="Retangular",Cd_sr*Lef_sr*((O660/100-cota_s)^(3/2))*1000)),IF(O660&lt;=cota_s*100+fi_s/20,0,(OFFSET('Base de dados'!$A$4,IF(O660&lt;20,1,IF(O660&gt;1000,10,MATCH(O660,Cargas,1))),Coluna_fis,1,1))*(PI()*(fi_s/1000)^2/4)*(2*9.81*(O660/100-cota_s-fi_s/2/1000))^0.5*1000)))</f>
        <v>1.7579188258341905</v>
      </c>
      <c r="R660" s="38">
        <f t="shared" ca="1" si="138"/>
        <v>5.180829568352932</v>
      </c>
      <c r="S660" s="38">
        <f t="shared" ca="1" si="134"/>
        <v>205.9375</v>
      </c>
    </row>
    <row r="661" spans="13:19">
      <c r="M661" s="132">
        <f t="shared" ca="1" si="133"/>
        <v>211.43855766336915</v>
      </c>
      <c r="N661" s="38">
        <f t="shared" si="135"/>
        <v>6.1875</v>
      </c>
      <c r="O661" s="36">
        <f t="shared" si="137"/>
        <v>165</v>
      </c>
      <c r="P661" s="38">
        <f ca="1">IF(ISERROR(IF(O661&lt;fi_h/20,0,(OFFSET('Base de dados'!$A$5,IF(O661&lt;20,1,IF(O661&gt;1000,10,MATCH(O661,Cargas,1))),Coluna_fih,1,1))*(1+0.13*0.25)*(PI()*(fi_h/1000)^2/4)*SQRT(2*9.81*(O661/100-fi_h/2/1000))*1000)),"",IF(O661&lt;fi_h/20,0,(OFFSET('Base de dados'!$A$5,IF(O661&lt;20,1,IF(O661&gt;1000,10,MATCH(O661,Cargas,1))),Coluna_fih,1,1))*(PI()*(fi_h/1000)^2/4)*SQRT(2*9.81*(O661/100-fi_h/2/1000))*1000))</f>
        <v>3.4255348292739636</v>
      </c>
      <c r="Q661" s="38">
        <f ca="1">IF(O661="","",IF(Tipo_Vertedor="Retangular",IF(O661&lt;=cota_s*100,0,IF(Tipo_Vertedor="Retangular",Cd_sr*Lef_sr*((O661/100-cota_s)^(3/2))*1000)),IF(O661&lt;=cota_s*100+fi_s/20,0,(OFFSET('Base de dados'!$A$4,IF(O661&lt;20,1,IF(O661&gt;1000,10,MATCH(O661,Cargas,1))),Coluna_fis,1,1))*(PI()*(fi_s/1000)^2/4)*(2*9.81*(O661/100-cota_s-fi_s/2/1000))^0.5*1000)))</f>
        <v>1.7630228340951988</v>
      </c>
      <c r="R661" s="38">
        <f t="shared" ca="1" si="138"/>
        <v>5.1885576633691626</v>
      </c>
      <c r="S661" s="38">
        <f t="shared" ca="1" si="134"/>
        <v>206.25</v>
      </c>
    </row>
    <row r="662" spans="13:19">
      <c r="M662" s="132">
        <f t="shared" ca="1" si="133"/>
        <v>211.75876901609919</v>
      </c>
      <c r="N662" s="38">
        <f t="shared" si="135"/>
        <v>6.1968750000000004</v>
      </c>
      <c r="O662" s="36">
        <f t="shared" si="137"/>
        <v>165.25</v>
      </c>
      <c r="P662" s="38">
        <f ca="1">IF(ISERROR(IF(O662&lt;fi_h/20,0,(OFFSET('Base de dados'!$A$5,IF(O662&lt;20,1,IF(O662&gt;1000,10,MATCH(O662,Cargas,1))),Coluna_fih,1,1))*(1+0.13*0.25)*(PI()*(fi_h/1000)^2/4)*SQRT(2*9.81*(O662/100-fi_h/2/1000))*1000)),"",IF(O662&lt;fi_h/20,0,(OFFSET('Base de dados'!$A$5,IF(O662&lt;20,1,IF(O662&gt;1000,10,MATCH(O662,Cargas,1))),Coluna_fih,1,1))*(PI()*(fi_h/1000)^2/4)*SQRT(2*9.81*(O662/100-fi_h/2/1000))*1000))</f>
        <v>3.4281569074194689</v>
      </c>
      <c r="Q662" s="38">
        <f ca="1">IF(O662="","",IF(Tipo_Vertedor="Retangular",IF(O662&lt;=cota_s*100,0,IF(Tipo_Vertedor="Retangular",Cd_sr*Lef_sr*((O662/100-cota_s)^(3/2))*1000)),IF(O662&lt;=cota_s*100+fi_s/20,0,(OFFSET('Base de dados'!$A$4,IF(O662&lt;20,1,IF(O662&gt;1000,10,MATCH(O662,Cargas,1))),Coluna_fis,1,1))*(PI()*(fi_s/1000)^2/4)*(2*9.81*(O662/100-cota_s-fi_s/2/1000))^0.5*1000)))</f>
        <v>1.7681121086797285</v>
      </c>
      <c r="R662" s="38">
        <f t="shared" ca="1" si="138"/>
        <v>5.1962690160991976</v>
      </c>
      <c r="S662" s="38">
        <f t="shared" ca="1" si="134"/>
        <v>206.5625</v>
      </c>
    </row>
    <row r="663" spans="13:19">
      <c r="M663" s="132">
        <f t="shared" ca="1" si="133"/>
        <v>212.07896375801113</v>
      </c>
      <c r="N663" s="38">
        <f t="shared" si="135"/>
        <v>6.2062499999999998</v>
      </c>
      <c r="O663" s="36">
        <f t="shared" si="137"/>
        <v>165.5</v>
      </c>
      <c r="P663" s="38">
        <f ca="1">IF(ISERROR(IF(O663&lt;fi_h/20,0,(OFFSET('Base de dados'!$A$5,IF(O663&lt;20,1,IF(O663&gt;1000,10,MATCH(O663,Cargas,1))),Coluna_fih,1,1))*(1+0.13*0.25)*(PI()*(fi_h/1000)^2/4)*SQRT(2*9.81*(O663/100-fi_h/2/1000))*1000)),"",IF(O663&lt;fi_h/20,0,(OFFSET('Base de dados'!$A$5,IF(O663&lt;20,1,IF(O663&gt;1000,10,MATCH(O663,Cargas,1))),Coluna_fih,1,1))*(PI()*(fi_h/1000)^2/4)*SQRT(2*9.81*(O663/100-fi_h/2/1000))*1000))</f>
        <v>3.4307769815606819</v>
      </c>
      <c r="Q663" s="38">
        <f ca="1">IF(O663="","",IF(Tipo_Vertedor="Retangular",IF(O663&lt;=cota_s*100,0,IF(Tipo_Vertedor="Retangular",Cd_sr*Lef_sr*((O663/100-cota_s)^(3/2))*1000)),IF(O663&lt;=cota_s*100+fi_s/20,0,(OFFSET('Base de dados'!$A$4,IF(O663&lt;20,1,IF(O663&gt;1000,10,MATCH(O663,Cargas,1))),Coluna_fis,1,1))*(PI()*(fi_s/1000)^2/4)*(2*9.81*(O663/100-cota_s-fi_s/2/1000))^0.5*1000)))</f>
        <v>1.7731867764504348</v>
      </c>
      <c r="R663" s="38">
        <f t="shared" ca="1" si="138"/>
        <v>5.2039637580111169</v>
      </c>
      <c r="S663" s="38">
        <f t="shared" ca="1" si="134"/>
        <v>206.875</v>
      </c>
    </row>
    <row r="664" spans="13:19">
      <c r="M664" s="132">
        <f t="shared" ca="1" si="133"/>
        <v>212.39914201874527</v>
      </c>
      <c r="N664" s="38">
        <f t="shared" si="135"/>
        <v>6.2156250000000002</v>
      </c>
      <c r="O664" s="36">
        <f t="shared" si="137"/>
        <v>165.75</v>
      </c>
      <c r="P664" s="38">
        <f ca="1">IF(ISERROR(IF(O664&lt;fi_h/20,0,(OFFSET('Base de dados'!$A$5,IF(O664&lt;20,1,IF(O664&gt;1000,10,MATCH(O664,Cargas,1))),Coluna_fih,1,1))*(1+0.13*0.25)*(PI()*(fi_h/1000)^2/4)*SQRT(2*9.81*(O664/100-fi_h/2/1000))*1000)),"",IF(O664&lt;fi_h/20,0,(OFFSET('Base de dados'!$A$5,IF(O664&lt;20,1,IF(O664&gt;1000,10,MATCH(O664,Cargas,1))),Coluna_fih,1,1))*(PI()*(fi_h/1000)^2/4)*SQRT(2*9.81*(O664/100-fi_h/2/1000))*1000))</f>
        <v>3.4333950562854589</v>
      </c>
      <c r="Q664" s="38">
        <f ca="1">IF(O664="","",IF(Tipo_Vertedor="Retangular",IF(O664&lt;=cota_s*100,0,IF(Tipo_Vertedor="Retangular",Cd_sr*Lef_sr*((O664/100-cota_s)^(3/2))*1000)),IF(O664&lt;=cota_s*100+fi_s/20,0,(OFFSET('Base de dados'!$A$4,IF(O664&lt;20,1,IF(O664&gt;1000,10,MATCH(O664,Cargas,1))),Coluna_fis,1,1))*(PI()*(fi_s/1000)^2/4)*(2*9.81*(O664/100-cota_s-fi_s/2/1000))^0.5*1000)))</f>
        <v>1.7782469624597963</v>
      </c>
      <c r="R664" s="38">
        <f t="shared" ca="1" si="138"/>
        <v>5.2116420187452555</v>
      </c>
      <c r="S664" s="38">
        <f t="shared" ca="1" si="134"/>
        <v>207.1875</v>
      </c>
    </row>
    <row r="665" spans="13:19">
      <c r="M665" s="132">
        <f t="shared" ca="1" si="133"/>
        <v>212.71930392615025</v>
      </c>
      <c r="N665" s="38">
        <f t="shared" si="135"/>
        <v>6.2249999999999996</v>
      </c>
      <c r="O665" s="36">
        <f t="shared" si="137"/>
        <v>166</v>
      </c>
      <c r="P665" s="38">
        <f ca="1">IF(ISERROR(IF(O665&lt;fi_h/20,0,(OFFSET('Base de dados'!$A$5,IF(O665&lt;20,1,IF(O665&gt;1000,10,MATCH(O665,Cargas,1))),Coluna_fih,1,1))*(1+0.13*0.25)*(PI()*(fi_h/1000)^2/4)*SQRT(2*9.81*(O665/100-fi_h/2/1000))*1000)),"",IF(O665&lt;fi_h/20,0,(OFFSET('Base de dados'!$A$5,IF(O665&lt;20,1,IF(O665&gt;1000,10,MATCH(O665,Cargas,1))),Coluna_fih,1,1))*(PI()*(fi_h/1000)^2/4)*SQRT(2*9.81*(O665/100-fi_h/2/1000))*1000))</f>
        <v>3.436011136164177</v>
      </c>
      <c r="Q665" s="38">
        <f ca="1">IF(O665="","",IF(Tipo_Vertedor="Retangular",IF(O665&lt;=cota_s*100,0,IF(Tipo_Vertedor="Retangular",Cd_sr*Lef_sr*((O665/100-cota_s)^(3/2))*1000)),IF(O665&lt;=cota_s*100+fi_s/20,0,(OFFSET('Base de dados'!$A$4,IF(O665&lt;20,1,IF(O665&gt;1000,10,MATCH(O665,Cargas,1))),Coluna_fis,1,1))*(PI()*(fi_s/1000)^2/4)*(2*9.81*(O665/100-cota_s-fi_s/2/1000))^0.5*1000)))</f>
        <v>1.7832927899860695</v>
      </c>
      <c r="R665" s="38">
        <f t="shared" ca="1" si="138"/>
        <v>5.2193039261502463</v>
      </c>
      <c r="S665" s="38">
        <f t="shared" ca="1" si="134"/>
        <v>207.5</v>
      </c>
    </row>
    <row r="666" spans="13:19">
      <c r="M666" s="132">
        <f t="shared" ca="1" si="133"/>
        <v>213.03944960631816</v>
      </c>
      <c r="N666" s="38">
        <f t="shared" si="135"/>
        <v>6.234375</v>
      </c>
      <c r="O666" s="36">
        <f t="shared" si="137"/>
        <v>166.25</v>
      </c>
      <c r="P666" s="38">
        <f ca="1">IF(ISERROR(IF(O666&lt;fi_h/20,0,(OFFSET('Base de dados'!$A$5,IF(O666&lt;20,1,IF(O666&gt;1000,10,MATCH(O666,Cargas,1))),Coluna_fih,1,1))*(1+0.13*0.25)*(PI()*(fi_h/1000)^2/4)*SQRT(2*9.81*(O666/100-fi_h/2/1000))*1000)),"",IF(O666&lt;fi_h/20,0,(OFFSET('Base de dados'!$A$5,IF(O666&lt;20,1,IF(O666&gt;1000,10,MATCH(O666,Cargas,1))),Coluna_fih,1,1))*(PI()*(fi_h/1000)^2/4)*SQRT(2*9.81*(O666/100-fi_h/2/1000))*1000))</f>
        <v>3.4386252257498269</v>
      </c>
      <c r="Q666" s="38">
        <f ca="1">IF(O666="","",IF(Tipo_Vertedor="Retangular",IF(O666&lt;=cota_s*100,0,IF(Tipo_Vertedor="Retangular",Cd_sr*Lef_sr*((O666/100-cota_s)^(3/2))*1000)),IF(O666&lt;=cota_s*100+fi_s/20,0,(OFFSET('Base de dados'!$A$4,IF(O666&lt;20,1,IF(O666&gt;1000,10,MATCH(O666,Cargas,1))),Coluna_fis,1,1))*(PI()*(fi_s/1000)^2/4)*(2*9.81*(O666/100-cota_s-fi_s/2/1000))^0.5*1000)))</f>
        <v>1.7883243805683322</v>
      </c>
      <c r="R666" s="38">
        <f t="shared" ca="1" si="138"/>
        <v>5.2269496063181595</v>
      </c>
      <c r="S666" s="38">
        <f t="shared" ca="1" si="134"/>
        <v>207.8125</v>
      </c>
    </row>
    <row r="667" spans="13:19">
      <c r="M667" s="132">
        <f t="shared" ca="1" si="133"/>
        <v>213.35957918361873</v>
      </c>
      <c r="N667" s="38">
        <f t="shared" si="135"/>
        <v>6.2437500000000004</v>
      </c>
      <c r="O667" s="36">
        <f t="shared" si="137"/>
        <v>166.5</v>
      </c>
      <c r="P667" s="38">
        <f ca="1">IF(ISERROR(IF(O667&lt;fi_h/20,0,(OFFSET('Base de dados'!$A$5,IF(O667&lt;20,1,IF(O667&gt;1000,10,MATCH(O667,Cargas,1))),Coluna_fih,1,1))*(1+0.13*0.25)*(PI()*(fi_h/1000)^2/4)*SQRT(2*9.81*(O667/100-fi_h/2/1000))*1000)),"",IF(O667&lt;fi_h/20,0,(OFFSET('Base de dados'!$A$5,IF(O667&lt;20,1,IF(O667&gt;1000,10,MATCH(O667,Cargas,1))),Coluna_fih,1,1))*(PI()*(fi_h/1000)^2/4)*SQRT(2*9.81*(O667/100-fi_h/2/1000))*1000))</f>
        <v>3.4412373295781062</v>
      </c>
      <c r="Q667" s="38">
        <f ca="1">IF(O667="","",IF(Tipo_Vertedor="Retangular",IF(O667&lt;=cota_s*100,0,IF(Tipo_Vertedor="Retangular",Cd_sr*Lef_sr*((O667/100-cota_s)^(3/2))*1000)),IF(O667&lt;=cota_s*100+fi_s/20,0,(OFFSET('Base de dados'!$A$4,IF(O667&lt;20,1,IF(O667&gt;1000,10,MATCH(O667,Cargas,1))),Coluna_fis,1,1))*(PI()*(fi_s/1000)^2/4)*(2*9.81*(O667/100-cota_s-fi_s/2/1000))^0.5*1000)))</f>
        <v>1.7933418540406392</v>
      </c>
      <c r="R667" s="38">
        <f t="shared" ca="1" si="138"/>
        <v>5.2345791836187452</v>
      </c>
      <c r="S667" s="38">
        <f t="shared" ca="1" si="134"/>
        <v>208.125</v>
      </c>
    </row>
    <row r="668" spans="13:19">
      <c r="M668" s="132">
        <f t="shared" ca="1" si="133"/>
        <v>213.67969278073284</v>
      </c>
      <c r="N668" s="38">
        <f t="shared" si="135"/>
        <v>6.2531249999999998</v>
      </c>
      <c r="O668" s="36">
        <f t="shared" si="137"/>
        <v>166.75</v>
      </c>
      <c r="P668" s="38">
        <f ca="1">IF(ISERROR(IF(O668&lt;fi_h/20,0,(OFFSET('Base de dados'!$A$5,IF(O668&lt;20,1,IF(O668&gt;1000,10,MATCH(O668,Cargas,1))),Coluna_fih,1,1))*(1+0.13*0.25)*(PI()*(fi_h/1000)^2/4)*SQRT(2*9.81*(O668/100-fi_h/2/1000))*1000)),"",IF(O668&lt;fi_h/20,0,(OFFSET('Base de dados'!$A$5,IF(O668&lt;20,1,IF(O668&gt;1000,10,MATCH(O668,Cargas,1))),Coluna_fih,1,1))*(PI()*(fi_h/1000)^2/4)*SQRT(2*9.81*(O668/100-fi_h/2/1000))*1000))</f>
        <v>3.4438474521675122</v>
      </c>
      <c r="Q668" s="38">
        <f ca="1">IF(O668="","",IF(Tipo_Vertedor="Retangular",IF(O668&lt;=cota_s*100,0,IF(Tipo_Vertedor="Retangular",Cd_sr*Lef_sr*((O668/100-cota_s)^(3/2))*1000)),IF(O668&lt;=cota_s*100+fi_s/20,0,(OFFSET('Base de dados'!$A$4,IF(O668&lt;20,1,IF(O668&gt;1000,10,MATCH(O668,Cargas,1))),Coluna_fis,1,1))*(PI()*(fi_s/1000)^2/4)*(2*9.81*(O668/100-cota_s-fi_s/2/1000))^0.5*1000)))</f>
        <v>1.7983453285653248</v>
      </c>
      <c r="R668" s="38">
        <f t="shared" ca="1" si="138"/>
        <v>5.2421927807328368</v>
      </c>
      <c r="S668" s="38">
        <f t="shared" ca="1" si="134"/>
        <v>208.4375</v>
      </c>
    </row>
    <row r="669" spans="13:19">
      <c r="M669" s="132">
        <f t="shared" ca="1" si="133"/>
        <v>213.99979051868488</v>
      </c>
      <c r="N669" s="38">
        <f t="shared" si="135"/>
        <v>6.2624999999999993</v>
      </c>
      <c r="O669" s="36">
        <f t="shared" si="137"/>
        <v>167</v>
      </c>
      <c r="P669" s="38">
        <f ca="1">IF(ISERROR(IF(O669&lt;fi_h/20,0,(OFFSET('Base de dados'!$A$5,IF(O669&lt;20,1,IF(O669&gt;1000,10,MATCH(O669,Cargas,1))),Coluna_fih,1,1))*(1+0.13*0.25)*(PI()*(fi_h/1000)^2/4)*SQRT(2*9.81*(O669/100-fi_h/2/1000))*1000)),"",IF(O669&lt;fi_h/20,0,(OFFSET('Base de dados'!$A$5,IF(O669&lt;20,1,IF(O669&gt;1000,10,MATCH(O669,Cargas,1))),Coluna_fih,1,1))*(PI()*(fi_h/1000)^2/4)*SQRT(2*9.81*(O669/100-fi_h/2/1000))*1000))</f>
        <v>3.4464555980194307</v>
      </c>
      <c r="Q669" s="38">
        <f ca="1">IF(O669="","",IF(Tipo_Vertedor="Retangular",IF(O669&lt;=cota_s*100,0,IF(Tipo_Vertedor="Retangular",Cd_sr*Lef_sr*((O669/100-cota_s)^(3/2))*1000)),IF(O669&lt;=cota_s*100+fi_s/20,0,(OFFSET('Base de dados'!$A$4,IF(O669&lt;20,1,IF(O669&gt;1000,10,MATCH(O669,Cargas,1))),Coluna_fis,1,1))*(PI()*(fi_s/1000)^2/4)*(2*9.81*(O669/100-cota_s-fi_s/2/1000))^0.5*1000)))</f>
        <v>1.8033349206654687</v>
      </c>
      <c r="R669" s="38">
        <f t="shared" ca="1" si="138"/>
        <v>5.2497905186848994</v>
      </c>
      <c r="S669" s="38">
        <f t="shared" ca="1" si="134"/>
        <v>208.74999999999997</v>
      </c>
    </row>
    <row r="670" spans="13:19">
      <c r="M670" s="132">
        <f t="shared" ca="1" si="133"/>
        <v>214.31987251687482</v>
      </c>
      <c r="N670" s="38">
        <f t="shared" si="135"/>
        <v>6.2718750000000005</v>
      </c>
      <c r="O670" s="36">
        <f t="shared" si="137"/>
        <v>167.25</v>
      </c>
      <c r="P670" s="38">
        <f ca="1">IF(ISERROR(IF(O670&lt;fi_h/20,0,(OFFSET('Base de dados'!$A$5,IF(O670&lt;20,1,IF(O670&gt;1000,10,MATCH(O670,Cargas,1))),Coluna_fih,1,1))*(1+0.13*0.25)*(PI()*(fi_h/1000)^2/4)*SQRT(2*9.81*(O670/100-fi_h/2/1000))*1000)),"",IF(O670&lt;fi_h/20,0,(OFFSET('Base de dados'!$A$5,IF(O670&lt;20,1,IF(O670&gt;1000,10,MATCH(O670,Cargas,1))),Coluna_fih,1,1))*(PI()*(fi_h/1000)^2/4)*SQRT(2*9.81*(O670/100-fi_h/2/1000))*1000))</f>
        <v>3.4490617716182297</v>
      </c>
      <c r="Q670" s="38">
        <f ca="1">IF(O670="","",IF(Tipo_Vertedor="Retangular",IF(O670&lt;=cota_s*100,0,IF(Tipo_Vertedor="Retangular",Cd_sr*Lef_sr*((O670/100-cota_s)^(3/2))*1000)),IF(O670&lt;=cota_s*100+fi_s/20,0,(OFFSET('Base de dados'!$A$4,IF(O670&lt;20,1,IF(O670&gt;1000,10,MATCH(O670,Cargas,1))),Coluna_fis,1,1))*(PI()*(fi_s/1000)^2/4)*(2*9.81*(O670/100-cota_s-fi_s/2/1000))^0.5*1000)))</f>
        <v>1.8083107452565621</v>
      </c>
      <c r="R670" s="38">
        <f t="shared" ca="1" si="138"/>
        <v>5.257372516874792</v>
      </c>
      <c r="S670" s="38">
        <f t="shared" ca="1" si="134"/>
        <v>209.06250000000003</v>
      </c>
    </row>
    <row r="671" spans="13:19">
      <c r="M671" s="132">
        <f t="shared" ca="1" si="133"/>
        <v>214.63993889310873</v>
      </c>
      <c r="N671" s="38">
        <f t="shared" si="135"/>
        <v>6.28125</v>
      </c>
      <c r="O671" s="36">
        <f t="shared" si="137"/>
        <v>167.5</v>
      </c>
      <c r="P671" s="38">
        <f ca="1">IF(ISERROR(IF(O671&lt;fi_h/20,0,(OFFSET('Base de dados'!$A$5,IF(O671&lt;20,1,IF(O671&gt;1000,10,MATCH(O671,Cargas,1))),Coluna_fih,1,1))*(1+0.13*0.25)*(PI()*(fi_h/1000)^2/4)*SQRT(2*9.81*(O671/100-fi_h/2/1000))*1000)),"",IF(O671&lt;fi_h/20,0,(OFFSET('Base de dados'!$A$5,IF(O671&lt;20,1,IF(O671&gt;1000,10,MATCH(O671,Cargas,1))),Coluna_fih,1,1))*(PI()*(fi_h/1000)^2/4)*SQRT(2*9.81*(O671/100-fi_h/2/1000))*1000))</f>
        <v>3.4516659774313458</v>
      </c>
      <c r="Q671" s="38">
        <f ca="1">IF(O671="","",IF(Tipo_Vertedor="Retangular",IF(O671&lt;=cota_s*100,0,IF(Tipo_Vertedor="Retangular",Cd_sr*Lef_sr*((O671/100-cota_s)^(3/2))*1000)),IF(O671&lt;=cota_s*100+fi_s/20,0,(OFFSET('Base de dados'!$A$4,IF(O671&lt;20,1,IF(O671&gt;1000,10,MATCH(O671,Cargas,1))),Coluna_fis,1,1))*(PI()*(fi_s/1000)^2/4)*(2*9.81*(O671/100-cota_s-fi_s/2/1000))^0.5*1000)))</f>
        <v>1.813272915677381</v>
      </c>
      <c r="R671" s="38">
        <f t="shared" ca="1" si="138"/>
        <v>5.2649388931087273</v>
      </c>
      <c r="S671" s="38">
        <f t="shared" ca="1" si="134"/>
        <v>209.375</v>
      </c>
    </row>
    <row r="672" spans="13:19">
      <c r="M672" s="132">
        <f t="shared" ca="1" si="133"/>
        <v>214.95998976362949</v>
      </c>
      <c r="N672" s="38">
        <f t="shared" si="135"/>
        <v>6.2906250000000004</v>
      </c>
      <c r="O672" s="36">
        <f t="shared" si="137"/>
        <v>167.75</v>
      </c>
      <c r="P672" s="38">
        <f ca="1">IF(ISERROR(IF(O672&lt;fi_h/20,0,(OFFSET('Base de dados'!$A$5,IF(O672&lt;20,1,IF(O672&gt;1000,10,MATCH(O672,Cargas,1))),Coluna_fih,1,1))*(1+0.13*0.25)*(PI()*(fi_h/1000)^2/4)*SQRT(2*9.81*(O672/100-fi_h/2/1000))*1000)),"",IF(O672&lt;fi_h/20,0,(OFFSET('Base de dados'!$A$5,IF(O672&lt;20,1,IF(O672&gt;1000,10,MATCH(O672,Cargas,1))),Coluna_fih,1,1))*(PI()*(fi_h/1000)^2/4)*SQRT(2*9.81*(O672/100-fi_h/2/1000))*1000))</f>
        <v>3.4542682199093777</v>
      </c>
      <c r="Q672" s="38">
        <f ca="1">IF(O672="","",IF(Tipo_Vertedor="Retangular",IF(O672&lt;=cota_s*100,0,IF(Tipo_Vertedor="Retangular",Cd_sr*Lef_sr*((O672/100-cota_s)^(3/2))*1000)),IF(O672&lt;=cota_s*100+fi_s/20,0,(OFFSET('Base de dados'!$A$4,IF(O672&lt;20,1,IF(O672&gt;1000,10,MATCH(O672,Cargas,1))),Coluna_fis,1,1))*(PI()*(fi_s/1000)^2/4)*(2*9.81*(O672/100-cota_s-fi_s/2/1000))^0.5*1000)))</f>
        <v>1.818221543720115</v>
      </c>
      <c r="R672" s="38">
        <f t="shared" ca="1" si="138"/>
        <v>5.2724897636294923</v>
      </c>
      <c r="S672" s="38">
        <f t="shared" ca="1" si="134"/>
        <v>209.6875</v>
      </c>
    </row>
    <row r="673" spans="13:19">
      <c r="M673" s="132">
        <f t="shared" ca="1" si="133"/>
        <v>215.28002524314593</v>
      </c>
      <c r="N673" s="38">
        <f t="shared" si="135"/>
        <v>6.3</v>
      </c>
      <c r="O673" s="36">
        <f t="shared" si="137"/>
        <v>168</v>
      </c>
      <c r="P673" s="38">
        <f ca="1">IF(ISERROR(IF(O673&lt;fi_h/20,0,(OFFSET('Base de dados'!$A$5,IF(O673&lt;20,1,IF(O673&gt;1000,10,MATCH(O673,Cargas,1))),Coluna_fih,1,1))*(1+0.13*0.25)*(PI()*(fi_h/1000)^2/4)*SQRT(2*9.81*(O673/100-fi_h/2/1000))*1000)),"",IF(O673&lt;fi_h/20,0,(OFFSET('Base de dados'!$A$5,IF(O673&lt;20,1,IF(O673&gt;1000,10,MATCH(O673,Cargas,1))),Coluna_fih,1,1))*(PI()*(fi_h/1000)^2/4)*SQRT(2*9.81*(O673/100-fi_h/2/1000))*1000))</f>
        <v>3.4568685034861688</v>
      </c>
      <c r="Q673" s="38">
        <f ca="1">IF(O673="","",IF(Tipo_Vertedor="Retangular",IF(O673&lt;=cota_s*100,0,IF(Tipo_Vertedor="Retangular",Cd_sr*Lef_sr*((O673/100-cota_s)^(3/2))*1000)),IF(O673&lt;=cota_s*100+fi_s/20,0,(OFFSET('Base de dados'!$A$4,IF(O673&lt;20,1,IF(O673&gt;1000,10,MATCH(O673,Cargas,1))),Coluna_fis,1,1))*(PI()*(fi_s/1000)^2/4)*(2*9.81*(O673/100-cota_s-fi_s/2/1000))^0.5*1000)))</f>
        <v>1.823156739659749</v>
      </c>
      <c r="R673" s="38">
        <f t="shared" ca="1" si="138"/>
        <v>5.2800252431459178</v>
      </c>
      <c r="S673" s="38">
        <f t="shared" ca="1" si="134"/>
        <v>210</v>
      </c>
    </row>
    <row r="674" spans="13:19">
      <c r="M674" s="132">
        <f t="shared" ca="1" si="133"/>
        <v>215.60004544486165</v>
      </c>
      <c r="N674" s="38">
        <f t="shared" si="135"/>
        <v>6.3093750000000002</v>
      </c>
      <c r="O674" s="36">
        <f t="shared" si="137"/>
        <v>168.25</v>
      </c>
      <c r="P674" s="38">
        <f ca="1">IF(ISERROR(IF(O674&lt;fi_h/20,0,(OFFSET('Base de dados'!$A$5,IF(O674&lt;20,1,IF(O674&gt;1000,10,MATCH(O674,Cargas,1))),Coluna_fih,1,1))*(1+0.13*0.25)*(PI()*(fi_h/1000)^2/4)*SQRT(2*9.81*(O674/100-fi_h/2/1000))*1000)),"",IF(O674&lt;fi_h/20,0,(OFFSET('Base de dados'!$A$5,IF(O674&lt;20,1,IF(O674&gt;1000,10,MATCH(O674,Cargas,1))),Coluna_fih,1,1))*(PI()*(fi_h/1000)^2/4)*SQRT(2*9.81*(O674/100-fi_h/2/1000))*1000))</f>
        <v>3.459466832578904</v>
      </c>
      <c r="Q674" s="38">
        <f ca="1">IF(O674="","",IF(Tipo_Vertedor="Retangular",IF(O674&lt;=cota_s*100,0,IF(Tipo_Vertedor="Retangular",Cd_sr*Lef_sr*((O674/100-cota_s)^(3/2))*1000)),IF(O674&lt;=cota_s*100+fi_s/20,0,(OFFSET('Base de dados'!$A$4,IF(O674&lt;20,1,IF(O674&gt;1000,10,MATCH(O674,Cargas,1))),Coluna_fis,1,1))*(PI()*(fi_s/1000)^2/4)*(2*9.81*(O674/100-cota_s-fi_s/2/1000))^0.5*1000)))</f>
        <v>1.8280786122827364</v>
      </c>
      <c r="R674" s="38">
        <f t="shared" ca="1" si="138"/>
        <v>5.2875454448616406</v>
      </c>
      <c r="S674" s="38">
        <f t="shared" ca="1" si="134"/>
        <v>210.3125</v>
      </c>
    </row>
    <row r="675" spans="13:19">
      <c r="M675" s="132">
        <f t="shared" ca="1" si="133"/>
        <v>215.92005048050319</v>
      </c>
      <c r="N675" s="38">
        <f t="shared" si="135"/>
        <v>6.3187500000000005</v>
      </c>
      <c r="O675" s="36">
        <f t="shared" si="137"/>
        <v>168.5</v>
      </c>
      <c r="P675" s="38">
        <f ca="1">IF(ISERROR(IF(O675&lt;fi_h/20,0,(OFFSET('Base de dados'!$A$5,IF(O675&lt;20,1,IF(O675&gt;1000,10,MATCH(O675,Cargas,1))),Coluna_fih,1,1))*(1+0.13*0.25)*(PI()*(fi_h/1000)^2/4)*SQRT(2*9.81*(O675/100-fi_h/2/1000))*1000)),"",IF(O675&lt;fi_h/20,0,(OFFSET('Base de dados'!$A$5,IF(O675&lt;20,1,IF(O675&gt;1000,10,MATCH(O675,Cargas,1))),Coluna_fih,1,1))*(PI()*(fi_h/1000)^2/4)*SQRT(2*9.81*(O675/100-fi_h/2/1000))*1000))</f>
        <v>3.4620632115881884</v>
      </c>
      <c r="Q675" s="38">
        <f ca="1">IF(O675="","",IF(Tipo_Vertedor="Retangular",IF(O675&lt;=cota_s*100,0,IF(Tipo_Vertedor="Retangular",Cd_sr*Lef_sr*((O675/100-cota_s)^(3/2))*1000)),IF(O675&lt;=cota_s*100+fi_s/20,0,(OFFSET('Base de dados'!$A$4,IF(O675&lt;20,1,IF(O675&gt;1000,10,MATCH(O675,Cargas,1))),Coluna_fis,1,1))*(PI()*(fi_s/1000)^2/4)*(2*9.81*(O675/100-cota_s-fi_s/2/1000))^0.5*1000)))</f>
        <v>1.8329872689149762</v>
      </c>
      <c r="R675" s="38">
        <f t="shared" ca="1" si="138"/>
        <v>5.2950504805031642</v>
      </c>
      <c r="S675" s="38">
        <f t="shared" ca="1" si="134"/>
        <v>210.62500000000003</v>
      </c>
    </row>
    <row r="676" spans="13:19">
      <c r="M676" s="132">
        <f t="shared" ca="1" si="133"/>
        <v>216.24004046034727</v>
      </c>
      <c r="N676" s="38">
        <f t="shared" si="135"/>
        <v>6.328125</v>
      </c>
      <c r="O676" s="36">
        <f t="shared" si="137"/>
        <v>168.75</v>
      </c>
      <c r="P676" s="38">
        <f ca="1">IF(ISERROR(IF(O676&lt;fi_h/20,0,(OFFSET('Base de dados'!$A$5,IF(O676&lt;20,1,IF(O676&gt;1000,10,MATCH(O676,Cargas,1))),Coluna_fih,1,1))*(1+0.13*0.25)*(PI()*(fi_h/1000)^2/4)*SQRT(2*9.81*(O676/100-fi_h/2/1000))*1000)),"",IF(O676&lt;fi_h/20,0,(OFFSET('Base de dados'!$A$5,IF(O676&lt;20,1,IF(O676&gt;1000,10,MATCH(O676,Cargas,1))),Coluna_fih,1,1))*(PI()*(fi_h/1000)^2/4)*SQRT(2*9.81*(O676/100-fi_h/2/1000))*1000))</f>
        <v>3.4646576448981405</v>
      </c>
      <c r="Q676" s="38">
        <f ca="1">IF(O676="","",IF(Tipo_Vertedor="Retangular",IF(O676&lt;=cota_s*100,0,IF(Tipo_Vertedor="Retangular",Cd_sr*Lef_sr*((O676/100-cota_s)^(3/2))*1000)),IF(O676&lt;=cota_s*100+fi_s/20,0,(OFFSET('Base de dados'!$A$4,IF(O676&lt;20,1,IF(O676&gt;1000,10,MATCH(O676,Cargas,1))),Coluna_fis,1,1))*(PI()*(fi_s/1000)^2/4)*(2*9.81*(O676/100-cota_s-fi_s/2/1000))^0.5*1000)))</f>
        <v>1.837882815449122</v>
      </c>
      <c r="R676" s="38">
        <f t="shared" ca="1" si="138"/>
        <v>5.302540460347263</v>
      </c>
      <c r="S676" s="38">
        <f t="shared" ca="1" si="134"/>
        <v>210.9375</v>
      </c>
    </row>
    <row r="677" spans="13:19">
      <c r="M677" s="132">
        <f t="shared" ca="1" si="133"/>
        <v>216.56001549324768</v>
      </c>
      <c r="N677" s="38">
        <f t="shared" si="135"/>
        <v>6.3374999999999995</v>
      </c>
      <c r="O677" s="36">
        <f t="shared" si="137"/>
        <v>169</v>
      </c>
      <c r="P677" s="38">
        <f ca="1">IF(ISERROR(IF(O677&lt;fi_h/20,0,(OFFSET('Base de dados'!$A$5,IF(O677&lt;20,1,IF(O677&gt;1000,10,MATCH(O677,Cargas,1))),Coluna_fih,1,1))*(1+0.13*0.25)*(PI()*(fi_h/1000)^2/4)*SQRT(2*9.81*(O677/100-fi_h/2/1000))*1000)),"",IF(O677&lt;fi_h/20,0,(OFFSET('Base de dados'!$A$5,IF(O677&lt;20,1,IF(O677&gt;1000,10,MATCH(O677,Cargas,1))),Coluna_fih,1,1))*(PI()*(fi_h/1000)^2/4)*SQRT(2*9.81*(O677/100-fi_h/2/1000))*1000))</f>
        <v>3.4672501368764759</v>
      </c>
      <c r="Q677" s="38">
        <f ca="1">IF(O677="","",IF(Tipo_Vertedor="Retangular",IF(O677&lt;=cota_s*100,0,IF(Tipo_Vertedor="Retangular",Cd_sr*Lef_sr*((O677/100-cota_s)^(3/2))*1000)),IF(O677&lt;=cota_s*100+fi_s/20,0,(OFFSET('Base de dados'!$A$4,IF(O677&lt;20,1,IF(O677&gt;1000,10,MATCH(O677,Cargas,1))),Coluna_fis,1,1))*(PI()*(fi_s/1000)^2/4)*(2*9.81*(O677/100-cota_s-fi_s/2/1000))^0.5*1000)))</f>
        <v>1.8427653563712334</v>
      </c>
      <c r="R677" s="38">
        <f t="shared" ca="1" si="138"/>
        <v>5.3100154932477093</v>
      </c>
      <c r="S677" s="38">
        <f t="shared" ca="1" si="134"/>
        <v>211.24999999999997</v>
      </c>
    </row>
    <row r="678" spans="13:19">
      <c r="M678" s="132">
        <f t="shared" ca="1" si="133"/>
        <v>216.8799756866614</v>
      </c>
      <c r="N678" s="38">
        <f t="shared" si="135"/>
        <v>6.3468749999999998</v>
      </c>
      <c r="O678" s="36">
        <f t="shared" si="137"/>
        <v>169.25</v>
      </c>
      <c r="P678" s="38">
        <f ca="1">IF(ISERROR(IF(O678&lt;fi_h/20,0,(OFFSET('Base de dados'!$A$5,IF(O678&lt;20,1,IF(O678&gt;1000,10,MATCH(O678,Cargas,1))),Coluna_fih,1,1))*(1+0.13*0.25)*(PI()*(fi_h/1000)^2/4)*SQRT(2*9.81*(O678/100-fi_h/2/1000))*1000)),"",IF(O678&lt;fi_h/20,0,(OFFSET('Base de dados'!$A$5,IF(O678&lt;20,1,IF(O678&gt;1000,10,MATCH(O678,Cargas,1))),Coluna_fih,1,1))*(PI()*(fi_h/1000)^2/4)*SQRT(2*9.81*(O678/100-fi_h/2/1000))*1000))</f>
        <v>3.4698406918745914</v>
      </c>
      <c r="Q678" s="38">
        <f ca="1">IF(O678="","",IF(Tipo_Vertedor="Retangular",IF(O678&lt;=cota_s*100,0,IF(Tipo_Vertedor="Retangular",Cd_sr*Lef_sr*((O678/100-cota_s)^(3/2))*1000)),IF(O678&lt;=cota_s*100+fi_s/20,0,(OFFSET('Base de dados'!$A$4,IF(O678&lt;20,1,IF(O678&gt;1000,10,MATCH(O678,Cargas,1))),Coluna_fis,1,1))*(PI()*(fi_s/1000)^2/4)*(2*9.81*(O678/100-cota_s-fi_s/2/1000))^0.5*1000)))</f>
        <v>1.8476349947867969</v>
      </c>
      <c r="R678" s="38">
        <f t="shared" ca="1" si="138"/>
        <v>5.3174756866613881</v>
      </c>
      <c r="S678" s="38">
        <f t="shared" ca="1" si="134"/>
        <v>211.5625</v>
      </c>
    </row>
    <row r="679" spans="13:19">
      <c r="M679" s="132">
        <f t="shared" ca="1" si="133"/>
        <v>217.19992114667377</v>
      </c>
      <c r="N679" s="38">
        <f t="shared" si="135"/>
        <v>6.3562500000000002</v>
      </c>
      <c r="O679" s="36">
        <f t="shared" si="137"/>
        <v>169.5</v>
      </c>
      <c r="P679" s="38">
        <f ca="1">IF(ISERROR(IF(O679&lt;fi_h/20,0,(OFFSET('Base de dados'!$A$5,IF(O679&lt;20,1,IF(O679&gt;1000,10,MATCH(O679,Cargas,1))),Coluna_fih,1,1))*(1+0.13*0.25)*(PI()*(fi_h/1000)^2/4)*SQRT(2*9.81*(O679/100-fi_h/2/1000))*1000)),"",IF(O679&lt;fi_h/20,0,(OFFSET('Base de dados'!$A$5,IF(O679&lt;20,1,IF(O679&gt;1000,10,MATCH(O679,Cargas,1))),Coluna_fih,1,1))*(PI()*(fi_h/1000)^2/4)*SQRT(2*9.81*(O679/100-fi_h/2/1000))*1000))</f>
        <v>3.4724293142276568</v>
      </c>
      <c r="Q679" s="38">
        <f ca="1">IF(O679="","",IF(Tipo_Vertedor="Retangular",IF(O679&lt;=cota_s*100,0,IF(Tipo_Vertedor="Retangular",Cd_sr*Lef_sr*((O679/100-cota_s)^(3/2))*1000)),IF(O679&lt;=cota_s*100+fi_s/20,0,(OFFSET('Base de dados'!$A$4,IF(O679&lt;20,1,IF(O679&gt;1000,10,MATCH(O679,Cargas,1))),Coluna_fis,1,1))*(PI()*(fi_s/1000)^2/4)*(2*9.81*(O679/100-cota_s-fi_s/2/1000))^0.5*1000)))</f>
        <v>1.8524918324461286</v>
      </c>
      <c r="R679" s="38">
        <f t="shared" ca="1" si="138"/>
        <v>5.3249211466737858</v>
      </c>
      <c r="S679" s="38">
        <f t="shared" ca="1" si="134"/>
        <v>211.875</v>
      </c>
    </row>
    <row r="680" spans="13:19">
      <c r="M680" s="132">
        <f t="shared" ca="1" si="133"/>
        <v>217.51985197802387</v>
      </c>
      <c r="N680" s="38">
        <f t="shared" si="135"/>
        <v>6.3656249999999996</v>
      </c>
      <c r="O680" s="36">
        <f t="shared" si="137"/>
        <v>169.75</v>
      </c>
      <c r="P680" s="38">
        <f ca="1">IF(ISERROR(IF(O680&lt;fi_h/20,0,(OFFSET('Base de dados'!$A$5,IF(O680&lt;20,1,IF(O680&gt;1000,10,MATCH(O680,Cargas,1))),Coluna_fih,1,1))*(1+0.13*0.25)*(PI()*(fi_h/1000)^2/4)*SQRT(2*9.81*(O680/100-fi_h/2/1000))*1000)),"",IF(O680&lt;fi_h/20,0,(OFFSET('Base de dados'!$A$5,IF(O680&lt;20,1,IF(O680&gt;1000,10,MATCH(O680,Cargas,1))),Coluna_fih,1,1))*(PI()*(fi_h/1000)^2/4)*SQRT(2*9.81*(O680/100-fi_h/2/1000))*1000))</f>
        <v>3.4750160082546904</v>
      </c>
      <c r="Q680" s="38">
        <f ca="1">IF(O680="","",IF(Tipo_Vertedor="Retangular",IF(O680&lt;=cota_s*100,0,IF(Tipo_Vertedor="Retangular",Cd_sr*Lef_sr*((O680/100-cota_s)^(3/2))*1000)),IF(O680&lt;=cota_s*100+fi_s/20,0,(OFFSET('Base de dados'!$A$4,IF(O680&lt;20,1,IF(O680&gt;1000,10,MATCH(O680,Cargas,1))),Coluna_fis,1,1))*(PI()*(fi_s/1000)^2/4)*(2*9.81*(O680/100-cota_s-fi_s/2/1000))^0.5*1000)))</f>
        <v>1.8573359697691809</v>
      </c>
      <c r="R680" s="38">
        <f t="shared" ca="1" si="138"/>
        <v>5.3323519780238708</v>
      </c>
      <c r="S680" s="38">
        <f t="shared" ca="1" si="134"/>
        <v>212.1875</v>
      </c>
    </row>
    <row r="681" spans="13:19">
      <c r="M681" s="132">
        <f t="shared" ca="1" si="133"/>
        <v>217.83976828412841</v>
      </c>
      <c r="N681" s="38">
        <f t="shared" si="135"/>
        <v>6.375</v>
      </c>
      <c r="O681" s="36">
        <f t="shared" si="137"/>
        <v>170</v>
      </c>
      <c r="P681" s="38">
        <f ca="1">IF(ISERROR(IF(O681&lt;fi_h/20,0,(OFFSET('Base de dados'!$A$5,IF(O681&lt;20,1,IF(O681&gt;1000,10,MATCH(O681,Cargas,1))),Coluna_fih,1,1))*(1+0.13*0.25)*(PI()*(fi_h/1000)^2/4)*SQRT(2*9.81*(O681/100-fi_h/2/1000))*1000)),"",IF(O681&lt;fi_h/20,0,(OFFSET('Base de dados'!$A$5,IF(O681&lt;20,1,IF(O681&gt;1000,10,MATCH(O681,Cargas,1))),Coluna_fih,1,1))*(PI()*(fi_h/1000)^2/4)*SQRT(2*9.81*(O681/100-fi_h/2/1000))*1000))</f>
        <v>3.4776007782586507</v>
      </c>
      <c r="Q681" s="38">
        <f ca="1">IF(O681="","",IF(Tipo_Vertedor="Retangular",IF(O681&lt;=cota_s*100,0,IF(Tipo_Vertedor="Retangular",Cd_sr*Lef_sr*((O681/100-cota_s)^(3/2))*1000)),IF(O681&lt;=cota_s*100+fi_s/20,0,(OFFSET('Base de dados'!$A$4,IF(O681&lt;20,1,IF(O681&gt;1000,10,MATCH(O681,Cargas,1))),Coluna_fis,1,1))*(PI()*(fi_s/1000)^2/4)*(2*9.81*(O681/100-cota_s-fi_s/2/1000))^0.5*1000)))</f>
        <v>1.8621675058697678</v>
      </c>
      <c r="R681" s="38">
        <f t="shared" ca="1" si="138"/>
        <v>5.339768284128418</v>
      </c>
      <c r="S681" s="38">
        <f t="shared" ca="1" si="134"/>
        <v>212.5</v>
      </c>
    </row>
    <row r="682" spans="13:19">
      <c r="M682" s="132">
        <f t="shared" ca="1" si="133"/>
        <v>218.1596701671057</v>
      </c>
      <c r="N682" s="38">
        <f t="shared" si="135"/>
        <v>6.3843749999999995</v>
      </c>
      <c r="O682" s="36">
        <f t="shared" si="137"/>
        <v>170.25</v>
      </c>
      <c r="P682" s="38">
        <f ca="1">IF(ISERROR(IF(O682&lt;fi_h/20,0,(OFFSET('Base de dados'!$A$5,IF(O682&lt;20,1,IF(O682&gt;1000,10,MATCH(O682,Cargas,1))),Coluna_fih,1,1))*(1+0.13*0.25)*(PI()*(fi_h/1000)^2/4)*SQRT(2*9.81*(O682/100-fi_h/2/1000))*1000)),"",IF(O682&lt;fi_h/20,0,(OFFSET('Base de dados'!$A$5,IF(O682&lt;20,1,IF(O682&gt;1000,10,MATCH(O682,Cargas,1))),Coluna_fih,1,1))*(PI()*(fi_h/1000)^2/4)*SQRT(2*9.81*(O682/100-fi_h/2/1000))*1000))</f>
        <v>3.4801836285265146</v>
      </c>
      <c r="Q682" s="38">
        <f ca="1">IF(O682="","",IF(Tipo_Vertedor="Retangular",IF(O682&lt;=cota_s*100,0,IF(Tipo_Vertedor="Retangular",Cd_sr*Lef_sr*((O682/100-cota_s)^(3/2))*1000)),IF(O682&lt;=cota_s*100+fi_s/20,0,(OFFSET('Base de dados'!$A$4,IF(O682&lt;20,1,IF(O682&gt;1000,10,MATCH(O682,Cargas,1))),Coluna_fis,1,1))*(PI()*(fi_s/1000)^2/4)*(2*9.81*(O682/100-cota_s-fi_s/2/1000))^0.5*1000)))</f>
        <v>1.8669865385792259</v>
      </c>
      <c r="R682" s="38">
        <f t="shared" ca="1" si="138"/>
        <v>5.347170167105741</v>
      </c>
      <c r="S682" s="38">
        <f t="shared" ca="1" si="134"/>
        <v>212.81249999999997</v>
      </c>
    </row>
    <row r="683" spans="13:19">
      <c r="M683" s="132">
        <f t="shared" ca="1" si="133"/>
        <v>218.47955772779892</v>
      </c>
      <c r="N683" s="38">
        <f t="shared" si="135"/>
        <v>6.3937500000000007</v>
      </c>
      <c r="O683" s="36">
        <f t="shared" si="137"/>
        <v>170.5</v>
      </c>
      <c r="P683" s="38">
        <f ca="1">IF(ISERROR(IF(O683&lt;fi_h/20,0,(OFFSET('Base de dados'!$A$5,IF(O683&lt;20,1,IF(O683&gt;1000,10,MATCH(O683,Cargas,1))),Coluna_fih,1,1))*(1+0.13*0.25)*(PI()*(fi_h/1000)^2/4)*SQRT(2*9.81*(O683/100-fi_h/2/1000))*1000)),"",IF(O683&lt;fi_h/20,0,(OFFSET('Base de dados'!$A$5,IF(O683&lt;20,1,IF(O683&gt;1000,10,MATCH(O683,Cargas,1))),Coluna_fih,1,1))*(PI()*(fi_h/1000)^2/4)*SQRT(2*9.81*(O683/100-fi_h/2/1000))*1000))</f>
        <v>3.4827645633293658</v>
      </c>
      <c r="Q683" s="38">
        <f ca="1">IF(O683="","",IF(Tipo_Vertedor="Retangular",IF(O683&lt;=cota_s*100,0,IF(Tipo_Vertedor="Retangular",Cd_sr*Lef_sr*((O683/100-cota_s)^(3/2))*1000)),IF(O683&lt;=cota_s*100+fi_s/20,0,(OFFSET('Base de dados'!$A$4,IF(O683&lt;20,1,IF(O683&gt;1000,10,MATCH(O683,Cargas,1))),Coluna_fis,1,1))*(PI()*(fi_s/1000)^2/4)*(2*9.81*(O683/100-cota_s-fi_s/2/1000))^0.5*1000)))</f>
        <v>1.8717931644695278</v>
      </c>
      <c r="R683" s="38">
        <f t="shared" ca="1" si="138"/>
        <v>5.3545577277988938</v>
      </c>
      <c r="S683" s="38">
        <f t="shared" ca="1" si="134"/>
        <v>213.12500000000003</v>
      </c>
    </row>
    <row r="684" spans="13:19">
      <c r="M684" s="132">
        <f t="shared" ca="1" si="133"/>
        <v>218.79943106579833</v>
      </c>
      <c r="N684" s="38">
        <f t="shared" si="135"/>
        <v>6.4031250000000002</v>
      </c>
      <c r="O684" s="36">
        <f t="shared" si="137"/>
        <v>170.75</v>
      </c>
      <c r="P684" s="38">
        <f ca="1">IF(ISERROR(IF(O684&lt;fi_h/20,0,(OFFSET('Base de dados'!$A$5,IF(O684&lt;20,1,IF(O684&gt;1000,10,MATCH(O684,Cargas,1))),Coluna_fih,1,1))*(1+0.13*0.25)*(PI()*(fi_h/1000)^2/4)*SQRT(2*9.81*(O684/100-fi_h/2/1000))*1000)),"",IF(O684&lt;fi_h/20,0,(OFFSET('Base de dados'!$A$5,IF(O684&lt;20,1,IF(O684&gt;1000,10,MATCH(O684,Cargas,1))),Coluna_fih,1,1))*(PI()*(fi_h/1000)^2/4)*SQRT(2*9.81*(O684/100-fi_h/2/1000))*1000))</f>
        <v>3.4853435869224709</v>
      </c>
      <c r="Q684" s="38">
        <f ca="1">IF(O684="","",IF(Tipo_Vertedor="Retangular",IF(O684&lt;=cota_s*100,0,IF(Tipo_Vertedor="Retangular",Cd_sr*Lef_sr*((O684/100-cota_s)^(3/2))*1000)),IF(O684&lt;=cota_s*100+fi_s/20,0,(OFFSET('Base de dados'!$A$4,IF(O684&lt;20,1,IF(O684&gt;1000,10,MATCH(O684,Cargas,1))),Coluna_fis,1,1))*(PI()*(fi_s/1000)^2/4)*(2*9.81*(O684/100-cota_s-fi_s/2/1000))^0.5*1000)))</f>
        <v>1.8765874788758603</v>
      </c>
      <c r="R684" s="38">
        <f t="shared" ca="1" si="138"/>
        <v>5.3619310657983315</v>
      </c>
      <c r="S684" s="38">
        <f t="shared" ca="1" si="134"/>
        <v>213.4375</v>
      </c>
    </row>
    <row r="685" spans="13:19">
      <c r="M685" s="132">
        <f t="shared" ca="1" si="133"/>
        <v>219.11929027946405</v>
      </c>
      <c r="N685" s="38">
        <f t="shared" si="135"/>
        <v>6.4124999999999996</v>
      </c>
      <c r="O685" s="36">
        <f t="shared" si="137"/>
        <v>171</v>
      </c>
      <c r="P685" s="38">
        <f ca="1">IF(ISERROR(IF(O685&lt;fi_h/20,0,(OFFSET('Base de dados'!$A$5,IF(O685&lt;20,1,IF(O685&gt;1000,10,MATCH(O685,Cargas,1))),Coluna_fih,1,1))*(1+0.13*0.25)*(PI()*(fi_h/1000)^2/4)*SQRT(2*9.81*(O685/100-fi_h/2/1000))*1000)),"",IF(O685&lt;fi_h/20,0,(OFFSET('Base de dados'!$A$5,IF(O685&lt;20,1,IF(O685&gt;1000,10,MATCH(O685,Cargas,1))),Coluna_fih,1,1))*(PI()*(fi_h/1000)^2/4)*SQRT(2*9.81*(O685/100-fi_h/2/1000))*1000))</f>
        <v>3.4879207035453663</v>
      </c>
      <c r="Q685" s="38">
        <f ca="1">IF(O685="","",IF(Tipo_Vertedor="Retangular",IF(O685&lt;=cota_s*100,0,IF(Tipo_Vertedor="Retangular",Cd_sr*Lef_sr*((O685/100-cota_s)^(3/2))*1000)),IF(O685&lt;=cota_s*100+fi_s/20,0,(OFFSET('Base de dados'!$A$4,IF(O685&lt;20,1,IF(O685&gt;1000,10,MATCH(O685,Cargas,1))),Coluna_fis,1,1))*(PI()*(fi_s/1000)^2/4)*(2*9.81*(O685/100-cota_s-fi_s/2/1000))^0.5*1000)))</f>
        <v>1.8813695759186884</v>
      </c>
      <c r="R685" s="38">
        <f t="shared" ca="1" si="138"/>
        <v>5.3692902794640549</v>
      </c>
      <c r="S685" s="38">
        <f t="shared" ca="1" si="134"/>
        <v>213.75</v>
      </c>
    </row>
    <row r="686" spans="13:19">
      <c r="M686" s="132">
        <f t="shared" ca="1" si="133"/>
        <v>219.43913546594726</v>
      </c>
      <c r="N686" s="38">
        <f t="shared" si="135"/>
        <v>6.421875</v>
      </c>
      <c r="O686" s="36">
        <f t="shared" si="137"/>
        <v>171.25</v>
      </c>
      <c r="P686" s="38">
        <f ca="1">IF(ISERROR(IF(O686&lt;fi_h/20,0,(OFFSET('Base de dados'!$A$5,IF(O686&lt;20,1,IF(O686&gt;1000,10,MATCH(O686,Cargas,1))),Coluna_fih,1,1))*(1+0.13*0.25)*(PI()*(fi_h/1000)^2/4)*SQRT(2*9.81*(O686/100-fi_h/2/1000))*1000)),"",IF(O686&lt;fi_h/20,0,(OFFSET('Base de dados'!$A$5,IF(O686&lt;20,1,IF(O686&gt;1000,10,MATCH(O686,Cargas,1))),Coluna_fih,1,1))*(PI()*(fi_h/1000)^2/4)*SQRT(2*9.81*(O686/100-fi_h/2/1000))*1000))</f>
        <v>3.4904959174219372</v>
      </c>
      <c r="Q686" s="38">
        <f ca="1">IF(O686="","",IF(Tipo_Vertedor="Retangular",IF(O686&lt;=cota_s*100,0,IF(Tipo_Vertedor="Retangular",Cd_sr*Lef_sr*((O686/100-cota_s)^(3/2))*1000)),IF(O686&lt;=cota_s*100+fi_s/20,0,(OFFSET('Base de dados'!$A$4,IF(O686&lt;20,1,IF(O686&gt;1000,10,MATCH(O686,Cargas,1))),Coluna_fis,1,1))*(PI()*(fi_s/1000)^2/4)*(2*9.81*(O686/100-cota_s-fi_s/2/1000))^0.5*1000)))</f>
        <v>1.886139548525313</v>
      </c>
      <c r="R686" s="38">
        <f t="shared" ca="1" si="138"/>
        <v>5.3766354659472499</v>
      </c>
      <c r="S686" s="38">
        <f t="shared" ca="1" si="134"/>
        <v>214.0625</v>
      </c>
    </row>
    <row r="687" spans="13:19">
      <c r="M687" s="132">
        <f t="shared" ca="1" si="133"/>
        <v>219.75896672121144</v>
      </c>
      <c r="N687" s="38">
        <f t="shared" si="135"/>
        <v>6.4312500000000004</v>
      </c>
      <c r="O687" s="36">
        <f t="shared" si="137"/>
        <v>171.5</v>
      </c>
      <c r="P687" s="38">
        <f ca="1">IF(ISERROR(IF(O687&lt;fi_h/20,0,(OFFSET('Base de dados'!$A$5,IF(O687&lt;20,1,IF(O687&gt;1000,10,MATCH(O687,Cargas,1))),Coluna_fih,1,1))*(1+0.13*0.25)*(PI()*(fi_h/1000)^2/4)*SQRT(2*9.81*(O687/100-fi_h/2/1000))*1000)),"",IF(O687&lt;fi_h/20,0,(OFFSET('Base de dados'!$A$5,IF(O687&lt;20,1,IF(O687&gt;1000,10,MATCH(O687,Cargas,1))),Coluna_fih,1,1))*(PI()*(fi_h/1000)^2/4)*SQRT(2*9.81*(O687/100-fi_h/2/1000))*1000))</f>
        <v>3.4930692327604991</v>
      </c>
      <c r="Q687" s="38">
        <f ca="1">IF(O687="","",IF(Tipo_Vertedor="Retangular",IF(O687&lt;=cota_s*100,0,IF(Tipo_Vertedor="Retangular",Cd_sr*Lef_sr*((O687/100-cota_s)^(3/2))*1000)),IF(O687&lt;=cota_s*100+fi_s/20,0,(OFFSET('Base de dados'!$A$4,IF(O687&lt;20,1,IF(O687&gt;1000,10,MATCH(O687,Cargas,1))),Coluna_fis,1,1))*(PI()*(fi_s/1000)^2/4)*(2*9.81*(O687/100-cota_s-fi_s/2/1000))^0.5*1000)))</f>
        <v>1.8908974884509424</v>
      </c>
      <c r="R687" s="38">
        <f t="shared" ca="1" si="138"/>
        <v>5.3839667212114417</v>
      </c>
      <c r="S687" s="38">
        <f t="shared" ca="1" si="134"/>
        <v>214.375</v>
      </c>
    </row>
    <row r="688" spans="13:19">
      <c r="M688" s="132">
        <f t="shared" ca="1" si="133"/>
        <v>220.07878414005316</v>
      </c>
      <c r="N688" s="38">
        <f t="shared" si="135"/>
        <v>6.4406249999999998</v>
      </c>
      <c r="O688" s="36">
        <f t="shared" si="137"/>
        <v>171.75</v>
      </c>
      <c r="P688" s="38">
        <f ca="1">IF(ISERROR(IF(O688&lt;fi_h/20,0,(OFFSET('Base de dados'!$A$5,IF(O688&lt;20,1,IF(O688&gt;1000,10,MATCH(O688,Cargas,1))),Coluna_fih,1,1))*(1+0.13*0.25)*(PI()*(fi_h/1000)^2/4)*SQRT(2*9.81*(O688/100-fi_h/2/1000))*1000)),"",IF(O688&lt;fi_h/20,0,(OFFSET('Base de dados'!$A$5,IF(O688&lt;20,1,IF(O688&gt;1000,10,MATCH(O688,Cargas,1))),Coluna_fih,1,1))*(PI()*(fi_h/1000)^2/4)*SQRT(2*9.81*(O688/100-fi_h/2/1000))*1000))</f>
        <v>3.4956406537538762</v>
      </c>
      <c r="Q688" s="38">
        <f ca="1">IF(O688="","",IF(Tipo_Vertedor="Retangular",IF(O688&lt;=cota_s*100,0,IF(Tipo_Vertedor="Retangular",Cd_sr*Lef_sr*((O688/100-cota_s)^(3/2))*1000)),IF(O688&lt;=cota_s*100+fi_s/20,0,(OFFSET('Base de dados'!$A$4,IF(O688&lt;20,1,IF(O688&gt;1000,10,MATCH(O688,Cargas,1))),Coluna_fis,1,1))*(PI()*(fi_s/1000)^2/4)*(2*9.81*(O688/100-cota_s-fi_s/2/1000))^0.5*1000)))</f>
        <v>1.8956434862992804</v>
      </c>
      <c r="R688" s="38">
        <f t="shared" ca="1" si="138"/>
        <v>5.3912841400531564</v>
      </c>
      <c r="S688" s="38">
        <f t="shared" ca="1" si="134"/>
        <v>214.6875</v>
      </c>
    </row>
    <row r="689" spans="13:19">
      <c r="M689" s="132">
        <f t="shared" ca="1" si="133"/>
        <v>220.39858781612216</v>
      </c>
      <c r="N689" s="38">
        <f t="shared" si="135"/>
        <v>6.45</v>
      </c>
      <c r="O689" s="36">
        <f t="shared" si="137"/>
        <v>172</v>
      </c>
      <c r="P689" s="38">
        <f ca="1">IF(ISERROR(IF(O689&lt;fi_h/20,0,(OFFSET('Base de dados'!$A$5,IF(O689&lt;20,1,IF(O689&gt;1000,10,MATCH(O689,Cargas,1))),Coluna_fih,1,1))*(1+0.13*0.25)*(PI()*(fi_h/1000)^2/4)*SQRT(2*9.81*(O689/100-fi_h/2/1000))*1000)),"",IF(O689&lt;fi_h/20,0,(OFFSET('Base de dados'!$A$5,IF(O689&lt;20,1,IF(O689&gt;1000,10,MATCH(O689,Cargas,1))),Coluna_fih,1,1))*(PI()*(fi_h/1000)^2/4)*SQRT(2*9.81*(O689/100-fi_h/2/1000))*1000))</f>
        <v>3.4982101845794853</v>
      </c>
      <c r="Q689" s="38">
        <f ca="1">IF(O689="","",IF(Tipo_Vertedor="Retangular",IF(O689&lt;=cota_s*100,0,IF(Tipo_Vertedor="Retangular",Cd_sr*Lef_sr*((O689/100-cota_s)^(3/2))*1000)),IF(O689&lt;=cota_s*100+fi_s/20,0,(OFFSET('Base de dados'!$A$4,IF(O689&lt;20,1,IF(O689&gt;1000,10,MATCH(O689,Cargas,1))),Coluna_fis,1,1))*(PI()*(fi_s/1000)^2/4)*(2*9.81*(O689/100-cota_s-fi_s/2/1000))^0.5*1000)))</f>
        <v>1.9003776315426621</v>
      </c>
      <c r="R689" s="38">
        <f t="shared" ca="1" si="138"/>
        <v>5.3985878161221477</v>
      </c>
      <c r="S689" s="38">
        <f t="shared" ca="1" si="134"/>
        <v>215</v>
      </c>
    </row>
    <row r="690" spans="13:19">
      <c r="M690" s="132">
        <f t="shared" ca="1" si="133"/>
        <v>220.71837784194113</v>
      </c>
      <c r="N690" s="38">
        <f t="shared" si="135"/>
        <v>6.4593749999999996</v>
      </c>
      <c r="O690" s="36">
        <f t="shared" si="137"/>
        <v>172.25</v>
      </c>
      <c r="P690" s="38">
        <f ca="1">IF(ISERROR(IF(O690&lt;fi_h/20,0,(OFFSET('Base de dados'!$A$5,IF(O690&lt;20,1,IF(O690&gt;1000,10,MATCH(O690,Cargas,1))),Coluna_fih,1,1))*(1+0.13*0.25)*(PI()*(fi_h/1000)^2/4)*SQRT(2*9.81*(O690/100-fi_h/2/1000))*1000)),"",IF(O690&lt;fi_h/20,0,(OFFSET('Base de dados'!$A$5,IF(O690&lt;20,1,IF(O690&gt;1000,10,MATCH(O690,Cargas,1))),Coluna_fih,1,1))*(PI()*(fi_h/1000)^2/4)*SQRT(2*9.81*(O690/100-fi_h/2/1000))*1000))</f>
        <v>3.5007778293994098</v>
      </c>
      <c r="Q690" s="38">
        <f ca="1">IF(O690="","",IF(Tipo_Vertedor="Retangular",IF(O690&lt;=cota_s*100,0,IF(Tipo_Vertedor="Retangular",Cd_sr*Lef_sr*((O690/100-cota_s)^(3/2))*1000)),IF(O690&lt;=cota_s*100+fi_s/20,0,(OFFSET('Base de dados'!$A$4,IF(O690&lt;20,1,IF(O690&gt;1000,10,MATCH(O690,Cargas,1))),Coluna_fis,1,1))*(PI()*(fi_s/1000)^2/4)*(2*9.81*(O690/100-cota_s-fi_s/2/1000))^0.5*1000)))</f>
        <v>1.9051000125417317</v>
      </c>
      <c r="R690" s="38">
        <f t="shared" ca="1" si="138"/>
        <v>5.4058778419411411</v>
      </c>
      <c r="S690" s="38">
        <f t="shared" ca="1" si="134"/>
        <v>215.3125</v>
      </c>
    </row>
    <row r="691" spans="13:19">
      <c r="M691" s="132">
        <f t="shared" ca="1" si="133"/>
        <v>221.03815430892516</v>
      </c>
      <c r="N691" s="38">
        <f t="shared" si="135"/>
        <v>6.46875</v>
      </c>
      <c r="O691" s="36">
        <f t="shared" si="137"/>
        <v>172.5</v>
      </c>
      <c r="P691" s="38">
        <f ca="1">IF(ISERROR(IF(O691&lt;fi_h/20,0,(OFFSET('Base de dados'!$A$5,IF(O691&lt;20,1,IF(O691&gt;1000,10,MATCH(O691,Cargas,1))),Coluna_fih,1,1))*(1+0.13*0.25)*(PI()*(fi_h/1000)^2/4)*SQRT(2*9.81*(O691/100-fi_h/2/1000))*1000)),"",IF(O691&lt;fi_h/20,0,(OFFSET('Base de dados'!$A$5,IF(O691&lt;20,1,IF(O691&gt;1000,10,MATCH(O691,Cargas,1))),Coluna_fih,1,1))*(PI()*(fi_h/1000)^2/4)*SQRT(2*9.81*(O691/100-fi_h/2/1000))*1000))</f>
        <v>3.503343592360483</v>
      </c>
      <c r="Q691" s="38">
        <f ca="1">IF(O691="","",IF(Tipo_Vertedor="Retangular",IF(O691&lt;=cota_s*100,0,IF(Tipo_Vertedor="Retangular",Cd_sr*Lef_sr*((O691/100-cota_s)^(3/2))*1000)),IF(O691&lt;=cota_s*100+fi_s/20,0,(OFFSET('Base de dados'!$A$4,IF(O691&lt;20,1,IF(O691&gt;1000,10,MATCH(O691,Cargas,1))),Coluna_fis,1,1))*(PI()*(fi_s/1000)^2/4)*(2*9.81*(O691/100-cota_s-fi_s/2/1000))^0.5*1000)))</f>
        <v>1.9098107165646849</v>
      </c>
      <c r="R691" s="38">
        <f t="shared" ca="1" si="138"/>
        <v>5.4131543089251677</v>
      </c>
      <c r="S691" s="38">
        <f t="shared" ca="1" si="134"/>
        <v>215.625</v>
      </c>
    </row>
    <row r="692" spans="13:19">
      <c r="M692" s="132">
        <f t="shared" ca="1" si="133"/>
        <v>221.35791730740044</v>
      </c>
      <c r="N692" s="38">
        <f t="shared" si="135"/>
        <v>6.4781250000000004</v>
      </c>
      <c r="O692" s="36">
        <f t="shared" si="137"/>
        <v>172.75</v>
      </c>
      <c r="P692" s="38">
        <f ca="1">IF(ISERROR(IF(O692&lt;fi_h/20,0,(OFFSET('Base de dados'!$A$5,IF(O692&lt;20,1,IF(O692&gt;1000,10,MATCH(O692,Cargas,1))),Coluna_fih,1,1))*(1+0.13*0.25)*(PI()*(fi_h/1000)^2/4)*SQRT(2*9.81*(O692/100-fi_h/2/1000))*1000)),"",IF(O692&lt;fi_h/20,0,(OFFSET('Base de dados'!$A$5,IF(O692&lt;20,1,IF(O692&gt;1000,10,MATCH(O692,Cargas,1))),Coluna_fih,1,1))*(PI()*(fi_h/1000)^2/4)*SQRT(2*9.81*(O692/100-fi_h/2/1000))*1000))</f>
        <v>3.5059074775943619</v>
      </c>
      <c r="Q692" s="38">
        <f ca="1">IF(O692="","",IF(Tipo_Vertedor="Retangular",IF(O692&lt;=cota_s*100,0,IF(Tipo_Vertedor="Retangular",Cd_sr*Lef_sr*((O692/100-cota_s)^(3/2))*1000)),IF(O692&lt;=cota_s*100+fi_s/20,0,(OFFSET('Base de dados'!$A$4,IF(O692&lt;20,1,IF(O692&gt;1000,10,MATCH(O692,Cargas,1))),Coluna_fis,1,1))*(PI()*(fi_s/1000)^2/4)*(2*9.81*(O692/100-cota_s-fi_s/2/1000))^0.5*1000)))</f>
        <v>1.9145098298060843</v>
      </c>
      <c r="R692" s="38">
        <f t="shared" ca="1" si="138"/>
        <v>5.420417307400446</v>
      </c>
      <c r="S692" s="38">
        <f t="shared" ca="1" si="134"/>
        <v>215.9375</v>
      </c>
    </row>
    <row r="693" spans="13:19">
      <c r="M693" s="132">
        <f t="shared" ca="1" si="133"/>
        <v>221.67766692662286</v>
      </c>
      <c r="N693" s="38">
        <f t="shared" si="135"/>
        <v>6.4874999999999998</v>
      </c>
      <c r="O693" s="36">
        <f t="shared" si="137"/>
        <v>173</v>
      </c>
      <c r="P693" s="38">
        <f ca="1">IF(ISERROR(IF(O693&lt;fi_h/20,0,(OFFSET('Base de dados'!$A$5,IF(O693&lt;20,1,IF(O693&gt;1000,10,MATCH(O693,Cargas,1))),Coluna_fih,1,1))*(1+0.13*0.25)*(PI()*(fi_h/1000)^2/4)*SQRT(2*9.81*(O693/100-fi_h/2/1000))*1000)),"",IF(O693&lt;fi_h/20,0,(OFFSET('Base de dados'!$A$5,IF(O693&lt;20,1,IF(O693&gt;1000,10,MATCH(O693,Cargas,1))),Coluna_fih,1,1))*(PI()*(fi_h/1000)^2/4)*SQRT(2*9.81*(O693/100-fi_h/2/1000))*1000))</f>
        <v>3.5084694892176089</v>
      </c>
      <c r="Q693" s="38">
        <f ca="1">IF(O693="","",IF(Tipo_Vertedor="Retangular",IF(O693&lt;=cota_s*100,0,IF(Tipo_Vertedor="Retangular",Cd_sr*Lef_sr*((O693/100-cota_s)^(3/2))*1000)),IF(O693&lt;=cota_s*100+fi_s/20,0,(OFFSET('Base de dados'!$A$4,IF(O693&lt;20,1,IF(O693&gt;1000,10,MATCH(O693,Cargas,1))),Coluna_fis,1,1))*(PI()*(fi_s/1000)^2/4)*(2*9.81*(O693/100-cota_s-fi_s/2/1000))^0.5*1000)))</f>
        <v>1.9191974374052636</v>
      </c>
      <c r="R693" s="38">
        <f t="shared" ca="1" si="138"/>
        <v>5.427666926622873</v>
      </c>
      <c r="S693" s="38">
        <f t="shared" ca="1" si="134"/>
        <v>216.25</v>
      </c>
    </row>
    <row r="694" spans="13:19">
      <c r="M694" s="132">
        <f t="shared" ca="1" si="133"/>
        <v>221.99740325479607</v>
      </c>
      <c r="N694" s="38">
        <f t="shared" si="135"/>
        <v>6.4968749999999993</v>
      </c>
      <c r="O694" s="36">
        <f t="shared" si="137"/>
        <v>173.25</v>
      </c>
      <c r="P694" s="38">
        <f ca="1">IF(ISERROR(IF(O694&lt;fi_h/20,0,(OFFSET('Base de dados'!$A$5,IF(O694&lt;20,1,IF(O694&gt;1000,10,MATCH(O694,Cargas,1))),Coluna_fih,1,1))*(1+0.13*0.25)*(PI()*(fi_h/1000)^2/4)*SQRT(2*9.81*(O694/100-fi_h/2/1000))*1000)),"",IF(O694&lt;fi_h/20,0,(OFFSET('Base de dados'!$A$5,IF(O694&lt;20,1,IF(O694&gt;1000,10,MATCH(O694,Cargas,1))),Coluna_fih,1,1))*(PI()*(fi_h/1000)^2/4)*SQRT(2*9.81*(O694/100-fi_h/2/1000))*1000))</f>
        <v>3.5110296313317662</v>
      </c>
      <c r="Q694" s="38">
        <f ca="1">IF(O694="","",IF(Tipo_Vertedor="Retangular",IF(O694&lt;=cota_s*100,0,IF(Tipo_Vertedor="Retangular",Cd_sr*Lef_sr*((O694/100-cota_s)^(3/2))*1000)),IF(O694&lt;=cota_s*100+fi_s/20,0,(OFFSET('Base de dados'!$A$4,IF(O694&lt;20,1,IF(O694&gt;1000,10,MATCH(O694,Cargas,1))),Coluna_fis,1,1))*(PI()*(fi_s/1000)^2/4)*(2*9.81*(O694/100-cota_s-fi_s/2/1000))^0.5*1000)))</f>
        <v>1.9238736234643219</v>
      </c>
      <c r="R694" s="38">
        <f t="shared" ca="1" si="138"/>
        <v>5.4349032547960885</v>
      </c>
      <c r="S694" s="38">
        <f t="shared" ca="1" si="134"/>
        <v>216.56249999999997</v>
      </c>
    </row>
    <row r="695" spans="13:19">
      <c r="M695" s="132">
        <f t="shared" ca="1" si="133"/>
        <v>222.31712637908919</v>
      </c>
      <c r="N695" s="38">
        <f t="shared" si="135"/>
        <v>6.5062500000000005</v>
      </c>
      <c r="O695" s="36">
        <f t="shared" si="137"/>
        <v>173.5</v>
      </c>
      <c r="P695" s="38">
        <f ca="1">IF(ISERROR(IF(O695&lt;fi_h/20,0,(OFFSET('Base de dados'!$A$5,IF(O695&lt;20,1,IF(O695&gt;1000,10,MATCH(O695,Cargas,1))),Coluna_fih,1,1))*(1+0.13*0.25)*(PI()*(fi_h/1000)^2/4)*SQRT(2*9.81*(O695/100-fi_h/2/1000))*1000)),"",IF(O695&lt;fi_h/20,0,(OFFSET('Base de dados'!$A$5,IF(O695&lt;20,1,IF(O695&gt;1000,10,MATCH(O695,Cargas,1))),Coluna_fih,1,1))*(PI()*(fi_h/1000)^2/4)*SQRT(2*9.81*(O695/100-fi_h/2/1000))*1000))</f>
        <v>3.5135879080234331</v>
      </c>
      <c r="Q695" s="38">
        <f ca="1">IF(O695="","",IF(Tipo_Vertedor="Retangular",IF(O695&lt;=cota_s*100,0,IF(Tipo_Vertedor="Retangular",Cd_sr*Lef_sr*((O695/100-cota_s)^(3/2))*1000)),IF(O695&lt;=cota_s*100+fi_s/20,0,(OFFSET('Base de dados'!$A$4,IF(O695&lt;20,1,IF(O695&gt;1000,10,MATCH(O695,Cargas,1))),Coluna_fis,1,1))*(PI()*(fi_s/1000)^2/4)*(2*9.81*(O695/100-cota_s-fi_s/2/1000))^0.5*1000)))</f>
        <v>1.9285384710657312</v>
      </c>
      <c r="R695" s="38">
        <f t="shared" ca="1" si="138"/>
        <v>5.4421263790891645</v>
      </c>
      <c r="S695" s="38">
        <f t="shared" ca="1" si="134"/>
        <v>216.87500000000003</v>
      </c>
    </row>
    <row r="696" spans="13:19">
      <c r="M696" s="132">
        <f t="shared" ca="1" si="133"/>
        <v>222.63683638565391</v>
      </c>
      <c r="N696" s="38">
        <f t="shared" si="135"/>
        <v>6.515625</v>
      </c>
      <c r="O696" s="36">
        <f t="shared" si="137"/>
        <v>173.75</v>
      </c>
      <c r="P696" s="38">
        <f ca="1">IF(ISERROR(IF(O696&lt;fi_h/20,0,(OFFSET('Base de dados'!$A$5,IF(O696&lt;20,1,IF(O696&gt;1000,10,MATCH(O696,Cargas,1))),Coluna_fih,1,1))*(1+0.13*0.25)*(PI()*(fi_h/1000)^2/4)*SQRT(2*9.81*(O696/100-fi_h/2/1000))*1000)),"",IF(O696&lt;fi_h/20,0,(OFFSET('Base de dados'!$A$5,IF(O696&lt;20,1,IF(O696&gt;1000,10,MATCH(O696,Cargas,1))),Coluna_fih,1,1))*(PI()*(fi_h/1000)^2/4)*SQRT(2*9.81*(O696/100-fi_h/2/1000))*1000))</f>
        <v>3.5161443233643435</v>
      </c>
      <c r="Q696" s="38">
        <f ca="1">IF(O696="","",IF(Tipo_Vertedor="Retangular",IF(O696&lt;=cota_s*100,0,IF(Tipo_Vertedor="Retangular",Cd_sr*Lef_sr*((O696/100-cota_s)^(3/2))*1000)),IF(O696&lt;=cota_s*100+fi_s/20,0,(OFFSET('Base de dados'!$A$4,IF(O696&lt;20,1,IF(O696&gt;1000,10,MATCH(O696,Cargas,1))),Coluna_fis,1,1))*(PI()*(fi_s/1000)^2/4)*(2*9.81*(O696/100-cota_s-fi_s/2/1000))^0.5*1000)))</f>
        <v>1.9331920622895584</v>
      </c>
      <c r="R696" s="38">
        <f t="shared" ca="1" si="138"/>
        <v>5.4493363856539023</v>
      </c>
      <c r="S696" s="38">
        <f t="shared" ca="1" si="134"/>
        <v>217.1875</v>
      </c>
    </row>
    <row r="697" spans="13:19">
      <c r="M697" s="132">
        <f t="shared" ca="1" si="133"/>
        <v>222.95653335964175</v>
      </c>
      <c r="N697" s="38">
        <f t="shared" si="135"/>
        <v>6.5250000000000004</v>
      </c>
      <c r="O697" s="36">
        <f t="shared" si="137"/>
        <v>174</v>
      </c>
      <c r="P697" s="38">
        <f ca="1">IF(ISERROR(IF(O697&lt;fi_h/20,0,(OFFSET('Base de dados'!$A$5,IF(O697&lt;20,1,IF(O697&gt;1000,10,MATCH(O697,Cargas,1))),Coluna_fih,1,1))*(1+0.13*0.25)*(PI()*(fi_h/1000)^2/4)*SQRT(2*9.81*(O697/100-fi_h/2/1000))*1000)),"",IF(O697&lt;fi_h/20,0,(OFFSET('Base de dados'!$A$5,IF(O697&lt;20,1,IF(O697&gt;1000,10,MATCH(O697,Cargas,1))),Coluna_fih,1,1))*(PI()*(fi_h/1000)^2/4)*SQRT(2*9.81*(O697/100-fi_h/2/1000))*1000))</f>
        <v>3.5186988814114377</v>
      </c>
      <c r="Q697" s="38">
        <f ca="1">IF(O697="","",IF(Tipo_Vertedor="Retangular",IF(O697&lt;=cota_s*100,0,IF(Tipo_Vertedor="Retangular",Cd_sr*Lef_sr*((O697/100-cota_s)^(3/2))*1000)),IF(O697&lt;=cota_s*100+fi_s/20,0,(OFFSET('Base de dados'!$A$4,IF(O697&lt;20,1,IF(O697&gt;1000,10,MATCH(O697,Cargas,1))),Coluna_fis,1,1))*(PI()*(fi_s/1000)^2/4)*(2*9.81*(O697/100-cota_s-fi_s/2/1000))^0.5*1000)))</f>
        <v>1.9378344782303167</v>
      </c>
      <c r="R697" s="38">
        <f t="shared" ca="1" si="138"/>
        <v>5.4565333596417549</v>
      </c>
      <c r="S697" s="38">
        <f t="shared" ca="1" si="134"/>
        <v>217.5</v>
      </c>
    </row>
    <row r="698" spans="13:19">
      <c r="M698" s="132">
        <f t="shared" ca="1" si="133"/>
        <v>223.27621738522041</v>
      </c>
      <c r="N698" s="38">
        <f t="shared" si="135"/>
        <v>6.5343749999999998</v>
      </c>
      <c r="O698" s="36">
        <f t="shared" si="137"/>
        <v>174.25</v>
      </c>
      <c r="P698" s="38">
        <f ca="1">IF(ISERROR(IF(O698&lt;fi_h/20,0,(OFFSET('Base de dados'!$A$5,IF(O698&lt;20,1,IF(O698&gt;1000,10,MATCH(O698,Cargas,1))),Coluna_fih,1,1))*(1+0.13*0.25)*(PI()*(fi_h/1000)^2/4)*SQRT(2*9.81*(O698/100-fi_h/2/1000))*1000)),"",IF(O698&lt;fi_h/20,0,(OFFSET('Base de dados'!$A$5,IF(O698&lt;20,1,IF(O698&gt;1000,10,MATCH(O698,Cargas,1))),Coluna_fih,1,1))*(PI()*(fi_h/1000)^2/4)*SQRT(2*9.81*(O698/100-fi_h/2/1000))*1000))</f>
        <v>3.5212515862069429</v>
      </c>
      <c r="Q698" s="38">
        <f ca="1">IF(O698="","",IF(Tipo_Vertedor="Retangular",IF(O698&lt;=cota_s*100,0,IF(Tipo_Vertedor="Retangular",Cd_sr*Lef_sr*((O698/100-cota_s)^(3/2))*1000)),IF(O698&lt;=cota_s*100+fi_s/20,0,(OFFSET('Base de dados'!$A$4,IF(O698&lt;20,1,IF(O698&gt;1000,10,MATCH(O698,Cargas,1))),Coluna_fis,1,1))*(PI()*(fi_s/1000)^2/4)*(2*9.81*(O698/100-cota_s-fi_s/2/1000))^0.5*1000)))</f>
        <v>1.9424657990134528</v>
      </c>
      <c r="R698" s="38">
        <f t="shared" ca="1" si="138"/>
        <v>5.463717385220396</v>
      </c>
      <c r="S698" s="38">
        <f t="shared" ca="1" si="134"/>
        <v>217.8125</v>
      </c>
    </row>
    <row r="699" spans="13:19">
      <c r="M699" s="132">
        <f t="shared" ca="1" si="133"/>
        <v>223.59588854558993</v>
      </c>
      <c r="N699" s="38">
        <f t="shared" si="135"/>
        <v>6.5437500000000002</v>
      </c>
      <c r="O699" s="36">
        <f t="shared" si="137"/>
        <v>174.5</v>
      </c>
      <c r="P699" s="38">
        <f ca="1">IF(ISERROR(IF(O699&lt;fi_h/20,0,(OFFSET('Base de dados'!$A$5,IF(O699&lt;20,1,IF(O699&gt;1000,10,MATCH(O699,Cargas,1))),Coluna_fih,1,1))*(1+0.13*0.25)*(PI()*(fi_h/1000)^2/4)*SQRT(2*9.81*(O699/100-fi_h/2/1000))*1000)),"",IF(O699&lt;fi_h/20,0,(OFFSET('Base de dados'!$A$5,IF(O699&lt;20,1,IF(O699&gt;1000,10,MATCH(O699,Cargas,1))),Coluna_fih,1,1))*(PI()*(fi_h/1000)^2/4)*SQRT(2*9.81*(O699/100-fi_h/2/1000))*1000))</f>
        <v>3.523802441778443</v>
      </c>
      <c r="Q699" s="38">
        <f ca="1">IF(O699="","",IF(Tipo_Vertedor="Retangular",IF(O699&lt;=cota_s*100,0,IF(Tipo_Vertedor="Retangular",Cd_sr*Lef_sr*((O699/100-cota_s)^(3/2))*1000)),IF(O699&lt;=cota_s*100+fi_s/20,0,(OFFSET('Base de dados'!$A$4,IF(O699&lt;20,1,IF(O699&gt;1000,10,MATCH(O699,Cargas,1))),Coluna_fis,1,1))*(PI()*(fi_s/1000)^2/4)*(2*9.81*(O699/100-cota_s-fi_s/2/1000))^0.5*1000)))</f>
        <v>1.9470861038114831</v>
      </c>
      <c r="R699" s="38">
        <f t="shared" ca="1" si="138"/>
        <v>5.4708885455899257</v>
      </c>
      <c r="S699" s="38">
        <f t="shared" ca="1" si="134"/>
        <v>218.125</v>
      </c>
    </row>
    <row r="700" spans="13:19">
      <c r="M700" s="132">
        <f t="shared" ca="1" si="133"/>
        <v>223.91554692299877</v>
      </c>
      <c r="N700" s="38">
        <f t="shared" si="135"/>
        <v>6.5531250000000005</v>
      </c>
      <c r="O700" s="36">
        <f t="shared" si="137"/>
        <v>174.75</v>
      </c>
      <c r="P700" s="38">
        <f ca="1">IF(ISERROR(IF(O700&lt;fi_h/20,0,(OFFSET('Base de dados'!$A$5,IF(O700&lt;20,1,IF(O700&gt;1000,10,MATCH(O700,Cargas,1))),Coluna_fih,1,1))*(1+0.13*0.25)*(PI()*(fi_h/1000)^2/4)*SQRT(2*9.81*(O700/100-fi_h/2/1000))*1000)),"",IF(O700&lt;fi_h/20,0,(OFFSET('Base de dados'!$A$5,IF(O700&lt;20,1,IF(O700&gt;1000,10,MATCH(O700,Cargas,1))),Coluna_fih,1,1))*(PI()*(fi_h/1000)^2/4)*SQRT(2*9.81*(O700/100-fi_h/2/1000))*1000))</f>
        <v>3.5263514521389565</v>
      </c>
      <c r="Q700" s="38">
        <f ca="1">IF(O700="","",IF(Tipo_Vertedor="Retangular",IF(O700&lt;=cota_s*100,0,IF(Tipo_Vertedor="Retangular",Cd_sr*Lef_sr*((O700/100-cota_s)^(3/2))*1000)),IF(O700&lt;=cota_s*100+fi_s/20,0,(OFFSET('Base de dados'!$A$4,IF(O700&lt;20,1,IF(O700&gt;1000,10,MATCH(O700,Cargas,1))),Coluna_fis,1,1))*(PI()*(fi_s/1000)^2/4)*(2*9.81*(O700/100-cota_s-fi_s/2/1000))^0.5*1000)))</f>
        <v>1.9516954708597827</v>
      </c>
      <c r="R700" s="38">
        <f t="shared" ca="1" si="138"/>
        <v>5.4780469229987396</v>
      </c>
      <c r="S700" s="38">
        <f t="shared" ca="1" si="134"/>
        <v>218.43750000000003</v>
      </c>
    </row>
    <row r="701" spans="13:19">
      <c r="M701" s="132">
        <f t="shared" ca="1" si="133"/>
        <v>224.23519259875906</v>
      </c>
      <c r="N701" s="38">
        <f t="shared" si="135"/>
        <v>6.5625</v>
      </c>
      <c r="O701" s="36">
        <f t="shared" si="137"/>
        <v>175</v>
      </c>
      <c r="P701" s="38">
        <f ca="1">IF(ISERROR(IF(O701&lt;fi_h/20,0,(OFFSET('Base de dados'!$A$5,IF(O701&lt;20,1,IF(O701&gt;1000,10,MATCH(O701,Cargas,1))),Coluna_fih,1,1))*(1+0.13*0.25)*(PI()*(fi_h/1000)^2/4)*SQRT(2*9.81*(O701/100-fi_h/2/1000))*1000)),"",IF(O701&lt;fi_h/20,0,(OFFSET('Base de dados'!$A$5,IF(O701&lt;20,1,IF(O701&gt;1000,10,MATCH(O701,Cargas,1))),Coluna_fih,1,1))*(PI()*(fi_h/1000)^2/4)*SQRT(2*9.81*(O701/100-fi_h/2/1000))*1000))</f>
        <v>3.5288986212870066</v>
      </c>
      <c r="Q701" s="38">
        <f ca="1">IF(O701="","",IF(Tipo_Vertedor="Retangular",IF(O701&lt;=cota_s*100,0,IF(Tipo_Vertedor="Retangular",Cd_sr*Lef_sr*((O701/100-cota_s)^(3/2))*1000)),IF(O701&lt;=cota_s*100+fi_s/20,0,(OFFSET('Base de dados'!$A$4,IF(O701&lt;20,1,IF(O701&gt;1000,10,MATCH(O701,Cargas,1))),Coluna_fis,1,1))*(PI()*(fi_s/1000)^2/4)*(2*9.81*(O701/100-cota_s-fi_s/2/1000))^0.5*1000)))</f>
        <v>1.9562939774720456</v>
      </c>
      <c r="R701" s="38">
        <f t="shared" ca="1" si="138"/>
        <v>5.4851925987590526</v>
      </c>
      <c r="S701" s="38">
        <f t="shared" ca="1" si="134"/>
        <v>218.75</v>
      </c>
    </row>
    <row r="702" spans="13:19">
      <c r="M702" s="132">
        <f t="shared" ca="1" si="133"/>
        <v>224.55482565326207</v>
      </c>
      <c r="N702" s="38">
        <f t="shared" si="135"/>
        <v>6.5718749999999995</v>
      </c>
      <c r="O702" s="36">
        <f t="shared" si="137"/>
        <v>175.25</v>
      </c>
      <c r="P702" s="38">
        <f ca="1">IF(ISERROR(IF(O702&lt;fi_h/20,0,(OFFSET('Base de dados'!$A$5,IF(O702&lt;20,1,IF(O702&gt;1000,10,MATCH(O702,Cargas,1))),Coluna_fih,1,1))*(1+0.13*0.25)*(PI()*(fi_h/1000)^2/4)*SQRT(2*9.81*(O702/100-fi_h/2/1000))*1000)),"",IF(O702&lt;fi_h/20,0,(OFFSET('Base de dados'!$A$5,IF(O702&lt;20,1,IF(O702&gt;1000,10,MATCH(O702,Cargas,1))),Coluna_fih,1,1))*(PI()*(fi_h/1000)^2/4)*SQRT(2*9.81*(O702/100-fi_h/2/1000))*1000))</f>
        <v>3.5314439532066966</v>
      </c>
      <c r="Q702" s="38">
        <f ca="1">IF(O702="","",IF(Tipo_Vertedor="Retangular",IF(O702&lt;=cota_s*100,0,IF(Tipo_Vertedor="Retangular",Cd_sr*Lef_sr*((O702/100-cota_s)^(3/2))*1000)),IF(O702&lt;=cota_s*100+fi_s/20,0,(OFFSET('Base de dados'!$A$4,IF(O702&lt;20,1,IF(O702&gt;1000,10,MATCH(O702,Cargas,1))),Coluna_fis,1,1))*(PI()*(fi_s/1000)^2/4)*(2*9.81*(O702/100-cota_s-fi_s/2/1000))^0.5*1000)))</f>
        <v>1.9608817000554124</v>
      </c>
      <c r="R702" s="38">
        <f t="shared" ca="1" si="138"/>
        <v>5.4923256532621085</v>
      </c>
      <c r="S702" s="38">
        <f t="shared" ca="1" si="134"/>
        <v>219.06249999999997</v>
      </c>
    </row>
    <row r="703" spans="13:19">
      <c r="M703" s="132">
        <f t="shared" ca="1" si="133"/>
        <v>224.87444616599308</v>
      </c>
      <c r="N703" s="38">
        <f t="shared" si="135"/>
        <v>6.5812499999999998</v>
      </c>
      <c r="O703" s="36">
        <f t="shared" si="137"/>
        <v>175.5</v>
      </c>
      <c r="P703" s="38">
        <f ca="1">IF(ISERROR(IF(O703&lt;fi_h/20,0,(OFFSET('Base de dados'!$A$5,IF(O703&lt;20,1,IF(O703&gt;1000,10,MATCH(O703,Cargas,1))),Coluna_fih,1,1))*(1+0.13*0.25)*(PI()*(fi_h/1000)^2/4)*SQRT(2*9.81*(O703/100-fi_h/2/1000))*1000)),"",IF(O703&lt;fi_h/20,0,(OFFSET('Base de dados'!$A$5,IF(O703&lt;20,1,IF(O703&gt;1000,10,MATCH(O703,Cargas,1))),Coluna_fih,1,1))*(PI()*(fi_h/1000)^2/4)*SQRT(2*9.81*(O703/100-fi_h/2/1000))*1000))</f>
        <v>3.5339874518677838</v>
      </c>
      <c r="Q703" s="38">
        <f ca="1">IF(O703="","",IF(Tipo_Vertedor="Retangular",IF(O703&lt;=cota_s*100,0,IF(Tipo_Vertedor="Retangular",Cd_sr*Lef_sr*((O703/100-cota_s)^(3/2))*1000)),IF(O703&lt;=cota_s*100+fi_s/20,0,(OFFSET('Base de dados'!$A$4,IF(O703&lt;20,1,IF(O703&gt;1000,10,MATCH(O703,Cargas,1))),Coluna_fis,1,1))*(PI()*(fi_s/1000)^2/4)*(2*9.81*(O703/100-cota_s-fi_s/2/1000))^0.5*1000)))</f>
        <v>1.9654587141252835</v>
      </c>
      <c r="R703" s="38">
        <f t="shared" ca="1" si="138"/>
        <v>5.4994461659930671</v>
      </c>
      <c r="S703" s="38">
        <f t="shared" ca="1" si="134"/>
        <v>219.375</v>
      </c>
    </row>
    <row r="704" spans="13:19">
      <c r="M704" s="132">
        <f t="shared" ca="1" si="133"/>
        <v>225.19405421554558</v>
      </c>
      <c r="N704" s="38">
        <f t="shared" si="135"/>
        <v>6.5906250000000002</v>
      </c>
      <c r="O704" s="36">
        <f t="shared" si="137"/>
        <v>175.75</v>
      </c>
      <c r="P704" s="38">
        <f ca="1">IF(ISERROR(IF(O704&lt;fi_h/20,0,(OFFSET('Base de dados'!$A$5,IF(O704&lt;20,1,IF(O704&gt;1000,10,MATCH(O704,Cargas,1))),Coluna_fih,1,1))*(1+0.13*0.25)*(PI()*(fi_h/1000)^2/4)*SQRT(2*9.81*(O704/100-fi_h/2/1000))*1000)),"",IF(O704&lt;fi_h/20,0,(OFFSET('Base de dados'!$A$5,IF(O704&lt;20,1,IF(O704&gt;1000,10,MATCH(O704,Cargas,1))),Coluna_fih,1,1))*(PI()*(fi_h/1000)^2/4)*SQRT(2*9.81*(O704/100-fi_h/2/1000))*1000))</f>
        <v>3.5365291212257484</v>
      </c>
      <c r="Q704" s="38">
        <f ca="1">IF(O704="","",IF(Tipo_Vertedor="Retangular",IF(O704&lt;=cota_s*100,0,IF(Tipo_Vertedor="Retangular",Cd_sr*Lef_sr*((O704/100-cota_s)^(3/2))*1000)),IF(O704&lt;=cota_s*100+fi_s/20,0,(OFFSET('Base de dados'!$A$4,IF(O704&lt;20,1,IF(O704&gt;1000,10,MATCH(O704,Cargas,1))),Coluna_fis,1,1))*(PI()*(fi_s/1000)^2/4)*(2*9.81*(O704/100-cota_s-fi_s/2/1000))^0.5*1000)))</f>
        <v>1.9700250943198216</v>
      </c>
      <c r="R704" s="38">
        <f t="shared" ca="1" si="138"/>
        <v>5.5065542155455702</v>
      </c>
      <c r="S704" s="38">
        <f t="shared" ca="1" si="134"/>
        <v>219.6875</v>
      </c>
    </row>
    <row r="705" spans="13:19">
      <c r="M705" s="132">
        <f t="shared" ca="1" si="133"/>
        <v>225.51364987963601</v>
      </c>
      <c r="N705" s="38">
        <f t="shared" si="135"/>
        <v>6.6</v>
      </c>
      <c r="O705" s="36">
        <f t="shared" si="137"/>
        <v>176</v>
      </c>
      <c r="P705" s="38">
        <f ca="1">IF(ISERROR(IF(O705&lt;fi_h/20,0,(OFFSET('Base de dados'!$A$5,IF(O705&lt;20,1,IF(O705&gt;1000,10,MATCH(O705,Cargas,1))),Coluna_fih,1,1))*(1+0.13*0.25)*(PI()*(fi_h/1000)^2/4)*SQRT(2*9.81*(O705/100-fi_h/2/1000))*1000)),"",IF(O705&lt;fi_h/20,0,(OFFSET('Base de dados'!$A$5,IF(O705&lt;20,1,IF(O705&gt;1000,10,MATCH(O705,Cargas,1))),Coluna_fih,1,1))*(PI()*(fi_h/1000)^2/4)*SQRT(2*9.81*(O705/100-fi_h/2/1000))*1000))</f>
        <v>3.5390689652218654</v>
      </c>
      <c r="Q705" s="38">
        <f ca="1">IF(O705="","",IF(Tipo_Vertedor="Retangular",IF(O705&lt;=cota_s*100,0,IF(Tipo_Vertedor="Retangular",Cd_sr*Lef_sr*((O705/100-cota_s)^(3/2))*1000)),IF(O705&lt;=cota_s*100+fi_s/20,0,(OFFSET('Base de dados'!$A$4,IF(O705&lt;20,1,IF(O705&gt;1000,10,MATCH(O705,Cargas,1))),Coluna_fis,1,1))*(PI()*(fi_s/1000)^2/4)*(2*9.81*(O705/100-cota_s-fi_s/2/1000))^0.5*1000)))</f>
        <v>1.9745809144141522</v>
      </c>
      <c r="R705" s="38">
        <f t="shared" ca="1" si="138"/>
        <v>5.5136498796360174</v>
      </c>
      <c r="S705" s="38">
        <f t="shared" ca="1" si="134"/>
        <v>220</v>
      </c>
    </row>
    <row r="706" spans="13:19">
      <c r="M706" s="132">
        <f t="shared" ca="1" si="133"/>
        <v>225.83323323511755</v>
      </c>
      <c r="N706" s="38">
        <f t="shared" si="135"/>
        <v>6.609375</v>
      </c>
      <c r="O706" s="36">
        <f t="shared" si="137"/>
        <v>176.25</v>
      </c>
      <c r="P706" s="38">
        <f ca="1">IF(ISERROR(IF(O706&lt;fi_h/20,0,(OFFSET('Base de dados'!$A$5,IF(O706&lt;20,1,IF(O706&gt;1000,10,MATCH(O706,Cargas,1))),Coluna_fih,1,1))*(1+0.13*0.25)*(PI()*(fi_h/1000)^2/4)*SQRT(2*9.81*(O706/100-fi_h/2/1000))*1000)),"",IF(O706&lt;fi_h/20,0,(OFFSET('Base de dados'!$A$5,IF(O706&lt;20,1,IF(O706&gt;1000,10,MATCH(O706,Cargas,1))),Coluna_fih,1,1))*(PI()*(fi_h/1000)^2/4)*SQRT(2*9.81*(O706/100-fi_h/2/1000))*1000))</f>
        <v>3.541606987783283</v>
      </c>
      <c r="Q706" s="38">
        <f ca="1">IF(O706="","",IF(Tipo_Vertedor="Retangular",IF(O706&lt;=cota_s*100,0,IF(Tipo_Vertedor="Retangular",Cd_sr*Lef_sr*((O706/100-cota_s)^(3/2))*1000)),IF(O706&lt;=cota_s*100+fi_s/20,0,(OFFSET('Base de dados'!$A$4,IF(O706&lt;20,1,IF(O706&gt;1000,10,MATCH(O706,Cargas,1))),Coluna_fis,1,1))*(PI()*(fi_s/1000)^2/4)*(2*9.81*(O706/100-cota_s-fi_s/2/1000))^0.5*1000)))</f>
        <v>1.9791262473342719</v>
      </c>
      <c r="R706" s="38">
        <f t="shared" ca="1" si="138"/>
        <v>5.5207332351175546</v>
      </c>
      <c r="S706" s="38">
        <f t="shared" ca="1" si="134"/>
        <v>220.3125</v>
      </c>
    </row>
    <row r="707" spans="13:19">
      <c r="M707" s="132">
        <f t="shared" ca="1" si="133"/>
        <v>226.15280435799372</v>
      </c>
      <c r="N707" s="38">
        <f t="shared" si="135"/>
        <v>6.6187499999999995</v>
      </c>
      <c r="O707" s="36">
        <f t="shared" si="137"/>
        <v>176.5</v>
      </c>
      <c r="P707" s="38">
        <f ca="1">IF(ISERROR(IF(O707&lt;fi_h/20,0,(OFFSET('Base de dados'!$A$5,IF(O707&lt;20,1,IF(O707&gt;1000,10,MATCH(O707,Cargas,1))),Coluna_fih,1,1))*(1+0.13*0.25)*(PI()*(fi_h/1000)^2/4)*SQRT(2*9.81*(O707/100-fi_h/2/1000))*1000)),"",IF(O707&lt;fi_h/20,0,(OFFSET('Base de dados'!$A$5,IF(O707&lt;20,1,IF(O707&gt;1000,10,MATCH(O707,Cargas,1))),Coluna_fih,1,1))*(PI()*(fi_h/1000)^2/4)*SQRT(2*9.81*(O707/100-fi_h/2/1000))*1000))</f>
        <v>3.5441431928230811</v>
      </c>
      <c r="Q707" s="38">
        <f ca="1">IF(O707="","",IF(Tipo_Vertedor="Retangular",IF(O707&lt;=cota_s*100,0,IF(Tipo_Vertedor="Retangular",Cd_sr*Lef_sr*((O707/100-cota_s)^(3/2))*1000)),IF(O707&lt;=cota_s*100+fi_s/20,0,(OFFSET('Base de dados'!$A$4,IF(O707&lt;20,1,IF(O707&gt;1000,10,MATCH(O707,Cargas,1))),Coluna_fis,1,1))*(PI()*(fi_s/1000)^2/4)*(2*9.81*(O707/100-cota_s-fi_s/2/1000))^0.5*1000)))</f>
        <v>1.9836611651706662</v>
      </c>
      <c r="R707" s="38">
        <f t="shared" ca="1" si="138"/>
        <v>5.5278043579937473</v>
      </c>
      <c r="S707" s="38">
        <f t="shared" ca="1" si="134"/>
        <v>220.62499999999997</v>
      </c>
    </row>
    <row r="708" spans="13:19">
      <c r="M708" s="132">
        <f t="shared" ca="1" si="133"/>
        <v>226.47236332343203</v>
      </c>
      <c r="N708" s="38">
        <f t="shared" si="135"/>
        <v>6.6281250000000007</v>
      </c>
      <c r="O708" s="36">
        <f t="shared" si="137"/>
        <v>176.75</v>
      </c>
      <c r="P708" s="38">
        <f ca="1">IF(ISERROR(IF(O708&lt;fi_h/20,0,(OFFSET('Base de dados'!$A$5,IF(O708&lt;20,1,IF(O708&gt;1000,10,MATCH(O708,Cargas,1))),Coluna_fih,1,1))*(1+0.13*0.25)*(PI()*(fi_h/1000)^2/4)*SQRT(2*9.81*(O708/100-fi_h/2/1000))*1000)),"",IF(O708&lt;fi_h/20,0,(OFFSET('Base de dados'!$A$5,IF(O708&lt;20,1,IF(O708&gt;1000,10,MATCH(O708,Cargas,1))),Coluna_fih,1,1))*(PI()*(fi_h/1000)^2/4)*SQRT(2*9.81*(O708/100-fi_h/2/1000))*1000))</f>
        <v>3.5466775842403537</v>
      </c>
      <c r="Q708" s="38">
        <f ca="1">IF(O708="","",IF(Tipo_Vertedor="Retangular",IF(O708&lt;=cota_s*100,0,IF(Tipo_Vertedor="Retangular",Cd_sr*Lef_sr*((O708/100-cota_s)^(3/2))*1000)),IF(O708&lt;=cota_s*100+fi_s/20,0,(OFFSET('Base de dados'!$A$4,IF(O708&lt;20,1,IF(O708&gt;1000,10,MATCH(O708,Cargas,1))),Coluna_fis,1,1))*(PI()*(fi_s/1000)^2/4)*(2*9.81*(O708/100-cota_s-fi_s/2/1000))^0.5*1000)))</f>
        <v>1.9881857391916518</v>
      </c>
      <c r="R708" s="38">
        <f t="shared" ca="1" si="138"/>
        <v>5.5348633234320053</v>
      </c>
      <c r="S708" s="38">
        <f t="shared" ca="1" si="134"/>
        <v>220.93750000000003</v>
      </c>
    </row>
    <row r="709" spans="13:19">
      <c r="M709" s="132">
        <f t="shared" ref="M709:M772" ca="1" si="139">IF(O709="","",2*N709*1000/(Passo*60)+R709)</f>
        <v>226.7919102057767</v>
      </c>
      <c r="N709" s="38">
        <f t="shared" si="135"/>
        <v>6.6375000000000002</v>
      </c>
      <c r="O709" s="36">
        <f t="shared" si="137"/>
        <v>177</v>
      </c>
      <c r="P709" s="38">
        <f ca="1">IF(ISERROR(IF(O709&lt;fi_h/20,0,(OFFSET('Base de dados'!$A$5,IF(O709&lt;20,1,IF(O709&gt;1000,10,MATCH(O709,Cargas,1))),Coluna_fih,1,1))*(1+0.13*0.25)*(PI()*(fi_h/1000)^2/4)*SQRT(2*9.81*(O709/100-fi_h/2/1000))*1000)),"",IF(O709&lt;fi_h/20,0,(OFFSET('Base de dados'!$A$5,IF(O709&lt;20,1,IF(O709&gt;1000,10,MATCH(O709,Cargas,1))),Coluna_fih,1,1))*(PI()*(fi_h/1000)^2/4)*SQRT(2*9.81*(O709/100-fi_h/2/1000))*1000))</f>
        <v>3.5492101659202717</v>
      </c>
      <c r="Q709" s="38">
        <f ca="1">IF(O709="","",IF(Tipo_Vertedor="Retangular",IF(O709&lt;=cota_s*100,0,IF(Tipo_Vertedor="Retangular",Cd_sr*Lef_sr*((O709/100-cota_s)^(3/2))*1000)),IF(O709&lt;=cota_s*100+fi_s/20,0,(OFFSET('Base de dados'!$A$4,IF(O709&lt;20,1,IF(O709&gt;1000,10,MATCH(O709,Cargas,1))),Coluna_fis,1,1))*(PI()*(fi_s/1000)^2/4)*(2*9.81*(O709/100-cota_s-fi_s/2/1000))^0.5*1000)))</f>
        <v>1.9927000398564412</v>
      </c>
      <c r="R709" s="38">
        <f t="shared" ca="1" si="138"/>
        <v>5.5419102057767127</v>
      </c>
      <c r="S709" s="38">
        <f t="shared" ref="S709:S772" ca="1" si="140">IF(M709="","",2*N709*1000/(Passo*60))</f>
        <v>221.25</v>
      </c>
    </row>
    <row r="710" spans="13:19">
      <c r="M710" s="132">
        <f t="shared" ca="1" si="139"/>
        <v>227.1114450785621</v>
      </c>
      <c r="N710" s="38">
        <f t="shared" ref="N710:N773" si="141">IF(O710="","",b_0*(O710/100)^c_0)</f>
        <v>6.6468749999999996</v>
      </c>
      <c r="O710" s="36">
        <f t="shared" si="137"/>
        <v>177.25</v>
      </c>
      <c r="P710" s="38">
        <f ca="1">IF(ISERROR(IF(O710&lt;fi_h/20,0,(OFFSET('Base de dados'!$A$5,IF(O710&lt;20,1,IF(O710&gt;1000,10,MATCH(O710,Cargas,1))),Coluna_fih,1,1))*(1+0.13*0.25)*(PI()*(fi_h/1000)^2/4)*SQRT(2*9.81*(O710/100-fi_h/2/1000))*1000)),"",IF(O710&lt;fi_h/20,0,(OFFSET('Base de dados'!$A$5,IF(O710&lt;20,1,IF(O710&gt;1000,10,MATCH(O710,Cargas,1))),Coluna_fih,1,1))*(PI()*(fi_h/1000)^2/4)*SQRT(2*9.81*(O710/100-fi_h/2/1000))*1000))</f>
        <v>3.5517409417341526</v>
      </c>
      <c r="Q710" s="38">
        <f ca="1">IF(O710="","",IF(Tipo_Vertedor="Retangular",IF(O710&lt;=cota_s*100,0,IF(Tipo_Vertedor="Retangular",Cd_sr*Lef_sr*((O710/100-cota_s)^(3/2))*1000)),IF(O710&lt;=cota_s*100+fi_s/20,0,(OFFSET('Base de dados'!$A$4,IF(O710&lt;20,1,IF(O710&gt;1000,10,MATCH(O710,Cargas,1))),Coluna_fis,1,1))*(PI()*(fi_s/1000)^2/4)*(2*9.81*(O710/100-cota_s-fi_s/2/1000))^0.5*1000)))</f>
        <v>1.9972041368279485</v>
      </c>
      <c r="R710" s="38">
        <f t="shared" ca="1" si="138"/>
        <v>5.5489450785621006</v>
      </c>
      <c r="S710" s="38">
        <f t="shared" ca="1" si="140"/>
        <v>221.5625</v>
      </c>
    </row>
    <row r="711" spans="13:19">
      <c r="M711" s="132">
        <f t="shared" ca="1" si="139"/>
        <v>227.43096801452486</v>
      </c>
      <c r="N711" s="38">
        <f t="shared" si="141"/>
        <v>6.65625</v>
      </c>
      <c r="O711" s="36">
        <f t="shared" si="137"/>
        <v>177.5</v>
      </c>
      <c r="P711" s="38">
        <f ca="1">IF(ISERROR(IF(O711&lt;fi_h/20,0,(OFFSET('Base de dados'!$A$5,IF(O711&lt;20,1,IF(O711&gt;1000,10,MATCH(O711,Cargas,1))),Coluna_fih,1,1))*(1+0.13*0.25)*(PI()*(fi_h/1000)^2/4)*SQRT(2*9.81*(O711/100-fi_h/2/1000))*1000)),"",IF(O711&lt;fi_h/20,0,(OFFSET('Base de dados'!$A$5,IF(O711&lt;20,1,IF(O711&gt;1000,10,MATCH(O711,Cargas,1))),Coluna_fih,1,1))*(PI()*(fi_h/1000)^2/4)*SQRT(2*9.81*(O711/100-fi_h/2/1000))*1000))</f>
        <v>3.5542699155395354</v>
      </c>
      <c r="Q711" s="38">
        <f ca="1">IF(O711="","",IF(Tipo_Vertedor="Retangular",IF(O711&lt;=cota_s*100,0,IF(Tipo_Vertedor="Retangular",Cd_sr*Lef_sr*((O711/100-cota_s)^(3/2))*1000)),IF(O711&lt;=cota_s*100+fi_s/20,0,(OFFSET('Base de dados'!$A$4,IF(O711&lt;20,1,IF(O711&gt;1000,10,MATCH(O711,Cargas,1))),Coluna_fis,1,1))*(PI()*(fi_s/1000)^2/4)*(2*9.81*(O711/100-cota_s-fi_s/2/1000))^0.5*1000)))</f>
        <v>2.0016980989853286</v>
      </c>
      <c r="R711" s="38">
        <f t="shared" ca="1" si="138"/>
        <v>5.555968014524864</v>
      </c>
      <c r="S711" s="38">
        <f t="shared" ca="1" si="140"/>
        <v>221.875</v>
      </c>
    </row>
    <row r="712" spans="13:19">
      <c r="M712" s="132">
        <f t="shared" ca="1" si="139"/>
        <v>227.75047908561652</v>
      </c>
      <c r="N712" s="38">
        <f t="shared" si="141"/>
        <v>6.6656250000000004</v>
      </c>
      <c r="O712" s="36">
        <f t="shared" si="137"/>
        <v>177.75</v>
      </c>
      <c r="P712" s="38">
        <f ca="1">IF(ISERROR(IF(O712&lt;fi_h/20,0,(OFFSET('Base de dados'!$A$5,IF(O712&lt;20,1,IF(O712&gt;1000,10,MATCH(O712,Cargas,1))),Coluna_fih,1,1))*(1+0.13*0.25)*(PI()*(fi_h/1000)^2/4)*SQRT(2*9.81*(O712/100-fi_h/2/1000))*1000)),"",IF(O712&lt;fi_h/20,0,(OFFSET('Base de dados'!$A$5,IF(O712&lt;20,1,IF(O712&gt;1000,10,MATCH(O712,Cargas,1))),Coluna_fih,1,1))*(PI()*(fi_h/1000)^2/4)*SQRT(2*9.81*(O712/100-fi_h/2/1000))*1000))</f>
        <v>3.5567970911802407</v>
      </c>
      <c r="Q712" s="38">
        <f ca="1">IF(O712="","",IF(Tipo_Vertedor="Retangular",IF(O712&lt;=cota_s*100,0,IF(Tipo_Vertedor="Retangular",Cd_sr*Lef_sr*((O712/100-cota_s)^(3/2))*1000)),IF(O712&lt;=cota_s*100+fi_s/20,0,(OFFSET('Base de dados'!$A$4,IF(O712&lt;20,1,IF(O712&gt;1000,10,MATCH(O712,Cargas,1))),Coluna_fis,1,1))*(PI()*(fi_s/1000)^2/4)*(2*9.81*(O712/100-cota_s-fi_s/2/1000))^0.5*1000)))</f>
        <v>2.0061819944362695</v>
      </c>
      <c r="R712" s="38">
        <f t="shared" ca="1" si="138"/>
        <v>5.5629790856165098</v>
      </c>
      <c r="S712" s="38">
        <f t="shared" ca="1" si="140"/>
        <v>222.1875</v>
      </c>
    </row>
    <row r="713" spans="13:19">
      <c r="M713" s="132">
        <f t="shared" ca="1" si="139"/>
        <v>228.06997836301548</v>
      </c>
      <c r="N713" s="38">
        <f t="shared" si="141"/>
        <v>6.6749999999999998</v>
      </c>
      <c r="O713" s="36">
        <f t="shared" si="137"/>
        <v>178</v>
      </c>
      <c r="P713" s="38">
        <f ca="1">IF(ISERROR(IF(O713&lt;fi_h/20,0,(OFFSET('Base de dados'!$A$5,IF(O713&lt;20,1,IF(O713&gt;1000,10,MATCH(O713,Cargas,1))),Coluna_fih,1,1))*(1+0.13*0.25)*(PI()*(fi_h/1000)^2/4)*SQRT(2*9.81*(O713/100-fi_h/2/1000))*1000)),"",IF(O713&lt;fi_h/20,0,(OFFSET('Base de dados'!$A$5,IF(O713&lt;20,1,IF(O713&gt;1000,10,MATCH(O713,Cargas,1))),Coluna_fih,1,1))*(PI()*(fi_h/1000)^2/4)*SQRT(2*9.81*(O713/100-fi_h/2/1000))*1000))</f>
        <v>3.5593224724864467</v>
      </c>
      <c r="Q713" s="38">
        <f ca="1">IF(O713="","",IF(Tipo_Vertedor="Retangular",IF(O713&lt;=cota_s*100,0,IF(Tipo_Vertedor="Retangular",Cd_sr*Lef_sr*((O713/100-cota_s)^(3/2))*1000)),IF(O713&lt;=cota_s*100+fi_s/20,0,(OFFSET('Base de dados'!$A$4,IF(O713&lt;20,1,IF(O713&gt;1000,10,MATCH(O713,Cargas,1))),Coluna_fis,1,1))*(PI()*(fi_s/1000)^2/4)*(2*9.81*(O713/100-cota_s-fi_s/2/1000))^0.5*1000)))</f>
        <v>2.0106558905290322</v>
      </c>
      <c r="R713" s="38">
        <f t="shared" ca="1" si="138"/>
        <v>5.5699783630154789</v>
      </c>
      <c r="S713" s="38">
        <f t="shared" ca="1" si="140"/>
        <v>222.5</v>
      </c>
    </row>
    <row r="714" spans="13:19">
      <c r="M714" s="132">
        <f t="shared" ca="1" si="139"/>
        <v>228.38946591713901</v>
      </c>
      <c r="N714" s="38">
        <f t="shared" si="141"/>
        <v>6.6843750000000002</v>
      </c>
      <c r="O714" s="36">
        <f t="shared" si="137"/>
        <v>178.25</v>
      </c>
      <c r="P714" s="38">
        <f ca="1">IF(ISERROR(IF(O714&lt;fi_h/20,0,(OFFSET('Base de dados'!$A$5,IF(O714&lt;20,1,IF(O714&gt;1000,10,MATCH(O714,Cargas,1))),Coluna_fih,1,1))*(1+0.13*0.25)*(PI()*(fi_h/1000)^2/4)*SQRT(2*9.81*(O714/100-fi_h/2/1000))*1000)),"",IF(O714&lt;fi_h/20,0,(OFFSET('Base de dados'!$A$5,IF(O714&lt;20,1,IF(O714&gt;1000,10,MATCH(O714,Cargas,1))),Coluna_fih,1,1))*(PI()*(fi_h/1000)^2/4)*SQRT(2*9.81*(O714/100-fi_h/2/1000))*1000))</f>
        <v>3.5618460632747513</v>
      </c>
      <c r="Q714" s="38">
        <f ca="1">IF(O714="","",IF(Tipo_Vertedor="Retangular",IF(O714&lt;=cota_s*100,0,IF(Tipo_Vertedor="Retangular",Cd_sr*Lef_sr*((O714/100-cota_s)^(3/2))*1000)),IF(O714&lt;=cota_s*100+fi_s/20,0,(OFFSET('Base de dados'!$A$4,IF(O714&lt;20,1,IF(O714&gt;1000,10,MATCH(O714,Cargas,1))),Coluna_fis,1,1))*(PI()*(fi_s/1000)^2/4)*(2*9.81*(O714/100-cota_s-fi_s/2/1000))^0.5*1000)))</f>
        <v>2.0151198538642565</v>
      </c>
      <c r="R714" s="38">
        <f t="shared" ca="1" si="138"/>
        <v>5.5769659171390078</v>
      </c>
      <c r="S714" s="38">
        <f t="shared" ca="1" si="140"/>
        <v>222.8125</v>
      </c>
    </row>
    <row r="715" spans="13:19">
      <c r="M715" s="132">
        <f t="shared" ca="1" si="139"/>
        <v>228.70894181765476</v>
      </c>
      <c r="N715" s="38">
        <f t="shared" si="141"/>
        <v>6.6937499999999996</v>
      </c>
      <c r="O715" s="36">
        <f t="shared" si="137"/>
        <v>178.5</v>
      </c>
      <c r="P715" s="38">
        <f ca="1">IF(ISERROR(IF(O715&lt;fi_h/20,0,(OFFSET('Base de dados'!$A$5,IF(O715&lt;20,1,IF(O715&gt;1000,10,MATCH(O715,Cargas,1))),Coluna_fih,1,1))*(1+0.13*0.25)*(PI()*(fi_h/1000)^2/4)*SQRT(2*9.81*(O715/100-fi_h/2/1000))*1000)),"",IF(O715&lt;fi_h/20,0,(OFFSET('Base de dados'!$A$5,IF(O715&lt;20,1,IF(O715&gt;1000,10,MATCH(O715,Cargas,1))),Coluna_fih,1,1))*(PI()*(fi_h/1000)^2/4)*SQRT(2*9.81*(O715/100-fi_h/2/1000))*1000))</f>
        <v>3.5643678673482411</v>
      </c>
      <c r="Q715" s="38">
        <f ca="1">IF(O715="","",IF(Tipo_Vertedor="Retangular",IF(O715&lt;=cota_s*100,0,IF(Tipo_Vertedor="Retangular",Cd_sr*Lef_sr*((O715/100-cota_s)^(3/2))*1000)),IF(O715&lt;=cota_s*100+fi_s/20,0,(OFFSET('Base de dados'!$A$4,IF(O715&lt;20,1,IF(O715&gt;1000,10,MATCH(O715,Cargas,1))),Coluna_fis,1,1))*(PI()*(fi_s/1000)^2/4)*(2*9.81*(O715/100-cota_s-fi_s/2/1000))^0.5*1000)))</f>
        <v>2.0195739503065271</v>
      </c>
      <c r="R715" s="38">
        <f t="shared" ca="1" si="138"/>
        <v>5.5839418176547682</v>
      </c>
      <c r="S715" s="38">
        <f t="shared" ca="1" si="140"/>
        <v>223.125</v>
      </c>
    </row>
    <row r="716" spans="13:19">
      <c r="M716" s="132">
        <f t="shared" ca="1" si="139"/>
        <v>229.02840613349227</v>
      </c>
      <c r="N716" s="38">
        <f t="shared" si="141"/>
        <v>6.703125</v>
      </c>
      <c r="O716" s="36">
        <f t="shared" si="137"/>
        <v>178.75</v>
      </c>
      <c r="P716" s="38">
        <f ca="1">IF(ISERROR(IF(O716&lt;fi_h/20,0,(OFFSET('Base de dados'!$A$5,IF(O716&lt;20,1,IF(O716&gt;1000,10,MATCH(O716,Cargas,1))),Coluna_fih,1,1))*(1+0.13*0.25)*(PI()*(fi_h/1000)^2/4)*SQRT(2*9.81*(O716/100-fi_h/2/1000))*1000)),"",IF(O716&lt;fi_h/20,0,(OFFSET('Base de dados'!$A$5,IF(O716&lt;20,1,IF(O716&gt;1000,10,MATCH(O716,Cargas,1))),Coluna_fih,1,1))*(PI()*(fi_h/1000)^2/4)*SQRT(2*9.81*(O716/100-fi_h/2/1000))*1000))</f>
        <v>3.566887888496562</v>
      </c>
      <c r="Q716" s="38">
        <f ca="1">IF(O716="","",IF(Tipo_Vertedor="Retangular",IF(O716&lt;=cota_s*100,0,IF(Tipo_Vertedor="Retangular",Cd_sr*Lef_sr*((O716/100-cota_s)^(3/2))*1000)),IF(O716&lt;=cota_s*100+fi_s/20,0,(OFFSET('Base de dados'!$A$4,IF(O716&lt;20,1,IF(O716&gt;1000,10,MATCH(O716,Cargas,1))),Coluna_fis,1,1))*(PI()*(fi_s/1000)^2/4)*(2*9.81*(O716/100-cota_s-fi_s/2/1000))^0.5*1000)))</f>
        <v>2.0240182449957116</v>
      </c>
      <c r="R716" s="38">
        <f t="shared" ca="1" si="138"/>
        <v>5.5909061334922736</v>
      </c>
      <c r="S716" s="38">
        <f t="shared" ca="1" si="140"/>
        <v>223.4375</v>
      </c>
    </row>
    <row r="717" spans="13:19">
      <c r="M717" s="132">
        <f t="shared" ca="1" si="139"/>
        <v>229.34785893285405</v>
      </c>
      <c r="N717" s="38">
        <f t="shared" si="141"/>
        <v>6.7125000000000004</v>
      </c>
      <c r="O717" s="36">
        <f t="shared" si="137"/>
        <v>179</v>
      </c>
      <c r="P717" s="38">
        <f ca="1">IF(ISERROR(IF(O717&lt;fi_h/20,0,(OFFSET('Base de dados'!$A$5,IF(O717&lt;20,1,IF(O717&gt;1000,10,MATCH(O717,Cargas,1))),Coluna_fih,1,1))*(1+0.13*0.25)*(PI()*(fi_h/1000)^2/4)*SQRT(2*9.81*(O717/100-fi_h/2/1000))*1000)),"",IF(O717&lt;fi_h/20,0,(OFFSET('Base de dados'!$A$5,IF(O717&lt;20,1,IF(O717&gt;1000,10,MATCH(O717,Cargas,1))),Coluna_fih,1,1))*(PI()*(fi_h/1000)^2/4)*SQRT(2*9.81*(O717/100-fi_h/2/1000))*1000))</f>
        <v>3.569406130495977</v>
      </c>
      <c r="Q717" s="38">
        <f ca="1">IF(O717="","",IF(Tipo_Vertedor="Retangular",IF(O717&lt;=cota_s*100,0,IF(Tipo_Vertedor="Retangular",Cd_sr*Lef_sr*((O717/100-cota_s)^(3/2))*1000)),IF(O717&lt;=cota_s*100+fi_s/20,0,(OFFSET('Base de dados'!$A$4,IF(O717&lt;20,1,IF(O717&gt;1000,10,MATCH(O717,Cargas,1))),Coluna_fis,1,1))*(PI()*(fi_s/1000)^2/4)*(2*9.81*(O717/100-cota_s-fi_s/2/1000))^0.5*1000)))</f>
        <v>2.0284528023580752</v>
      </c>
      <c r="R717" s="38">
        <f t="shared" ca="1" si="138"/>
        <v>5.5978589328540522</v>
      </c>
      <c r="S717" s="38">
        <f t="shared" ca="1" si="140"/>
        <v>223.75</v>
      </c>
    </row>
    <row r="718" spans="13:19">
      <c r="M718" s="132">
        <f t="shared" ca="1" si="139"/>
        <v>229.66730028322661</v>
      </c>
      <c r="N718" s="38">
        <f t="shared" si="141"/>
        <v>6.7218749999999998</v>
      </c>
      <c r="O718" s="36">
        <f t="shared" si="137"/>
        <v>179.25</v>
      </c>
      <c r="P718" s="38">
        <f ca="1">IF(ISERROR(IF(O718&lt;fi_h/20,0,(OFFSET('Base de dados'!$A$5,IF(O718&lt;20,1,IF(O718&gt;1000,10,MATCH(O718,Cargas,1))),Coluna_fih,1,1))*(1+0.13*0.25)*(PI()*(fi_h/1000)^2/4)*SQRT(2*9.81*(O718/100-fi_h/2/1000))*1000)),"",IF(O718&lt;fi_h/20,0,(OFFSET('Base de dados'!$A$5,IF(O718&lt;20,1,IF(O718&gt;1000,10,MATCH(O718,Cargas,1))),Coluna_fih,1,1))*(PI()*(fi_h/1000)^2/4)*SQRT(2*9.81*(O718/100-fi_h/2/1000))*1000))</f>
        <v>3.5719225971094439</v>
      </c>
      <c r="Q718" s="38">
        <f ca="1">IF(O718="","",IF(Tipo_Vertedor="Retangular",IF(O718&lt;=cota_s*100,0,IF(Tipo_Vertedor="Retangular",Cd_sr*Lef_sr*((O718/100-cota_s)^(3/2))*1000)),IF(O718&lt;=cota_s*100+fi_s/20,0,(OFFSET('Base de dados'!$A$4,IF(O718&lt;20,1,IF(O718&gt;1000,10,MATCH(O718,Cargas,1))),Coluna_fis,1,1))*(PI()*(fi_s/1000)^2/4)*(2*9.81*(O718/100-cota_s-fi_s/2/1000))^0.5*1000)))</f>
        <v>2.0328776861171791</v>
      </c>
      <c r="R718" s="38">
        <f t="shared" ca="1" si="138"/>
        <v>5.6048002832266235</v>
      </c>
      <c r="S718" s="38">
        <f t="shared" ca="1" si="140"/>
        <v>224.0625</v>
      </c>
    </row>
    <row r="719" spans="13:19">
      <c r="M719" s="132">
        <f t="shared" ca="1" si="139"/>
        <v>229.98673025139121</v>
      </c>
      <c r="N719" s="38">
        <f t="shared" si="141"/>
        <v>6.7312499999999993</v>
      </c>
      <c r="O719" s="36">
        <f t="shared" si="137"/>
        <v>179.5</v>
      </c>
      <c r="P719" s="38">
        <f ca="1">IF(ISERROR(IF(O719&lt;fi_h/20,0,(OFFSET('Base de dados'!$A$5,IF(O719&lt;20,1,IF(O719&gt;1000,10,MATCH(O719,Cargas,1))),Coluna_fih,1,1))*(1+0.13*0.25)*(PI()*(fi_h/1000)^2/4)*SQRT(2*9.81*(O719/100-fi_h/2/1000))*1000)),"",IF(O719&lt;fi_h/20,0,(OFFSET('Base de dados'!$A$5,IF(O719&lt;20,1,IF(O719&gt;1000,10,MATCH(O719,Cargas,1))),Coluna_fih,1,1))*(PI()*(fi_h/1000)^2/4)*SQRT(2*9.81*(O719/100-fi_h/2/1000))*1000))</f>
        <v>3.5744372920866696</v>
      </c>
      <c r="Q719" s="38">
        <f ca="1">IF(O719="","",IF(Tipo_Vertedor="Retangular",IF(O719&lt;=cota_s*100,0,IF(Tipo_Vertedor="Retangular",Cd_sr*Lef_sr*((O719/100-cota_s)^(3/2))*1000)),IF(O719&lt;=cota_s*100+fi_s/20,0,(OFFSET('Base de dados'!$A$4,IF(O719&lt;20,1,IF(O719&gt;1000,10,MATCH(O719,Cargas,1))),Coluna_fis,1,1))*(PI()*(fi_s/1000)^2/4)*(2*9.81*(O719/100-cota_s-fi_s/2/1000))^0.5*1000)))</f>
        <v>2.0372929593045628</v>
      </c>
      <c r="R719" s="38">
        <f t="shared" ca="1" si="138"/>
        <v>5.6117302513912328</v>
      </c>
      <c r="S719" s="38">
        <f t="shared" ca="1" si="140"/>
        <v>224.37499999999997</v>
      </c>
    </row>
    <row r="720" spans="13:19">
      <c r="M720" s="132">
        <f t="shared" ca="1" si="139"/>
        <v>230.30614890343443</v>
      </c>
      <c r="N720" s="38">
        <f t="shared" si="141"/>
        <v>6.7406250000000005</v>
      </c>
      <c r="O720" s="36">
        <f t="shared" si="137"/>
        <v>179.75</v>
      </c>
      <c r="P720" s="38">
        <f ca="1">IF(ISERROR(IF(O720&lt;fi_h/20,0,(OFFSET('Base de dados'!$A$5,IF(O720&lt;20,1,IF(O720&gt;1000,10,MATCH(O720,Cargas,1))),Coluna_fih,1,1))*(1+0.13*0.25)*(PI()*(fi_h/1000)^2/4)*SQRT(2*9.81*(O720/100-fi_h/2/1000))*1000)),"",IF(O720&lt;fi_h/20,0,(OFFSET('Base de dados'!$A$5,IF(O720&lt;20,1,IF(O720&gt;1000,10,MATCH(O720,Cargas,1))),Coluna_fih,1,1))*(PI()*(fi_h/1000)^2/4)*SQRT(2*9.81*(O720/100-fi_h/2/1000))*1000))</f>
        <v>3.576950219164182</v>
      </c>
      <c r="Q720" s="38">
        <f ca="1">IF(O720="","",IF(Tipo_Vertedor="Retangular",IF(O720&lt;=cota_s*100,0,IF(Tipo_Vertedor="Retangular",Cd_sr*Lef_sr*((O720/100-cota_s)^(3/2))*1000)),IF(O720&lt;=cota_s*100+fi_s/20,0,(OFFSET('Base de dados'!$A$4,IF(O720&lt;20,1,IF(O720&gt;1000,10,MATCH(O720,Cargas,1))),Coluna_fis,1,1))*(PI()*(fi_s/1000)^2/4)*(2*9.81*(O720/100-cota_s-fi_s/2/1000))^0.5*1000)))</f>
        <v>2.0416986842702216</v>
      </c>
      <c r="R720" s="38">
        <f t="shared" ca="1" si="138"/>
        <v>5.6186489034344032</v>
      </c>
      <c r="S720" s="38">
        <f t="shared" ca="1" si="140"/>
        <v>224.68750000000003</v>
      </c>
    </row>
    <row r="721" spans="13:19">
      <c r="M721" s="132">
        <f t="shared" ca="1" si="139"/>
        <v>230.62555630475828</v>
      </c>
      <c r="N721" s="38">
        <f t="shared" si="141"/>
        <v>6.75</v>
      </c>
      <c r="O721" s="36">
        <f t="shared" si="137"/>
        <v>180</v>
      </c>
      <c r="P721" s="38">
        <f ca="1">IF(ISERROR(IF(O721&lt;fi_h/20,0,(OFFSET('Base de dados'!$A$5,IF(O721&lt;20,1,IF(O721&gt;1000,10,MATCH(O721,Cargas,1))),Coluna_fih,1,1))*(1+0.13*0.25)*(PI()*(fi_h/1000)^2/4)*SQRT(2*9.81*(O721/100-fi_h/2/1000))*1000)),"",IF(O721&lt;fi_h/20,0,(OFFSET('Base de dados'!$A$5,IF(O721&lt;20,1,IF(O721&gt;1000,10,MATCH(O721,Cargas,1))),Coluna_fih,1,1))*(PI()*(fi_h/1000)^2/4)*SQRT(2*9.81*(O721/100-fi_h/2/1000))*1000))</f>
        <v>3.5794613820653942</v>
      </c>
      <c r="Q721" s="38">
        <f ca="1">IF(O721="","",IF(Tipo_Vertedor="Retangular",IF(O721&lt;=cota_s*100,0,IF(Tipo_Vertedor="Retangular",Cd_sr*Lef_sr*((O721/100-cota_s)^(3/2))*1000)),IF(O721&lt;=cota_s*100+fi_s/20,0,(OFFSET('Base de dados'!$A$4,IF(O721&lt;20,1,IF(O721&gt;1000,10,MATCH(O721,Cargas,1))),Coluna_fis,1,1))*(PI()*(fi_s/1000)^2/4)*(2*9.81*(O721/100-cota_s-fi_s/2/1000))^0.5*1000)))</f>
        <v>2.0460949226928746</v>
      </c>
      <c r="R721" s="38">
        <f t="shared" ca="1" si="138"/>
        <v>5.6255563047582688</v>
      </c>
      <c r="S721" s="38">
        <f t="shared" ca="1" si="140"/>
        <v>225</v>
      </c>
    </row>
    <row r="722" spans="13:19">
      <c r="M722" s="132">
        <f t="shared" ca="1" si="139"/>
        <v>230.94495252009071</v>
      </c>
      <c r="N722" s="38">
        <f t="shared" si="141"/>
        <v>6.7593750000000004</v>
      </c>
      <c r="O722" s="36">
        <f t="shared" si="137"/>
        <v>180.25</v>
      </c>
      <c r="P722" s="38">
        <f ca="1">IF(ISERROR(IF(O722&lt;fi_h/20,0,(OFFSET('Base de dados'!$A$5,IF(O722&lt;20,1,IF(O722&gt;1000,10,MATCH(O722,Cargas,1))),Coluna_fih,1,1))*(1+0.13*0.25)*(PI()*(fi_h/1000)^2/4)*SQRT(2*9.81*(O722/100-fi_h/2/1000))*1000)),"",IF(O722&lt;fi_h/20,0,(OFFSET('Base de dados'!$A$5,IF(O722&lt;20,1,IF(O722&gt;1000,10,MATCH(O722,Cargas,1))),Coluna_fih,1,1))*(PI()*(fi_h/1000)^2/4)*SQRT(2*9.81*(O722/100-fi_h/2/1000))*1000))</f>
        <v>3.581970784500665</v>
      </c>
      <c r="Q722" s="38">
        <f ca="1">IF(O722="","",IF(Tipo_Vertedor="Retangular",IF(O722&lt;=cota_s*100,0,IF(Tipo_Vertedor="Retangular",Cd_sr*Lef_sr*((O722/100-cota_s)^(3/2))*1000)),IF(O722&lt;=cota_s*100+fi_s/20,0,(OFFSET('Base de dados'!$A$4,IF(O722&lt;20,1,IF(O722&gt;1000,10,MATCH(O722,Cargas,1))),Coluna_fis,1,1))*(PI()*(fi_s/1000)^2/4)*(2*9.81*(O722/100-cota_s-fi_s/2/1000))^0.5*1000)))</f>
        <v>2.0504817355900462</v>
      </c>
      <c r="R722" s="38">
        <f t="shared" ca="1" si="138"/>
        <v>5.6324525200907107</v>
      </c>
      <c r="S722" s="38">
        <f t="shared" ca="1" si="140"/>
        <v>225.3125</v>
      </c>
    </row>
    <row r="723" spans="13:19">
      <c r="M723" s="132">
        <f t="shared" ca="1" si="139"/>
        <v>231.26433761349531</v>
      </c>
      <c r="N723" s="38">
        <f t="shared" si="141"/>
        <v>6.7687499999999998</v>
      </c>
      <c r="O723" s="36">
        <f t="shared" ref="O723:O786" si="142">IF(ISERROR(IF(O722+passo_altura&gt;h_max_puls*100,"",O722+passo_altura)),"",IF(O722+passo_altura&gt;h_max_puls*100,"",O722+passo_altura))</f>
        <v>180.5</v>
      </c>
      <c r="P723" s="38">
        <f ca="1">IF(ISERROR(IF(O723&lt;fi_h/20,0,(OFFSET('Base de dados'!$A$5,IF(O723&lt;20,1,IF(O723&gt;1000,10,MATCH(O723,Cargas,1))),Coluna_fih,1,1))*(1+0.13*0.25)*(PI()*(fi_h/1000)^2/4)*SQRT(2*9.81*(O723/100-fi_h/2/1000))*1000)),"",IF(O723&lt;fi_h/20,0,(OFFSET('Base de dados'!$A$5,IF(O723&lt;20,1,IF(O723&gt;1000,10,MATCH(O723,Cargas,1))),Coluna_fih,1,1))*(PI()*(fi_h/1000)^2/4)*SQRT(2*9.81*(O723/100-fi_h/2/1000))*1000))</f>
        <v>3.5844784301673678</v>
      </c>
      <c r="Q723" s="38">
        <f ca="1">IF(O723="","",IF(Tipo_Vertedor="Retangular",IF(O723&lt;=cota_s*100,0,IF(Tipo_Vertedor="Retangular",Cd_sr*Lef_sr*((O723/100-cota_s)^(3/2))*1000)),IF(O723&lt;=cota_s*100+fi_s/20,0,(OFFSET('Base de dados'!$A$4,IF(O723&lt;20,1,IF(O723&gt;1000,10,MATCH(O723,Cargas,1))),Coluna_fis,1,1))*(PI()*(fi_s/1000)^2/4)*(2*9.81*(O723/100-cota_s-fi_s/2/1000))^0.5*1000)))</f>
        <v>2.0548591833279417</v>
      </c>
      <c r="R723" s="38">
        <f t="shared" ref="R723:R786" ca="1" si="143">IF(O723="","",Q723+P723)</f>
        <v>5.639337613495309</v>
      </c>
      <c r="S723" s="38">
        <f t="shared" ca="1" si="140"/>
        <v>225.625</v>
      </c>
    </row>
    <row r="724" spans="13:19">
      <c r="M724" s="132">
        <f t="shared" ca="1" si="139"/>
        <v>231.5837116483811</v>
      </c>
      <c r="N724" s="38">
        <f t="shared" si="141"/>
        <v>6.7781250000000002</v>
      </c>
      <c r="O724" s="36">
        <f t="shared" si="142"/>
        <v>180.75</v>
      </c>
      <c r="P724" s="38">
        <f ca="1">IF(ISERROR(IF(O724&lt;fi_h/20,0,(OFFSET('Base de dados'!$A$5,IF(O724&lt;20,1,IF(O724&gt;1000,10,MATCH(O724,Cargas,1))),Coluna_fih,1,1))*(1+0.13*0.25)*(PI()*(fi_h/1000)^2/4)*SQRT(2*9.81*(O724/100-fi_h/2/1000))*1000)),"",IF(O724&lt;fi_h/20,0,(OFFSET('Base de dados'!$A$5,IF(O724&lt;20,1,IF(O724&gt;1000,10,MATCH(O724,Cargas,1))),Coluna_fih,1,1))*(PI()*(fi_h/1000)^2/4)*SQRT(2*9.81*(O724/100-fi_h/2/1000))*1000))</f>
        <v>3.5869843227499514</v>
      </c>
      <c r="Q724" s="38">
        <f ca="1">IF(O724="","",IF(Tipo_Vertedor="Retangular",IF(O724&lt;=cota_s*100,0,IF(Tipo_Vertedor="Retangular",Cd_sr*Lef_sr*((O724/100-cota_s)^(3/2))*1000)),IF(O724&lt;=cota_s*100+fi_s/20,0,(OFFSET('Base de dados'!$A$4,IF(O724&lt;20,1,IF(O724&gt;1000,10,MATCH(O724,Cargas,1))),Coluna_fis,1,1))*(PI()*(fi_s/1000)^2/4)*(2*9.81*(O724/100-cota_s-fi_s/2/1000))^0.5*1000)))</f>
        <v>2.059227325631142</v>
      </c>
      <c r="R724" s="38">
        <f t="shared" ca="1" si="143"/>
        <v>5.6462116483810938</v>
      </c>
      <c r="S724" s="38">
        <f t="shared" ca="1" si="140"/>
        <v>225.9375</v>
      </c>
    </row>
    <row r="725" spans="13:19">
      <c r="M725" s="132">
        <f t="shared" ca="1" si="139"/>
        <v>231.90307468751215</v>
      </c>
      <c r="N725" s="38">
        <f t="shared" si="141"/>
        <v>6.7875000000000005</v>
      </c>
      <c r="O725" s="36">
        <f t="shared" si="142"/>
        <v>181</v>
      </c>
      <c r="P725" s="38">
        <f ca="1">IF(ISERROR(IF(O725&lt;fi_h/20,0,(OFFSET('Base de dados'!$A$5,IF(O725&lt;20,1,IF(O725&gt;1000,10,MATCH(O725,Cargas,1))),Coluna_fih,1,1))*(1+0.13*0.25)*(PI()*(fi_h/1000)^2/4)*SQRT(2*9.81*(O725/100-fi_h/2/1000))*1000)),"",IF(O725&lt;fi_h/20,0,(OFFSET('Base de dados'!$A$5,IF(O725&lt;20,1,IF(O725&gt;1000,10,MATCH(O725,Cargas,1))),Coluna_fih,1,1))*(PI()*(fi_h/1000)^2/4)*SQRT(2*9.81*(O725/100-fi_h/2/1000))*1000))</f>
        <v>3.5894884659200024</v>
      </c>
      <c r="Q725" s="38">
        <f ca="1">IF(O725="","",IF(Tipo_Vertedor="Retangular",IF(O725&lt;=cota_s*100,0,IF(Tipo_Vertedor="Retangular",Cd_sr*Lef_sr*((O725/100-cota_s)^(3/2))*1000)),IF(O725&lt;=cota_s*100+fi_s/20,0,(OFFSET('Base de dados'!$A$4,IF(O725&lt;20,1,IF(O725&gt;1000,10,MATCH(O725,Cargas,1))),Coluna_fis,1,1))*(PI()*(fi_s/1000)^2/4)*(2*9.81*(O725/100-cota_s-fi_s/2/1000))^0.5*1000)))</f>
        <v>2.0635862215921086</v>
      </c>
      <c r="R725" s="38">
        <f t="shared" ca="1" si="143"/>
        <v>5.6530746875121114</v>
      </c>
      <c r="S725" s="38">
        <f t="shared" ca="1" si="140"/>
        <v>226.25000000000003</v>
      </c>
    </row>
    <row r="726" spans="13:19">
      <c r="M726" s="132">
        <f t="shared" ca="1" si="139"/>
        <v>232.22242679301684</v>
      </c>
      <c r="N726" s="38">
        <f t="shared" si="141"/>
        <v>6.796875</v>
      </c>
      <c r="O726" s="36">
        <f t="shared" si="142"/>
        <v>181.25</v>
      </c>
      <c r="P726" s="38">
        <f ca="1">IF(ISERROR(IF(O726&lt;fi_h/20,0,(OFFSET('Base de dados'!$A$5,IF(O726&lt;20,1,IF(O726&gt;1000,10,MATCH(O726,Cargas,1))),Coluna_fih,1,1))*(1+0.13*0.25)*(PI()*(fi_h/1000)^2/4)*SQRT(2*9.81*(O726/100-fi_h/2/1000))*1000)),"",IF(O726&lt;fi_h/20,0,(OFFSET('Base de dados'!$A$5,IF(O726&lt;20,1,IF(O726&gt;1000,10,MATCH(O726,Cargas,1))),Coluna_fih,1,1))*(PI()*(fi_h/1000)^2/4)*SQRT(2*9.81*(O726/100-fi_h/2/1000))*1000))</f>
        <v>3.5919908633363113</v>
      </c>
      <c r="Q726" s="38">
        <f ca="1">IF(O726="","",IF(Tipo_Vertedor="Retangular",IF(O726&lt;=cota_s*100,0,IF(Tipo_Vertedor="Retangular",Cd_sr*Lef_sr*((O726/100-cota_s)^(3/2))*1000)),IF(O726&lt;=cota_s*100+fi_s/20,0,(OFFSET('Base de dados'!$A$4,IF(O726&lt;20,1,IF(O726&gt;1000,10,MATCH(O726,Cargas,1))),Coluna_fis,1,1))*(PI()*(fi_s/1000)^2/4)*(2*9.81*(O726/100-cota_s-fi_s/2/1000))^0.5*1000)))</f>
        <v>2.0679359296805115</v>
      </c>
      <c r="R726" s="38">
        <f t="shared" ca="1" si="143"/>
        <v>5.6599267930168224</v>
      </c>
      <c r="S726" s="38">
        <f t="shared" ca="1" si="140"/>
        <v>226.5625</v>
      </c>
    </row>
    <row r="727" spans="13:19">
      <c r="M727" s="132">
        <f t="shared" ca="1" si="139"/>
        <v>232.54176802639728</v>
      </c>
      <c r="N727" s="38">
        <f t="shared" si="141"/>
        <v>6.8062499999999995</v>
      </c>
      <c r="O727" s="36">
        <f t="shared" si="142"/>
        <v>181.5</v>
      </c>
      <c r="P727" s="38">
        <f ca="1">IF(ISERROR(IF(O727&lt;fi_h/20,0,(OFFSET('Base de dados'!$A$5,IF(O727&lt;20,1,IF(O727&gt;1000,10,MATCH(O727,Cargas,1))),Coluna_fih,1,1))*(1+0.13*0.25)*(PI()*(fi_h/1000)^2/4)*SQRT(2*9.81*(O727/100-fi_h/2/1000))*1000)),"",IF(O727&lt;fi_h/20,0,(OFFSET('Base de dados'!$A$5,IF(O727&lt;20,1,IF(O727&gt;1000,10,MATCH(O727,Cargas,1))),Coluna_fih,1,1))*(PI()*(fi_h/1000)^2/4)*SQRT(2*9.81*(O727/100-fi_h/2/1000))*1000))</f>
        <v>3.594491518644932</v>
      </c>
      <c r="Q727" s="38">
        <f ca="1">IF(O727="","",IF(Tipo_Vertedor="Retangular",IF(O727&lt;=cota_s*100,0,IF(Tipo_Vertedor="Retangular",Cd_sr*Lef_sr*((O727/100-cota_s)^(3/2))*1000)),IF(O727&lt;=cota_s*100+fi_s/20,0,(OFFSET('Base de dados'!$A$4,IF(O727&lt;20,1,IF(O727&gt;1000,10,MATCH(O727,Cargas,1))),Coluna_fis,1,1))*(PI()*(fi_s/1000)^2/4)*(2*9.81*(O727/100-cota_s-fi_s/2/1000))^0.5*1000)))</f>
        <v>2.0722765077523824</v>
      </c>
      <c r="R727" s="38">
        <f t="shared" ca="1" si="143"/>
        <v>5.6667680263973139</v>
      </c>
      <c r="S727" s="38">
        <f t="shared" ca="1" si="140"/>
        <v>226.87499999999997</v>
      </c>
    </row>
    <row r="728" spans="13:19">
      <c r="M728" s="132">
        <f t="shared" ca="1" si="139"/>
        <v>232.86109844853834</v>
      </c>
      <c r="N728" s="38">
        <f t="shared" si="141"/>
        <v>6.8156249999999998</v>
      </c>
      <c r="O728" s="36">
        <f t="shared" si="142"/>
        <v>181.75</v>
      </c>
      <c r="P728" s="38">
        <f ca="1">IF(ISERROR(IF(O728&lt;fi_h/20,0,(OFFSET('Base de dados'!$A$5,IF(O728&lt;20,1,IF(O728&gt;1000,10,MATCH(O728,Cargas,1))),Coluna_fih,1,1))*(1+0.13*0.25)*(PI()*(fi_h/1000)^2/4)*SQRT(2*9.81*(O728/100-fi_h/2/1000))*1000)),"",IF(O728&lt;fi_h/20,0,(OFFSET('Base de dados'!$A$5,IF(O728&lt;20,1,IF(O728&gt;1000,10,MATCH(O728,Cargas,1))),Coluna_fih,1,1))*(PI()*(fi_h/1000)^2/4)*SQRT(2*9.81*(O728/100-fi_h/2/1000))*1000))</f>
        <v>3.5969904354792428</v>
      </c>
      <c r="Q728" s="38">
        <f ca="1">IF(O728="","",IF(Tipo_Vertedor="Retangular",IF(O728&lt;=cota_s*100,0,IF(Tipo_Vertedor="Retangular",Cd_sr*Lef_sr*((O728/100-cota_s)^(3/2))*1000)),IF(O728&lt;=cota_s*100+fi_s/20,0,(OFFSET('Base de dados'!$A$4,IF(O728&lt;20,1,IF(O728&gt;1000,10,MATCH(O728,Cargas,1))),Coluna_fis,1,1))*(PI()*(fi_s/1000)^2/4)*(2*9.81*(O728/100-cota_s-fi_s/2/1000))^0.5*1000)))</f>
        <v>2.0766080130590887</v>
      </c>
      <c r="R728" s="38">
        <f t="shared" ca="1" si="143"/>
        <v>5.673598448538332</v>
      </c>
      <c r="S728" s="38">
        <f t="shared" ca="1" si="140"/>
        <v>227.1875</v>
      </c>
    </row>
    <row r="729" spans="13:19">
      <c r="M729" s="132">
        <f t="shared" ca="1" si="139"/>
        <v>233.18041811971617</v>
      </c>
      <c r="N729" s="38">
        <f t="shared" si="141"/>
        <v>6.8250000000000002</v>
      </c>
      <c r="O729" s="36">
        <f t="shared" si="142"/>
        <v>182</v>
      </c>
      <c r="P729" s="38">
        <f ca="1">IF(ISERROR(IF(O729&lt;fi_h/20,0,(OFFSET('Base de dados'!$A$5,IF(O729&lt;20,1,IF(O729&gt;1000,10,MATCH(O729,Cargas,1))),Coluna_fih,1,1))*(1+0.13*0.25)*(PI()*(fi_h/1000)^2/4)*SQRT(2*9.81*(O729/100-fi_h/2/1000))*1000)),"",IF(O729&lt;fi_h/20,0,(OFFSET('Base de dados'!$A$5,IF(O729&lt;20,1,IF(O729&gt;1000,10,MATCH(O729,Cargas,1))),Coluna_fih,1,1))*(PI()*(fi_h/1000)^2/4)*SQRT(2*9.81*(O729/100-fi_h/2/1000))*1000))</f>
        <v>3.5994876174600137</v>
      </c>
      <c r="Q729" s="38">
        <f ca="1">IF(O729="","",IF(Tipo_Vertedor="Retangular",IF(O729&lt;=cota_s*100,0,IF(Tipo_Vertedor="Retangular",Cd_sr*Lef_sr*((O729/100-cota_s)^(3/2))*1000)),IF(O729&lt;=cota_s*100+fi_s/20,0,(OFFSET('Base de dados'!$A$4,IF(O729&lt;20,1,IF(O729&gt;1000,10,MATCH(O729,Cargas,1))),Coluna_fis,1,1))*(PI()*(fi_s/1000)^2/4)*(2*9.81*(O729/100-cota_s-fi_s/2/1000))^0.5*1000)))</f>
        <v>2.0809305022561486</v>
      </c>
      <c r="R729" s="38">
        <f t="shared" ca="1" si="143"/>
        <v>5.6804181197161618</v>
      </c>
      <c r="S729" s="38">
        <f t="shared" ca="1" si="140"/>
        <v>227.5</v>
      </c>
    </row>
    <row r="730" spans="13:19">
      <c r="M730" s="132">
        <f t="shared" ca="1" si="139"/>
        <v>233.49972709960733</v>
      </c>
      <c r="N730" s="38">
        <f t="shared" si="141"/>
        <v>6.8343749999999996</v>
      </c>
      <c r="O730" s="36">
        <f t="shared" si="142"/>
        <v>182.25</v>
      </c>
      <c r="P730" s="38">
        <f ca="1">IF(ISERROR(IF(O730&lt;fi_h/20,0,(OFFSET('Base de dados'!$A$5,IF(O730&lt;20,1,IF(O730&gt;1000,10,MATCH(O730,Cargas,1))),Coluna_fih,1,1))*(1+0.13*0.25)*(PI()*(fi_h/1000)^2/4)*SQRT(2*9.81*(O730/100-fi_h/2/1000))*1000)),"",IF(O730&lt;fi_h/20,0,(OFFSET('Base de dados'!$A$5,IF(O730&lt;20,1,IF(O730&gt;1000,10,MATCH(O730,Cargas,1))),Coluna_fih,1,1))*(PI()*(fi_h/1000)^2/4)*SQRT(2*9.81*(O730/100-fi_h/2/1000))*1000))</f>
        <v>3.6019830681954588</v>
      </c>
      <c r="Q730" s="38">
        <f ca="1">IF(O730="","",IF(Tipo_Vertedor="Retangular",IF(O730&lt;=cota_s*100,0,IF(Tipo_Vertedor="Retangular",Cd_sr*Lef_sr*((O730/100-cota_s)^(3/2))*1000)),IF(O730&lt;=cota_s*100+fi_s/20,0,(OFFSET('Base de dados'!$A$4,IF(O730&lt;20,1,IF(O730&gt;1000,10,MATCH(O730,Cargas,1))),Coluna_fis,1,1))*(PI()*(fi_s/1000)^2/4)*(2*9.81*(O730/100-cota_s-fi_s/2/1000))^0.5*1000)))</f>
        <v>2.0852440314118716</v>
      </c>
      <c r="R730" s="38">
        <f t="shared" ca="1" si="143"/>
        <v>5.6872270996073304</v>
      </c>
      <c r="S730" s="38">
        <f t="shared" ca="1" si="140"/>
        <v>227.8125</v>
      </c>
    </row>
    <row r="731" spans="13:19">
      <c r="M731" s="132">
        <f t="shared" ca="1" si="139"/>
        <v>233.81902544729715</v>
      </c>
      <c r="N731" s="38">
        <f t="shared" si="141"/>
        <v>6.84375</v>
      </c>
      <c r="O731" s="36">
        <f t="shared" si="142"/>
        <v>182.5</v>
      </c>
      <c r="P731" s="38">
        <f ca="1">IF(ISERROR(IF(O731&lt;fi_h/20,0,(OFFSET('Base de dados'!$A$5,IF(O731&lt;20,1,IF(O731&gt;1000,10,MATCH(O731,Cargas,1))),Coluna_fih,1,1))*(1+0.13*0.25)*(PI()*(fi_h/1000)^2/4)*SQRT(2*9.81*(O731/100-fi_h/2/1000))*1000)),"",IF(O731&lt;fi_h/20,0,(OFFSET('Base de dados'!$A$5,IF(O731&lt;20,1,IF(O731&gt;1000,10,MATCH(O731,Cargas,1))),Coluna_fih,1,1))*(PI()*(fi_h/1000)^2/4)*SQRT(2*9.81*(O731/100-fi_h/2/1000))*1000))</f>
        <v>3.6044767912813063</v>
      </c>
      <c r="Q731" s="38">
        <f ca="1">IF(O731="","",IF(Tipo_Vertedor="Retangular",IF(O731&lt;=cota_s*100,0,IF(Tipo_Vertedor="Retangular",Cd_sr*Lef_sr*((O731/100-cota_s)^(3/2))*1000)),IF(O731&lt;=cota_s*100+fi_s/20,0,(OFFSET('Base de dados'!$A$4,IF(O731&lt;20,1,IF(O731&gt;1000,10,MATCH(O731,Cargas,1))),Coluna_fis,1,1))*(PI()*(fi_s/1000)^2/4)*(2*9.81*(O731/100-cota_s-fi_s/2/1000))^0.5*1000)))</f>
        <v>2.0895486560158494</v>
      </c>
      <c r="R731" s="38">
        <f t="shared" ca="1" si="143"/>
        <v>5.6940254472971557</v>
      </c>
      <c r="S731" s="38">
        <f t="shared" ca="1" si="140"/>
        <v>228.125</v>
      </c>
    </row>
    <row r="732" spans="13:19">
      <c r="M732" s="132">
        <f t="shared" ca="1" si="139"/>
        <v>234.13831322128812</v>
      </c>
      <c r="N732" s="38">
        <f t="shared" si="141"/>
        <v>6.8531249999999995</v>
      </c>
      <c r="O732" s="36">
        <f t="shared" si="142"/>
        <v>182.75</v>
      </c>
      <c r="P732" s="38">
        <f ca="1">IF(ISERROR(IF(O732&lt;fi_h/20,0,(OFFSET('Base de dados'!$A$5,IF(O732&lt;20,1,IF(O732&gt;1000,10,MATCH(O732,Cargas,1))),Coluna_fih,1,1))*(1+0.13*0.25)*(PI()*(fi_h/1000)^2/4)*SQRT(2*9.81*(O732/100-fi_h/2/1000))*1000)),"",IF(O732&lt;fi_h/20,0,(OFFSET('Base de dados'!$A$5,IF(O732&lt;20,1,IF(O732&gt;1000,10,MATCH(O732,Cargas,1))),Coluna_fih,1,1))*(PI()*(fi_h/1000)^2/4)*SQRT(2*9.81*(O732/100-fi_h/2/1000))*1000))</f>
        <v>3.6069687903008516</v>
      </c>
      <c r="Q732" s="38">
        <f ca="1">IF(O732="","",IF(Tipo_Vertedor="Retangular",IF(O732&lt;=cota_s*100,0,IF(Tipo_Vertedor="Retangular",Cd_sr*Lef_sr*((O732/100-cota_s)^(3/2))*1000)),IF(O732&lt;=cota_s*100+fi_s/20,0,(OFFSET('Base de dados'!$A$4,IF(O732&lt;20,1,IF(O732&gt;1000,10,MATCH(O732,Cargas,1))),Coluna_fis,1,1))*(PI()*(fi_s/1000)^2/4)*(2*9.81*(O732/100-cota_s-fi_s/2/1000))^0.5*1000)))</f>
        <v>2.0938444309872812</v>
      </c>
      <c r="R732" s="38">
        <f t="shared" ca="1" si="143"/>
        <v>5.7008132212881328</v>
      </c>
      <c r="S732" s="38">
        <f t="shared" ca="1" si="140"/>
        <v>228.43749999999997</v>
      </c>
    </row>
    <row r="733" spans="13:19">
      <c r="M733" s="132">
        <f t="shared" ca="1" si="139"/>
        <v>234.45759047950821</v>
      </c>
      <c r="N733" s="38">
        <f t="shared" si="141"/>
        <v>6.8625000000000007</v>
      </c>
      <c r="O733" s="36">
        <f t="shared" si="142"/>
        <v>183</v>
      </c>
      <c r="P733" s="38">
        <f ca="1">IF(ISERROR(IF(O733&lt;fi_h/20,0,(OFFSET('Base de dados'!$A$5,IF(O733&lt;20,1,IF(O733&gt;1000,10,MATCH(O733,Cargas,1))),Coluna_fih,1,1))*(1+0.13*0.25)*(PI()*(fi_h/1000)^2/4)*SQRT(2*9.81*(O733/100-fi_h/2/1000))*1000)),"",IF(O733&lt;fi_h/20,0,(OFFSET('Base de dados'!$A$5,IF(O733&lt;20,1,IF(O733&gt;1000,10,MATCH(O733,Cargas,1))),Coluna_fih,1,1))*(PI()*(fi_h/1000)^2/4)*SQRT(2*9.81*(O733/100-fi_h/2/1000))*1000))</f>
        <v>3.6094590688250228</v>
      </c>
      <c r="Q733" s="38">
        <f ca="1">IF(O733="","",IF(Tipo_Vertedor="Retangular",IF(O733&lt;=cota_s*100,0,IF(Tipo_Vertedor="Retangular",Cd_sr*Lef_sr*((O733/100-cota_s)^(3/2))*1000)),IF(O733&lt;=cota_s*100+fi_s/20,0,(OFFSET('Base de dados'!$A$4,IF(O733&lt;20,1,IF(O733&gt;1000,10,MATCH(O733,Cargas,1))),Coluna_fis,1,1))*(PI()*(fi_s/1000)^2/4)*(2*9.81*(O733/100-cota_s-fi_s/2/1000))^0.5*1000)))</f>
        <v>2.0981314106831483</v>
      </c>
      <c r="R733" s="38">
        <f t="shared" ca="1" si="143"/>
        <v>5.7075904795081716</v>
      </c>
      <c r="S733" s="38">
        <f t="shared" ca="1" si="140"/>
        <v>228.75000000000003</v>
      </c>
    </row>
    <row r="734" spans="13:19">
      <c r="M734" s="132">
        <f t="shared" ca="1" si="139"/>
        <v>234.77685727931868</v>
      </c>
      <c r="N734" s="38">
        <f t="shared" si="141"/>
        <v>6.8718750000000002</v>
      </c>
      <c r="O734" s="36">
        <f t="shared" si="142"/>
        <v>183.25</v>
      </c>
      <c r="P734" s="38">
        <f ca="1">IF(ISERROR(IF(O734&lt;fi_h/20,0,(OFFSET('Base de dados'!$A$5,IF(O734&lt;20,1,IF(O734&gt;1000,10,MATCH(O734,Cargas,1))),Coluna_fih,1,1))*(1+0.13*0.25)*(PI()*(fi_h/1000)^2/4)*SQRT(2*9.81*(O734/100-fi_h/2/1000))*1000)),"",IF(O734&lt;fi_h/20,0,(OFFSET('Base de dados'!$A$5,IF(O734&lt;20,1,IF(O734&gt;1000,10,MATCH(O734,Cargas,1))),Coluna_fih,1,1))*(PI()*(fi_h/1000)^2/4)*SQRT(2*9.81*(O734/100-fi_h/2/1000))*1000))</f>
        <v>3.6119476304124354</v>
      </c>
      <c r="Q734" s="38">
        <f ca="1">IF(O734="","",IF(Tipo_Vertedor="Retangular",IF(O734&lt;=cota_s*100,0,IF(Tipo_Vertedor="Retangular",Cd_sr*Lef_sr*((O734/100-cota_s)^(3/2))*1000)),IF(O734&lt;=cota_s*100+fi_s/20,0,(OFFSET('Base de dados'!$A$4,IF(O734&lt;20,1,IF(O734&gt;1000,10,MATCH(O734,Cargas,1))),Coluna_fis,1,1))*(PI()*(fi_s/1000)^2/4)*(2*9.81*(O734/100-cota_s-fi_s/2/1000))^0.5*1000)))</f>
        <v>2.1024096489062423</v>
      </c>
      <c r="R734" s="38">
        <f t="shared" ca="1" si="143"/>
        <v>5.7143572793186781</v>
      </c>
      <c r="S734" s="38">
        <f t="shared" ca="1" si="140"/>
        <v>229.0625</v>
      </c>
    </row>
    <row r="735" spans="13:19">
      <c r="M735" s="132">
        <f t="shared" ca="1" si="139"/>
        <v>235.09611367752248</v>
      </c>
      <c r="N735" s="38">
        <f t="shared" si="141"/>
        <v>6.8812499999999996</v>
      </c>
      <c r="O735" s="36">
        <f t="shared" si="142"/>
        <v>183.5</v>
      </c>
      <c r="P735" s="38">
        <f ca="1">IF(ISERROR(IF(O735&lt;fi_h/20,0,(OFFSET('Base de dados'!$A$5,IF(O735&lt;20,1,IF(O735&gt;1000,10,MATCH(O735,Cargas,1))),Coluna_fih,1,1))*(1+0.13*0.25)*(PI()*(fi_h/1000)^2/4)*SQRT(2*9.81*(O735/100-fi_h/2/1000))*1000)),"",IF(O735&lt;fi_h/20,0,(OFFSET('Base de dados'!$A$5,IF(O735&lt;20,1,IF(O735&gt;1000,10,MATCH(O735,Cargas,1))),Coluna_fih,1,1))*(PI()*(fi_h/1000)^2/4)*SQRT(2*9.81*(O735/100-fi_h/2/1000))*1000))</f>
        <v>3.6144344786094567</v>
      </c>
      <c r="Q735" s="38">
        <f ca="1">IF(O735="","",IF(Tipo_Vertedor="Retangular",IF(O735&lt;=cota_s*100,0,IF(Tipo_Vertedor="Retangular",Cd_sr*Lef_sr*((O735/100-cota_s)^(3/2))*1000)),IF(O735&lt;=cota_s*100+fi_s/20,0,(OFFSET('Base de dados'!$A$4,IF(O735&lt;20,1,IF(O735&gt;1000,10,MATCH(O735,Cargas,1))),Coluna_fis,1,1))*(PI()*(fi_s/1000)^2/4)*(2*9.81*(O735/100-cota_s-fi_s/2/1000))^0.5*1000)))</f>
        <v>2.1066791989130369</v>
      </c>
      <c r="R735" s="38">
        <f t="shared" ca="1" si="143"/>
        <v>5.721113677522494</v>
      </c>
      <c r="S735" s="38">
        <f t="shared" ca="1" si="140"/>
        <v>229.375</v>
      </c>
    </row>
    <row r="736" spans="13:19">
      <c r="M736" s="132">
        <f t="shared" ca="1" si="139"/>
        <v>235.4153597303717</v>
      </c>
      <c r="N736" s="38">
        <f t="shared" si="141"/>
        <v>6.890625</v>
      </c>
      <c r="O736" s="36">
        <f t="shared" si="142"/>
        <v>183.75</v>
      </c>
      <c r="P736" s="38">
        <f ca="1">IF(ISERROR(IF(O736&lt;fi_h/20,0,(OFFSET('Base de dados'!$A$5,IF(O736&lt;20,1,IF(O736&gt;1000,10,MATCH(O736,Cargas,1))),Coluna_fih,1,1))*(1+0.13*0.25)*(PI()*(fi_h/1000)^2/4)*SQRT(2*9.81*(O736/100-fi_h/2/1000))*1000)),"",IF(O736&lt;fi_h/20,0,(OFFSET('Base de dados'!$A$5,IF(O736&lt;20,1,IF(O736&gt;1000,10,MATCH(O736,Cargas,1))),Coluna_fih,1,1))*(PI()*(fi_h/1000)^2/4)*SQRT(2*9.81*(O736/100-fi_h/2/1000))*1000))</f>
        <v>3.6169196169502609</v>
      </c>
      <c r="Q736" s="38">
        <f ca="1">IF(O736="","",IF(Tipo_Vertedor="Retangular",IF(O736&lt;=cota_s*100,0,IF(Tipo_Vertedor="Retangular",Cd_sr*Lef_sr*((O736/100-cota_s)^(3/2))*1000)),IF(O736&lt;=cota_s*100+fi_s/20,0,(OFFSET('Base de dados'!$A$4,IF(O736&lt;20,1,IF(O736&gt;1000,10,MATCH(O736,Cargas,1))),Coluna_fis,1,1))*(PI()*(fi_s/1000)^2/4)*(2*9.81*(O736/100-cota_s-fi_s/2/1000))^0.5*1000)))</f>
        <v>2.1109401134214307</v>
      </c>
      <c r="R736" s="38">
        <f t="shared" ca="1" si="143"/>
        <v>5.7278597303716916</v>
      </c>
      <c r="S736" s="38">
        <f t="shared" ca="1" si="140"/>
        <v>229.6875</v>
      </c>
    </row>
    <row r="737" spans="13:19">
      <c r="M737" s="132">
        <f t="shared" ca="1" si="139"/>
        <v>235.73459549357523</v>
      </c>
      <c r="N737" s="38">
        <f t="shared" si="141"/>
        <v>6.9</v>
      </c>
      <c r="O737" s="36">
        <f t="shared" si="142"/>
        <v>184</v>
      </c>
      <c r="P737" s="38">
        <f ca="1">IF(ISERROR(IF(O737&lt;fi_h/20,0,(OFFSET('Base de dados'!$A$5,IF(O737&lt;20,1,IF(O737&gt;1000,10,MATCH(O737,Cargas,1))),Coluna_fih,1,1))*(1+0.13*0.25)*(PI()*(fi_h/1000)^2/4)*SQRT(2*9.81*(O737/100-fi_h/2/1000))*1000)),"",IF(O737&lt;fi_h/20,0,(OFFSET('Base de dados'!$A$5,IF(O737&lt;20,1,IF(O737&gt;1000,10,MATCH(O737,Cargas,1))),Coluna_fih,1,1))*(PI()*(fi_h/1000)^2/4)*SQRT(2*9.81*(O737/100-fi_h/2/1000))*1000))</f>
        <v>3.6194030489568894</v>
      </c>
      <c r="Q737" s="38">
        <f ca="1">IF(O737="","",IF(Tipo_Vertedor="Retangular",IF(O737&lt;=cota_s*100,0,IF(Tipo_Vertedor="Retangular",Cd_sr*Lef_sr*((O737/100-cota_s)^(3/2))*1000)),IF(O737&lt;=cota_s*100+fi_s/20,0,(OFFSET('Base de dados'!$A$4,IF(O737&lt;20,1,IF(O737&gt;1000,10,MATCH(O737,Cargas,1))),Coluna_fis,1,1))*(PI()*(fi_s/1000)^2/4)*(2*9.81*(O737/100-cota_s-fi_s/2/1000))^0.5*1000)))</f>
        <v>2.1151924446183359</v>
      </c>
      <c r="R737" s="38">
        <f t="shared" ca="1" si="143"/>
        <v>5.7345954935752257</v>
      </c>
      <c r="S737" s="38">
        <f t="shared" ca="1" si="140"/>
        <v>230</v>
      </c>
    </row>
    <row r="738" spans="13:19">
      <c r="M738" s="132">
        <f t="shared" ca="1" si="139"/>
        <v>236.05382102230644</v>
      </c>
      <c r="N738" s="38">
        <f t="shared" si="141"/>
        <v>6.9093749999999998</v>
      </c>
      <c r="O738" s="36">
        <f t="shared" si="142"/>
        <v>184.25</v>
      </c>
      <c r="P738" s="38">
        <f ca="1">IF(ISERROR(IF(O738&lt;fi_h/20,0,(OFFSET('Base de dados'!$A$5,IF(O738&lt;20,1,IF(O738&gt;1000,10,MATCH(O738,Cargas,1))),Coluna_fih,1,1))*(1+0.13*0.25)*(PI()*(fi_h/1000)^2/4)*SQRT(2*9.81*(O738/100-fi_h/2/1000))*1000)),"",IF(O738&lt;fi_h/20,0,(OFFSET('Base de dados'!$A$5,IF(O738&lt;20,1,IF(O738&gt;1000,10,MATCH(O738,Cargas,1))),Coluna_fih,1,1))*(PI()*(fi_h/1000)^2/4)*SQRT(2*9.81*(O738/100-fi_h/2/1000))*1000))</f>
        <v>3.62188477813931</v>
      </c>
      <c r="Q738" s="38">
        <f ca="1">IF(O738="","",IF(Tipo_Vertedor="Retangular",IF(O738&lt;=cota_s*100,0,IF(Tipo_Vertedor="Retangular",Cd_sr*Lef_sr*((O738/100-cota_s)^(3/2))*1000)),IF(O738&lt;=cota_s*100+fi_s/20,0,(OFFSET('Base de dados'!$A$4,IF(O738&lt;20,1,IF(O738&gt;1000,10,MATCH(O738,Cargas,1))),Coluna_fis,1,1))*(PI()*(fi_s/1000)^2/4)*(2*9.81*(O738/100-cota_s-fi_s/2/1000))^0.5*1000)))</f>
        <v>2.1194362441671371</v>
      </c>
      <c r="R738" s="38">
        <f t="shared" ca="1" si="143"/>
        <v>5.7413210223064475</v>
      </c>
      <c r="S738" s="38">
        <f t="shared" ca="1" si="140"/>
        <v>230.3125</v>
      </c>
    </row>
    <row r="739" spans="13:19">
      <c r="M739" s="132">
        <f t="shared" ca="1" si="139"/>
        <v>236.37303637121047</v>
      </c>
      <c r="N739" s="38">
        <f t="shared" si="141"/>
        <v>6.9187500000000002</v>
      </c>
      <c r="O739" s="36">
        <f t="shared" si="142"/>
        <v>184.5</v>
      </c>
      <c r="P739" s="38">
        <f ca="1">IF(ISERROR(IF(O739&lt;fi_h/20,0,(OFFSET('Base de dados'!$A$5,IF(O739&lt;20,1,IF(O739&gt;1000,10,MATCH(O739,Cargas,1))),Coluna_fih,1,1))*(1+0.13*0.25)*(PI()*(fi_h/1000)^2/4)*SQRT(2*9.81*(O739/100-fi_h/2/1000))*1000)),"",IF(O739&lt;fi_h/20,0,(OFFSET('Base de dados'!$A$5,IF(O739&lt;20,1,IF(O739&gt;1000,10,MATCH(O739,Cargas,1))),Coluna_fih,1,1))*(PI()*(fi_h/1000)^2/4)*SQRT(2*9.81*(O739/100-fi_h/2/1000))*1000))</f>
        <v>3.6243648079954709</v>
      </c>
      <c r="Q739" s="38">
        <f ca="1">IF(O739="","",IF(Tipo_Vertedor="Retangular",IF(O739&lt;=cota_s*100,0,IF(Tipo_Vertedor="Retangular",Cd_sr*Lef_sr*((O739/100-cota_s)^(3/2))*1000)),IF(O739&lt;=cota_s*100+fi_s/20,0,(OFFSET('Base de dados'!$A$4,IF(O739&lt;20,1,IF(O739&gt;1000,10,MATCH(O739,Cargas,1))),Coluna_fis,1,1))*(PI()*(fi_s/1000)^2/4)*(2*9.81*(O739/100-cota_s-fi_s/2/1000))^0.5*1000)))</f>
        <v>2.1236715632150154</v>
      </c>
      <c r="R739" s="38">
        <f t="shared" ca="1" si="143"/>
        <v>5.7480363712104863</v>
      </c>
      <c r="S739" s="38">
        <f t="shared" ca="1" si="140"/>
        <v>230.625</v>
      </c>
    </row>
    <row r="740" spans="13:19">
      <c r="M740" s="132">
        <f t="shared" ca="1" si="139"/>
        <v>236.69224159441151</v>
      </c>
      <c r="N740" s="38">
        <f t="shared" si="141"/>
        <v>6.9281249999999996</v>
      </c>
      <c r="O740" s="36">
        <f t="shared" si="142"/>
        <v>184.75</v>
      </c>
      <c r="P740" s="38">
        <f ca="1">IF(ISERROR(IF(O740&lt;fi_h/20,0,(OFFSET('Base de dados'!$A$5,IF(O740&lt;20,1,IF(O740&gt;1000,10,MATCH(O740,Cargas,1))),Coluna_fih,1,1))*(1+0.13*0.25)*(PI()*(fi_h/1000)^2/4)*SQRT(2*9.81*(O740/100-fi_h/2/1000))*1000)),"",IF(O740&lt;fi_h/20,0,(OFFSET('Base de dados'!$A$5,IF(O740&lt;20,1,IF(O740&gt;1000,10,MATCH(O740,Cargas,1))),Coluna_fih,1,1))*(PI()*(fi_h/1000)^2/4)*SQRT(2*9.81*(O740/100-fi_h/2/1000))*1000))</f>
        <v>3.6268431420113627</v>
      </c>
      <c r="Q740" s="38">
        <f ca="1">IF(O740="","",IF(Tipo_Vertedor="Retangular",IF(O740&lt;=cota_s*100,0,IF(Tipo_Vertedor="Retangular",Cd_sr*Lef_sr*((O740/100-cota_s)^(3/2))*1000)),IF(O740&lt;=cota_s*100+fi_s/20,0,(OFFSET('Base de dados'!$A$4,IF(O740&lt;20,1,IF(O740&gt;1000,10,MATCH(O740,Cargas,1))),Coluna_fis,1,1))*(PI()*(fi_s/1000)^2/4)*(2*9.81*(O740/100-cota_s-fi_s/2/1000))^0.5*1000)))</f>
        <v>2.1278984524001414</v>
      </c>
      <c r="R740" s="38">
        <f t="shared" ca="1" si="143"/>
        <v>5.7547415944115041</v>
      </c>
      <c r="S740" s="38">
        <f t="shared" ca="1" si="140"/>
        <v>230.9375</v>
      </c>
    </row>
    <row r="741" spans="13:19">
      <c r="M741" s="132">
        <f t="shared" ca="1" si="139"/>
        <v>237.0114367455198</v>
      </c>
      <c r="N741" s="38">
        <f t="shared" si="141"/>
        <v>6.9375</v>
      </c>
      <c r="O741" s="36">
        <f t="shared" si="142"/>
        <v>185</v>
      </c>
      <c r="P741" s="38">
        <f ca="1">IF(ISERROR(IF(O741&lt;fi_h/20,0,(OFFSET('Base de dados'!$A$5,IF(O741&lt;20,1,IF(O741&gt;1000,10,MATCH(O741,Cargas,1))),Coluna_fih,1,1))*(1+0.13*0.25)*(PI()*(fi_h/1000)^2/4)*SQRT(2*9.81*(O741/100-fi_h/2/1000))*1000)),"",IF(O741&lt;fi_h/20,0,(OFFSET('Base de dados'!$A$5,IF(O741&lt;20,1,IF(O741&gt;1000,10,MATCH(O741,Cargas,1))),Coluna_fih,1,1))*(PI()*(fi_h/1000)^2/4)*SQRT(2*9.81*(O741/100-fi_h/2/1000))*1000))</f>
        <v>3.629319783661074</v>
      </c>
      <c r="Q741" s="38">
        <f ca="1">IF(O741="","",IF(Tipo_Vertedor="Retangular",IF(O741&lt;=cota_s*100,0,IF(Tipo_Vertedor="Retangular",Cd_sr*Lef_sr*((O741/100-cota_s)^(3/2))*1000)),IF(O741&lt;=cota_s*100+fi_s/20,0,(OFFSET('Base de dados'!$A$4,IF(O741&lt;20,1,IF(O741&gt;1000,10,MATCH(O741,Cargas,1))),Coluna_fis,1,1))*(PI()*(fi_s/1000)^2/4)*(2*9.81*(O741/100-cota_s-fi_s/2/1000))^0.5*1000)))</f>
        <v>2.1321169618587357</v>
      </c>
      <c r="R741" s="38">
        <f t="shared" ca="1" si="143"/>
        <v>5.7614367455198092</v>
      </c>
      <c r="S741" s="38">
        <f t="shared" ca="1" si="140"/>
        <v>231.25</v>
      </c>
    </row>
    <row r="742" spans="13:19">
      <c r="M742" s="132">
        <f t="shared" ca="1" si="139"/>
        <v>237.33062187763886</v>
      </c>
      <c r="N742" s="38">
        <f t="shared" si="141"/>
        <v>6.9468750000000004</v>
      </c>
      <c r="O742" s="36">
        <f t="shared" si="142"/>
        <v>185.25</v>
      </c>
      <c r="P742" s="38">
        <f ca="1">IF(ISERROR(IF(O742&lt;fi_h/20,0,(OFFSET('Base de dados'!$A$5,IF(O742&lt;20,1,IF(O742&gt;1000,10,MATCH(O742,Cargas,1))),Coluna_fih,1,1))*(1+0.13*0.25)*(PI()*(fi_h/1000)^2/4)*SQRT(2*9.81*(O742/100-fi_h/2/1000))*1000)),"",IF(O742&lt;fi_h/20,0,(OFFSET('Base de dados'!$A$5,IF(O742&lt;20,1,IF(O742&gt;1000,10,MATCH(O742,Cargas,1))),Coluna_fih,1,1))*(PI()*(fi_h/1000)^2/4)*SQRT(2*9.81*(O742/100-fi_h/2/1000))*1000))</f>
        <v>3.6317947364068459</v>
      </c>
      <c r="Q742" s="38">
        <f ca="1">IF(O742="","",IF(Tipo_Vertedor="Retangular",IF(O742&lt;=cota_s*100,0,IF(Tipo_Vertedor="Retangular",Cd_sr*Lef_sr*((O742/100-cota_s)^(3/2))*1000)),IF(O742&lt;=cota_s*100+fi_s/20,0,(OFFSET('Base de dados'!$A$4,IF(O742&lt;20,1,IF(O742&gt;1000,10,MATCH(O742,Cargas,1))),Coluna_fis,1,1))*(PI()*(fi_s/1000)^2/4)*(2*9.81*(O742/100-cota_s-fi_s/2/1000))^0.5*1000)))</f>
        <v>2.1363271412320102</v>
      </c>
      <c r="R742" s="38">
        <f t="shared" ca="1" si="143"/>
        <v>5.7681218776388565</v>
      </c>
      <c r="S742" s="38">
        <f t="shared" ca="1" si="140"/>
        <v>231.5625</v>
      </c>
    </row>
    <row r="743" spans="13:19">
      <c r="M743" s="132">
        <f t="shared" ca="1" si="139"/>
        <v>237.6497970433721</v>
      </c>
      <c r="N743" s="38">
        <f t="shared" si="141"/>
        <v>6.9562499999999998</v>
      </c>
      <c r="O743" s="36">
        <f t="shared" si="142"/>
        <v>185.5</v>
      </c>
      <c r="P743" s="38">
        <f ca="1">IF(ISERROR(IF(O743&lt;fi_h/20,0,(OFFSET('Base de dados'!$A$5,IF(O743&lt;20,1,IF(O743&gt;1000,10,MATCH(O743,Cargas,1))),Coluna_fih,1,1))*(1+0.13*0.25)*(PI()*(fi_h/1000)^2/4)*SQRT(2*9.81*(O743/100-fi_h/2/1000))*1000)),"",IF(O743&lt;fi_h/20,0,(OFFSET('Base de dados'!$A$5,IF(O743&lt;20,1,IF(O743&gt;1000,10,MATCH(O743,Cargas,1))),Coluna_fih,1,1))*(PI()*(fi_h/1000)^2/4)*SQRT(2*9.81*(O743/100-fi_h/2/1000))*1000))</f>
        <v>3.6342680036991326</v>
      </c>
      <c r="Q743" s="38">
        <f ca="1">IF(O743="","",IF(Tipo_Vertedor="Retangular",IF(O743&lt;=cota_s*100,0,IF(Tipo_Vertedor="Retangular",Cd_sr*Lef_sr*((O743/100-cota_s)^(3/2))*1000)),IF(O743&lt;=cota_s*100+fi_s/20,0,(OFFSET('Base de dados'!$A$4,IF(O743&lt;20,1,IF(O743&gt;1000,10,MATCH(O743,Cargas,1))),Coluna_fis,1,1))*(PI()*(fi_s/1000)^2/4)*(2*9.81*(O743/100-cota_s-fi_s/2/1000))^0.5*1000)))</f>
        <v>2.1405290396729826</v>
      </c>
      <c r="R743" s="38">
        <f t="shared" ca="1" si="143"/>
        <v>5.7747970433721152</v>
      </c>
      <c r="S743" s="38">
        <f t="shared" ca="1" si="140"/>
        <v>231.875</v>
      </c>
    </row>
    <row r="744" spans="13:19">
      <c r="M744" s="132">
        <f t="shared" ca="1" si="139"/>
        <v>237.96896229482979</v>
      </c>
      <c r="N744" s="38">
        <f t="shared" si="141"/>
        <v>6.9656249999999993</v>
      </c>
      <c r="O744" s="36">
        <f t="shared" si="142"/>
        <v>185.75</v>
      </c>
      <c r="P744" s="38">
        <f ca="1">IF(ISERROR(IF(O744&lt;fi_h/20,0,(OFFSET('Base de dados'!$A$5,IF(O744&lt;20,1,IF(O744&gt;1000,10,MATCH(O744,Cargas,1))),Coluna_fih,1,1))*(1+0.13*0.25)*(PI()*(fi_h/1000)^2/4)*SQRT(2*9.81*(O744/100-fi_h/2/1000))*1000)),"",IF(O744&lt;fi_h/20,0,(OFFSET('Base de dados'!$A$5,IF(O744&lt;20,1,IF(O744&gt;1000,10,MATCH(O744,Cargas,1))),Coluna_fih,1,1))*(PI()*(fi_h/1000)^2/4)*SQRT(2*9.81*(O744/100-fi_h/2/1000))*1000))</f>
        <v>3.6367395889766545</v>
      </c>
      <c r="Q744" s="38">
        <f ca="1">IF(O744="","",IF(Tipo_Vertedor="Retangular",IF(O744&lt;=cota_s*100,0,IF(Tipo_Vertedor="Retangular",Cd_sr*Lef_sr*((O744/100-cota_s)^(3/2))*1000)),IF(O744&lt;=cota_s*100+fi_s/20,0,(OFFSET('Base de dados'!$A$4,IF(O744&lt;20,1,IF(O744&gt;1000,10,MATCH(O744,Cargas,1))),Coluna_fis,1,1))*(PI()*(fi_s/1000)^2/4)*(2*9.81*(O744/100-cota_s-fi_s/2/1000))^0.5*1000)))</f>
        <v>2.1447227058531713</v>
      </c>
      <c r="R744" s="38">
        <f t="shared" ca="1" si="143"/>
        <v>5.7814622948298258</v>
      </c>
      <c r="S744" s="38">
        <f t="shared" ca="1" si="140"/>
        <v>232.18749999999997</v>
      </c>
    </row>
    <row r="745" spans="13:19">
      <c r="M745" s="132">
        <f t="shared" ca="1" si="139"/>
        <v>238.28811768363565</v>
      </c>
      <c r="N745" s="38">
        <f t="shared" si="141"/>
        <v>6.9750000000000005</v>
      </c>
      <c r="O745" s="36">
        <f t="shared" si="142"/>
        <v>186</v>
      </c>
      <c r="P745" s="38">
        <f ca="1">IF(ISERROR(IF(O745&lt;fi_h/20,0,(OFFSET('Base de dados'!$A$5,IF(O745&lt;20,1,IF(O745&gt;1000,10,MATCH(O745,Cargas,1))),Coluna_fih,1,1))*(1+0.13*0.25)*(PI()*(fi_h/1000)^2/4)*SQRT(2*9.81*(O745/100-fi_h/2/1000))*1000)),"",IF(O745&lt;fi_h/20,0,(OFFSET('Base de dados'!$A$5,IF(O745&lt;20,1,IF(O745&gt;1000,10,MATCH(O745,Cargas,1))),Coluna_fih,1,1))*(PI()*(fi_h/1000)^2/4)*SQRT(2*9.81*(O745/100-fi_h/2/1000))*1000))</f>
        <v>3.6392094956664556</v>
      </c>
      <c r="Q745" s="38">
        <f ca="1">IF(O745="","",IF(Tipo_Vertedor="Retangular",IF(O745&lt;=cota_s*100,0,IF(Tipo_Vertedor="Retangular",Cd_sr*Lef_sr*((O745/100-cota_s)^(3/2))*1000)),IF(O745&lt;=cota_s*100+fi_s/20,0,(OFFSET('Base de dados'!$A$4,IF(O745&lt;20,1,IF(O745&gt;1000,10,MATCH(O745,Cargas,1))),Coluna_fis,1,1))*(PI()*(fi_s/1000)^2/4)*(2*9.81*(O745/100-cota_s-fi_s/2/1000))^0.5*1000)))</f>
        <v>2.1489081879691736</v>
      </c>
      <c r="R745" s="38">
        <f t="shared" ca="1" si="143"/>
        <v>5.7881176836356296</v>
      </c>
      <c r="S745" s="38">
        <f t="shared" ca="1" si="140"/>
        <v>232.50000000000003</v>
      </c>
    </row>
    <row r="746" spans="13:19">
      <c r="M746" s="132">
        <f t="shared" ca="1" si="139"/>
        <v>238.60726326093308</v>
      </c>
      <c r="N746" s="38">
        <f t="shared" si="141"/>
        <v>6.984375</v>
      </c>
      <c r="O746" s="36">
        <f t="shared" si="142"/>
        <v>186.25</v>
      </c>
      <c r="P746" s="38">
        <f ca="1">IF(ISERROR(IF(O746&lt;fi_h/20,0,(OFFSET('Base de dados'!$A$5,IF(O746&lt;20,1,IF(O746&gt;1000,10,MATCH(O746,Cargas,1))),Coluna_fih,1,1))*(1+0.13*0.25)*(PI()*(fi_h/1000)^2/4)*SQRT(2*9.81*(O746/100-fi_h/2/1000))*1000)),"",IF(O746&lt;fi_h/20,0,(OFFSET('Base de dados'!$A$5,IF(O746&lt;20,1,IF(O746&gt;1000,10,MATCH(O746,Cargas,1))),Coluna_fih,1,1))*(PI()*(fi_h/1000)^2/4)*SQRT(2*9.81*(O746/100-fi_h/2/1000))*1000))</f>
        <v>3.6416777271839567</v>
      </c>
      <c r="Q746" s="38">
        <f ca="1">IF(O746="","",IF(Tipo_Vertedor="Retangular",IF(O746&lt;=cota_s*100,0,IF(Tipo_Vertedor="Retangular",Cd_sr*Lef_sr*((O746/100-cota_s)^(3/2))*1000)),IF(O746&lt;=cota_s*100+fi_s/20,0,(OFFSET('Base de dados'!$A$4,IF(O746&lt;20,1,IF(O746&gt;1000,10,MATCH(O746,Cargas,1))),Coluna_fis,1,1))*(PI()*(fi_s/1000)^2/4)*(2*9.81*(O746/100-cota_s-fi_s/2/1000))^0.5*1000)))</f>
        <v>2.1530855337491275</v>
      </c>
      <c r="R746" s="38">
        <f t="shared" ca="1" si="143"/>
        <v>5.7947632609330846</v>
      </c>
      <c r="S746" s="38">
        <f t="shared" ca="1" si="140"/>
        <v>232.8125</v>
      </c>
    </row>
    <row r="747" spans="13:19">
      <c r="M747" s="132">
        <f t="shared" ca="1" si="139"/>
        <v>238.92639907739206</v>
      </c>
      <c r="N747" s="38">
        <f t="shared" si="141"/>
        <v>6.9937500000000004</v>
      </c>
      <c r="O747" s="36">
        <f t="shared" si="142"/>
        <v>186.5</v>
      </c>
      <c r="P747" s="38">
        <f ca="1">IF(ISERROR(IF(O747&lt;fi_h/20,0,(OFFSET('Base de dados'!$A$5,IF(O747&lt;20,1,IF(O747&gt;1000,10,MATCH(O747,Cargas,1))),Coluna_fih,1,1))*(1+0.13*0.25)*(PI()*(fi_h/1000)^2/4)*SQRT(2*9.81*(O747/100-fi_h/2/1000))*1000)),"",IF(O747&lt;fi_h/20,0,(OFFSET('Base de dados'!$A$5,IF(O747&lt;20,1,IF(O747&gt;1000,10,MATCH(O747,Cargas,1))),Coluna_fih,1,1))*(PI()*(fi_h/1000)^2/4)*SQRT(2*9.81*(O747/100-fi_h/2/1000))*1000))</f>
        <v>3.6441442869330118</v>
      </c>
      <c r="Q747" s="38">
        <f ca="1">IF(O747="","",IF(Tipo_Vertedor="Retangular",IF(O747&lt;=cota_s*100,0,IF(Tipo_Vertedor="Retangular",Cd_sr*Lef_sr*((O747/100-cota_s)^(3/2))*1000)),IF(O747&lt;=cota_s*100+fi_s/20,0,(OFFSET('Base de dados'!$A$4,IF(O747&lt;20,1,IF(O747&gt;1000,10,MATCH(O747,Cargas,1))),Coluna_fis,1,1))*(PI()*(fi_s/1000)^2/4)*(2*9.81*(O747/100-cota_s-fi_s/2/1000))^0.5*1000)))</f>
        <v>2.1572547904590622</v>
      </c>
      <c r="R747" s="38">
        <f t="shared" ca="1" si="143"/>
        <v>5.8013990773920741</v>
      </c>
      <c r="S747" s="38">
        <f t="shared" ca="1" si="140"/>
        <v>233.125</v>
      </c>
    </row>
    <row r="748" spans="13:19">
      <c r="M748" s="132">
        <f t="shared" ca="1" si="139"/>
        <v>239.24552518321511</v>
      </c>
      <c r="N748" s="38">
        <f t="shared" si="141"/>
        <v>7.0031249999999998</v>
      </c>
      <c r="O748" s="36">
        <f t="shared" si="142"/>
        <v>186.75</v>
      </c>
      <c r="P748" s="38">
        <f ca="1">IF(ISERROR(IF(O748&lt;fi_h/20,0,(OFFSET('Base de dados'!$A$5,IF(O748&lt;20,1,IF(O748&gt;1000,10,MATCH(O748,Cargas,1))),Coluna_fih,1,1))*(1+0.13*0.25)*(PI()*(fi_h/1000)^2/4)*SQRT(2*9.81*(O748/100-fi_h/2/1000))*1000)),"",IF(O748&lt;fi_h/20,0,(OFFSET('Base de dados'!$A$5,IF(O748&lt;20,1,IF(O748&gt;1000,10,MATCH(O748,Cargas,1))),Coluna_fih,1,1))*(PI()*(fi_h/1000)^2/4)*SQRT(2*9.81*(O748/100-fi_h/2/1000))*1000))</f>
        <v>3.6466091783059671</v>
      </c>
      <c r="Q748" s="38">
        <f ca="1">IF(O748="","",IF(Tipo_Vertedor="Retangular",IF(O748&lt;=cota_s*100,0,IF(Tipo_Vertedor="Retangular",Cd_sr*Lef_sr*((O748/100-cota_s)^(3/2))*1000)),IF(O748&lt;=cota_s*100+fi_s/20,0,(OFFSET('Base de dados'!$A$4,IF(O748&lt;20,1,IF(O748&gt;1000,10,MATCH(O748,Cargas,1))),Coluna_fis,1,1))*(PI()*(fi_s/1000)^2/4)*(2*9.81*(O748/100-cota_s-fi_s/2/1000))^0.5*1000)))</f>
        <v>2.1614160049091389</v>
      </c>
      <c r="R748" s="38">
        <f t="shared" ca="1" si="143"/>
        <v>5.808025183215106</v>
      </c>
      <c r="S748" s="38">
        <f t="shared" ca="1" si="140"/>
        <v>233.4375</v>
      </c>
    </row>
    <row r="749" spans="13:19">
      <c r="M749" s="132">
        <f t="shared" ca="1" si="139"/>
        <v>239.56464162814348</v>
      </c>
      <c r="N749" s="38">
        <f t="shared" si="141"/>
        <v>7.0125000000000002</v>
      </c>
      <c r="O749" s="36">
        <f t="shared" si="142"/>
        <v>187</v>
      </c>
      <c r="P749" s="38">
        <f ca="1">IF(ISERROR(IF(O749&lt;fi_h/20,0,(OFFSET('Base de dados'!$A$5,IF(O749&lt;20,1,IF(O749&gt;1000,10,MATCH(O749,Cargas,1))),Coluna_fih,1,1))*(1+0.13*0.25)*(PI()*(fi_h/1000)^2/4)*SQRT(2*9.81*(O749/100-fi_h/2/1000))*1000)),"",IF(O749&lt;fi_h/20,0,(OFFSET('Base de dados'!$A$5,IF(O749&lt;20,1,IF(O749&gt;1000,10,MATCH(O749,Cargas,1))),Coluna_fih,1,1))*(PI()*(fi_h/1000)^2/4)*SQRT(2*9.81*(O749/100-fi_h/2/1000))*1000))</f>
        <v>3.6490724046837064</v>
      </c>
      <c r="Q749" s="38">
        <f ca="1">IF(O749="","",IF(Tipo_Vertedor="Retangular",IF(O749&lt;=cota_s*100,0,IF(Tipo_Vertedor="Retangular",Cd_sr*Lef_sr*((O749/100-cota_s)^(3/2))*1000)),IF(O749&lt;=cota_s*100+fi_s/20,0,(OFFSET('Base de dados'!$A$4,IF(O749&lt;20,1,IF(O749&gt;1000,10,MATCH(O749,Cargas,1))),Coluna_fis,1,1))*(PI()*(fi_s/1000)^2/4)*(2*9.81*(O749/100-cota_s-fi_s/2/1000))^0.5*1000)))</f>
        <v>2.1655692234597792</v>
      </c>
      <c r="R749" s="38">
        <f t="shared" ca="1" si="143"/>
        <v>5.8146416281434856</v>
      </c>
      <c r="S749" s="38">
        <f t="shared" ca="1" si="140"/>
        <v>233.75</v>
      </c>
    </row>
    <row r="750" spans="13:19">
      <c r="M750" s="132">
        <f t="shared" ca="1" si="139"/>
        <v>239.88374846146343</v>
      </c>
      <c r="N750" s="38">
        <f t="shared" si="141"/>
        <v>7.0218750000000005</v>
      </c>
      <c r="O750" s="36">
        <f t="shared" si="142"/>
        <v>187.25</v>
      </c>
      <c r="P750" s="38">
        <f ca="1">IF(ISERROR(IF(O750&lt;fi_h/20,0,(OFFSET('Base de dados'!$A$5,IF(O750&lt;20,1,IF(O750&gt;1000,10,MATCH(O750,Cargas,1))),Coluna_fih,1,1))*(1+0.13*0.25)*(PI()*(fi_h/1000)^2/4)*SQRT(2*9.81*(O750/100-fi_h/2/1000))*1000)),"",IF(O750&lt;fi_h/20,0,(OFFSET('Base de dados'!$A$5,IF(O750&lt;20,1,IF(O750&gt;1000,10,MATCH(O750,Cargas,1))),Coluna_fih,1,1))*(PI()*(fi_h/1000)^2/4)*SQRT(2*9.81*(O750/100-fi_h/2/1000))*1000))</f>
        <v>3.6515339694357132</v>
      </c>
      <c r="Q750" s="38">
        <f ca="1">IF(O750="","",IF(Tipo_Vertedor="Retangular",IF(O750&lt;=cota_s*100,0,IF(Tipo_Vertedor="Retangular",Cd_sr*Lef_sr*((O750/100-cota_s)^(3/2))*1000)),IF(O750&lt;=cota_s*100+fi_s/20,0,(OFFSET('Base de dados'!$A$4,IF(O750&lt;20,1,IF(O750&gt;1000,10,MATCH(O750,Cargas,1))),Coluna_fis,1,1))*(PI()*(fi_s/1000)^2/4)*(2*9.81*(O750/100-cota_s-fi_s/2/1000))^0.5*1000)))</f>
        <v>2.169714492027695</v>
      </c>
      <c r="R750" s="38">
        <f t="shared" ca="1" si="143"/>
        <v>5.8212484614634086</v>
      </c>
      <c r="S750" s="38">
        <f t="shared" ca="1" si="140"/>
        <v>234.06250000000003</v>
      </c>
    </row>
    <row r="751" spans="13:19">
      <c r="M751" s="132">
        <f t="shared" ca="1" si="139"/>
        <v>240.20284573201192</v>
      </c>
      <c r="N751" s="38">
        <f t="shared" si="141"/>
        <v>7.03125</v>
      </c>
      <c r="O751" s="36">
        <f t="shared" si="142"/>
        <v>187.5</v>
      </c>
      <c r="P751" s="38">
        <f ca="1">IF(ISERROR(IF(O751&lt;fi_h/20,0,(OFFSET('Base de dados'!$A$5,IF(O751&lt;20,1,IF(O751&gt;1000,10,MATCH(O751,Cargas,1))),Coluna_fih,1,1))*(1+0.13*0.25)*(PI()*(fi_h/1000)^2/4)*SQRT(2*9.81*(O751/100-fi_h/2/1000))*1000)),"",IF(O751&lt;fi_h/20,0,(OFFSET('Base de dados'!$A$5,IF(O751&lt;20,1,IF(O751&gt;1000,10,MATCH(O751,Cargas,1))),Coluna_fih,1,1))*(PI()*(fi_h/1000)^2/4)*SQRT(2*9.81*(O751/100-fi_h/2/1000))*1000))</f>
        <v>3.6539938759201207</v>
      </c>
      <c r="Q751" s="38">
        <f ca="1">IF(O751="","",IF(Tipo_Vertedor="Retangular",IF(O751&lt;=cota_s*100,0,IF(Tipo_Vertedor="Retangular",Cd_sr*Lef_sr*((O751/100-cota_s)^(3/2))*1000)),IF(O751&lt;=cota_s*100+fi_s/20,0,(OFFSET('Base de dados'!$A$4,IF(O751&lt;20,1,IF(O751&gt;1000,10,MATCH(O751,Cargas,1))),Coluna_fis,1,1))*(PI()*(fi_s/1000)^2/4)*(2*9.81*(O751/100-cota_s-fi_s/2/1000))^0.5*1000)))</f>
        <v>2.1738518560918099</v>
      </c>
      <c r="R751" s="38">
        <f t="shared" ca="1" si="143"/>
        <v>5.8278457320119301</v>
      </c>
      <c r="S751" s="38">
        <f t="shared" ca="1" si="140"/>
        <v>234.375</v>
      </c>
    </row>
    <row r="752" spans="13:19">
      <c r="M752" s="132">
        <f t="shared" ca="1" si="139"/>
        <v>240.52193348818281</v>
      </c>
      <c r="N752" s="38">
        <f t="shared" si="141"/>
        <v>7.0406249999999995</v>
      </c>
      <c r="O752" s="36">
        <f t="shared" si="142"/>
        <v>187.75</v>
      </c>
      <c r="P752" s="38">
        <f ca="1">IF(ISERROR(IF(O752&lt;fi_h/20,0,(OFFSET('Base de dados'!$A$5,IF(O752&lt;20,1,IF(O752&gt;1000,10,MATCH(O752,Cargas,1))),Coluna_fih,1,1))*(1+0.13*0.25)*(PI()*(fi_h/1000)^2/4)*SQRT(2*9.81*(O752/100-fi_h/2/1000))*1000)),"",IF(O752&lt;fi_h/20,0,(OFFSET('Base de dados'!$A$5,IF(O752&lt;20,1,IF(O752&gt;1000,10,MATCH(O752,Cargas,1))),Coluna_fih,1,1))*(PI()*(fi_h/1000)^2/4)*SQRT(2*9.81*(O752/100-fi_h/2/1000))*1000))</f>
        <v>3.6564521274837656</v>
      </c>
      <c r="Q752" s="38">
        <f ca="1">IF(O752="","",IF(Tipo_Vertedor="Retangular",IF(O752&lt;=cota_s*100,0,IF(Tipo_Vertedor="Retangular",Cd_sr*Lef_sr*((O752/100-cota_s)^(3/2))*1000)),IF(O752&lt;=cota_s*100+fi_s/20,0,(OFFSET('Base de dados'!$A$4,IF(O752&lt;20,1,IF(O752&gt;1000,10,MATCH(O752,Cargas,1))),Coluna_fis,1,1))*(PI()*(fi_s/1000)^2/4)*(2*9.81*(O752/100-cota_s-fi_s/2/1000))^0.5*1000)))</f>
        <v>2.1779813606990799</v>
      </c>
      <c r="R752" s="38">
        <f t="shared" ca="1" si="143"/>
        <v>5.8344334881828459</v>
      </c>
      <c r="S752" s="38">
        <f t="shared" ca="1" si="140"/>
        <v>234.68749999999997</v>
      </c>
    </row>
    <row r="753" spans="13:19">
      <c r="M753" s="132">
        <f t="shared" ca="1" si="139"/>
        <v>240.84101177793247</v>
      </c>
      <c r="N753" s="38">
        <f t="shared" si="141"/>
        <v>7.05</v>
      </c>
      <c r="O753" s="36">
        <f t="shared" si="142"/>
        <v>188</v>
      </c>
      <c r="P753" s="38">
        <f ca="1">IF(ISERROR(IF(O753&lt;fi_h/20,0,(OFFSET('Base de dados'!$A$5,IF(O753&lt;20,1,IF(O753&gt;1000,10,MATCH(O753,Cargas,1))),Coluna_fih,1,1))*(1+0.13*0.25)*(PI()*(fi_h/1000)^2/4)*SQRT(2*9.81*(O753/100-fi_h/2/1000))*1000)),"",IF(O753&lt;fi_h/20,0,(OFFSET('Base de dados'!$A$5,IF(O753&lt;20,1,IF(O753&gt;1000,10,MATCH(O753,Cargas,1))),Coluna_fih,1,1))*(PI()*(fi_h/1000)^2/4)*SQRT(2*9.81*(O753/100-fi_h/2/1000))*1000))</f>
        <v>3.6589087274622418</v>
      </c>
      <c r="Q753" s="38">
        <f ca="1">IF(O753="","",IF(Tipo_Vertedor="Retangular",IF(O753&lt;=cota_s*100,0,IF(Tipo_Vertedor="Retangular",Cd_sr*Lef_sr*((O753/100-cota_s)^(3/2))*1000)),IF(O753&lt;=cota_s*100+fi_s/20,0,(OFFSET('Base de dados'!$A$4,IF(O753&lt;20,1,IF(O753&gt;1000,10,MATCH(O753,Cargas,1))),Coluna_fis,1,1))*(PI()*(fi_s/1000)^2/4)*(2*9.81*(O753/100-cota_s-fi_s/2/1000))^0.5*1000)))</f>
        <v>2.1821030504702161</v>
      </c>
      <c r="R753" s="38">
        <f t="shared" ca="1" si="143"/>
        <v>5.841011777932458</v>
      </c>
      <c r="S753" s="38">
        <f t="shared" ca="1" si="140"/>
        <v>235</v>
      </c>
    </row>
    <row r="754" spans="13:19">
      <c r="M754" s="132">
        <f t="shared" ca="1" si="139"/>
        <v>241.16008064878525</v>
      </c>
      <c r="N754" s="38">
        <f t="shared" si="141"/>
        <v>7.0593750000000002</v>
      </c>
      <c r="O754" s="36">
        <f t="shared" si="142"/>
        <v>188.25</v>
      </c>
      <c r="P754" s="38">
        <f ca="1">IF(ISERROR(IF(O754&lt;fi_h/20,0,(OFFSET('Base de dados'!$A$5,IF(O754&lt;20,1,IF(O754&gt;1000,10,MATCH(O754,Cargas,1))),Coluna_fih,1,1))*(1+0.13*0.25)*(PI()*(fi_h/1000)^2/4)*SQRT(2*9.81*(O754/100-fi_h/2/1000))*1000)),"",IF(O754&lt;fi_h/20,0,(OFFSET('Base de dados'!$A$5,IF(O754&lt;20,1,IF(O754&gt;1000,10,MATCH(O754,Cargas,1))),Coluna_fih,1,1))*(PI()*(fi_h/1000)^2/4)*SQRT(2*9.81*(O754/100-fi_h/2/1000))*1000))</f>
        <v>3.6613636791799538</v>
      </c>
      <c r="Q754" s="38">
        <f ca="1">IF(O754="","",IF(Tipo_Vertedor="Retangular",IF(O754&lt;=cota_s*100,0,IF(Tipo_Vertedor="Retangular",Cd_sr*Lef_sr*((O754/100-cota_s)^(3/2))*1000)),IF(O754&lt;=cota_s*100+fi_s/20,0,(OFFSET('Base de dados'!$A$4,IF(O754&lt;20,1,IF(O754&gt;1000,10,MATCH(O754,Cargas,1))),Coluna_fis,1,1))*(PI()*(fi_s/1000)^2/4)*(2*9.81*(O754/100-cota_s-fi_s/2/1000))^0.5*1000)))</f>
        <v>2.1862169696053115</v>
      </c>
      <c r="R754" s="38">
        <f t="shared" ca="1" si="143"/>
        <v>5.8475806487852653</v>
      </c>
      <c r="S754" s="38">
        <f t="shared" ca="1" si="140"/>
        <v>235.3125</v>
      </c>
    </row>
    <row r="755" spans="13:19">
      <c r="M755" s="132">
        <f t="shared" ca="1" si="139"/>
        <v>241.47914014783953</v>
      </c>
      <c r="N755" s="38">
        <f t="shared" si="141"/>
        <v>7.0687499999999996</v>
      </c>
      <c r="O755" s="36">
        <f t="shared" si="142"/>
        <v>188.5</v>
      </c>
      <c r="P755" s="38">
        <f ca="1">IF(ISERROR(IF(O755&lt;fi_h/20,0,(OFFSET('Base de dados'!$A$5,IF(O755&lt;20,1,IF(O755&gt;1000,10,MATCH(O755,Cargas,1))),Coluna_fih,1,1))*(1+0.13*0.25)*(PI()*(fi_h/1000)^2/4)*SQRT(2*9.81*(O755/100-fi_h/2/1000))*1000)),"",IF(O755&lt;fi_h/20,0,(OFFSET('Base de dados'!$A$5,IF(O755&lt;20,1,IF(O755&gt;1000,10,MATCH(O755,Cargas,1))),Coluna_fih,1,1))*(PI()*(fi_h/1000)^2/4)*SQRT(2*9.81*(O755/100-fi_h/2/1000))*1000))</f>
        <v>3.6638169859501684</v>
      </c>
      <c r="Q755" s="38">
        <f ca="1">IF(O755="","",IF(Tipo_Vertedor="Retangular",IF(O755&lt;=cota_s*100,0,IF(Tipo_Vertedor="Retangular",Cd_sr*Lef_sr*((O755/100-cota_s)^(3/2))*1000)),IF(O755&lt;=cota_s*100+fi_s/20,0,(OFFSET('Base de dados'!$A$4,IF(O755&lt;20,1,IF(O755&gt;1000,10,MATCH(O755,Cargas,1))),Coluna_fis,1,1))*(PI()*(fi_s/1000)^2/4)*(2*9.81*(O755/100-cota_s-fi_s/2/1000))^0.5*1000)))</f>
        <v>2.1903231618893684</v>
      </c>
      <c r="R755" s="38">
        <f t="shared" ca="1" si="143"/>
        <v>5.8541401478395372</v>
      </c>
      <c r="S755" s="38">
        <f t="shared" ca="1" si="140"/>
        <v>235.625</v>
      </c>
    </row>
    <row r="756" spans="13:19">
      <c r="M756" s="132">
        <f t="shared" ca="1" si="139"/>
        <v>241.79819032177281</v>
      </c>
      <c r="N756" s="38">
        <f t="shared" si="141"/>
        <v>7.078125</v>
      </c>
      <c r="O756" s="36">
        <f t="shared" si="142"/>
        <v>188.75</v>
      </c>
      <c r="P756" s="38">
        <f ca="1">IF(ISERROR(IF(O756&lt;fi_h/20,0,(OFFSET('Base de dados'!$A$5,IF(O756&lt;20,1,IF(O756&gt;1000,10,MATCH(O756,Cargas,1))),Coluna_fih,1,1))*(1+0.13*0.25)*(PI()*(fi_h/1000)^2/4)*SQRT(2*9.81*(O756/100-fi_h/2/1000))*1000)),"",IF(O756&lt;fi_h/20,0,(OFFSET('Base de dados'!$A$5,IF(O756&lt;20,1,IF(O756&gt;1000,10,MATCH(O756,Cargas,1))),Coluna_fih,1,1))*(PI()*(fi_h/1000)^2/4)*SQRT(2*9.81*(O756/100-fi_h/2/1000))*1000))</f>
        <v>3.6662686510750659</v>
      </c>
      <c r="Q756" s="38">
        <f ca="1">IF(O756="","",IF(Tipo_Vertedor="Retangular",IF(O756&lt;=cota_s*100,0,IF(Tipo_Vertedor="Retangular",Cd_sr*Lef_sr*((O756/100-cota_s)^(3/2))*1000)),IF(O756&lt;=cota_s*100+fi_s/20,0,(OFFSET('Base de dados'!$A$4,IF(O756&lt;20,1,IF(O756&gt;1000,10,MATCH(O756,Cargas,1))),Coluna_fis,1,1))*(PI()*(fi_s/1000)^2/4)*(2*9.81*(O756/100-cota_s-fi_s/2/1000))^0.5*1000)))</f>
        <v>2.1944216706977371</v>
      </c>
      <c r="R756" s="38">
        <f t="shared" ca="1" si="143"/>
        <v>5.860690321772803</v>
      </c>
      <c r="S756" s="38">
        <f t="shared" ca="1" si="140"/>
        <v>235.9375</v>
      </c>
    </row>
    <row r="757" spans="13:19">
      <c r="M757" s="132">
        <f t="shared" ca="1" si="139"/>
        <v>242.11723121684722</v>
      </c>
      <c r="N757" s="38">
        <f t="shared" si="141"/>
        <v>7.0874999999999995</v>
      </c>
      <c r="O757" s="36">
        <f t="shared" si="142"/>
        <v>189</v>
      </c>
      <c r="P757" s="38">
        <f ca="1">IF(ISERROR(IF(O757&lt;fi_h/20,0,(OFFSET('Base de dados'!$A$5,IF(O757&lt;20,1,IF(O757&gt;1000,10,MATCH(O757,Cargas,1))),Coluna_fih,1,1))*(1+0.13*0.25)*(PI()*(fi_h/1000)^2/4)*SQRT(2*9.81*(O757/100-fi_h/2/1000))*1000)),"",IF(O757&lt;fi_h/20,0,(OFFSET('Base de dados'!$A$5,IF(O757&lt;20,1,IF(O757&gt;1000,10,MATCH(O757,Cargas,1))),Coluna_fih,1,1))*(PI()*(fi_h/1000)^2/4)*SQRT(2*9.81*(O757/100-fi_h/2/1000))*1000))</f>
        <v>3.6687186778457948</v>
      </c>
      <c r="Q757" s="38">
        <f ca="1">IF(O757="","",IF(Tipo_Vertedor="Retangular",IF(O757&lt;=cota_s*100,0,IF(Tipo_Vertedor="Retangular",Cd_sr*Lef_sr*((O757/100-cota_s)^(3/2))*1000)),IF(O757&lt;=cota_s*100+fi_s/20,0,(OFFSET('Base de dados'!$A$4,IF(O757&lt;20,1,IF(O757&gt;1000,10,MATCH(O757,Cargas,1))),Coluna_fis,1,1))*(PI()*(fi_s/1000)^2/4)*(2*9.81*(O757/100-cota_s-fi_s/2/1000))^0.5*1000)))</f>
        <v>2.1985125390014622</v>
      </c>
      <c r="R757" s="38">
        <f t="shared" ca="1" si="143"/>
        <v>5.8672312168472569</v>
      </c>
      <c r="S757" s="38">
        <f t="shared" ca="1" si="140"/>
        <v>236.24999999999997</v>
      </c>
    </row>
    <row r="758" spans="13:19">
      <c r="M758" s="132">
        <f t="shared" ca="1" si="139"/>
        <v>242.43626287891507</v>
      </c>
      <c r="N758" s="38">
        <f t="shared" si="141"/>
        <v>7.0968750000000007</v>
      </c>
      <c r="O758" s="36">
        <f t="shared" si="142"/>
        <v>189.25</v>
      </c>
      <c r="P758" s="38">
        <f ca="1">IF(ISERROR(IF(O758&lt;fi_h/20,0,(OFFSET('Base de dados'!$A$5,IF(O758&lt;20,1,IF(O758&gt;1000,10,MATCH(O758,Cargas,1))),Coluna_fih,1,1))*(1+0.13*0.25)*(PI()*(fi_h/1000)^2/4)*SQRT(2*9.81*(O758/100-fi_h/2/1000))*1000)),"",IF(O758&lt;fi_h/20,0,(OFFSET('Base de dados'!$A$5,IF(O758&lt;20,1,IF(O758&gt;1000,10,MATCH(O758,Cargas,1))),Coluna_fih,1,1))*(PI()*(fi_h/1000)^2/4)*SQRT(2*9.81*(O758/100-fi_h/2/1000))*1000))</f>
        <v>3.6711670695425189</v>
      </c>
      <c r="Q758" s="38">
        <f ca="1">IF(O758="","",IF(Tipo_Vertedor="Retangular",IF(O758&lt;=cota_s*100,0,IF(Tipo_Vertedor="Retangular",Cd_sr*Lef_sr*((O758/100-cota_s)^(3/2))*1000)),IF(O758&lt;=cota_s*100+fi_s/20,0,(OFFSET('Base de dados'!$A$4,IF(O758&lt;20,1,IF(O758&gt;1000,10,MATCH(O758,Cargas,1))),Coluna_fis,1,1))*(PI()*(fi_s/1000)^2/4)*(2*9.81*(O758/100-cota_s-fi_s/2/1000))^0.5*1000)))</f>
        <v>2.2025958093725375</v>
      </c>
      <c r="R758" s="38">
        <f t="shared" ca="1" si="143"/>
        <v>5.8737628789150564</v>
      </c>
      <c r="S758" s="38">
        <f t="shared" ca="1" si="140"/>
        <v>236.56250000000003</v>
      </c>
    </row>
    <row r="759" spans="13:19">
      <c r="M759" s="132">
        <f t="shared" ca="1" si="139"/>
        <v>242.75528535342355</v>
      </c>
      <c r="N759" s="38">
        <f t="shared" si="141"/>
        <v>7.1062500000000002</v>
      </c>
      <c r="O759" s="36">
        <f t="shared" si="142"/>
        <v>189.5</v>
      </c>
      <c r="P759" s="38">
        <f ca="1">IF(ISERROR(IF(O759&lt;fi_h/20,0,(OFFSET('Base de dados'!$A$5,IF(O759&lt;20,1,IF(O759&gt;1000,10,MATCH(O759,Cargas,1))),Coluna_fih,1,1))*(1+0.13*0.25)*(PI()*(fi_h/1000)^2/4)*SQRT(2*9.81*(O759/100-fi_h/2/1000))*1000)),"",IF(O759&lt;fi_h/20,0,(OFFSET('Base de dados'!$A$5,IF(O759&lt;20,1,IF(O759&gt;1000,10,MATCH(O759,Cargas,1))),Coluna_fih,1,1))*(PI()*(fi_h/1000)^2/4)*SQRT(2*9.81*(O759/100-fi_h/2/1000))*1000))</f>
        <v>3.6736138294344731</v>
      </c>
      <c r="Q759" s="38">
        <f ca="1">IF(O759="","",IF(Tipo_Vertedor="Retangular",IF(O759&lt;=cota_s*100,0,IF(Tipo_Vertedor="Retangular",Cd_sr*Lef_sr*((O759/100-cota_s)^(3/2))*1000)),IF(O759&lt;=cota_s*100+fi_s/20,0,(OFFSET('Base de dados'!$A$4,IF(O759&lt;20,1,IF(O759&gt;1000,10,MATCH(O759,Cargas,1))),Coluna_fis,1,1))*(PI()*(fi_s/1000)^2/4)*(2*9.81*(O759/100-cota_s-fi_s/2/1000))^0.5*1000)))</f>
        <v>2.2066715239890766</v>
      </c>
      <c r="R759" s="38">
        <f t="shared" ca="1" si="143"/>
        <v>5.8802853534235497</v>
      </c>
      <c r="S759" s="38">
        <f t="shared" ca="1" si="140"/>
        <v>236.875</v>
      </c>
    </row>
    <row r="760" spans="13:19">
      <c r="M760" s="132">
        <f t="shared" ca="1" si="139"/>
        <v>243.07429868542042</v>
      </c>
      <c r="N760" s="38">
        <f t="shared" si="141"/>
        <v>7.1156249999999996</v>
      </c>
      <c r="O760" s="36">
        <f t="shared" si="142"/>
        <v>189.75</v>
      </c>
      <c r="P760" s="38">
        <f ca="1">IF(ISERROR(IF(O760&lt;fi_h/20,0,(OFFSET('Base de dados'!$A$5,IF(O760&lt;20,1,IF(O760&gt;1000,10,MATCH(O760,Cargas,1))),Coluna_fih,1,1))*(1+0.13*0.25)*(PI()*(fi_h/1000)^2/4)*SQRT(2*9.81*(O760/100-fi_h/2/1000))*1000)),"",IF(O760&lt;fi_h/20,0,(OFFSET('Base de dados'!$A$5,IF(O760&lt;20,1,IF(O760&gt;1000,10,MATCH(O760,Cargas,1))),Coluna_fih,1,1))*(PI()*(fi_h/1000)^2/4)*SQRT(2*9.81*(O760/100-fi_h/2/1000))*1000))</f>
        <v>3.6760589607800118</v>
      </c>
      <c r="Q760" s="38">
        <f ca="1">IF(O760="","",IF(Tipo_Vertedor="Retangular",IF(O760&lt;=cota_s*100,0,IF(Tipo_Vertedor="Retangular",Cd_sr*Lef_sr*((O760/100-cota_s)^(3/2))*1000)),IF(O760&lt;=cota_s*100+fi_s/20,0,(OFFSET('Base de dados'!$A$4,IF(O760&lt;20,1,IF(O760&gt;1000,10,MATCH(O760,Cargas,1))),Coluna_fis,1,1))*(PI()*(fi_s/1000)^2/4)*(2*9.81*(O760/100-cota_s-fi_s/2/1000))^0.5*1000)))</f>
        <v>2.2107397246403928</v>
      </c>
      <c r="R760" s="38">
        <f t="shared" ca="1" si="143"/>
        <v>5.8867986854204046</v>
      </c>
      <c r="S760" s="38">
        <f t="shared" ca="1" si="140"/>
        <v>237.1875</v>
      </c>
    </row>
    <row r="761" spans="13:19">
      <c r="M761" s="132">
        <f t="shared" ca="1" si="139"/>
        <v>243.39330291955866</v>
      </c>
      <c r="N761" s="38">
        <f t="shared" si="141"/>
        <v>7.125</v>
      </c>
      <c r="O761" s="36">
        <f t="shared" si="142"/>
        <v>190</v>
      </c>
      <c r="P761" s="38">
        <f ca="1">IF(ISERROR(IF(O761&lt;fi_h/20,0,(OFFSET('Base de dados'!$A$5,IF(O761&lt;20,1,IF(O761&gt;1000,10,MATCH(O761,Cargas,1))),Coluna_fih,1,1))*(1+0.13*0.25)*(PI()*(fi_h/1000)^2/4)*SQRT(2*9.81*(O761/100-fi_h/2/1000))*1000)),"",IF(O761&lt;fi_h/20,0,(OFFSET('Base de dados'!$A$5,IF(O761&lt;20,1,IF(O761&gt;1000,10,MATCH(O761,Cargas,1))),Coluna_fih,1,1))*(PI()*(fi_h/1000)^2/4)*SQRT(2*9.81*(O761/100-fi_h/2/1000))*1000))</f>
        <v>3.6785024668266604</v>
      </c>
      <c r="Q761" s="38">
        <f ca="1">IF(O761="","",IF(Tipo_Vertedor="Retangular",IF(O761&lt;=cota_s*100,0,IF(Tipo_Vertedor="Retangular",Cd_sr*Lef_sr*((O761/100-cota_s)^(3/2))*1000)),IF(O761&lt;=cota_s*100+fi_s/20,0,(OFFSET('Base de dados'!$A$4,IF(O761&lt;20,1,IF(O761&gt;1000,10,MATCH(O761,Cargas,1))),Coluna_fis,1,1))*(PI()*(fi_s/1000)^2/4)*(2*9.81*(O761/100-cota_s-fi_s/2/1000))^0.5*1000)))</f>
        <v>2.2148004527320038</v>
      </c>
      <c r="R761" s="38">
        <f t="shared" ca="1" si="143"/>
        <v>5.8933029195586641</v>
      </c>
      <c r="S761" s="38">
        <f t="shared" ca="1" si="140"/>
        <v>237.5</v>
      </c>
    </row>
    <row r="762" spans="13:19">
      <c r="M762" s="132">
        <f t="shared" ca="1" si="139"/>
        <v>243.71229810010172</v>
      </c>
      <c r="N762" s="38">
        <f t="shared" si="141"/>
        <v>7.1343750000000004</v>
      </c>
      <c r="O762" s="36">
        <f t="shared" si="142"/>
        <v>190.25</v>
      </c>
      <c r="P762" s="38">
        <f ca="1">IF(ISERROR(IF(O762&lt;fi_h/20,0,(OFFSET('Base de dados'!$A$5,IF(O762&lt;20,1,IF(O762&gt;1000,10,MATCH(O762,Cargas,1))),Coluna_fih,1,1))*(1+0.13*0.25)*(PI()*(fi_h/1000)^2/4)*SQRT(2*9.81*(O762/100-fi_h/2/1000))*1000)),"",IF(O762&lt;fi_h/20,0,(OFFSET('Base de dados'!$A$5,IF(O762&lt;20,1,IF(O762&gt;1000,10,MATCH(O762,Cargas,1))),Coluna_fih,1,1))*(PI()*(fi_h/1000)^2/4)*SQRT(2*9.81*(O762/100-fi_h/2/1000))*1000))</f>
        <v>3.6809443508111661</v>
      </c>
      <c r="Q762" s="38">
        <f ca="1">IF(O762="","",IF(Tipo_Vertedor="Retangular",IF(O762&lt;=cota_s*100,0,IF(Tipo_Vertedor="Retangular",Cd_sr*Lef_sr*((O762/100-cota_s)^(3/2))*1000)),IF(O762&lt;=cota_s*100+fi_s/20,0,(OFFSET('Base de dados'!$A$4,IF(O762&lt;20,1,IF(O762&gt;1000,10,MATCH(O762,Cargas,1))),Coluna_fis,1,1))*(PI()*(fi_s/1000)^2/4)*(2*9.81*(O762/100-cota_s-fi_s/2/1000))^0.5*1000)))</f>
        <v>2.2188537492905427</v>
      </c>
      <c r="R762" s="38">
        <f t="shared" ca="1" si="143"/>
        <v>5.8997981001017088</v>
      </c>
      <c r="S762" s="38">
        <f t="shared" ca="1" si="140"/>
        <v>237.8125</v>
      </c>
    </row>
    <row r="763" spans="13:19">
      <c r="M763" s="132">
        <f t="shared" ca="1" si="139"/>
        <v>244.03128427092815</v>
      </c>
      <c r="N763" s="38">
        <f t="shared" si="141"/>
        <v>7.1437499999999998</v>
      </c>
      <c r="O763" s="36">
        <f t="shared" si="142"/>
        <v>190.5</v>
      </c>
      <c r="P763" s="38">
        <f ca="1">IF(ISERROR(IF(O763&lt;fi_h/20,0,(OFFSET('Base de dados'!$A$5,IF(O763&lt;20,1,IF(O763&gt;1000,10,MATCH(O763,Cargas,1))),Coluna_fih,1,1))*(1+0.13*0.25)*(PI()*(fi_h/1000)^2/4)*SQRT(2*9.81*(O763/100-fi_h/2/1000))*1000)),"",IF(O763&lt;fi_h/20,0,(OFFSET('Base de dados'!$A$5,IF(O763&lt;20,1,IF(O763&gt;1000,10,MATCH(O763,Cargas,1))),Coluna_fih,1,1))*(PI()*(fi_h/1000)^2/4)*SQRT(2*9.81*(O763/100-fi_h/2/1000))*1000))</f>
        <v>3.6833846159595449</v>
      </c>
      <c r="Q763" s="38">
        <f ca="1">IF(O763="","",IF(Tipo_Vertedor="Retangular",IF(O763&lt;=cota_s*100,0,IF(Tipo_Vertedor="Retangular",Cd_sr*Lef_sr*((O763/100-cota_s)^(3/2))*1000)),IF(O763&lt;=cota_s*100+fi_s/20,0,(OFFSET('Base de dados'!$A$4,IF(O763&lt;20,1,IF(O763&gt;1000,10,MATCH(O763,Cargas,1))),Coluna_fis,1,1))*(PI()*(fi_s/1000)^2/4)*(2*9.81*(O763/100-cota_s-fi_s/2/1000))^0.5*1000)))</f>
        <v>2.2228996549685966</v>
      </c>
      <c r="R763" s="38">
        <f t="shared" ca="1" si="143"/>
        <v>5.9062842709281416</v>
      </c>
      <c r="S763" s="38">
        <f t="shared" ca="1" si="140"/>
        <v>238.125</v>
      </c>
    </row>
    <row r="764" spans="13:19">
      <c r="M764" s="132">
        <f t="shared" ca="1" si="139"/>
        <v>244.3502614755366</v>
      </c>
      <c r="N764" s="38">
        <f t="shared" si="141"/>
        <v>7.1531250000000002</v>
      </c>
      <c r="O764" s="36">
        <f t="shared" si="142"/>
        <v>190.75</v>
      </c>
      <c r="P764" s="38">
        <f ca="1">IF(ISERROR(IF(O764&lt;fi_h/20,0,(OFFSET('Base de dados'!$A$5,IF(O764&lt;20,1,IF(O764&gt;1000,10,MATCH(O764,Cargas,1))),Coluna_fih,1,1))*(1+0.13*0.25)*(PI()*(fi_h/1000)^2/4)*SQRT(2*9.81*(O764/100-fi_h/2/1000))*1000)),"",IF(O764&lt;fi_h/20,0,(OFFSET('Base de dados'!$A$5,IF(O764&lt;20,1,IF(O764&gt;1000,10,MATCH(O764,Cargas,1))),Coluna_fih,1,1))*(PI()*(fi_h/1000)^2/4)*SQRT(2*9.81*(O764/100-fi_h/2/1000))*1000))</f>
        <v>3.6858232654871359</v>
      </c>
      <c r="Q764" s="38">
        <f ca="1">IF(O764="","",IF(Tipo_Vertedor="Retangular",IF(O764&lt;=cota_s*100,0,IF(Tipo_Vertedor="Retangular",Cd_sr*Lef_sr*((O764/100-cota_s)^(3/2))*1000)),IF(O764&lt;=cota_s*100+fi_s/20,0,(OFFSET('Base de dados'!$A$4,IF(O764&lt;20,1,IF(O764&gt;1000,10,MATCH(O764,Cargas,1))),Coluna_fis,1,1))*(PI()*(fi_s/1000)^2/4)*(2*9.81*(O764/100-cota_s-fi_s/2/1000))^0.5*1000)))</f>
        <v>2.2269382100494641</v>
      </c>
      <c r="R764" s="38">
        <f t="shared" ca="1" si="143"/>
        <v>5.9127614755366</v>
      </c>
      <c r="S764" s="38">
        <f t="shared" ca="1" si="140"/>
        <v>238.4375</v>
      </c>
    </row>
    <row r="765" spans="13:19">
      <c r="M765" s="132">
        <f t="shared" ca="1" si="139"/>
        <v>244.66922975705049</v>
      </c>
      <c r="N765" s="38">
        <f t="shared" si="141"/>
        <v>7.1624999999999996</v>
      </c>
      <c r="O765" s="36">
        <f t="shared" si="142"/>
        <v>191</v>
      </c>
      <c r="P765" s="38">
        <f ca="1">IF(ISERROR(IF(O765&lt;fi_h/20,0,(OFFSET('Base de dados'!$A$5,IF(O765&lt;20,1,IF(O765&gt;1000,10,MATCH(O765,Cargas,1))),Coluna_fih,1,1))*(1+0.13*0.25)*(PI()*(fi_h/1000)^2/4)*SQRT(2*9.81*(O765/100-fi_h/2/1000))*1000)),"",IF(O765&lt;fi_h/20,0,(OFFSET('Base de dados'!$A$5,IF(O765&lt;20,1,IF(O765&gt;1000,10,MATCH(O765,Cargas,1))),Coluna_fih,1,1))*(PI()*(fi_h/1000)^2/4)*SQRT(2*9.81*(O765/100-fi_h/2/1000))*1000))</f>
        <v>3.6882603025986462</v>
      </c>
      <c r="Q765" s="38">
        <f ca="1">IF(O765="","",IF(Tipo_Vertedor="Retangular",IF(O765&lt;=cota_s*100,0,IF(Tipo_Vertedor="Retangular",Cd_sr*Lef_sr*((O765/100-cota_s)^(3/2))*1000)),IF(O765&lt;=cota_s*100+fi_s/20,0,(OFFSET('Base de dados'!$A$4,IF(O765&lt;20,1,IF(O765&gt;1000,10,MATCH(O765,Cargas,1))),Coluna_fis,1,1))*(PI()*(fi_s/1000)^2/4)*(2*9.81*(O765/100-cota_s-fi_s/2/1000))^0.5*1000)))</f>
        <v>2.2309694544518357</v>
      </c>
      <c r="R765" s="38">
        <f t="shared" ca="1" si="143"/>
        <v>5.9192297570504824</v>
      </c>
      <c r="S765" s="38">
        <f t="shared" ca="1" si="140"/>
        <v>238.75</v>
      </c>
    </row>
    <row r="766" spans="13:19">
      <c r="M766" s="132">
        <f t="shared" ca="1" si="139"/>
        <v>244.98818915822261</v>
      </c>
      <c r="N766" s="38">
        <f t="shared" si="141"/>
        <v>7.171875</v>
      </c>
      <c r="O766" s="36">
        <f t="shared" si="142"/>
        <v>191.25</v>
      </c>
      <c r="P766" s="38">
        <f ca="1">IF(ISERROR(IF(O766&lt;fi_h/20,0,(OFFSET('Base de dados'!$A$5,IF(O766&lt;20,1,IF(O766&gt;1000,10,MATCH(O766,Cargas,1))),Coluna_fih,1,1))*(1+0.13*0.25)*(PI()*(fi_h/1000)^2/4)*SQRT(2*9.81*(O766/100-fi_h/2/1000))*1000)),"",IF(O766&lt;fi_h/20,0,(OFFSET('Base de dados'!$A$5,IF(O766&lt;20,1,IF(O766&gt;1000,10,MATCH(O766,Cargas,1))),Coluna_fih,1,1))*(PI()*(fi_h/1000)^2/4)*SQRT(2*9.81*(O766/100-fi_h/2/1000))*1000))</f>
        <v>3.6906957304882058</v>
      </c>
      <c r="Q766" s="38">
        <f ca="1">IF(O766="","",IF(Tipo_Vertedor="Retangular",IF(O766&lt;=cota_s*100,0,IF(Tipo_Vertedor="Retangular",Cd_sr*Lef_sr*((O766/100-cota_s)^(3/2))*1000)),IF(O766&lt;=cota_s*100+fi_s/20,0,(OFFSET('Base de dados'!$A$4,IF(O766&lt;20,1,IF(O766&gt;1000,10,MATCH(O766,Cargas,1))),Coluna_fis,1,1))*(PI()*(fi_s/1000)^2/4)*(2*9.81*(O766/100-cota_s-fi_s/2/1000))^0.5*1000)))</f>
        <v>2.234993427734393</v>
      </c>
      <c r="R766" s="38">
        <f t="shared" ca="1" si="143"/>
        <v>5.9256891582225988</v>
      </c>
      <c r="S766" s="38">
        <f t="shared" ca="1" si="140"/>
        <v>239.0625</v>
      </c>
    </row>
    <row r="767" spans="13:19">
      <c r="M767" s="132">
        <f t="shared" ca="1" si="139"/>
        <v>245.30713972143974</v>
      </c>
      <c r="N767" s="38">
        <f t="shared" si="141"/>
        <v>7.1812500000000004</v>
      </c>
      <c r="O767" s="36">
        <f t="shared" si="142"/>
        <v>191.5</v>
      </c>
      <c r="P767" s="38">
        <f ca="1">IF(ISERROR(IF(O767&lt;fi_h/20,0,(OFFSET('Base de dados'!$A$5,IF(O767&lt;20,1,IF(O767&gt;1000,10,MATCH(O767,Cargas,1))),Coluna_fih,1,1))*(1+0.13*0.25)*(PI()*(fi_h/1000)^2/4)*SQRT(2*9.81*(O767/100-fi_h/2/1000))*1000)),"",IF(O767&lt;fi_h/20,0,(OFFSET('Base de dados'!$A$5,IF(O767&lt;20,1,IF(O767&gt;1000,10,MATCH(O767,Cargas,1))),Coluna_fih,1,1))*(PI()*(fi_h/1000)^2/4)*SQRT(2*9.81*(O767/100-fi_h/2/1000))*1000))</f>
        <v>3.6931295523394074</v>
      </c>
      <c r="Q767" s="38">
        <f ca="1">IF(O767="","",IF(Tipo_Vertedor="Retangular",IF(O767&lt;=cota_s*100,0,IF(Tipo_Vertedor="Retangular",Cd_sr*Lef_sr*((O767/100-cota_s)^(3/2))*1000)),IF(O767&lt;=cota_s*100+fi_s/20,0,(OFFSET('Base de dados'!$A$4,IF(O767&lt;20,1,IF(O767&gt;1000,10,MATCH(O767,Cargas,1))),Coluna_fis,1,1))*(PI()*(fi_s/1000)^2/4)*(2*9.81*(O767/100-cota_s-fi_s/2/1000))^0.5*1000)))</f>
        <v>2.2390101691003408</v>
      </c>
      <c r="R767" s="38">
        <f t="shared" ca="1" si="143"/>
        <v>5.9321397214397482</v>
      </c>
      <c r="S767" s="38">
        <f t="shared" ca="1" si="140"/>
        <v>239.375</v>
      </c>
    </row>
    <row r="768" spans="13:19">
      <c r="M768" s="132">
        <f t="shared" ca="1" si="139"/>
        <v>245.62608148872724</v>
      </c>
      <c r="N768" s="38">
        <f t="shared" si="141"/>
        <v>7.1906249999999998</v>
      </c>
      <c r="O768" s="36">
        <f t="shared" si="142"/>
        <v>191.75</v>
      </c>
      <c r="P768" s="38">
        <f ca="1">IF(ISERROR(IF(O768&lt;fi_h/20,0,(OFFSET('Base de dados'!$A$5,IF(O768&lt;20,1,IF(O768&gt;1000,10,MATCH(O768,Cargas,1))),Coluna_fih,1,1))*(1+0.13*0.25)*(PI()*(fi_h/1000)^2/4)*SQRT(2*9.81*(O768/100-fi_h/2/1000))*1000)),"",IF(O768&lt;fi_h/20,0,(OFFSET('Base de dados'!$A$5,IF(O768&lt;20,1,IF(O768&gt;1000,10,MATCH(O768,Cargas,1))),Coluna_fih,1,1))*(PI()*(fi_h/1000)^2/4)*SQRT(2*9.81*(O768/100-fi_h/2/1000))*1000))</f>
        <v>3.6955617713253672</v>
      </c>
      <c r="Q768" s="38">
        <f ca="1">IF(O768="","",IF(Tipo_Vertedor="Retangular",IF(O768&lt;=cota_s*100,0,IF(Tipo_Vertedor="Retangular",Cd_sr*Lef_sr*((O768/100-cota_s)^(3/2))*1000)),IF(O768&lt;=cota_s*100+fi_s/20,0,(OFFSET('Base de dados'!$A$4,IF(O768&lt;20,1,IF(O768&gt;1000,10,MATCH(O768,Cargas,1))),Coluna_fis,1,1))*(PI()*(fi_s/1000)^2/4)*(2*9.81*(O768/100-cota_s-fi_s/2/1000))^0.5*1000)))</f>
        <v>2.2430197174018658</v>
      </c>
      <c r="R768" s="38">
        <f t="shared" ca="1" si="143"/>
        <v>5.938581488727233</v>
      </c>
      <c r="S768" s="38">
        <f t="shared" ca="1" si="140"/>
        <v>239.6875</v>
      </c>
    </row>
    <row r="769" spans="13:19">
      <c r="M769" s="132">
        <f t="shared" ca="1" si="139"/>
        <v>245.94501450175323</v>
      </c>
      <c r="N769" s="38">
        <f t="shared" si="141"/>
        <v>7.1999999999999993</v>
      </c>
      <c r="O769" s="36">
        <f t="shared" si="142"/>
        <v>192</v>
      </c>
      <c r="P769" s="38">
        <f ca="1">IF(ISERROR(IF(O769&lt;fi_h/20,0,(OFFSET('Base de dados'!$A$5,IF(O769&lt;20,1,IF(O769&gt;1000,10,MATCH(O769,Cargas,1))),Coluna_fih,1,1))*(1+0.13*0.25)*(PI()*(fi_h/1000)^2/4)*SQRT(2*9.81*(O769/100-fi_h/2/1000))*1000)),"",IF(O769&lt;fi_h/20,0,(OFFSET('Base de dados'!$A$5,IF(O769&lt;20,1,IF(O769&gt;1000,10,MATCH(O769,Cargas,1))),Coluna_fih,1,1))*(PI()*(fi_h/1000)^2/4)*SQRT(2*9.81*(O769/100-fi_h/2/1000))*1000))</f>
        <v>3.6979923906087602</v>
      </c>
      <c r="Q769" s="38">
        <f ca="1">IF(O769="","",IF(Tipo_Vertedor="Retangular",IF(O769&lt;=cota_s*100,0,IF(Tipo_Vertedor="Retangular",Cd_sr*Lef_sr*((O769/100-cota_s)^(3/2))*1000)),IF(O769&lt;=cota_s*100+fi_s/20,0,(OFFSET('Base de dados'!$A$4,IF(O769&lt;20,1,IF(O769&gt;1000,10,MATCH(O769,Cargas,1))),Coluna_fis,1,1))*(PI()*(fi_s/1000)^2/4)*(2*9.81*(O769/100-cota_s-fi_s/2/1000))^0.5*1000)))</f>
        <v>2.2470221111445152</v>
      </c>
      <c r="R769" s="38">
        <f t="shared" ca="1" si="143"/>
        <v>5.9450145017532758</v>
      </c>
      <c r="S769" s="38">
        <f t="shared" ca="1" si="140"/>
        <v>239.99999999999997</v>
      </c>
    </row>
    <row r="770" spans="13:19">
      <c r="M770" s="132">
        <f t="shared" ca="1" si="139"/>
        <v>246.26393880183343</v>
      </c>
      <c r="N770" s="38">
        <f t="shared" si="141"/>
        <v>7.2093750000000005</v>
      </c>
      <c r="O770" s="36">
        <f t="shared" si="142"/>
        <v>192.25</v>
      </c>
      <c r="P770" s="38">
        <f ca="1">IF(ISERROR(IF(O770&lt;fi_h/20,0,(OFFSET('Base de dados'!$A$5,IF(O770&lt;20,1,IF(O770&gt;1000,10,MATCH(O770,Cargas,1))),Coluna_fih,1,1))*(1+0.13*0.25)*(PI()*(fi_h/1000)^2/4)*SQRT(2*9.81*(O770/100-fi_h/2/1000))*1000)),"",IF(O770&lt;fi_h/20,0,(OFFSET('Base de dados'!$A$5,IF(O770&lt;20,1,IF(O770&gt;1000,10,MATCH(O770,Cargas,1))),Coluna_fih,1,1))*(PI()*(fi_h/1000)^2/4)*SQRT(2*9.81*(O770/100-fi_h/2/1000))*1000))</f>
        <v>3.700421413341878</v>
      </c>
      <c r="Q770" s="38">
        <f ca="1">IF(O770="","",IF(Tipo_Vertedor="Retangular",IF(O770&lt;=cota_s*100,0,IF(Tipo_Vertedor="Retangular",Cd_sr*Lef_sr*((O770/100-cota_s)^(3/2))*1000)),IF(O770&lt;=cota_s*100+fi_s/20,0,(OFFSET('Base de dados'!$A$4,IF(O770&lt;20,1,IF(O770&gt;1000,10,MATCH(O770,Cargas,1))),Coluna_fis,1,1))*(PI()*(fi_s/1000)^2/4)*(2*9.81*(O770/100-cota_s-fi_s/2/1000))^0.5*1000)))</f>
        <v>2.2510173884915159</v>
      </c>
      <c r="R770" s="38">
        <f t="shared" ca="1" si="143"/>
        <v>5.9514388018333939</v>
      </c>
      <c r="S770" s="38">
        <f t="shared" ca="1" si="140"/>
        <v>240.31250000000003</v>
      </c>
    </row>
    <row r="771" spans="13:19">
      <c r="M771" s="132">
        <f t="shared" ca="1" si="139"/>
        <v>246.58285442993468</v>
      </c>
      <c r="N771" s="38">
        <f t="shared" si="141"/>
        <v>7.21875</v>
      </c>
      <c r="O771" s="36">
        <f t="shared" si="142"/>
        <v>192.5</v>
      </c>
      <c r="P771" s="38">
        <f ca="1">IF(ISERROR(IF(O771&lt;fi_h/20,0,(OFFSET('Base de dados'!$A$5,IF(O771&lt;20,1,IF(O771&gt;1000,10,MATCH(O771,Cargas,1))),Coluna_fih,1,1))*(1+0.13*0.25)*(PI()*(fi_h/1000)^2/4)*SQRT(2*9.81*(O771/100-fi_h/2/1000))*1000)),"",IF(O771&lt;fi_h/20,0,(OFFSET('Base de dados'!$A$5,IF(O771&lt;20,1,IF(O771&gt;1000,10,MATCH(O771,Cargas,1))),Coluna_fih,1,1))*(PI()*(fi_h/1000)^2/4)*SQRT(2*9.81*(O771/100-fi_h/2/1000))*1000))</f>
        <v>3.7028488426666715</v>
      </c>
      <c r="Q771" s="38">
        <f ca="1">IF(O771="","",IF(Tipo_Vertedor="Retangular",IF(O771&lt;=cota_s*100,0,IF(Tipo_Vertedor="Retangular",Cd_sr*Lef_sr*((O771/100-cota_s)^(3/2))*1000)),IF(O771&lt;=cota_s*100+fi_s/20,0,(OFFSET('Base de dados'!$A$4,IF(O771&lt;20,1,IF(O771&gt;1000,10,MATCH(O771,Cargas,1))),Coluna_fis,1,1))*(PI()*(fi_s/1000)^2/4)*(2*9.81*(O771/100-cota_s-fi_s/2/1000))^0.5*1000)))</f>
        <v>2.2550055872680161</v>
      </c>
      <c r="R771" s="38">
        <f t="shared" ca="1" si="143"/>
        <v>5.9578544299346881</v>
      </c>
      <c r="S771" s="38">
        <f t="shared" ca="1" si="140"/>
        <v>240.625</v>
      </c>
    </row>
    <row r="772" spans="13:19">
      <c r="M772" s="132">
        <f t="shared" ca="1" si="139"/>
        <v>246.90176142668008</v>
      </c>
      <c r="N772" s="38">
        <f t="shared" si="141"/>
        <v>7.2281250000000004</v>
      </c>
      <c r="O772" s="36">
        <f t="shared" si="142"/>
        <v>192.75</v>
      </c>
      <c r="P772" s="38">
        <f ca="1">IF(ISERROR(IF(O772&lt;fi_h/20,0,(OFFSET('Base de dados'!$A$5,IF(O772&lt;20,1,IF(O772&gt;1000,10,MATCH(O772,Cargas,1))),Coluna_fih,1,1))*(1+0.13*0.25)*(PI()*(fi_h/1000)^2/4)*SQRT(2*9.81*(O772/100-fi_h/2/1000))*1000)),"",IF(O772&lt;fi_h/20,0,(OFFSET('Base de dados'!$A$5,IF(O772&lt;20,1,IF(O772&gt;1000,10,MATCH(O772,Cargas,1))),Coluna_fih,1,1))*(PI()*(fi_h/1000)^2/4)*SQRT(2*9.81*(O772/100-fi_h/2/1000))*1000))</f>
        <v>3.7052746817148003</v>
      </c>
      <c r="Q772" s="38">
        <f ca="1">IF(O772="","",IF(Tipo_Vertedor="Retangular",IF(O772&lt;=cota_s*100,0,IF(Tipo_Vertedor="Retangular",Cd_sr*Lef_sr*((O772/100-cota_s)^(3/2))*1000)),IF(O772&lt;=cota_s*100+fi_s/20,0,(OFFSET('Base de dados'!$A$4,IF(O772&lt;20,1,IF(O772&gt;1000,10,MATCH(O772,Cargas,1))),Coluna_fis,1,1))*(PI()*(fi_s/1000)^2/4)*(2*9.81*(O772/100-cota_s-fi_s/2/1000))^0.5*1000)))</f>
        <v>2.2589867449652683</v>
      </c>
      <c r="R772" s="38">
        <f t="shared" ca="1" si="143"/>
        <v>5.9642614266800686</v>
      </c>
      <c r="S772" s="38">
        <f t="shared" ca="1" si="140"/>
        <v>240.9375</v>
      </c>
    </row>
    <row r="773" spans="13:19">
      <c r="M773" s="132">
        <f t="shared" ref="M773:M836" ca="1" si="144">IF(O773="","",2*N773*1000/(Passo*60)+R773)</f>
        <v>247.22065983235242</v>
      </c>
      <c r="N773" s="38">
        <f t="shared" si="141"/>
        <v>7.2374999999999998</v>
      </c>
      <c r="O773" s="36">
        <f t="shared" si="142"/>
        <v>193</v>
      </c>
      <c r="P773" s="38">
        <f ca="1">IF(ISERROR(IF(O773&lt;fi_h/20,0,(OFFSET('Base de dados'!$A$5,IF(O773&lt;20,1,IF(O773&gt;1000,10,MATCH(O773,Cargas,1))),Coluna_fih,1,1))*(1+0.13*0.25)*(PI()*(fi_h/1000)^2/4)*SQRT(2*9.81*(O773/100-fi_h/2/1000))*1000)),"",IF(O773&lt;fi_h/20,0,(OFFSET('Base de dados'!$A$5,IF(O773&lt;20,1,IF(O773&gt;1000,10,MATCH(O773,Cargas,1))),Coluna_fih,1,1))*(PI()*(fi_h/1000)^2/4)*SQRT(2*9.81*(O773/100-fi_h/2/1000))*1000))</f>
        <v>3.7076989336076798</v>
      </c>
      <c r="Q773" s="38">
        <f ca="1">IF(O773="","",IF(Tipo_Vertedor="Retangular",IF(O773&lt;=cota_s*100,0,IF(Tipo_Vertedor="Retangular",Cd_sr*Lef_sr*((O773/100-cota_s)^(3/2))*1000)),IF(O773&lt;=cota_s*100+fi_s/20,0,(OFFSET('Base de dados'!$A$4,IF(O773&lt;20,1,IF(O773&gt;1000,10,MATCH(O773,Cargas,1))),Coluna_fis,1,1))*(PI()*(fi_s/1000)^2/4)*(2*9.81*(O773/100-cota_s-fi_s/2/1000))^0.5*1000)))</f>
        <v>2.2629608987447365</v>
      </c>
      <c r="R773" s="38">
        <f t="shared" ca="1" si="143"/>
        <v>5.9706598323524158</v>
      </c>
      <c r="S773" s="38">
        <f t="shared" ref="S773:S836" ca="1" si="145">IF(M773="","",2*N773*1000/(Passo*60))</f>
        <v>241.25</v>
      </c>
    </row>
    <row r="774" spans="13:19">
      <c r="M774" s="132">
        <f t="shared" ca="1" si="144"/>
        <v>247.53954968689868</v>
      </c>
      <c r="N774" s="38">
        <f t="shared" ref="N774:N837" si="146">IF(O774="","",b_0*(O774/100)^c_0)</f>
        <v>7.2468750000000002</v>
      </c>
      <c r="O774" s="36">
        <f t="shared" si="142"/>
        <v>193.25</v>
      </c>
      <c r="P774" s="38">
        <f ca="1">IF(ISERROR(IF(O774&lt;fi_h/20,0,(OFFSET('Base de dados'!$A$5,IF(O774&lt;20,1,IF(O774&gt;1000,10,MATCH(O774,Cargas,1))),Coluna_fih,1,1))*(1+0.13*0.25)*(PI()*(fi_h/1000)^2/4)*SQRT(2*9.81*(O774/100-fi_h/2/1000))*1000)),"",IF(O774&lt;fi_h/20,0,(OFFSET('Base de dados'!$A$5,IF(O774&lt;20,1,IF(O774&gt;1000,10,MATCH(O774,Cargas,1))),Coluna_fih,1,1))*(PI()*(fi_h/1000)^2/4)*SQRT(2*9.81*(O774/100-fi_h/2/1000))*1000))</f>
        <v>3.7101216014565255</v>
      </c>
      <c r="Q774" s="38">
        <f ca="1">IF(O774="","",IF(Tipo_Vertedor="Retangular",IF(O774&lt;=cota_s*100,0,IF(Tipo_Vertedor="Retangular",Cd_sr*Lef_sr*((O774/100-cota_s)^(3/2))*1000)),IF(O774&lt;=cota_s*100+fi_s/20,0,(OFFSET('Base de dados'!$A$4,IF(O774&lt;20,1,IF(O774&gt;1000,10,MATCH(O774,Cargas,1))),Coluna_fis,1,1))*(PI()*(fi_s/1000)^2/4)*(2*9.81*(O774/100-cota_s-fi_s/2/1000))^0.5*1000)))</f>
        <v>2.2669280854421463</v>
      </c>
      <c r="R774" s="38">
        <f t="shared" ca="1" si="143"/>
        <v>5.9770496868986722</v>
      </c>
      <c r="S774" s="38">
        <f t="shared" ca="1" si="145"/>
        <v>241.5625</v>
      </c>
    </row>
    <row r="775" spans="13:19">
      <c r="M775" s="132">
        <f t="shared" ca="1" si="144"/>
        <v>247.85843102993391</v>
      </c>
      <c r="N775" s="38">
        <f t="shared" si="146"/>
        <v>7.2562500000000005</v>
      </c>
      <c r="O775" s="36">
        <f t="shared" si="142"/>
        <v>193.5</v>
      </c>
      <c r="P775" s="38">
        <f ca="1">IF(ISERROR(IF(O775&lt;fi_h/20,0,(OFFSET('Base de dados'!$A$5,IF(O775&lt;20,1,IF(O775&gt;1000,10,MATCH(O775,Cargas,1))),Coluna_fih,1,1))*(1+0.13*0.25)*(PI()*(fi_h/1000)^2/4)*SQRT(2*9.81*(O775/100-fi_h/2/1000))*1000)),"",IF(O775&lt;fi_h/20,0,(OFFSET('Base de dados'!$A$5,IF(O775&lt;20,1,IF(O775&gt;1000,10,MATCH(O775,Cargas,1))),Coluna_fih,1,1))*(PI()*(fi_h/1000)^2/4)*SQRT(2*9.81*(O775/100-fi_h/2/1000))*1000))</f>
        <v>3.7125426883624035</v>
      </c>
      <c r="Q775" s="38">
        <f ca="1">IF(O775="","",IF(Tipo_Vertedor="Retangular",IF(O775&lt;=cota_s*100,0,IF(Tipo_Vertedor="Retangular",Cd_sr*Lef_sr*((O775/100-cota_s)^(3/2))*1000)),IF(O775&lt;=cota_s*100+fi_s/20,0,(OFFSET('Base de dados'!$A$4,IF(O775&lt;20,1,IF(O775&gt;1000,10,MATCH(O775,Cargas,1))),Coluna_fis,1,1))*(PI()*(fi_s/1000)^2/4)*(2*9.81*(O775/100-cota_s-fi_s/2/1000))^0.5*1000)))</f>
        <v>2.2708883415714665</v>
      </c>
      <c r="R775" s="38">
        <f t="shared" ca="1" si="143"/>
        <v>5.98343102993387</v>
      </c>
      <c r="S775" s="38">
        <f t="shared" ca="1" si="145"/>
        <v>241.87500000000003</v>
      </c>
    </row>
    <row r="776" spans="13:19">
      <c r="M776" s="132">
        <f t="shared" ca="1" si="144"/>
        <v>248.1773039007451</v>
      </c>
      <c r="N776" s="38">
        <f t="shared" si="146"/>
        <v>7.265625</v>
      </c>
      <c r="O776" s="36">
        <f t="shared" si="142"/>
        <v>193.75</v>
      </c>
      <c r="P776" s="38">
        <f ca="1">IF(ISERROR(IF(O776&lt;fi_h/20,0,(OFFSET('Base de dados'!$A$5,IF(O776&lt;20,1,IF(O776&gt;1000,10,MATCH(O776,Cargas,1))),Coluna_fih,1,1))*(1+0.13*0.25)*(PI()*(fi_h/1000)^2/4)*SQRT(2*9.81*(O776/100-fi_h/2/1000))*1000)),"",IF(O776&lt;fi_h/20,0,(OFFSET('Base de dados'!$A$5,IF(O776&lt;20,1,IF(O776&gt;1000,10,MATCH(O776,Cargas,1))),Coluna_fih,1,1))*(PI()*(fi_h/1000)^2/4)*SQRT(2*9.81*(O776/100-fi_h/2/1000))*1000))</f>
        <v>3.7149621974162739</v>
      </c>
      <c r="Q776" s="38">
        <f ca="1">IF(O776="","",IF(Tipo_Vertedor="Retangular",IF(O776&lt;=cota_s*100,0,IF(Tipo_Vertedor="Retangular",Cd_sr*Lef_sr*((O776/100-cota_s)^(3/2))*1000)),IF(O776&lt;=cota_s*100+fi_s/20,0,(OFFSET('Base de dados'!$A$4,IF(O776&lt;20,1,IF(O776&gt;1000,10,MATCH(O776,Cargas,1))),Coluna_fis,1,1))*(PI()*(fi_s/1000)^2/4)*(2*9.81*(O776/100-cota_s-fi_s/2/1000))^0.5*1000)))</f>
        <v>2.2748417033288297</v>
      </c>
      <c r="R776" s="38">
        <f t="shared" ca="1" si="143"/>
        <v>5.9898039007451036</v>
      </c>
      <c r="S776" s="38">
        <f t="shared" ca="1" si="145"/>
        <v>242.1875</v>
      </c>
    </row>
    <row r="777" spans="13:19">
      <c r="M777" s="132">
        <f t="shared" ca="1" si="144"/>
        <v>248.4961683382954</v>
      </c>
      <c r="N777" s="38">
        <f t="shared" si="146"/>
        <v>7.2749999999999995</v>
      </c>
      <c r="O777" s="36">
        <f t="shared" si="142"/>
        <v>194</v>
      </c>
      <c r="P777" s="38">
        <f ca="1">IF(ISERROR(IF(O777&lt;fi_h/20,0,(OFFSET('Base de dados'!$A$5,IF(O777&lt;20,1,IF(O777&gt;1000,10,MATCH(O777,Cargas,1))),Coluna_fih,1,1))*(1+0.13*0.25)*(PI()*(fi_h/1000)^2/4)*SQRT(2*9.81*(O777/100-fi_h/2/1000))*1000)),"",IF(O777&lt;fi_h/20,0,(OFFSET('Base de dados'!$A$5,IF(O777&lt;20,1,IF(O777&gt;1000,10,MATCH(O777,Cargas,1))),Coluna_fih,1,1))*(PI()*(fi_h/1000)^2/4)*SQRT(2*9.81*(O777/100-fi_h/2/1000))*1000))</f>
        <v>3.7173801316990387</v>
      </c>
      <c r="Q777" s="38">
        <f ca="1">IF(O777="","",IF(Tipo_Vertedor="Retangular",IF(O777&lt;=cota_s*100,0,IF(Tipo_Vertedor="Retangular",Cd_sr*Lef_sr*((O777/100-cota_s)^(3/2))*1000)),IF(O777&lt;=cota_s*100+fi_s/20,0,(OFFSET('Base de dados'!$A$4,IF(O777&lt;20,1,IF(O777&gt;1000,10,MATCH(O777,Cargas,1))),Coluna_fis,1,1))*(PI()*(fi_s/1000)^2/4)*(2*9.81*(O777/100-cota_s-fi_s/2/1000))^0.5*1000)))</f>
        <v>2.278788206596396</v>
      </c>
      <c r="R777" s="38">
        <f t="shared" ca="1" si="143"/>
        <v>5.9961683382954352</v>
      </c>
      <c r="S777" s="38">
        <f t="shared" ca="1" si="145"/>
        <v>242.49999999999997</v>
      </c>
    </row>
    <row r="778" spans="13:19">
      <c r="M778" s="132">
        <f t="shared" ca="1" si="144"/>
        <v>248.81502438122774</v>
      </c>
      <c r="N778" s="38">
        <f t="shared" si="146"/>
        <v>7.2843749999999998</v>
      </c>
      <c r="O778" s="36">
        <f t="shared" si="142"/>
        <v>194.25</v>
      </c>
      <c r="P778" s="38">
        <f ca="1">IF(ISERROR(IF(O778&lt;fi_h/20,0,(OFFSET('Base de dados'!$A$5,IF(O778&lt;20,1,IF(O778&gt;1000,10,MATCH(O778,Cargas,1))),Coluna_fih,1,1))*(1+0.13*0.25)*(PI()*(fi_h/1000)^2/4)*SQRT(2*9.81*(O778/100-fi_h/2/1000))*1000)),"",IF(O778&lt;fi_h/20,0,(OFFSET('Base de dados'!$A$5,IF(O778&lt;20,1,IF(O778&gt;1000,10,MATCH(O778,Cargas,1))),Coluna_fih,1,1))*(PI()*(fi_h/1000)^2/4)*SQRT(2*9.81*(O778/100-fi_h/2/1000))*1000))</f>
        <v>3.7197964942815842</v>
      </c>
      <c r="Q778" s="38">
        <f ca="1">IF(O778="","",IF(Tipo_Vertedor="Retangular",IF(O778&lt;=cota_s*100,0,IF(Tipo_Vertedor="Retangular",Cd_sr*Lef_sr*((O778/100-cota_s)^(3/2))*1000)),IF(O778&lt;=cota_s*100+fi_s/20,0,(OFFSET('Base de dados'!$A$4,IF(O778&lt;20,1,IF(O778&gt;1000,10,MATCH(O778,Cargas,1))),Coluna_fis,1,1))*(PI()*(fi_s/1000)^2/4)*(2*9.81*(O778/100-cota_s-fi_s/2/1000))^0.5*1000)))</f>
        <v>2.2827278869461485</v>
      </c>
      <c r="R778" s="38">
        <f t="shared" ca="1" si="143"/>
        <v>6.0025243812277331</v>
      </c>
      <c r="S778" s="38">
        <f t="shared" ca="1" si="145"/>
        <v>242.8125</v>
      </c>
    </row>
    <row r="779" spans="13:19">
      <c r="M779" s="132">
        <f t="shared" ca="1" si="144"/>
        <v>249.13387206786848</v>
      </c>
      <c r="N779" s="38">
        <f t="shared" si="146"/>
        <v>7.2937500000000002</v>
      </c>
      <c r="O779" s="36">
        <f t="shared" si="142"/>
        <v>194.5</v>
      </c>
      <c r="P779" s="38">
        <f ca="1">IF(ISERROR(IF(O779&lt;fi_h/20,0,(OFFSET('Base de dados'!$A$5,IF(O779&lt;20,1,IF(O779&gt;1000,10,MATCH(O779,Cargas,1))),Coluna_fih,1,1))*(1+0.13*0.25)*(PI()*(fi_h/1000)^2/4)*SQRT(2*9.81*(O779/100-fi_h/2/1000))*1000)),"",IF(O779&lt;fi_h/20,0,(OFFSET('Base de dados'!$A$5,IF(O779&lt;20,1,IF(O779&gt;1000,10,MATCH(O779,Cargas,1))),Coluna_fih,1,1))*(PI()*(fi_h/1000)^2/4)*SQRT(2*9.81*(O779/100-fi_h/2/1000))*1000))</f>
        <v>3.7222112882248339</v>
      </c>
      <c r="Q779" s="38">
        <f ca="1">IF(O779="","",IF(Tipo_Vertedor="Retangular",IF(O779&lt;=cota_s*100,0,IF(Tipo_Vertedor="Retangular",Cd_sr*Lef_sr*((O779/100-cota_s)^(3/2))*1000)),IF(O779&lt;=cota_s*100+fi_s/20,0,(OFFSET('Base de dados'!$A$4,IF(O779&lt;20,1,IF(O779&gt;1000,10,MATCH(O779,Cargas,1))),Coluna_fis,1,1))*(PI()*(fi_s/1000)^2/4)*(2*9.81*(O779/100-cota_s-fi_s/2/1000))^0.5*1000)))</f>
        <v>2.2866607796436349</v>
      </c>
      <c r="R779" s="38">
        <f t="shared" ca="1" si="143"/>
        <v>6.0088720678684684</v>
      </c>
      <c r="S779" s="38">
        <f t="shared" ca="1" si="145"/>
        <v>243.125</v>
      </c>
    </row>
    <row r="780" spans="13:19">
      <c r="M780" s="132">
        <f t="shared" ca="1" si="144"/>
        <v>249.45271143623143</v>
      </c>
      <c r="N780" s="38">
        <f t="shared" si="146"/>
        <v>7.3031249999999996</v>
      </c>
      <c r="O780" s="36">
        <f t="shared" si="142"/>
        <v>194.75</v>
      </c>
      <c r="P780" s="38">
        <f ca="1">IF(ISERROR(IF(O780&lt;fi_h/20,0,(OFFSET('Base de dados'!$A$5,IF(O780&lt;20,1,IF(O780&gt;1000,10,MATCH(O780,Cargas,1))),Coluna_fih,1,1))*(1+0.13*0.25)*(PI()*(fi_h/1000)^2/4)*SQRT(2*9.81*(O780/100-fi_h/2/1000))*1000)),"",IF(O780&lt;fi_h/20,0,(OFFSET('Base de dados'!$A$5,IF(O780&lt;20,1,IF(O780&gt;1000,10,MATCH(O780,Cargas,1))),Coluna_fih,1,1))*(PI()*(fi_h/1000)^2/4)*SQRT(2*9.81*(O780/100-fi_h/2/1000))*1000))</f>
        <v>3.7246245165797829</v>
      </c>
      <c r="Q780" s="38">
        <f ca="1">IF(O780="","",IF(Tipo_Vertedor="Retangular",IF(O780&lt;=cota_s*100,0,IF(Tipo_Vertedor="Retangular",Cd_sr*Lef_sr*((O780/100-cota_s)^(3/2))*1000)),IF(O780&lt;=cota_s*100+fi_s/20,0,(OFFSET('Base de dados'!$A$4,IF(O780&lt;20,1,IF(O780&gt;1000,10,MATCH(O780,Cargas,1))),Coluna_fis,1,1))*(PI()*(fi_s/1000)^2/4)*(2*9.81*(O780/100-cota_s-fi_s/2/1000))^0.5*1000)))</f>
        <v>2.290586919651652</v>
      </c>
      <c r="R780" s="38">
        <f t="shared" ca="1" si="143"/>
        <v>6.0152114362314348</v>
      </c>
      <c r="S780" s="38">
        <f t="shared" ca="1" si="145"/>
        <v>243.4375</v>
      </c>
    </row>
    <row r="781" spans="13:19">
      <c r="M781" s="132">
        <f t="shared" ca="1" si="144"/>
        <v>249.77154252402141</v>
      </c>
      <c r="N781" s="38">
        <f t="shared" si="146"/>
        <v>7.3125</v>
      </c>
      <c r="O781" s="36">
        <f t="shared" si="142"/>
        <v>195</v>
      </c>
      <c r="P781" s="38">
        <f ca="1">IF(ISERROR(IF(O781&lt;fi_h/20,0,(OFFSET('Base de dados'!$A$5,IF(O781&lt;20,1,IF(O781&gt;1000,10,MATCH(O781,Cargas,1))),Coluna_fih,1,1))*(1+0.13*0.25)*(PI()*(fi_h/1000)^2/4)*SQRT(2*9.81*(O781/100-fi_h/2/1000))*1000)),"",IF(O781&lt;fi_h/20,0,(OFFSET('Base de dados'!$A$5,IF(O781&lt;20,1,IF(O781&gt;1000,10,MATCH(O781,Cargas,1))),Coluna_fih,1,1))*(PI()*(fi_h/1000)^2/4)*SQRT(2*9.81*(O781/100-fi_h/2/1000))*1000))</f>
        <v>3.727036182387554</v>
      </c>
      <c r="Q781" s="38">
        <f ca="1">IF(O781="","",IF(Tipo_Vertedor="Retangular",IF(O781&lt;=cota_s*100,0,IF(Tipo_Vertedor="Retangular",Cd_sr*Lef_sr*((O781/100-cota_s)^(3/2))*1000)),IF(O781&lt;=cota_s*100+fi_s/20,0,(OFFSET('Base de dados'!$A$4,IF(O781&lt;20,1,IF(O781&gt;1000,10,MATCH(O781,Cargas,1))),Coluna_fis,1,1))*(PI()*(fi_s/1000)^2/4)*(2*9.81*(O781/100-cota_s-fi_s/2/1000))^0.5*1000)))</f>
        <v>2.2945063416338711</v>
      </c>
      <c r="R781" s="38">
        <f t="shared" ca="1" si="143"/>
        <v>6.0215425240214255</v>
      </c>
      <c r="S781" s="38">
        <f t="shared" ca="1" si="145"/>
        <v>243.75</v>
      </c>
    </row>
    <row r="782" spans="13:19">
      <c r="M782" s="132">
        <f t="shared" ca="1" si="144"/>
        <v>250.0903653686378</v>
      </c>
      <c r="N782" s="38">
        <f t="shared" si="146"/>
        <v>7.3218749999999995</v>
      </c>
      <c r="O782" s="36">
        <f t="shared" si="142"/>
        <v>195.25</v>
      </c>
      <c r="P782" s="38">
        <f ca="1">IF(ISERROR(IF(O782&lt;fi_h/20,0,(OFFSET('Base de dados'!$A$5,IF(O782&lt;20,1,IF(O782&gt;1000,10,MATCH(O782,Cargas,1))),Coluna_fih,1,1))*(1+0.13*0.25)*(PI()*(fi_h/1000)^2/4)*SQRT(2*9.81*(O782/100-fi_h/2/1000))*1000)),"",IF(O782&lt;fi_h/20,0,(OFFSET('Base de dados'!$A$5,IF(O782&lt;20,1,IF(O782&gt;1000,10,MATCH(O782,Cargas,1))),Coluna_fih,1,1))*(PI()*(fi_h/1000)^2/4)*SQRT(2*9.81*(O782/100-fi_h/2/1000))*1000))</f>
        <v>3.7294462886794331</v>
      </c>
      <c r="Q782" s="38">
        <f ca="1">IF(O782="","",IF(Tipo_Vertedor="Retangular",IF(O782&lt;=cota_s*100,0,IF(Tipo_Vertedor="Retangular",Cd_sr*Lef_sr*((O782/100-cota_s)^(3/2))*1000)),IF(O782&lt;=cota_s*100+fi_s/20,0,(OFFSET('Base de dados'!$A$4,IF(O782&lt;20,1,IF(O782&gt;1000,10,MATCH(O782,Cargas,1))),Coluna_fis,1,1))*(PI()*(fi_s/1000)^2/4)*(2*9.81*(O782/100-cota_s-fi_s/2/1000))^0.5*1000)))</f>
        <v>2.2984190799584092</v>
      </c>
      <c r="R782" s="38">
        <f t="shared" ca="1" si="143"/>
        <v>6.0278653686378423</v>
      </c>
      <c r="S782" s="38">
        <f t="shared" ca="1" si="145"/>
        <v>244.06249999999997</v>
      </c>
    </row>
    <row r="783" spans="13:19">
      <c r="M783" s="132">
        <f t="shared" ca="1" si="144"/>
        <v>250.40918000717829</v>
      </c>
      <c r="N783" s="38">
        <f t="shared" si="146"/>
        <v>7.3312500000000007</v>
      </c>
      <c r="O783" s="36">
        <f t="shared" si="142"/>
        <v>195.5</v>
      </c>
      <c r="P783" s="38">
        <f ca="1">IF(ISERROR(IF(O783&lt;fi_h/20,0,(OFFSET('Base de dados'!$A$5,IF(O783&lt;20,1,IF(O783&gt;1000,10,MATCH(O783,Cargas,1))),Coluna_fih,1,1))*(1+0.13*0.25)*(PI()*(fi_h/1000)^2/4)*SQRT(2*9.81*(O783/100-fi_h/2/1000))*1000)),"",IF(O783&lt;fi_h/20,0,(OFFSET('Base de dados'!$A$5,IF(O783&lt;20,1,IF(O783&gt;1000,10,MATCH(O783,Cargas,1))),Coluna_fih,1,1))*(PI()*(fi_h/1000)^2/4)*SQRT(2*9.81*(O783/100-fi_h/2/1000))*1000))</f>
        <v>3.7318548384769215</v>
      </c>
      <c r="Q783" s="38">
        <f ca="1">IF(O783="","",IF(Tipo_Vertedor="Retangular",IF(O783&lt;=cota_s*100,0,IF(Tipo_Vertedor="Retangular",Cd_sr*Lef_sr*((O783/100-cota_s)^(3/2))*1000)),IF(O783&lt;=cota_s*100+fi_s/20,0,(OFFSET('Base de dados'!$A$4,IF(O783&lt;20,1,IF(O783&gt;1000,10,MATCH(O783,Cargas,1))),Coluna_fis,1,1))*(PI()*(fi_s/1000)^2/4)*(2*9.81*(O783/100-cota_s-fi_s/2/1000))^0.5*1000)))</f>
        <v>2.3023251687013437</v>
      </c>
      <c r="R783" s="38">
        <f t="shared" ca="1" si="143"/>
        <v>6.0341800071782652</v>
      </c>
      <c r="S783" s="38">
        <f t="shared" ca="1" si="145"/>
        <v>244.37500000000003</v>
      </c>
    </row>
    <row r="784" spans="13:19">
      <c r="M784" s="132">
        <f t="shared" ca="1" si="144"/>
        <v>250.72798647644194</v>
      </c>
      <c r="N784" s="38">
        <f t="shared" si="146"/>
        <v>7.3406250000000002</v>
      </c>
      <c r="O784" s="36">
        <f t="shared" si="142"/>
        <v>195.75</v>
      </c>
      <c r="P784" s="38">
        <f ca="1">IF(ISERROR(IF(O784&lt;fi_h/20,0,(OFFSET('Base de dados'!$A$5,IF(O784&lt;20,1,IF(O784&gt;1000,10,MATCH(O784,Cargas,1))),Coluna_fih,1,1))*(1+0.13*0.25)*(PI()*(fi_h/1000)^2/4)*SQRT(2*9.81*(O784/100-fi_h/2/1000))*1000)),"",IF(O784&lt;fi_h/20,0,(OFFSET('Base de dados'!$A$5,IF(O784&lt;20,1,IF(O784&gt;1000,10,MATCH(O784,Cargas,1))),Coluna_fih,1,1))*(PI()*(fi_h/1000)^2/4)*SQRT(2*9.81*(O784/100-fi_h/2/1000))*1000))</f>
        <v>3.7342618347917731</v>
      </c>
      <c r="Q784" s="38">
        <f ca="1">IF(O784="","",IF(Tipo_Vertedor="Retangular",IF(O784&lt;=cota_s*100,0,IF(Tipo_Vertedor="Retangular",Cd_sr*Lef_sr*((O784/100-cota_s)^(3/2))*1000)),IF(O784&lt;=cota_s*100+fi_s/20,0,(OFFSET('Base de dados'!$A$4,IF(O784&lt;20,1,IF(O784&gt;1000,10,MATCH(O784,Cargas,1))),Coluna_fis,1,1))*(PI()*(fi_s/1000)^2/4)*(2*9.81*(O784/100-cota_s-fi_s/2/1000))^0.5*1000)))</f>
        <v>2.306224641650175</v>
      </c>
      <c r="R784" s="38">
        <f t="shared" ca="1" si="143"/>
        <v>6.0404864764419486</v>
      </c>
      <c r="S784" s="38">
        <f t="shared" ca="1" si="145"/>
        <v>244.6875</v>
      </c>
    </row>
    <row r="785" spans="13:19">
      <c r="M785" s="132">
        <f t="shared" ca="1" si="144"/>
        <v>251.04678481293328</v>
      </c>
      <c r="N785" s="38">
        <f t="shared" si="146"/>
        <v>7.35</v>
      </c>
      <c r="O785" s="36">
        <f t="shared" si="142"/>
        <v>196</v>
      </c>
      <c r="P785" s="38">
        <f ca="1">IF(ISERROR(IF(O785&lt;fi_h/20,0,(OFFSET('Base de dados'!$A$5,IF(O785&lt;20,1,IF(O785&gt;1000,10,MATCH(O785,Cargas,1))),Coluna_fih,1,1))*(1+0.13*0.25)*(PI()*(fi_h/1000)^2/4)*SQRT(2*9.81*(O785/100-fi_h/2/1000))*1000)),"",IF(O785&lt;fi_h/20,0,(OFFSET('Base de dados'!$A$5,IF(O785&lt;20,1,IF(O785&gt;1000,10,MATCH(O785,Cargas,1))),Coluna_fih,1,1))*(PI()*(fi_h/1000)^2/4)*SQRT(2*9.81*(O785/100-fi_h/2/1000))*1000))</f>
        <v>3.7366672806260426</v>
      </c>
      <c r="Q785" s="38">
        <f ca="1">IF(O785="","",IF(Tipo_Vertedor="Retangular",IF(O785&lt;=cota_s*100,0,IF(Tipo_Vertedor="Retangular",Cd_sr*Lef_sr*((O785/100-cota_s)^(3/2))*1000)),IF(O785&lt;=cota_s*100+fi_s/20,0,(OFFSET('Base de dados'!$A$4,IF(O785&lt;20,1,IF(O785&gt;1000,10,MATCH(O785,Cargas,1))),Coluna_fis,1,1))*(PI()*(fi_s/1000)^2/4)*(2*9.81*(O785/100-cota_s-fi_s/2/1000))^0.5*1000)))</f>
        <v>2.3101175323072387</v>
      </c>
      <c r="R785" s="38">
        <f t="shared" ca="1" si="143"/>
        <v>6.0467848129332813</v>
      </c>
      <c r="S785" s="38">
        <f t="shared" ca="1" si="145"/>
        <v>245</v>
      </c>
    </row>
    <row r="786" spans="13:19">
      <c r="M786" s="132">
        <f t="shared" ca="1" si="144"/>
        <v>251.36557505286518</v>
      </c>
      <c r="N786" s="38">
        <f t="shared" si="146"/>
        <v>7.359375</v>
      </c>
      <c r="O786" s="36">
        <f t="shared" si="142"/>
        <v>196.25</v>
      </c>
      <c r="P786" s="38">
        <f ca="1">IF(ISERROR(IF(O786&lt;fi_h/20,0,(OFFSET('Base de dados'!$A$5,IF(O786&lt;20,1,IF(O786&gt;1000,10,MATCH(O786,Cargas,1))),Coluna_fih,1,1))*(1+0.13*0.25)*(PI()*(fi_h/1000)^2/4)*SQRT(2*9.81*(O786/100-fi_h/2/1000))*1000)),"",IF(O786&lt;fi_h/20,0,(OFFSET('Base de dados'!$A$5,IF(O786&lt;20,1,IF(O786&gt;1000,10,MATCH(O786,Cargas,1))),Coluna_fih,1,1))*(PI()*(fi_h/1000)^2/4)*SQRT(2*9.81*(O786/100-fi_h/2/1000))*1000))</f>
        <v>3.7390711789721296</v>
      </c>
      <c r="Q786" s="38">
        <f ca="1">IF(O786="","",IF(Tipo_Vertedor="Retangular",IF(O786&lt;=cota_s*100,0,IF(Tipo_Vertedor="Retangular",Cd_sr*Lef_sr*((O786/100-cota_s)^(3/2))*1000)),IF(O786&lt;=cota_s*100+fi_s/20,0,(OFFSET('Base de dados'!$A$4,IF(O786&lt;20,1,IF(O786&gt;1000,10,MATCH(O786,Cargas,1))),Coluna_fis,1,1))*(PI()*(fi_s/1000)^2/4)*(2*9.81*(O786/100-cota_s-fi_s/2/1000))^0.5*1000)))</f>
        <v>2.3140038738930611</v>
      </c>
      <c r="R786" s="38">
        <f t="shared" ca="1" si="143"/>
        <v>6.0530750528651911</v>
      </c>
      <c r="S786" s="38">
        <f t="shared" ca="1" si="145"/>
        <v>245.3125</v>
      </c>
    </row>
    <row r="787" spans="13:19">
      <c r="M787" s="132">
        <f t="shared" ca="1" si="144"/>
        <v>251.68435723216248</v>
      </c>
      <c r="N787" s="38">
        <f t="shared" si="146"/>
        <v>7.3687500000000004</v>
      </c>
      <c r="O787" s="36">
        <f t="shared" ref="O787:O850" si="147">IF(ISERROR(IF(O786+passo_altura&gt;h_max_puls*100,"",O786+passo_altura)),"",IF(O786+passo_altura&gt;h_max_puls*100,"",O786+passo_altura))</f>
        <v>196.5</v>
      </c>
      <c r="P787" s="38">
        <f ca="1">IF(ISERROR(IF(O787&lt;fi_h/20,0,(OFFSET('Base de dados'!$A$5,IF(O787&lt;20,1,IF(O787&gt;1000,10,MATCH(O787,Cargas,1))),Coluna_fih,1,1))*(1+0.13*0.25)*(PI()*(fi_h/1000)^2/4)*SQRT(2*9.81*(O787/100-fi_h/2/1000))*1000)),"",IF(O787&lt;fi_h/20,0,(OFFSET('Base de dados'!$A$5,IF(O787&lt;20,1,IF(O787&gt;1000,10,MATCH(O787,Cargas,1))),Coluna_fih,1,1))*(PI()*(fi_h/1000)^2/4)*SQRT(2*9.81*(O787/100-fi_h/2/1000))*1000))</f>
        <v>3.7414735328128192</v>
      </c>
      <c r="Q787" s="38">
        <f ca="1">IF(O787="","",IF(Tipo_Vertedor="Retangular",IF(O787&lt;=cota_s*100,0,IF(Tipo_Vertedor="Retangular",Cd_sr*Lef_sr*((O787/100-cota_s)^(3/2))*1000)),IF(O787&lt;=cota_s*100+fi_s/20,0,(OFFSET('Base de dados'!$A$4,IF(O787&lt;20,1,IF(O787&gt;1000,10,MATCH(O787,Cargas,1))),Coluna_fis,1,1))*(PI()*(fi_s/1000)^2/4)*(2*9.81*(O787/100-cota_s-fi_s/2/1000))^0.5*1000)))</f>
        <v>2.3178836993496676</v>
      </c>
      <c r="R787" s="38">
        <f t="shared" ref="R787:R850" ca="1" si="148">IF(O787="","",Q787+P787)</f>
        <v>6.0593572321624869</v>
      </c>
      <c r="S787" s="38">
        <f t="shared" ca="1" si="145"/>
        <v>245.625</v>
      </c>
    </row>
    <row r="788" spans="13:19">
      <c r="M788" s="132">
        <f t="shared" ca="1" si="144"/>
        <v>252.00313138646516</v>
      </c>
      <c r="N788" s="38">
        <f t="shared" si="146"/>
        <v>7.3781249999999998</v>
      </c>
      <c r="O788" s="36">
        <f t="shared" si="147"/>
        <v>196.75</v>
      </c>
      <c r="P788" s="38">
        <f ca="1">IF(ISERROR(IF(O788&lt;fi_h/20,0,(OFFSET('Base de dados'!$A$5,IF(O788&lt;20,1,IF(O788&gt;1000,10,MATCH(O788,Cargas,1))),Coluna_fih,1,1))*(1+0.13*0.25)*(PI()*(fi_h/1000)^2/4)*SQRT(2*9.81*(O788/100-fi_h/2/1000))*1000)),"",IF(O788&lt;fi_h/20,0,(OFFSET('Base de dados'!$A$5,IF(O788&lt;20,1,IF(O788&gt;1000,10,MATCH(O788,Cargas,1))),Coluna_fih,1,1))*(PI()*(fi_h/1000)^2/4)*SQRT(2*9.81*(O788/100-fi_h/2/1000))*1000))</f>
        <v>3.7438743451213274</v>
      </c>
      <c r="Q788" s="38">
        <f ca="1">IF(O788="","",IF(Tipo_Vertedor="Retangular",IF(O788&lt;=cota_s*100,0,IF(Tipo_Vertedor="Retangular",Cd_sr*Lef_sr*((O788/100-cota_s)^(3/2))*1000)),IF(O788&lt;=cota_s*100+fi_s/20,0,(OFFSET('Base de dados'!$A$4,IF(O788&lt;20,1,IF(O788&gt;1000,10,MATCH(O788,Cargas,1))),Coluna_fis,1,1))*(PI()*(fi_s/1000)^2/4)*(2*9.81*(O788/100-cota_s-fi_s/2/1000))^0.5*1000)))</f>
        <v>2.321757041343842</v>
      </c>
      <c r="R788" s="38">
        <f t="shared" ca="1" si="148"/>
        <v>6.065631386465169</v>
      </c>
      <c r="S788" s="38">
        <f t="shared" ca="1" si="145"/>
        <v>245.9375</v>
      </c>
    </row>
    <row r="789" spans="13:19">
      <c r="M789" s="132">
        <f t="shared" ca="1" si="144"/>
        <v>252.32189755113168</v>
      </c>
      <c r="N789" s="38">
        <f t="shared" si="146"/>
        <v>7.3875000000000002</v>
      </c>
      <c r="O789" s="36">
        <f t="shared" si="147"/>
        <v>197</v>
      </c>
      <c r="P789" s="38">
        <f ca="1">IF(ISERROR(IF(O789&lt;fi_h/20,0,(OFFSET('Base de dados'!$A$5,IF(O789&lt;20,1,IF(O789&gt;1000,10,MATCH(O789,Cargas,1))),Coluna_fih,1,1))*(1+0.13*0.25)*(PI()*(fi_h/1000)^2/4)*SQRT(2*9.81*(O789/100-fi_h/2/1000))*1000)),"",IF(O789&lt;fi_h/20,0,(OFFSET('Base de dados'!$A$5,IF(O789&lt;20,1,IF(O789&gt;1000,10,MATCH(O789,Cargas,1))),Coluna_fih,1,1))*(PI()*(fi_h/1000)^2/4)*SQRT(2*9.81*(O789/100-fi_h/2/1000))*1000))</f>
        <v>3.7462736188613426</v>
      </c>
      <c r="Q789" s="38">
        <f ca="1">IF(O789="","",IF(Tipo_Vertedor="Retangular",IF(O789&lt;=cota_s*100,0,IF(Tipo_Vertedor="Retangular",Cd_sr*Lef_sr*((O789/100-cota_s)^(3/2))*1000)),IF(O789&lt;=cota_s*100+fi_s/20,0,(OFFSET('Base de dados'!$A$4,IF(O789&lt;20,1,IF(O789&gt;1000,10,MATCH(O789,Cargas,1))),Coluna_fis,1,1))*(PI()*(fi_s/1000)^2/4)*(2*9.81*(O789/100-cota_s-fi_s/2/1000))^0.5*1000)))</f>
        <v>2.3256239322703314</v>
      </c>
      <c r="R789" s="38">
        <f t="shared" ca="1" si="148"/>
        <v>6.0718975511316735</v>
      </c>
      <c r="S789" s="38">
        <f t="shared" ca="1" si="145"/>
        <v>246.25</v>
      </c>
    </row>
    <row r="790" spans="13:19">
      <c r="M790" s="132">
        <f t="shared" ca="1" si="144"/>
        <v>252.64065576124207</v>
      </c>
      <c r="N790" s="38">
        <f t="shared" si="146"/>
        <v>7.3968749999999996</v>
      </c>
      <c r="O790" s="36">
        <f t="shared" si="147"/>
        <v>197.25</v>
      </c>
      <c r="P790" s="38">
        <f ca="1">IF(ISERROR(IF(O790&lt;fi_h/20,0,(OFFSET('Base de dados'!$A$5,IF(O790&lt;20,1,IF(O790&gt;1000,10,MATCH(O790,Cargas,1))),Coluna_fih,1,1))*(1+0.13*0.25)*(PI()*(fi_h/1000)^2/4)*SQRT(2*9.81*(O790/100-fi_h/2/1000))*1000)),"",IF(O790&lt;fi_h/20,0,(OFFSET('Base de dados'!$A$5,IF(O790&lt;20,1,IF(O790&gt;1000,10,MATCH(O790,Cargas,1))),Coluna_fih,1,1))*(PI()*(fi_h/1000)^2/4)*SQRT(2*9.81*(O790/100-fi_h/2/1000))*1000))</f>
        <v>3.7486713569870678</v>
      </c>
      <c r="Q790" s="38">
        <f ca="1">IF(O790="","",IF(Tipo_Vertedor="Retangular",IF(O790&lt;=cota_s*100,0,IF(Tipo_Vertedor="Retangular",Cd_sr*Lef_sr*((O790/100-cota_s)^(3/2))*1000)),IF(O790&lt;=cota_s*100+fi_s/20,0,(OFFSET('Base de dados'!$A$4,IF(O790&lt;20,1,IF(O790&gt;1000,10,MATCH(O790,Cargas,1))),Coluna_fis,1,1))*(PI()*(fi_s/1000)^2/4)*(2*9.81*(O790/100-cota_s-fi_s/2/1000))^0.5*1000)))</f>
        <v>2.3294844042550116</v>
      </c>
      <c r="R790" s="38">
        <f t="shared" ca="1" si="148"/>
        <v>6.0781557612420798</v>
      </c>
      <c r="S790" s="38">
        <f t="shared" ca="1" si="145"/>
        <v>246.5625</v>
      </c>
    </row>
    <row r="791" spans="13:19">
      <c r="M791" s="132">
        <f t="shared" ca="1" si="144"/>
        <v>252.95940605160126</v>
      </c>
      <c r="N791" s="38">
        <f t="shared" si="146"/>
        <v>7.40625</v>
      </c>
      <c r="O791" s="36">
        <f t="shared" si="147"/>
        <v>197.5</v>
      </c>
      <c r="P791" s="38">
        <f ca="1">IF(ISERROR(IF(O791&lt;fi_h/20,0,(OFFSET('Base de dados'!$A$5,IF(O791&lt;20,1,IF(O791&gt;1000,10,MATCH(O791,Cargas,1))),Coluna_fih,1,1))*(1+0.13*0.25)*(PI()*(fi_h/1000)^2/4)*SQRT(2*9.81*(O791/100-fi_h/2/1000))*1000)),"",IF(O791&lt;fi_h/20,0,(OFFSET('Base de dados'!$A$5,IF(O791&lt;20,1,IF(O791&gt;1000,10,MATCH(O791,Cargas,1))),Coluna_fih,1,1))*(PI()*(fi_h/1000)^2/4)*SQRT(2*9.81*(O791/100-fi_h/2/1000))*1000))</f>
        <v>3.751067562443267</v>
      </c>
      <c r="Q791" s="38">
        <f ca="1">IF(O791="","",IF(Tipo_Vertedor="Retangular",IF(O791&lt;=cota_s*100,0,IF(Tipo_Vertedor="Retangular",Cd_sr*Lef_sr*((O791/100-cota_s)^(3/2))*1000)),IF(O791&lt;=cota_s*100+fi_s/20,0,(OFFSET('Base de dados'!$A$4,IF(O791&lt;20,1,IF(O791&gt;1000,10,MATCH(O791,Cargas,1))),Coluna_fis,1,1))*(PI()*(fi_s/1000)^2/4)*(2*9.81*(O791/100-cota_s-fi_s/2/1000))^0.5*1000)))</f>
        <v>2.3333384891579998</v>
      </c>
      <c r="R791" s="38">
        <f t="shared" ca="1" si="148"/>
        <v>6.0844060516012668</v>
      </c>
      <c r="S791" s="38">
        <f t="shared" ca="1" si="145"/>
        <v>246.875</v>
      </c>
    </row>
    <row r="792" spans="13:19">
      <c r="M792" s="132">
        <f t="shared" ca="1" si="144"/>
        <v>253.27814845674203</v>
      </c>
      <c r="N792" s="38">
        <f t="shared" si="146"/>
        <v>7.4156250000000004</v>
      </c>
      <c r="O792" s="36">
        <f t="shared" si="147"/>
        <v>197.75</v>
      </c>
      <c r="P792" s="38">
        <f ca="1">IF(ISERROR(IF(O792&lt;fi_h/20,0,(OFFSET('Base de dados'!$A$5,IF(O792&lt;20,1,IF(O792&gt;1000,10,MATCH(O792,Cargas,1))),Coluna_fih,1,1))*(1+0.13*0.25)*(PI()*(fi_h/1000)^2/4)*SQRT(2*9.81*(O792/100-fi_h/2/1000))*1000)),"",IF(O792&lt;fi_h/20,0,(OFFSET('Base de dados'!$A$5,IF(O792&lt;20,1,IF(O792&gt;1000,10,MATCH(O792,Cargas,1))),Coluna_fih,1,1))*(PI()*(fi_h/1000)^2/4)*SQRT(2*9.81*(O792/100-fi_h/2/1000))*1000))</f>
        <v>3.753462238165302</v>
      </c>
      <c r="Q792" s="38">
        <f ca="1">IF(O792="","",IF(Tipo_Vertedor="Retangular",IF(O792&lt;=cota_s*100,0,IF(Tipo_Vertedor="Retangular",Cd_sr*Lef_sr*((O792/100-cota_s)^(3/2))*1000)),IF(O792&lt;=cota_s*100+fi_s/20,0,(OFFSET('Base de dados'!$A$4,IF(O792&lt;20,1,IF(O792&gt;1000,10,MATCH(O792,Cargas,1))),Coluna_fis,1,1))*(PI()*(fi_s/1000)^2/4)*(2*9.81*(O792/100-cota_s-fi_s/2/1000))^0.5*1000)))</f>
        <v>2.3371862185767194</v>
      </c>
      <c r="R792" s="38">
        <f t="shared" ca="1" si="148"/>
        <v>6.0906484567420218</v>
      </c>
      <c r="S792" s="38">
        <f t="shared" ca="1" si="145"/>
        <v>247.1875</v>
      </c>
    </row>
    <row r="793" spans="13:19">
      <c r="M793" s="132">
        <f t="shared" ca="1" si="144"/>
        <v>253.59688301092811</v>
      </c>
      <c r="N793" s="38">
        <f t="shared" si="146"/>
        <v>7.4249999999999998</v>
      </c>
      <c r="O793" s="36">
        <f t="shared" si="147"/>
        <v>198</v>
      </c>
      <c r="P793" s="38">
        <f ca="1">IF(ISERROR(IF(O793&lt;fi_h/20,0,(OFFSET('Base de dados'!$A$5,IF(O793&lt;20,1,IF(O793&gt;1000,10,MATCH(O793,Cargas,1))),Coluna_fih,1,1))*(1+0.13*0.25)*(PI()*(fi_h/1000)^2/4)*SQRT(2*9.81*(O793/100-fi_h/2/1000))*1000)),"",IF(O793&lt;fi_h/20,0,(OFFSET('Base de dados'!$A$5,IF(O793&lt;20,1,IF(O793&gt;1000,10,MATCH(O793,Cargas,1))),Coluna_fih,1,1))*(PI()*(fi_h/1000)^2/4)*SQRT(2*9.81*(O793/100-fi_h/2/1000))*1000))</f>
        <v>3.7558553870791789</v>
      </c>
      <c r="Q793" s="38">
        <f ca="1">IF(O793="","",IF(Tipo_Vertedor="Retangular",IF(O793&lt;=cota_s*100,0,IF(Tipo_Vertedor="Retangular",Cd_sr*Lef_sr*((O793/100-cota_s)^(3/2))*1000)),IF(O793&lt;=cota_s*100+fi_s/20,0,(OFFSET('Base de dados'!$A$4,IF(O793&lt;20,1,IF(O793&gt;1000,10,MATCH(O793,Cargas,1))),Coluna_fis,1,1))*(PI()*(fi_s/1000)^2/4)*(2*9.81*(O793/100-cota_s-fi_s/2/1000))^0.5*1000)))</f>
        <v>2.3410276238489267</v>
      </c>
      <c r="R793" s="38">
        <f t="shared" ca="1" si="148"/>
        <v>6.0968830109281056</v>
      </c>
      <c r="S793" s="38">
        <f t="shared" ca="1" si="145"/>
        <v>247.5</v>
      </c>
    </row>
    <row r="794" spans="13:19">
      <c r="M794" s="132">
        <f t="shared" ca="1" si="144"/>
        <v>253.91560974815724</v>
      </c>
      <c r="N794" s="38">
        <f t="shared" si="146"/>
        <v>7.4343749999999993</v>
      </c>
      <c r="O794" s="36">
        <f t="shared" si="147"/>
        <v>198.25</v>
      </c>
      <c r="P794" s="38">
        <f ca="1">IF(ISERROR(IF(O794&lt;fi_h/20,0,(OFFSET('Base de dados'!$A$5,IF(O794&lt;20,1,IF(O794&gt;1000,10,MATCH(O794,Cargas,1))),Coluna_fih,1,1))*(1+0.13*0.25)*(PI()*(fi_h/1000)^2/4)*SQRT(2*9.81*(O794/100-fi_h/2/1000))*1000)),"",IF(O794&lt;fi_h/20,0,(OFFSET('Base de dados'!$A$5,IF(O794&lt;20,1,IF(O794&gt;1000,10,MATCH(O794,Cargas,1))),Coluna_fih,1,1))*(PI()*(fi_h/1000)^2/4)*SQRT(2*9.81*(O794/100-fi_h/2/1000))*1000))</f>
        <v>3.7582470121015858</v>
      </c>
      <c r="Q794" s="38">
        <f ca="1">IF(O794="","",IF(Tipo_Vertedor="Retangular",IF(O794&lt;=cota_s*100,0,IF(Tipo_Vertedor="Retangular",Cd_sr*Lef_sr*((O794/100-cota_s)^(3/2))*1000)),IF(O794&lt;=cota_s*100+fi_s/20,0,(OFFSET('Base de dados'!$A$4,IF(O794&lt;20,1,IF(O794&gt;1000,10,MATCH(O794,Cargas,1))),Coluna_fis,1,1))*(PI()*(fi_s/1000)^2/4)*(2*9.81*(O794/100-cota_s-fi_s/2/1000))^0.5*1000)))</f>
        <v>2.3448627360556862</v>
      </c>
      <c r="R794" s="38">
        <f t="shared" ca="1" si="148"/>
        <v>6.103109748157272</v>
      </c>
      <c r="S794" s="38">
        <f t="shared" ca="1" si="145"/>
        <v>247.81249999999997</v>
      </c>
    </row>
    <row r="795" spans="13:19">
      <c r="M795" s="132">
        <f t="shared" ca="1" si="144"/>
        <v>254.23432870216428</v>
      </c>
      <c r="N795" s="38">
        <f t="shared" si="146"/>
        <v>7.4437500000000005</v>
      </c>
      <c r="O795" s="36">
        <f t="shared" si="147"/>
        <v>198.5</v>
      </c>
      <c r="P795" s="38">
        <f ca="1">IF(ISERROR(IF(O795&lt;fi_h/20,0,(OFFSET('Base de dados'!$A$5,IF(O795&lt;20,1,IF(O795&gt;1000,10,MATCH(O795,Cargas,1))),Coluna_fih,1,1))*(1+0.13*0.25)*(PI()*(fi_h/1000)^2/4)*SQRT(2*9.81*(O795/100-fi_h/2/1000))*1000)),"",IF(O795&lt;fi_h/20,0,(OFFSET('Base de dados'!$A$5,IF(O795&lt;20,1,IF(O795&gt;1000,10,MATCH(O795,Cargas,1))),Coluna_fih,1,1))*(PI()*(fi_h/1000)^2/4)*SQRT(2*9.81*(O795/100-fi_h/2/1000))*1000))</f>
        <v>3.7606371161399372</v>
      </c>
      <c r="Q795" s="38">
        <f ca="1">IF(O795="","",IF(Tipo_Vertedor="Retangular",IF(O795&lt;=cota_s*100,0,IF(Tipo_Vertedor="Retangular",Cd_sr*Lef_sr*((O795/100-cota_s)^(3/2))*1000)),IF(O795&lt;=cota_s*100+fi_s/20,0,(OFFSET('Base de dados'!$A$4,IF(O795&lt;20,1,IF(O795&gt;1000,10,MATCH(O795,Cargas,1))),Coluna_fis,1,1))*(PI()*(fi_s/1000)^2/4)*(2*9.81*(O795/100-cota_s-fi_s/2/1000))^0.5*1000)))</f>
        <v>2.3486915860243061</v>
      </c>
      <c r="R795" s="38">
        <f t="shared" ca="1" si="148"/>
        <v>6.1093287021642428</v>
      </c>
      <c r="S795" s="38">
        <f t="shared" ca="1" si="145"/>
        <v>248.12500000000003</v>
      </c>
    </row>
    <row r="796" spans="13:19">
      <c r="M796" s="132">
        <f t="shared" ca="1" si="144"/>
        <v>254.55303990642363</v>
      </c>
      <c r="N796" s="38">
        <f t="shared" si="146"/>
        <v>7.453125</v>
      </c>
      <c r="O796" s="36">
        <f t="shared" si="147"/>
        <v>198.75</v>
      </c>
      <c r="P796" s="38">
        <f ca="1">IF(ISERROR(IF(O796&lt;fi_h/20,0,(OFFSET('Base de dados'!$A$5,IF(O796&lt;20,1,IF(O796&gt;1000,10,MATCH(O796,Cargas,1))),Coluna_fih,1,1))*(1+0.13*0.25)*(PI()*(fi_h/1000)^2/4)*SQRT(2*9.81*(O796/100-fi_h/2/1000))*1000)),"",IF(O796&lt;fi_h/20,0,(OFFSET('Base de dados'!$A$5,IF(O796&lt;20,1,IF(O796&gt;1000,10,MATCH(O796,Cargas,1))),Coluna_fih,1,1))*(PI()*(fi_h/1000)^2/4)*SQRT(2*9.81*(O796/100-fi_h/2/1000))*1000))</f>
        <v>3.7630257020924156</v>
      </c>
      <c r="Q796" s="38">
        <f ca="1">IF(O796="","",IF(Tipo_Vertedor="Retangular",IF(O796&lt;=cota_s*100,0,IF(Tipo_Vertedor="Retangular",Cd_sr*Lef_sr*((O796/100-cota_s)^(3/2))*1000)),IF(O796&lt;=cota_s*100+fi_s/20,0,(OFFSET('Base de dados'!$A$4,IF(O796&lt;20,1,IF(O796&gt;1000,10,MATCH(O796,Cargas,1))),Coluna_fis,1,1))*(PI()*(fi_s/1000)^2/4)*(2*9.81*(O796/100-cota_s-fi_s/2/1000))^0.5*1000)))</f>
        <v>2.3525142043312246</v>
      </c>
      <c r="R796" s="38">
        <f t="shared" ca="1" si="148"/>
        <v>6.1155399064236402</v>
      </c>
      <c r="S796" s="38">
        <f t="shared" ca="1" si="145"/>
        <v>248.4375</v>
      </c>
    </row>
    <row r="797" spans="13:19">
      <c r="M797" s="132">
        <f t="shared" ca="1" si="144"/>
        <v>254.87174339415287</v>
      </c>
      <c r="N797" s="38">
        <f t="shared" si="146"/>
        <v>7.4625000000000004</v>
      </c>
      <c r="O797" s="36">
        <f t="shared" si="147"/>
        <v>199</v>
      </c>
      <c r="P797" s="38">
        <f ca="1">IF(ISERROR(IF(O797&lt;fi_h/20,0,(OFFSET('Base de dados'!$A$5,IF(O797&lt;20,1,IF(O797&gt;1000,10,MATCH(O797,Cargas,1))),Coluna_fih,1,1))*(1+0.13*0.25)*(PI()*(fi_h/1000)^2/4)*SQRT(2*9.81*(O797/100-fi_h/2/1000))*1000)),"",IF(O797&lt;fi_h/20,0,(OFFSET('Base de dados'!$A$5,IF(O797&lt;20,1,IF(O797&gt;1000,10,MATCH(O797,Cargas,1))),Coluna_fih,1,1))*(PI()*(fi_h/1000)^2/4)*SQRT(2*9.81*(O797/100-fi_h/2/1000))*1000))</f>
        <v>3.7654127728480074</v>
      </c>
      <c r="Q797" s="38">
        <f ca="1">IF(O797="","",IF(Tipo_Vertedor="Retangular",IF(O797&lt;=cota_s*100,0,IF(Tipo_Vertedor="Retangular",Cd_sr*Lef_sr*((O797/100-cota_s)^(3/2))*1000)),IF(O797&lt;=cota_s*100+fi_s/20,0,(OFFSET('Base de dados'!$A$4,IF(O797&lt;20,1,IF(O797&gt;1000,10,MATCH(O797,Cargas,1))),Coluna_fis,1,1))*(PI()*(fi_s/1000)^2/4)*(2*9.81*(O797/100-cota_s-fi_s/2/1000))^0.5*1000)))</f>
        <v>2.3563306213048678</v>
      </c>
      <c r="R797" s="38">
        <f t="shared" ca="1" si="148"/>
        <v>6.1217433941528752</v>
      </c>
      <c r="S797" s="38">
        <f t="shared" ca="1" si="145"/>
        <v>248.75</v>
      </c>
    </row>
    <row r="798" spans="13:19">
      <c r="M798" s="132">
        <f t="shared" ca="1" si="144"/>
        <v>255.190439198315</v>
      </c>
      <c r="N798" s="38">
        <f t="shared" si="146"/>
        <v>7.4718749999999998</v>
      </c>
      <c r="O798" s="36">
        <f t="shared" si="147"/>
        <v>199.25</v>
      </c>
      <c r="P798" s="38">
        <f ca="1">IF(ISERROR(IF(O798&lt;fi_h/20,0,(OFFSET('Base de dados'!$A$5,IF(O798&lt;20,1,IF(O798&gt;1000,10,MATCH(O798,Cargas,1))),Coluna_fih,1,1))*(1+0.13*0.25)*(PI()*(fi_h/1000)^2/4)*SQRT(2*9.81*(O798/100-fi_h/2/1000))*1000)),"",IF(O798&lt;fi_h/20,0,(OFFSET('Base de dados'!$A$5,IF(O798&lt;20,1,IF(O798&gt;1000,10,MATCH(O798,Cargas,1))),Coluna_fih,1,1))*(PI()*(fi_h/1000)^2/4)*SQRT(2*9.81*(O798/100-fi_h/2/1000))*1000))</f>
        <v>3.7677983312865524</v>
      </c>
      <c r="Q798" s="38">
        <f ca="1">IF(O798="","",IF(Tipo_Vertedor="Retangular",IF(O798&lt;=cota_s*100,0,IF(Tipo_Vertedor="Retangular",Cd_sr*Lef_sr*((O798/100-cota_s)^(3/2))*1000)),IF(O798&lt;=cota_s*100+fi_s/20,0,(OFFSET('Base de dados'!$A$4,IF(O798&lt;20,1,IF(O798&gt;1000,10,MATCH(O798,Cargas,1))),Coluna_fis,1,1))*(PI()*(fi_s/1000)^2/4)*(2*9.81*(O798/100-cota_s-fi_s/2/1000))^0.5*1000)))</f>
        <v>2.3601408670284481</v>
      </c>
      <c r="R798" s="38">
        <f t="shared" ca="1" si="148"/>
        <v>6.1279391983150004</v>
      </c>
      <c r="S798" s="38">
        <f t="shared" ca="1" si="145"/>
        <v>249.0625</v>
      </c>
    </row>
    <row r="799" spans="13:19">
      <c r="M799" s="132">
        <f t="shared" ca="1" si="144"/>
        <v>255.50912735162152</v>
      </c>
      <c r="N799" s="38">
        <f t="shared" si="146"/>
        <v>7.4812500000000002</v>
      </c>
      <c r="O799" s="36">
        <f t="shared" si="147"/>
        <v>199.5</v>
      </c>
      <c r="P799" s="38">
        <f ca="1">IF(ISERROR(IF(O799&lt;fi_h/20,0,(OFFSET('Base de dados'!$A$5,IF(O799&lt;20,1,IF(O799&gt;1000,10,MATCH(O799,Cargas,1))),Coluna_fih,1,1))*(1+0.13*0.25)*(PI()*(fi_h/1000)^2/4)*SQRT(2*9.81*(O799/100-fi_h/2/1000))*1000)),"",IF(O799&lt;fi_h/20,0,(OFFSET('Base de dados'!$A$5,IF(O799&lt;20,1,IF(O799&gt;1000,10,MATCH(O799,Cargas,1))),Coluna_fih,1,1))*(PI()*(fi_h/1000)^2/4)*SQRT(2*9.81*(O799/100-fi_h/2/1000))*1000))</f>
        <v>3.7701823802787757</v>
      </c>
      <c r="Q799" s="38">
        <f ca="1">IF(O799="","",IF(Tipo_Vertedor="Retangular",IF(O799&lt;=cota_s*100,0,IF(Tipo_Vertedor="Retangular",Cd_sr*Lef_sr*((O799/100-cota_s)^(3/2))*1000)),IF(O799&lt;=cota_s*100+fi_s/20,0,(OFFSET('Base de dados'!$A$4,IF(O799&lt;20,1,IF(O799&gt;1000,10,MATCH(O799,Cargas,1))),Coluna_fis,1,1))*(PI()*(fi_s/1000)^2/4)*(2*9.81*(O799/100-cota_s-fi_s/2/1000))^0.5*1000)))</f>
        <v>2.3639449713427343</v>
      </c>
      <c r="R799" s="38">
        <f t="shared" ca="1" si="148"/>
        <v>6.13412735162151</v>
      </c>
      <c r="S799" s="38">
        <f t="shared" ca="1" si="145"/>
        <v>249.375</v>
      </c>
    </row>
    <row r="800" spans="13:19">
      <c r="M800" s="132">
        <f t="shared" ca="1" si="144"/>
        <v>255.82780788653514</v>
      </c>
      <c r="N800" s="38">
        <f t="shared" si="146"/>
        <v>7.4906250000000005</v>
      </c>
      <c r="O800" s="36">
        <f t="shared" si="147"/>
        <v>199.75</v>
      </c>
      <c r="P800" s="38">
        <f ca="1">IF(ISERROR(IF(O800&lt;fi_h/20,0,(OFFSET('Base de dados'!$A$5,IF(O800&lt;20,1,IF(O800&gt;1000,10,MATCH(O800,Cargas,1))),Coluna_fih,1,1))*(1+0.13*0.25)*(PI()*(fi_h/1000)^2/4)*SQRT(2*9.81*(O800/100-fi_h/2/1000))*1000)),"",IF(O800&lt;fi_h/20,0,(OFFSET('Base de dados'!$A$5,IF(O800&lt;20,1,IF(O800&gt;1000,10,MATCH(O800,Cargas,1))),Coluna_fih,1,1))*(PI()*(fi_h/1000)^2/4)*SQRT(2*9.81*(O800/100-fi_h/2/1000))*1000))</f>
        <v>3.7725649226863345</v>
      </c>
      <c r="Q800" s="38">
        <f ca="1">IF(O800="","",IF(Tipo_Vertedor="Retangular",IF(O800&lt;=cota_s*100,0,IF(Tipo_Vertedor="Retangular",Cd_sr*Lef_sr*((O800/100-cota_s)^(3/2))*1000)),IF(O800&lt;=cota_s*100+fi_s/20,0,(OFFSET('Base de dados'!$A$4,IF(O800&lt;20,1,IF(O800&gt;1000,10,MATCH(O800,Cargas,1))),Coluna_fis,1,1))*(PI()*(fi_s/1000)^2/4)*(2*9.81*(O800/100-cota_s-fi_s/2/1000))^0.5*1000)))</f>
        <v>2.367742963848781</v>
      </c>
      <c r="R800" s="38">
        <f t="shared" ca="1" si="148"/>
        <v>6.1403078865351155</v>
      </c>
      <c r="S800" s="38">
        <f t="shared" ca="1" si="145"/>
        <v>249.68750000000003</v>
      </c>
    </row>
    <row r="801" spans="13:19">
      <c r="M801" s="132">
        <f t="shared" ca="1" si="144"/>
        <v>256.14041179031852</v>
      </c>
      <c r="N801" s="38">
        <f t="shared" si="146"/>
        <v>7.5</v>
      </c>
      <c r="O801" s="36">
        <f t="shared" si="147"/>
        <v>200</v>
      </c>
      <c r="P801" s="38">
        <f ca="1">IF(ISERROR(IF(O801&lt;fi_h/20,0,(OFFSET('Base de dados'!$A$5,IF(O801&lt;20,1,IF(O801&gt;1000,10,MATCH(O801,Cargas,1))),Coluna_fih,1,1))*(1+0.13*0.25)*(PI()*(fi_h/1000)^2/4)*SQRT(2*9.81*(O801/100-fi_h/2/1000))*1000)),"",IF(O801&lt;fi_h/20,0,(OFFSET('Base de dados'!$A$5,IF(O801&lt;20,1,IF(O801&gt;1000,10,MATCH(O801,Cargas,1))),Coluna_fih,1,1))*(PI()*(fi_h/1000)^2/4)*SQRT(2*9.81*(O801/100-fi_h/2/1000))*1000))</f>
        <v>3.7688769164078941</v>
      </c>
      <c r="Q801" s="38">
        <f ca="1">IF(O801="","",IF(Tipo_Vertedor="Retangular",IF(O801&lt;=cota_s*100,0,IF(Tipo_Vertedor="Retangular",Cd_sr*Lef_sr*((O801/100-cota_s)^(3/2))*1000)),IF(O801&lt;=cota_s*100+fi_s/20,0,(OFFSET('Base de dados'!$A$4,IF(O801&lt;20,1,IF(O801&gt;1000,10,MATCH(O801,Cargas,1))),Coluna_fis,1,1))*(PI()*(fi_s/1000)^2/4)*(2*9.81*(O801/100-cota_s-fi_s/2/1000))^0.5*1000)))</f>
        <v>2.3715348739106106</v>
      </c>
      <c r="R801" s="38">
        <f t="shared" ca="1" si="148"/>
        <v>6.1404117903185043</v>
      </c>
      <c r="S801" s="38">
        <f t="shared" ca="1" si="145"/>
        <v>250</v>
      </c>
    </row>
    <row r="802" spans="13:19">
      <c r="M802" s="132">
        <f t="shared" ca="1" si="144"/>
        <v>256.45907335922936</v>
      </c>
      <c r="N802" s="38">
        <f t="shared" si="146"/>
        <v>7.5093749999999995</v>
      </c>
      <c r="O802" s="36">
        <f t="shared" si="147"/>
        <v>200.25</v>
      </c>
      <c r="P802" s="38">
        <f ca="1">IF(ISERROR(IF(O802&lt;fi_h/20,0,(OFFSET('Base de dados'!$A$5,IF(O802&lt;20,1,IF(O802&gt;1000,10,MATCH(O802,Cargas,1))),Coluna_fih,1,1))*(1+0.13*0.25)*(PI()*(fi_h/1000)^2/4)*SQRT(2*9.81*(O802/100-fi_h/2/1000))*1000)),"",IF(O802&lt;fi_h/20,0,(OFFSET('Base de dados'!$A$5,IF(O802&lt;20,1,IF(O802&gt;1000,10,MATCH(O802,Cargas,1))),Coluna_fih,1,1))*(PI()*(fi_h/1000)^2/4)*SQRT(2*9.81*(O802/100-fi_h/2/1000))*1000))</f>
        <v>3.7712526285715535</v>
      </c>
      <c r="Q802" s="38">
        <f ca="1">IF(O802="","",IF(Tipo_Vertedor="Retangular",IF(O802&lt;=cota_s*100,0,IF(Tipo_Vertedor="Retangular",Cd_sr*Lef_sr*((O802/100-cota_s)^(3/2))*1000)),IF(O802&lt;=cota_s*100+fi_s/20,0,(OFFSET('Base de dados'!$A$4,IF(O802&lt;20,1,IF(O802&gt;1000,10,MATCH(O802,Cargas,1))),Coluna_fis,1,1))*(PI()*(fi_s/1000)^2/4)*(2*9.81*(O802/100-cota_s-fi_s/2/1000))^0.5*1000)))</f>
        <v>2.3753207306578674</v>
      </c>
      <c r="R802" s="38">
        <f t="shared" ca="1" si="148"/>
        <v>6.1465733592294214</v>
      </c>
      <c r="S802" s="38">
        <f t="shared" ca="1" si="145"/>
        <v>250.31249999999997</v>
      </c>
    </row>
    <row r="803" spans="13:19">
      <c r="M803" s="132">
        <f t="shared" ca="1" si="144"/>
        <v>256.77772740807836</v>
      </c>
      <c r="N803" s="38">
        <f t="shared" si="146"/>
        <v>7.5187499999999998</v>
      </c>
      <c r="O803" s="36">
        <f t="shared" si="147"/>
        <v>200.5</v>
      </c>
      <c r="P803" s="38">
        <f ca="1">IF(ISERROR(IF(O803&lt;fi_h/20,0,(OFFSET('Base de dados'!$A$5,IF(O803&lt;20,1,IF(O803&gt;1000,10,MATCH(O803,Cargas,1))),Coluna_fih,1,1))*(1+0.13*0.25)*(PI()*(fi_h/1000)^2/4)*SQRT(2*9.81*(O803/100-fi_h/2/1000))*1000)),"",IF(O803&lt;fi_h/20,0,(OFFSET('Base de dados'!$A$5,IF(O803&lt;20,1,IF(O803&gt;1000,10,MATCH(O803,Cargas,1))),Coluna_fih,1,1))*(PI()*(fi_h/1000)^2/4)*SQRT(2*9.81*(O803/100-fi_h/2/1000))*1000))</f>
        <v>3.773626845089936</v>
      </c>
      <c r="Q803" s="38">
        <f ca="1">IF(O803="","",IF(Tipo_Vertedor="Retangular",IF(O803&lt;=cota_s*100,0,IF(Tipo_Vertedor="Retangular",Cd_sr*Lef_sr*((O803/100-cota_s)^(3/2))*1000)),IF(O803&lt;=cota_s*100+fi_s/20,0,(OFFSET('Base de dados'!$A$4,IF(O803&lt;20,1,IF(O803&gt;1000,10,MATCH(O803,Cargas,1))),Coluna_fis,1,1))*(PI()*(fi_s/1000)^2/4)*(2*9.81*(O803/100-cota_s-fi_s/2/1000))^0.5*1000)))</f>
        <v>2.3791005629884237</v>
      </c>
      <c r="R803" s="38">
        <f t="shared" ca="1" si="148"/>
        <v>6.1527274080783592</v>
      </c>
      <c r="S803" s="38">
        <f t="shared" ca="1" si="145"/>
        <v>250.625</v>
      </c>
    </row>
    <row r="804" spans="13:19">
      <c r="M804" s="132">
        <f t="shared" ca="1" si="144"/>
        <v>257.09637396835518</v>
      </c>
      <c r="N804" s="38">
        <f t="shared" si="146"/>
        <v>7.5281249999999993</v>
      </c>
      <c r="O804" s="36">
        <f t="shared" si="147"/>
        <v>200.75</v>
      </c>
      <c r="P804" s="38">
        <f ca="1">IF(ISERROR(IF(O804&lt;fi_h/20,0,(OFFSET('Base de dados'!$A$5,IF(O804&lt;20,1,IF(O804&gt;1000,10,MATCH(O804,Cargas,1))),Coluna_fih,1,1))*(1+0.13*0.25)*(PI()*(fi_h/1000)^2/4)*SQRT(2*9.81*(O804/100-fi_h/2/1000))*1000)),"",IF(O804&lt;fi_h/20,0,(OFFSET('Base de dados'!$A$5,IF(O804&lt;20,1,IF(O804&gt;1000,10,MATCH(O804,Cargas,1))),Coluna_fih,1,1))*(PI()*(fi_h/1000)^2/4)*SQRT(2*9.81*(O804/100-fi_h/2/1000))*1000))</f>
        <v>3.7759995687842705</v>
      </c>
      <c r="Q804" s="38">
        <f ca="1">IF(O804="","",IF(Tipo_Vertedor="Retangular",IF(O804&lt;=cota_s*100,0,IF(Tipo_Vertedor="Retangular",Cd_sr*Lef_sr*((O804/100-cota_s)^(3/2))*1000)),IF(O804&lt;=cota_s*100+fi_s/20,0,(OFFSET('Base de dados'!$A$4,IF(O804&lt;20,1,IF(O804&gt;1000,10,MATCH(O804,Cargas,1))),Coluna_fis,1,1))*(PI()*(fi_s/1000)^2/4)*(2*9.81*(O804/100-cota_s-fi_s/2/1000))^0.5*1000)))</f>
        <v>2.3828743995709556</v>
      </c>
      <c r="R804" s="38">
        <f t="shared" ca="1" si="148"/>
        <v>6.158873968355226</v>
      </c>
      <c r="S804" s="38">
        <f t="shared" ca="1" si="145"/>
        <v>250.93749999999997</v>
      </c>
    </row>
    <row r="805" spans="13:19">
      <c r="M805" s="132">
        <f t="shared" ca="1" si="144"/>
        <v>257.41501307131443</v>
      </c>
      <c r="N805" s="38">
        <f t="shared" si="146"/>
        <v>7.5374999999999996</v>
      </c>
      <c r="O805" s="36">
        <f t="shared" si="147"/>
        <v>201</v>
      </c>
      <c r="P805" s="38">
        <f ca="1">IF(ISERROR(IF(O805&lt;fi_h/20,0,(OFFSET('Base de dados'!$A$5,IF(O805&lt;20,1,IF(O805&gt;1000,10,MATCH(O805,Cargas,1))),Coluna_fih,1,1))*(1+0.13*0.25)*(PI()*(fi_h/1000)^2/4)*SQRT(2*9.81*(O805/100-fi_h/2/1000))*1000)),"",IF(O805&lt;fi_h/20,0,(OFFSET('Base de dados'!$A$5,IF(O805&lt;20,1,IF(O805&gt;1000,10,MATCH(O805,Cargas,1))),Coluna_fih,1,1))*(PI()*(fi_h/1000)^2/4)*SQRT(2*9.81*(O805/100-fi_h/2/1000))*1000))</f>
        <v>3.7783708024669278</v>
      </c>
      <c r="Q805" s="38">
        <f ca="1">IF(O805="","",IF(Tipo_Vertedor="Retangular",IF(O805&lt;=cota_s*100,0,IF(Tipo_Vertedor="Retangular",Cd_sr*Lef_sr*((O805/100-cota_s)^(3/2))*1000)),IF(O805&lt;=cota_s*100+fi_s/20,0,(OFFSET('Base de dados'!$A$4,IF(O805&lt;20,1,IF(O805&gt;1000,10,MATCH(O805,Cargas,1))),Coluna_fis,1,1))*(PI()*(fi_s/1000)^2/4)*(2*9.81*(O805/100-cota_s-fi_s/2/1000))^0.5*1000)))</f>
        <v>2.3866422688474804</v>
      </c>
      <c r="R805" s="38">
        <f t="shared" ca="1" si="148"/>
        <v>6.1650130713144087</v>
      </c>
      <c r="S805" s="38">
        <f t="shared" ca="1" si="145"/>
        <v>251.25</v>
      </c>
    </row>
    <row r="806" spans="13:19">
      <c r="M806" s="132">
        <f t="shared" ca="1" si="144"/>
        <v>257.73364474797734</v>
      </c>
      <c r="N806" s="38">
        <f t="shared" si="146"/>
        <v>7.5468750000000009</v>
      </c>
      <c r="O806" s="36">
        <f t="shared" si="147"/>
        <v>201.25</v>
      </c>
      <c r="P806" s="38">
        <f ca="1">IF(ISERROR(IF(O806&lt;fi_h/20,0,(OFFSET('Base de dados'!$A$5,IF(O806&lt;20,1,IF(O806&gt;1000,10,MATCH(O806,Cargas,1))),Coluna_fih,1,1))*(1+0.13*0.25)*(PI()*(fi_h/1000)^2/4)*SQRT(2*9.81*(O806/100-fi_h/2/1000))*1000)),"",IF(O806&lt;fi_h/20,0,(OFFSET('Base de dados'!$A$5,IF(O806&lt;20,1,IF(O806&gt;1000,10,MATCH(O806,Cargas,1))),Coluna_fih,1,1))*(PI()*(fi_h/1000)^2/4)*SQRT(2*9.81*(O806/100-fi_h/2/1000))*1000))</f>
        <v>3.7807405489414574</v>
      </c>
      <c r="Q806" s="38">
        <f ca="1">IF(O806="","",IF(Tipo_Vertedor="Retangular",IF(O806&lt;=cota_s*100,0,IF(Tipo_Vertedor="Retangular",Cd_sr*Lef_sr*((O806/100-cota_s)^(3/2))*1000)),IF(O806&lt;=cota_s*100+fi_s/20,0,(OFFSET('Base de dados'!$A$4,IF(O806&lt;20,1,IF(O806&gt;1000,10,MATCH(O806,Cargas,1))),Coluna_fis,1,1))*(PI()*(fi_s/1000)^2/4)*(2*9.81*(O806/100-cota_s-fi_s/2/1000))^0.5*1000)))</f>
        <v>2.3904041990358578</v>
      </c>
      <c r="R806" s="38">
        <f t="shared" ca="1" si="148"/>
        <v>6.1711447479773156</v>
      </c>
      <c r="S806" s="38">
        <f t="shared" ca="1" si="145"/>
        <v>251.56250000000003</v>
      </c>
    </row>
    <row r="807" spans="13:19">
      <c r="M807" s="132">
        <f t="shared" ca="1" si="144"/>
        <v>258.05226902913489</v>
      </c>
      <c r="N807" s="38">
        <f t="shared" si="146"/>
        <v>7.5562500000000004</v>
      </c>
      <c r="O807" s="36">
        <f t="shared" si="147"/>
        <v>201.5</v>
      </c>
      <c r="P807" s="38">
        <f ca="1">IF(ISERROR(IF(O807&lt;fi_h/20,0,(OFFSET('Base de dados'!$A$5,IF(O807&lt;20,1,IF(O807&gt;1000,10,MATCH(O807,Cargas,1))),Coluna_fih,1,1))*(1+0.13*0.25)*(PI()*(fi_h/1000)^2/4)*SQRT(2*9.81*(O807/100-fi_h/2/1000))*1000)),"",IF(O807&lt;fi_h/20,0,(OFFSET('Base de dados'!$A$5,IF(O807&lt;20,1,IF(O807&gt;1000,10,MATCH(O807,Cargas,1))),Coluna_fih,1,1))*(PI()*(fi_h/1000)^2/4)*SQRT(2*9.81*(O807/100-fi_h/2/1000))*1000))</f>
        <v>3.783108811002629</v>
      </c>
      <c r="Q807" s="38">
        <f ca="1">IF(O807="","",IF(Tipo_Vertedor="Retangular",IF(O807&lt;=cota_s*100,0,IF(Tipo_Vertedor="Retangular",Cd_sr*Lef_sr*((O807/100-cota_s)^(3/2))*1000)),IF(O807&lt;=cota_s*100+fi_s/20,0,(OFFSET('Base de dados'!$A$4,IF(O807&lt;20,1,IF(O807&gt;1000,10,MATCH(O807,Cargas,1))),Coluna_fis,1,1))*(PI()*(fi_s/1000)^2/4)*(2*9.81*(O807/100-cota_s-fi_s/2/1000))^0.5*1000)))</f>
        <v>2.3941602181322508</v>
      </c>
      <c r="R807" s="38">
        <f t="shared" ca="1" si="148"/>
        <v>6.1772690291348802</v>
      </c>
      <c r="S807" s="38">
        <f t="shared" ca="1" si="145"/>
        <v>251.875</v>
      </c>
    </row>
    <row r="808" spans="13:19">
      <c r="M808" s="132">
        <f t="shared" ca="1" si="144"/>
        <v>258.37088594535004</v>
      </c>
      <c r="N808" s="38">
        <f t="shared" si="146"/>
        <v>7.5656250000000007</v>
      </c>
      <c r="O808" s="36">
        <f t="shared" si="147"/>
        <v>201.75</v>
      </c>
      <c r="P808" s="38">
        <f ca="1">IF(ISERROR(IF(O808&lt;fi_h/20,0,(OFFSET('Base de dados'!$A$5,IF(O808&lt;20,1,IF(O808&gt;1000,10,MATCH(O808,Cargas,1))),Coluna_fih,1,1))*(1+0.13*0.25)*(PI()*(fi_h/1000)^2/4)*SQRT(2*9.81*(O808/100-fi_h/2/1000))*1000)),"",IF(O808&lt;fi_h/20,0,(OFFSET('Base de dados'!$A$5,IF(O808&lt;20,1,IF(O808&gt;1000,10,MATCH(O808,Cargas,1))),Coluna_fih,1,1))*(PI()*(fi_h/1000)^2/4)*SQRT(2*9.81*(O808/100-fi_h/2/1000))*1000))</f>
        <v>3.7854755914364713</v>
      </c>
      <c r="Q808" s="38">
        <f ca="1">IF(O808="","",IF(Tipo_Vertedor="Retangular",IF(O808&lt;=cota_s*100,0,IF(Tipo_Vertedor="Retangular",Cd_sr*Lef_sr*((O808/100-cota_s)^(3/2))*1000)),IF(O808&lt;=cota_s*100+fi_s/20,0,(OFFSET('Base de dados'!$A$4,IF(O808&lt;20,1,IF(O808&gt;1000,10,MATCH(O808,Cargas,1))),Coluna_fis,1,1))*(PI()*(fi_s/1000)^2/4)*(2*9.81*(O808/100-cota_s-fi_s/2/1000))^0.5*1000)))</f>
        <v>2.3979103539135642</v>
      </c>
      <c r="R808" s="38">
        <f t="shared" ca="1" si="148"/>
        <v>6.1833859453500359</v>
      </c>
      <c r="S808" s="38">
        <f t="shared" ca="1" si="145"/>
        <v>252.18750000000003</v>
      </c>
    </row>
    <row r="809" spans="13:19">
      <c r="M809" s="132">
        <f t="shared" ca="1" si="144"/>
        <v>258.68949552696012</v>
      </c>
      <c r="N809" s="38">
        <f t="shared" si="146"/>
        <v>7.5750000000000002</v>
      </c>
      <c r="O809" s="36">
        <f t="shared" si="147"/>
        <v>202</v>
      </c>
      <c r="P809" s="38">
        <f ca="1">IF(ISERROR(IF(O809&lt;fi_h/20,0,(OFFSET('Base de dados'!$A$5,IF(O809&lt;20,1,IF(O809&gt;1000,10,MATCH(O809,Cargas,1))),Coluna_fih,1,1))*(1+0.13*0.25)*(PI()*(fi_h/1000)^2/4)*SQRT(2*9.81*(O809/100-fi_h/2/1000))*1000)),"",IF(O809&lt;fi_h/20,0,(OFFSET('Base de dados'!$A$5,IF(O809&lt;20,1,IF(O809&gt;1000,10,MATCH(O809,Cargas,1))),Coluna_fih,1,1))*(PI()*(fi_h/1000)^2/4)*SQRT(2*9.81*(O809/100-fi_h/2/1000))*1000))</f>
        <v>3.7878408930203076</v>
      </c>
      <c r="Q809" s="38">
        <f ca="1">IF(O809="","",IF(Tipo_Vertedor="Retangular",IF(O809&lt;=cota_s*100,0,IF(Tipo_Vertedor="Retangular",Cd_sr*Lef_sr*((O809/100-cota_s)^(3/2))*1000)),IF(O809&lt;=cota_s*100+fi_s/20,0,(OFFSET('Base de dados'!$A$4,IF(O809&lt;20,1,IF(O809&gt;1000,10,MATCH(O809,Cargas,1))),Coluna_fis,1,1))*(PI()*(fi_s/1000)^2/4)*(2*9.81*(O809/100-cota_s-fi_s/2/1000))^0.5*1000)))</f>
        <v>2.401654633939835</v>
      </c>
      <c r="R809" s="38">
        <f t="shared" ca="1" si="148"/>
        <v>6.1894955269601422</v>
      </c>
      <c r="S809" s="38">
        <f t="shared" ca="1" si="145"/>
        <v>252.5</v>
      </c>
    </row>
    <row r="810" spans="13:19">
      <c r="M810" s="132">
        <f t="shared" ca="1" si="144"/>
        <v>259.0080978040794</v>
      </c>
      <c r="N810" s="38">
        <f t="shared" si="146"/>
        <v>7.5843749999999996</v>
      </c>
      <c r="O810" s="36">
        <f t="shared" si="147"/>
        <v>202.25</v>
      </c>
      <c r="P810" s="38">
        <f ca="1">IF(ISERROR(IF(O810&lt;fi_h/20,0,(OFFSET('Base de dados'!$A$5,IF(O810&lt;20,1,IF(O810&gt;1000,10,MATCH(O810,Cargas,1))),Coluna_fih,1,1))*(1+0.13*0.25)*(PI()*(fi_h/1000)^2/4)*SQRT(2*9.81*(O810/100-fi_h/2/1000))*1000)),"",IF(O810&lt;fi_h/20,0,(OFFSET('Base de dados'!$A$5,IF(O810&lt;20,1,IF(O810&gt;1000,10,MATCH(O810,Cargas,1))),Coluna_fih,1,1))*(PI()*(fi_h/1000)^2/4)*SQRT(2*9.81*(O810/100-fi_h/2/1000))*1000))</f>
        <v>3.7902047185227943</v>
      </c>
      <c r="Q810" s="38">
        <f ca="1">IF(O810="","",IF(Tipo_Vertedor="Retangular",IF(O810&lt;=cota_s*100,0,IF(Tipo_Vertedor="Retangular",Cd_sr*Lef_sr*((O810/100-cota_s)^(3/2))*1000)),IF(O810&lt;=cota_s*100+fi_s/20,0,(OFFSET('Base de dados'!$A$4,IF(O810&lt;20,1,IF(O810&gt;1000,10,MATCH(O810,Cargas,1))),Coluna_fis,1,1))*(PI()*(fi_s/1000)^2/4)*(2*9.81*(O810/100-cota_s-fi_s/2/1000))^0.5*1000)))</f>
        <v>2.4053930855565979</v>
      </c>
      <c r="R810" s="38">
        <f t="shared" ca="1" si="148"/>
        <v>6.1955978040793926</v>
      </c>
      <c r="S810" s="38">
        <f t="shared" ca="1" si="145"/>
        <v>252.8125</v>
      </c>
    </row>
    <row r="811" spans="13:19">
      <c r="M811" s="132">
        <f t="shared" ca="1" si="144"/>
        <v>259.32669280660116</v>
      </c>
      <c r="N811" s="38">
        <f t="shared" si="146"/>
        <v>7.59375</v>
      </c>
      <c r="O811" s="36">
        <f t="shared" si="147"/>
        <v>202.5</v>
      </c>
      <c r="P811" s="38">
        <f ca="1">IF(ISERROR(IF(O811&lt;fi_h/20,0,(OFFSET('Base de dados'!$A$5,IF(O811&lt;20,1,IF(O811&gt;1000,10,MATCH(O811,Cargas,1))),Coluna_fih,1,1))*(1+0.13*0.25)*(PI()*(fi_h/1000)^2/4)*SQRT(2*9.81*(O811/100-fi_h/2/1000))*1000)),"",IF(O811&lt;fi_h/20,0,(OFFSET('Base de dados'!$A$5,IF(O811&lt;20,1,IF(O811&gt;1000,10,MATCH(O811,Cargas,1))),Coluna_fih,1,1))*(PI()*(fi_h/1000)^2/4)*SQRT(2*9.81*(O811/100-fi_h/2/1000))*1000))</f>
        <v>3.7925670707039618</v>
      </c>
      <c r="Q811" s="38">
        <f ca="1">IF(O811="","",IF(Tipo_Vertedor="Retangular",IF(O811&lt;=cota_s*100,0,IF(Tipo_Vertedor="Retangular",Cd_sr*Lef_sr*((O811/100-cota_s)^(3/2))*1000)),IF(O811&lt;=cota_s*100+fi_s/20,0,(OFFSET('Base de dados'!$A$4,IF(O811&lt;20,1,IF(O811&gt;1000,10,MATCH(O811,Cargas,1))),Coluna_fis,1,1))*(PI()*(fi_s/1000)^2/4)*(2*9.81*(O811/100-cota_s-fi_s/2/1000))^0.5*1000)))</f>
        <v>2.4091257358972151</v>
      </c>
      <c r="R811" s="38">
        <f t="shared" ca="1" si="148"/>
        <v>6.2016928066011765</v>
      </c>
      <c r="S811" s="38">
        <f t="shared" ca="1" si="145"/>
        <v>253.125</v>
      </c>
    </row>
    <row r="812" spans="13:19">
      <c r="M812" s="132">
        <f t="shared" ca="1" si="144"/>
        <v>259.64528056420039</v>
      </c>
      <c r="N812" s="38">
        <f t="shared" si="146"/>
        <v>7.6031249999999995</v>
      </c>
      <c r="O812" s="36">
        <f t="shared" si="147"/>
        <v>202.75</v>
      </c>
      <c r="P812" s="38">
        <f ca="1">IF(ISERROR(IF(O812&lt;fi_h/20,0,(OFFSET('Base de dados'!$A$5,IF(O812&lt;20,1,IF(O812&gt;1000,10,MATCH(O812,Cargas,1))),Coluna_fih,1,1))*(1+0.13*0.25)*(PI()*(fi_h/1000)^2/4)*SQRT(2*9.81*(O812/100-fi_h/2/1000))*1000)),"",IF(O812&lt;fi_h/20,0,(OFFSET('Base de dados'!$A$5,IF(O812&lt;20,1,IF(O812&gt;1000,10,MATCH(O812,Cargas,1))),Coluna_fih,1,1))*(PI()*(fi_h/1000)^2/4)*SQRT(2*9.81*(O812/100-fi_h/2/1000))*1000))</f>
        <v>3.7949279523152484</v>
      </c>
      <c r="Q812" s="38">
        <f ca="1">IF(O812="","",IF(Tipo_Vertedor="Retangular",IF(O812&lt;=cota_s*100,0,IF(Tipo_Vertedor="Retangular",Cd_sr*Lef_sr*((O812/100-cota_s)^(3/2))*1000)),IF(O812&lt;=cota_s*100+fi_s/20,0,(OFFSET('Base de dados'!$A$4,IF(O812&lt;20,1,IF(O812&gt;1000,10,MATCH(O812,Cargas,1))),Coluna_fis,1,1))*(PI()*(fi_s/1000)^2/4)*(2*9.81*(O812/100-cota_s-fi_s/2/1000))^0.5*1000)))</f>
        <v>2.4128526118851741</v>
      </c>
      <c r="R812" s="38">
        <f t="shared" ca="1" si="148"/>
        <v>6.2077805642004229</v>
      </c>
      <c r="S812" s="38">
        <f t="shared" ca="1" si="145"/>
        <v>253.43749999999997</v>
      </c>
    </row>
    <row r="813" spans="13:19">
      <c r="M813" s="132">
        <f t="shared" ca="1" si="144"/>
        <v>259.96386110633586</v>
      </c>
      <c r="N813" s="38">
        <f t="shared" si="146"/>
        <v>7.6124999999999989</v>
      </c>
      <c r="O813" s="36">
        <f t="shared" si="147"/>
        <v>203</v>
      </c>
      <c r="P813" s="38">
        <f ca="1">IF(ISERROR(IF(O813&lt;fi_h/20,0,(OFFSET('Base de dados'!$A$5,IF(O813&lt;20,1,IF(O813&gt;1000,10,MATCH(O813,Cargas,1))),Coluna_fih,1,1))*(1+0.13*0.25)*(PI()*(fi_h/1000)^2/4)*SQRT(2*9.81*(O813/100-fi_h/2/1000))*1000)),"",IF(O813&lt;fi_h/20,0,(OFFSET('Base de dados'!$A$5,IF(O813&lt;20,1,IF(O813&gt;1000,10,MATCH(O813,Cargas,1))),Coluna_fih,1,1))*(PI()*(fi_h/1000)^2/4)*SQRT(2*9.81*(O813/100-fi_h/2/1000))*1000))</f>
        <v>3.7972873660995394</v>
      </c>
      <c r="Q813" s="38">
        <f ca="1">IF(O813="","",IF(Tipo_Vertedor="Retangular",IF(O813&lt;=cota_s*100,0,IF(Tipo_Vertedor="Retangular",Cd_sr*Lef_sr*((O813/100-cota_s)^(3/2))*1000)),IF(O813&lt;=cota_s*100+fi_s/20,0,(OFFSET('Base de dados'!$A$4,IF(O813&lt;20,1,IF(O813&gt;1000,10,MATCH(O813,Cargas,1))),Coluna_fis,1,1))*(PI()*(fi_s/1000)^2/4)*(2*9.81*(O813/100-cota_s-fi_s/2/1000))^0.5*1000)))</f>
        <v>2.4165737402363527</v>
      </c>
      <c r="R813" s="38">
        <f t="shared" ca="1" si="148"/>
        <v>6.2138611063358926</v>
      </c>
      <c r="S813" s="38">
        <f t="shared" ca="1" si="145"/>
        <v>253.74999999999997</v>
      </c>
    </row>
    <row r="814" spans="13:19">
      <c r="M814" s="132">
        <f t="shared" ca="1" si="144"/>
        <v>260.28243446225247</v>
      </c>
      <c r="N814" s="38">
        <f t="shared" si="146"/>
        <v>7.6218750000000011</v>
      </c>
      <c r="O814" s="36">
        <f t="shared" si="147"/>
        <v>203.25</v>
      </c>
      <c r="P814" s="38">
        <f ca="1">IF(ISERROR(IF(O814&lt;fi_h/20,0,(OFFSET('Base de dados'!$A$5,IF(O814&lt;20,1,IF(O814&gt;1000,10,MATCH(O814,Cargas,1))),Coluna_fih,1,1))*(1+0.13*0.25)*(PI()*(fi_h/1000)^2/4)*SQRT(2*9.81*(O814/100-fi_h/2/1000))*1000)),"",IF(O814&lt;fi_h/20,0,(OFFSET('Base de dados'!$A$5,IF(O814&lt;20,1,IF(O814&gt;1000,10,MATCH(O814,Cargas,1))),Coluna_fih,1,1))*(PI()*(fi_h/1000)^2/4)*SQRT(2*9.81*(O814/100-fi_h/2/1000))*1000))</f>
        <v>3.799645314791205</v>
      </c>
      <c r="Q814" s="38">
        <f ca="1">IF(O814="","",IF(Tipo_Vertedor="Retangular",IF(O814&lt;=cota_s*100,0,IF(Tipo_Vertedor="Retangular",Cd_sr*Lef_sr*((O814/100-cota_s)^(3/2))*1000)),IF(O814&lt;=cota_s*100+fi_s/20,0,(OFFSET('Base de dados'!$A$4,IF(O814&lt;20,1,IF(O814&gt;1000,10,MATCH(O814,Cargas,1))),Coluna_fis,1,1))*(PI()*(fi_s/1000)^2/4)*(2*9.81*(O814/100-cota_s-fi_s/2/1000))^0.5*1000)))</f>
        <v>2.4202891474612547</v>
      </c>
      <c r="R814" s="38">
        <f t="shared" ca="1" si="148"/>
        <v>6.2199344622524597</v>
      </c>
      <c r="S814" s="38">
        <f t="shared" ca="1" si="145"/>
        <v>254.06250000000003</v>
      </c>
    </row>
    <row r="815" spans="13:19">
      <c r="M815" s="132">
        <f t="shared" ca="1" si="144"/>
        <v>260.60100066098335</v>
      </c>
      <c r="N815" s="38">
        <f t="shared" si="146"/>
        <v>7.6312500000000005</v>
      </c>
      <c r="O815" s="36">
        <f t="shared" si="147"/>
        <v>203.5</v>
      </c>
      <c r="P815" s="38">
        <f ca="1">IF(ISERROR(IF(O815&lt;fi_h/20,0,(OFFSET('Base de dados'!$A$5,IF(O815&lt;20,1,IF(O815&gt;1000,10,MATCH(O815,Cargas,1))),Coluna_fih,1,1))*(1+0.13*0.25)*(PI()*(fi_h/1000)^2/4)*SQRT(2*9.81*(O815/100-fi_h/2/1000))*1000)),"",IF(O815&lt;fi_h/20,0,(OFFSET('Base de dados'!$A$5,IF(O815&lt;20,1,IF(O815&gt;1000,10,MATCH(O815,Cargas,1))),Coluna_fih,1,1))*(PI()*(fi_h/1000)^2/4)*SQRT(2*9.81*(O815/100-fi_h/2/1000))*1000))</f>
        <v>3.8020018011161349</v>
      </c>
      <c r="Q815" s="38">
        <f ca="1">IF(O815="","",IF(Tipo_Vertedor="Retangular",IF(O815&lt;=cota_s*100,0,IF(Tipo_Vertedor="Retangular",Cd_sr*Lef_sr*((O815/100-cota_s)^(3/2))*1000)),IF(O815&lt;=cota_s*100+fi_s/20,0,(OFFSET('Base de dados'!$A$4,IF(O815&lt;20,1,IF(O815&gt;1000,10,MATCH(O815,Cargas,1))),Coluna_fis,1,1))*(PI()*(fi_s/1000)^2/4)*(2*9.81*(O815/100-cota_s-fi_s/2/1000))^0.5*1000)))</f>
        <v>2.42399885986721</v>
      </c>
      <c r="R815" s="38">
        <f t="shared" ca="1" si="148"/>
        <v>6.2260006609833454</v>
      </c>
      <c r="S815" s="38">
        <f t="shared" ca="1" si="145"/>
        <v>254.37500000000003</v>
      </c>
    </row>
    <row r="816" spans="13:19">
      <c r="M816" s="132">
        <f t="shared" ca="1" si="144"/>
        <v>260.91955973135231</v>
      </c>
      <c r="N816" s="38">
        <f t="shared" si="146"/>
        <v>7.640625</v>
      </c>
      <c r="O816" s="36">
        <f t="shared" si="147"/>
        <v>203.75</v>
      </c>
      <c r="P816" s="38">
        <f ca="1">IF(ISERROR(IF(O816&lt;fi_h/20,0,(OFFSET('Base de dados'!$A$5,IF(O816&lt;20,1,IF(O816&gt;1000,10,MATCH(O816,Cargas,1))),Coluna_fih,1,1))*(1+0.13*0.25)*(PI()*(fi_h/1000)^2/4)*SQRT(2*9.81*(O816/100-fi_h/2/1000))*1000)),"",IF(O816&lt;fi_h/20,0,(OFFSET('Base de dados'!$A$5,IF(O816&lt;20,1,IF(O816&gt;1000,10,MATCH(O816,Cargas,1))),Coluna_fih,1,1))*(PI()*(fi_h/1000)^2/4)*SQRT(2*9.81*(O816/100-fi_h/2/1000))*1000))</f>
        <v>3.8043568277917763</v>
      </c>
      <c r="Q816" s="38">
        <f ca="1">IF(O816="","",IF(Tipo_Vertedor="Retangular",IF(O816&lt;=cota_s*100,0,IF(Tipo_Vertedor="Retangular",Cd_sr*Lef_sr*((O816/100-cota_s)^(3/2))*1000)),IF(O816&lt;=cota_s*100+fi_s/20,0,(OFFSET('Base de dados'!$A$4,IF(O816&lt;20,1,IF(O816&gt;1000,10,MATCH(O816,Cargas,1))),Coluna_fis,1,1))*(PI()*(fi_s/1000)^2/4)*(2*9.81*(O816/100-cota_s-fi_s/2/1000))^0.5*1000)))</f>
        <v>2.4277029035605535</v>
      </c>
      <c r="R816" s="38">
        <f t="shared" ca="1" si="148"/>
        <v>6.2320597313523294</v>
      </c>
      <c r="S816" s="38">
        <f t="shared" ca="1" si="145"/>
        <v>254.6875</v>
      </c>
    </row>
    <row r="817" spans="13:19">
      <c r="M817" s="132">
        <f t="shared" ca="1" si="144"/>
        <v>261.23811170197592</v>
      </c>
      <c r="N817" s="38">
        <f t="shared" si="146"/>
        <v>7.65</v>
      </c>
      <c r="O817" s="36">
        <f t="shared" si="147"/>
        <v>204</v>
      </c>
      <c r="P817" s="38">
        <f ca="1">IF(ISERROR(IF(O817&lt;fi_h/20,0,(OFFSET('Base de dados'!$A$5,IF(O817&lt;20,1,IF(O817&gt;1000,10,MATCH(O817,Cargas,1))),Coluna_fih,1,1))*(1+0.13*0.25)*(PI()*(fi_h/1000)^2/4)*SQRT(2*9.81*(O817/100-fi_h/2/1000))*1000)),"",IF(O817&lt;fi_h/20,0,(OFFSET('Base de dados'!$A$5,IF(O817&lt;20,1,IF(O817&gt;1000,10,MATCH(O817,Cargas,1))),Coluna_fih,1,1))*(PI()*(fi_h/1000)^2/4)*SQRT(2*9.81*(O817/100-fi_h/2/1000))*1000))</f>
        <v>3.8067103975271728</v>
      </c>
      <c r="Q817" s="38">
        <f ca="1">IF(O817="","",IF(Tipo_Vertedor="Retangular",IF(O817&lt;=cota_s*100,0,IF(Tipo_Vertedor="Retangular",Cd_sr*Lef_sr*((O817/100-cota_s)^(3/2))*1000)),IF(O817&lt;=cota_s*100+fi_s/20,0,(OFFSET('Base de dados'!$A$4,IF(O817&lt;20,1,IF(O817&gt;1000,10,MATCH(O817,Cargas,1))),Coluna_fis,1,1))*(PI()*(fi_s/1000)^2/4)*(2*9.81*(O817/100-cota_s-fi_s/2/1000))^0.5*1000)))</f>
        <v>2.4314013044487632</v>
      </c>
      <c r="R817" s="38">
        <f t="shared" ca="1" si="148"/>
        <v>6.238111701975936</v>
      </c>
      <c r="S817" s="38">
        <f t="shared" ca="1" si="145"/>
        <v>255</v>
      </c>
    </row>
    <row r="818" spans="13:19">
      <c r="M818" s="132">
        <f t="shared" ca="1" si="144"/>
        <v>261.55665660126556</v>
      </c>
      <c r="N818" s="38">
        <f t="shared" si="146"/>
        <v>7.6593749999999998</v>
      </c>
      <c r="O818" s="36">
        <f t="shared" si="147"/>
        <v>204.25</v>
      </c>
      <c r="P818" s="38">
        <f ca="1">IF(ISERROR(IF(O818&lt;fi_h/20,0,(OFFSET('Base de dados'!$A$5,IF(O818&lt;20,1,IF(O818&gt;1000,10,MATCH(O818,Cargas,1))),Coluna_fih,1,1))*(1+0.13*0.25)*(PI()*(fi_h/1000)^2/4)*SQRT(2*9.81*(O818/100-fi_h/2/1000))*1000)),"",IF(O818&lt;fi_h/20,0,(OFFSET('Base de dados'!$A$5,IF(O818&lt;20,1,IF(O818&gt;1000,10,MATCH(O818,Cargas,1))),Coluna_fih,1,1))*(PI()*(fi_h/1000)^2/4)*SQRT(2*9.81*(O818/100-fi_h/2/1000))*1000))</f>
        <v>3.809062513022996</v>
      </c>
      <c r="Q818" s="38">
        <f ca="1">IF(O818="","",IF(Tipo_Vertedor="Retangular",IF(O818&lt;=cota_s*100,0,IF(Tipo_Vertedor="Retangular",Cd_sr*Lef_sr*((O818/100-cota_s)^(3/2))*1000)),IF(O818&lt;=cota_s*100+fi_s/20,0,(OFFSET('Base de dados'!$A$4,IF(O818&lt;20,1,IF(O818&gt;1000,10,MATCH(O818,Cargas,1))),Coluna_fis,1,1))*(PI()*(fi_s/1000)^2/4)*(2*9.81*(O818/100-cota_s-fi_s/2/1000))^0.5*1000)))</f>
        <v>2.4350940882425789</v>
      </c>
      <c r="R818" s="38">
        <f t="shared" ca="1" si="148"/>
        <v>6.2441566012655745</v>
      </c>
      <c r="S818" s="38">
        <f t="shared" ca="1" si="145"/>
        <v>255.3125</v>
      </c>
    </row>
    <row r="819" spans="13:19">
      <c r="M819" s="132">
        <f t="shared" ca="1" si="144"/>
        <v>261.87519445742964</v>
      </c>
      <c r="N819" s="38">
        <f t="shared" si="146"/>
        <v>7.6687499999999993</v>
      </c>
      <c r="O819" s="36">
        <f t="shared" si="147"/>
        <v>204.5</v>
      </c>
      <c r="P819" s="38">
        <f ca="1">IF(ISERROR(IF(O819&lt;fi_h/20,0,(OFFSET('Base de dados'!$A$5,IF(O819&lt;20,1,IF(O819&gt;1000,10,MATCH(O819,Cargas,1))),Coluna_fih,1,1))*(1+0.13*0.25)*(PI()*(fi_h/1000)^2/4)*SQRT(2*9.81*(O819/100-fi_h/2/1000))*1000)),"",IF(O819&lt;fi_h/20,0,(OFFSET('Base de dados'!$A$5,IF(O819&lt;20,1,IF(O819&gt;1000,10,MATCH(O819,Cargas,1))),Coluna_fih,1,1))*(PI()*(fi_h/1000)^2/4)*SQRT(2*9.81*(O819/100-fi_h/2/1000))*1000))</f>
        <v>3.8114131769715849</v>
      </c>
      <c r="Q819" s="38">
        <f ca="1">IF(O819="","",IF(Tipo_Vertedor="Retangular",IF(O819&lt;=cota_s*100,0,IF(Tipo_Vertedor="Retangular",Cd_sr*Lef_sr*((O819/100-cota_s)^(3/2))*1000)),IF(O819&lt;=cota_s*100+fi_s/20,0,(OFFSET('Base de dados'!$A$4,IF(O819&lt;20,1,IF(O819&gt;1000,10,MATCH(O819,Cargas,1))),Coluna_fis,1,1))*(PI()*(fi_s/1000)^2/4)*(2*9.81*(O819/100-cota_s-fi_s/2/1000))^0.5*1000)))</f>
        <v>2.4387812804580826</v>
      </c>
      <c r="R819" s="38">
        <f t="shared" ca="1" si="148"/>
        <v>6.2501944574296679</v>
      </c>
      <c r="S819" s="38">
        <f t="shared" ca="1" si="145"/>
        <v>255.62499999999997</v>
      </c>
    </row>
    <row r="820" spans="13:19">
      <c r="M820" s="132">
        <f t="shared" ca="1" si="144"/>
        <v>262.19372529847573</v>
      </c>
      <c r="N820" s="38">
        <f t="shared" si="146"/>
        <v>7.6781249999999996</v>
      </c>
      <c r="O820" s="36">
        <f t="shared" si="147"/>
        <v>204.75</v>
      </c>
      <c r="P820" s="38">
        <f ca="1">IF(ISERROR(IF(O820&lt;fi_h/20,0,(OFFSET('Base de dados'!$A$5,IF(O820&lt;20,1,IF(O820&gt;1000,10,MATCH(O820,Cargas,1))),Coluna_fih,1,1))*(1+0.13*0.25)*(PI()*(fi_h/1000)^2/4)*SQRT(2*9.81*(O820/100-fi_h/2/1000))*1000)),"",IF(O820&lt;fi_h/20,0,(OFFSET('Base de dados'!$A$5,IF(O820&lt;20,1,IF(O820&gt;1000,10,MATCH(O820,Cargas,1))),Coluna_fih,1,1))*(PI()*(fi_h/1000)^2/4)*SQRT(2*9.81*(O820/100-fi_h/2/1000))*1000))</f>
        <v>3.8137623920569843</v>
      </c>
      <c r="Q820" s="38">
        <f ca="1">IF(O820="","",IF(Tipo_Vertedor="Retangular",IF(O820&lt;=cota_s*100,0,IF(Tipo_Vertedor="Retangular",Cd_sr*Lef_sr*((O820/100-cota_s)^(3/2))*1000)),IF(O820&lt;=cota_s*100+fi_s/20,0,(OFFSET('Base de dados'!$A$4,IF(O820&lt;20,1,IF(O820&gt;1000,10,MATCH(O820,Cargas,1))),Coluna_fis,1,1))*(PI()*(fi_s/1000)^2/4)*(2*9.81*(O820/100-cota_s-fi_s/2/1000))^0.5*1000)))</f>
        <v>2.4424629064187595</v>
      </c>
      <c r="R820" s="38">
        <f t="shared" ca="1" si="148"/>
        <v>6.2562252984757443</v>
      </c>
      <c r="S820" s="38">
        <f t="shared" ca="1" si="145"/>
        <v>255.9375</v>
      </c>
    </row>
    <row r="821" spans="13:19">
      <c r="M821" s="132">
        <f t="shared" ca="1" si="144"/>
        <v>262.51224915221246</v>
      </c>
      <c r="N821" s="38">
        <f t="shared" si="146"/>
        <v>7.6874999999999991</v>
      </c>
      <c r="O821" s="36">
        <f t="shared" si="147"/>
        <v>205</v>
      </c>
      <c r="P821" s="38">
        <f ca="1">IF(ISERROR(IF(O821&lt;fi_h/20,0,(OFFSET('Base de dados'!$A$5,IF(O821&lt;20,1,IF(O821&gt;1000,10,MATCH(O821,Cargas,1))),Coluna_fih,1,1))*(1+0.13*0.25)*(PI()*(fi_h/1000)^2/4)*SQRT(2*9.81*(O821/100-fi_h/2/1000))*1000)),"",IF(O821&lt;fi_h/20,0,(OFFSET('Base de dados'!$A$5,IF(O821&lt;20,1,IF(O821&gt;1000,10,MATCH(O821,Cargas,1))),Coluna_fih,1,1))*(PI()*(fi_h/1000)^2/4)*SQRT(2*9.81*(O821/100-fi_h/2/1000))*1000))</f>
        <v>3.8161101609549721</v>
      </c>
      <c r="Q821" s="38">
        <f ca="1">IF(O821="","",IF(Tipo_Vertedor="Retangular",IF(O821&lt;=cota_s*100,0,IF(Tipo_Vertedor="Retangular",Cd_sr*Lef_sr*((O821/100-cota_s)^(3/2))*1000)),IF(O821&lt;=cota_s*100+fi_s/20,0,(OFFSET('Base de dados'!$A$4,IF(O821&lt;20,1,IF(O821&gt;1000,10,MATCH(O821,Cargas,1))),Coluna_fis,1,1))*(PI()*(fi_s/1000)^2/4)*(2*9.81*(O821/100-cota_s-fi_s/2/1000))^0.5*1000)))</f>
        <v>2.4461389912575249</v>
      </c>
      <c r="R821" s="38">
        <f t="shared" ca="1" si="148"/>
        <v>6.2622491522124974</v>
      </c>
      <c r="S821" s="38">
        <f t="shared" ca="1" si="145"/>
        <v>256.24999999999994</v>
      </c>
    </row>
    <row r="822" spans="13:19">
      <c r="M822" s="132">
        <f t="shared" ca="1" si="144"/>
        <v>262.83076604625182</v>
      </c>
      <c r="N822" s="38">
        <f t="shared" si="146"/>
        <v>7.6968750000000004</v>
      </c>
      <c r="O822" s="36">
        <f t="shared" si="147"/>
        <v>205.25</v>
      </c>
      <c r="P822" s="38">
        <f ca="1">IF(ISERROR(IF(O822&lt;fi_h/20,0,(OFFSET('Base de dados'!$A$5,IF(O822&lt;20,1,IF(O822&gt;1000,10,MATCH(O822,Cargas,1))),Coluna_fih,1,1))*(1+0.13*0.25)*(PI()*(fi_h/1000)^2/4)*SQRT(2*9.81*(O822/100-fi_h/2/1000))*1000)),"",IF(O822&lt;fi_h/20,0,(OFFSET('Base de dados'!$A$5,IF(O822&lt;20,1,IF(O822&gt;1000,10,MATCH(O822,Cargas,1))),Coluna_fih,1,1))*(PI()*(fi_h/1000)^2/4)*SQRT(2*9.81*(O822/100-fi_h/2/1000))*1000))</f>
        <v>3.8184564863331047</v>
      </c>
      <c r="Q822" s="38">
        <f ca="1">IF(O822="","",IF(Tipo_Vertedor="Retangular",IF(O822&lt;=cota_s*100,0,IF(Tipo_Vertedor="Retangular",Cd_sr*Lef_sr*((O822/100-cota_s)^(3/2))*1000)),IF(O822&lt;=cota_s*100+fi_s/20,0,(OFFSET('Base de dados'!$A$4,IF(O822&lt;20,1,IF(O822&gt;1000,10,MATCH(O822,Cargas,1))),Coluna_fis,1,1))*(PI()*(fi_s/1000)^2/4)*(2*9.81*(O822/100-cota_s-fi_s/2/1000))^0.5*1000)))</f>
        <v>2.449809559918728</v>
      </c>
      <c r="R822" s="38">
        <f t="shared" ca="1" si="148"/>
        <v>6.2682660462518331</v>
      </c>
      <c r="S822" s="38">
        <f t="shared" ca="1" si="145"/>
        <v>256.5625</v>
      </c>
    </row>
    <row r="823" spans="13:19">
      <c r="M823" s="132">
        <f t="shared" ca="1" si="144"/>
        <v>263.14927600801093</v>
      </c>
      <c r="N823" s="38">
        <f t="shared" si="146"/>
        <v>7.7062500000000007</v>
      </c>
      <c r="O823" s="36">
        <f t="shared" si="147"/>
        <v>205.5</v>
      </c>
      <c r="P823" s="38">
        <f ca="1">IF(ISERROR(IF(O823&lt;fi_h/20,0,(OFFSET('Base de dados'!$A$5,IF(O823&lt;20,1,IF(O823&gt;1000,10,MATCH(O823,Cargas,1))),Coluna_fih,1,1))*(1+0.13*0.25)*(PI()*(fi_h/1000)^2/4)*SQRT(2*9.81*(O823/100-fi_h/2/1000))*1000)),"",IF(O823&lt;fi_h/20,0,(OFFSET('Base de dados'!$A$5,IF(O823&lt;20,1,IF(O823&gt;1000,10,MATCH(O823,Cargas,1))),Coluna_fih,1,1))*(PI()*(fi_h/1000)^2/4)*SQRT(2*9.81*(O823/100-fi_h/2/1000))*1000))</f>
        <v>3.8208013708507456</v>
      </c>
      <c r="Q823" s="38">
        <f ca="1">IF(O823="","",IF(Tipo_Vertedor="Retangular",IF(O823&lt;=cota_s*100,0,IF(Tipo_Vertedor="Retangular",Cd_sr*Lef_sr*((O823/100-cota_s)^(3/2))*1000)),IF(O823&lt;=cota_s*100+fi_s/20,0,(OFFSET('Base de dados'!$A$4,IF(O823&lt;20,1,IF(O823&gt;1000,10,MATCH(O823,Cargas,1))),Coluna_fis,1,1))*(PI()*(fi_s/1000)^2/4)*(2*9.81*(O823/100-cota_s-fi_s/2/1000))^0.5*1000)))</f>
        <v>2.4534746371601228</v>
      </c>
      <c r="R823" s="38">
        <f t="shared" ca="1" si="148"/>
        <v>6.2742760080108688</v>
      </c>
      <c r="S823" s="38">
        <f t="shared" ca="1" si="145"/>
        <v>256.87500000000006</v>
      </c>
    </row>
    <row r="824" spans="13:19">
      <c r="M824" s="132">
        <f t="shared" ca="1" si="144"/>
        <v>263.46777906471391</v>
      </c>
      <c r="N824" s="38">
        <f t="shared" si="146"/>
        <v>7.7156250000000002</v>
      </c>
      <c r="O824" s="36">
        <f t="shared" si="147"/>
        <v>205.75</v>
      </c>
      <c r="P824" s="38">
        <f ca="1">IF(ISERROR(IF(O824&lt;fi_h/20,0,(OFFSET('Base de dados'!$A$5,IF(O824&lt;20,1,IF(O824&gt;1000,10,MATCH(O824,Cargas,1))),Coluna_fih,1,1))*(1+0.13*0.25)*(PI()*(fi_h/1000)^2/4)*SQRT(2*9.81*(O824/100-fi_h/2/1000))*1000)),"",IF(O824&lt;fi_h/20,0,(OFFSET('Base de dados'!$A$5,IF(O824&lt;20,1,IF(O824&gt;1000,10,MATCH(O824,Cargas,1))),Coluna_fih,1,1))*(PI()*(fi_h/1000)^2/4)*SQRT(2*9.81*(O824/100-fi_h/2/1000))*1000))</f>
        <v>3.8231448171591031</v>
      </c>
      <c r="Q824" s="38">
        <f ca="1">IF(O824="","",IF(Tipo_Vertedor="Retangular",IF(O824&lt;=cota_s*100,0,IF(Tipo_Vertedor="Retangular",Cd_sr*Lef_sr*((O824/100-cota_s)^(3/2))*1000)),IF(O824&lt;=cota_s*100+fi_s/20,0,(OFFSET('Base de dados'!$A$4,IF(O824&lt;20,1,IF(O824&gt;1000,10,MATCH(O824,Cargas,1))),Coluna_fis,1,1))*(PI()*(fi_s/1000)^2/4)*(2*9.81*(O824/100-cota_s-fi_s/2/1000))^0.5*1000)))</f>
        <v>2.4571342475548232</v>
      </c>
      <c r="R824" s="38">
        <f t="shared" ca="1" si="148"/>
        <v>6.2802790647139268</v>
      </c>
      <c r="S824" s="38">
        <f t="shared" ca="1" si="145"/>
        <v>257.1875</v>
      </c>
    </row>
    <row r="825" spans="13:19">
      <c r="M825" s="132">
        <f t="shared" ca="1" si="144"/>
        <v>263.78627524339453</v>
      </c>
      <c r="N825" s="38">
        <f t="shared" si="146"/>
        <v>7.7250000000000005</v>
      </c>
      <c r="O825" s="36">
        <f t="shared" si="147"/>
        <v>206</v>
      </c>
      <c r="P825" s="38">
        <f ca="1">IF(ISERROR(IF(O825&lt;fi_h/20,0,(OFFSET('Base de dados'!$A$5,IF(O825&lt;20,1,IF(O825&gt;1000,10,MATCH(O825,Cargas,1))),Coluna_fih,1,1))*(1+0.13*0.25)*(PI()*(fi_h/1000)^2/4)*SQRT(2*9.81*(O825/100-fi_h/2/1000))*1000)),"",IF(O825&lt;fi_h/20,0,(OFFSET('Base de dados'!$A$5,IF(O825&lt;20,1,IF(O825&gt;1000,10,MATCH(O825,Cargas,1))),Coluna_fih,1,1))*(PI()*(fi_h/1000)^2/4)*SQRT(2*9.81*(O825/100-fi_h/2/1000))*1000))</f>
        <v>3.825486827901265</v>
      </c>
      <c r="Q825" s="38">
        <f ca="1">IF(O825="","",IF(Tipo_Vertedor="Retangular",IF(O825&lt;=cota_s*100,0,IF(Tipo_Vertedor="Retangular",Cd_sr*Lef_sr*((O825/100-cota_s)^(3/2))*1000)),IF(O825&lt;=cota_s*100+fi_s/20,0,(OFFSET('Base de dados'!$A$4,IF(O825&lt;20,1,IF(O825&gt;1000,10,MATCH(O825,Cargas,1))),Coluna_fis,1,1))*(PI()*(fi_s/1000)^2/4)*(2*9.81*(O825/100-cota_s-fi_s/2/1000))^0.5*1000)))</f>
        <v>2.4607884154932163</v>
      </c>
      <c r="R825" s="38">
        <f t="shared" ca="1" si="148"/>
        <v>6.2862752433944813</v>
      </c>
      <c r="S825" s="38">
        <f t="shared" ca="1" si="145"/>
        <v>257.50000000000006</v>
      </c>
    </row>
    <row r="826" spans="13:19">
      <c r="M826" s="132">
        <f t="shared" ca="1" si="144"/>
        <v>264.10476457089709</v>
      </c>
      <c r="N826" s="38">
        <f t="shared" si="146"/>
        <v>7.734375</v>
      </c>
      <c r="O826" s="36">
        <f t="shared" si="147"/>
        <v>206.25</v>
      </c>
      <c r="P826" s="38">
        <f ca="1">IF(ISERROR(IF(O826&lt;fi_h/20,0,(OFFSET('Base de dados'!$A$5,IF(O826&lt;20,1,IF(O826&gt;1000,10,MATCH(O826,Cargas,1))),Coluna_fih,1,1))*(1+0.13*0.25)*(PI()*(fi_h/1000)^2/4)*SQRT(2*9.81*(O826/100-fi_h/2/1000))*1000)),"",IF(O826&lt;fi_h/20,0,(OFFSET('Base de dados'!$A$5,IF(O826&lt;20,1,IF(O826&gt;1000,10,MATCH(O826,Cargas,1))),Coluna_fih,1,1))*(PI()*(fi_h/1000)^2/4)*SQRT(2*9.81*(O826/100-fi_h/2/1000))*1000))</f>
        <v>3.8278274057122355</v>
      </c>
      <c r="Q826" s="38">
        <f ca="1">IF(O826="","",IF(Tipo_Vertedor="Retangular",IF(O826&lt;=cota_s*100,0,IF(Tipo_Vertedor="Retangular",Cd_sr*Lef_sr*((O826/100-cota_s)^(3/2))*1000)),IF(O826&lt;=cota_s*100+fi_s/20,0,(OFFSET('Base de dados'!$A$4,IF(O826&lt;20,1,IF(O826&gt;1000,10,MATCH(O826,Cargas,1))),Coluna_fis,1,1))*(PI()*(fi_s/1000)^2/4)*(2*9.81*(O826/100-cota_s-fi_s/2/1000))^0.5*1000)))</f>
        <v>2.4644371651848664</v>
      </c>
      <c r="R826" s="38">
        <f t="shared" ca="1" si="148"/>
        <v>6.2922645708971014</v>
      </c>
      <c r="S826" s="38">
        <f t="shared" ca="1" si="145"/>
        <v>257.8125</v>
      </c>
    </row>
    <row r="827" spans="13:19">
      <c r="M827" s="132">
        <f t="shared" ca="1" si="144"/>
        <v>264.42324707387928</v>
      </c>
      <c r="N827" s="38">
        <f t="shared" si="146"/>
        <v>7.7437499999999995</v>
      </c>
      <c r="O827" s="36">
        <f t="shared" si="147"/>
        <v>206.5</v>
      </c>
      <c r="P827" s="38">
        <f ca="1">IF(ISERROR(IF(O827&lt;fi_h/20,0,(OFFSET('Base de dados'!$A$5,IF(O827&lt;20,1,IF(O827&gt;1000,10,MATCH(O827,Cargas,1))),Coluna_fih,1,1))*(1+0.13*0.25)*(PI()*(fi_h/1000)^2/4)*SQRT(2*9.81*(O827/100-fi_h/2/1000))*1000)),"",IF(O827&lt;fi_h/20,0,(OFFSET('Base de dados'!$A$5,IF(O827&lt;20,1,IF(O827&gt;1000,10,MATCH(O827,Cargas,1))),Coluna_fih,1,1))*(PI()*(fi_h/1000)^2/4)*SQRT(2*9.81*(O827/100-fi_h/2/1000))*1000))</f>
        <v>3.8301665532189633</v>
      </c>
      <c r="Q827" s="38">
        <f ca="1">IF(O827="","",IF(Tipo_Vertedor="Retangular",IF(O827&lt;=cota_s*100,0,IF(Tipo_Vertedor="Retangular",Cd_sr*Lef_sr*((O827/100-cota_s)^(3/2))*1000)),IF(O827&lt;=cota_s*100+fi_s/20,0,(OFFSET('Base de dados'!$A$4,IF(O827&lt;20,1,IF(O827&gt;1000,10,MATCH(O827,Cargas,1))),Coluna_fis,1,1))*(PI()*(fi_s/1000)^2/4)*(2*9.81*(O827/100-cota_s-fi_s/2/1000))^0.5*1000)))</f>
        <v>2.4680805206603833</v>
      </c>
      <c r="R827" s="38">
        <f t="shared" ca="1" si="148"/>
        <v>6.298247073879347</v>
      </c>
      <c r="S827" s="38">
        <f t="shared" ca="1" si="145"/>
        <v>258.12499999999994</v>
      </c>
    </row>
    <row r="828" spans="13:19">
      <c r="M828" s="132">
        <f t="shared" ca="1" si="144"/>
        <v>264.74172277881365</v>
      </c>
      <c r="N828" s="38">
        <f t="shared" si="146"/>
        <v>7.7531249999999998</v>
      </c>
      <c r="O828" s="36">
        <f t="shared" si="147"/>
        <v>206.75</v>
      </c>
      <c r="P828" s="38">
        <f ca="1">IF(ISERROR(IF(O828&lt;fi_h/20,0,(OFFSET('Base de dados'!$A$5,IF(O828&lt;20,1,IF(O828&gt;1000,10,MATCH(O828,Cargas,1))),Coluna_fih,1,1))*(1+0.13*0.25)*(PI()*(fi_h/1000)^2/4)*SQRT(2*9.81*(O828/100-fi_h/2/1000))*1000)),"",IF(O828&lt;fi_h/20,0,(OFFSET('Base de dados'!$A$5,IF(O828&lt;20,1,IF(O828&gt;1000,10,MATCH(O828,Cargas,1))),Coluna_fih,1,1))*(PI()*(fi_h/1000)^2/4)*SQRT(2*9.81*(O828/100-fi_h/2/1000))*1000))</f>
        <v>3.8325042730403851</v>
      </c>
      <c r="Q828" s="38">
        <f ca="1">IF(O828="","",IF(Tipo_Vertedor="Retangular",IF(O828&lt;=cota_s*100,0,IF(Tipo_Vertedor="Retangular",Cd_sr*Lef_sr*((O828/100-cota_s)^(3/2))*1000)),IF(O828&lt;=cota_s*100+fi_s/20,0,(OFFSET('Base de dados'!$A$4,IF(O828&lt;20,1,IF(O828&gt;1000,10,MATCH(O828,Cargas,1))),Coluna_fis,1,1))*(PI()*(fi_s/1000)^2/4)*(2*9.81*(O828/100-cota_s-fi_s/2/1000))^0.5*1000)))</f>
        <v>2.4717185057732682</v>
      </c>
      <c r="R828" s="38">
        <f t="shared" ca="1" si="148"/>
        <v>6.3042227788136529</v>
      </c>
      <c r="S828" s="38">
        <f t="shared" ca="1" si="145"/>
        <v>258.4375</v>
      </c>
    </row>
    <row r="829" spans="13:19">
      <c r="M829" s="132">
        <f t="shared" ca="1" si="144"/>
        <v>265.06019171198915</v>
      </c>
      <c r="N829" s="38">
        <f t="shared" si="146"/>
        <v>7.7624999999999993</v>
      </c>
      <c r="O829" s="36">
        <f t="shared" si="147"/>
        <v>207</v>
      </c>
      <c r="P829" s="38">
        <f ca="1">IF(ISERROR(IF(O829&lt;fi_h/20,0,(OFFSET('Base de dados'!$A$5,IF(O829&lt;20,1,IF(O829&gt;1000,10,MATCH(O829,Cargas,1))),Coluna_fih,1,1))*(1+0.13*0.25)*(PI()*(fi_h/1000)^2/4)*SQRT(2*9.81*(O829/100-fi_h/2/1000))*1000)),"",IF(O829&lt;fi_h/20,0,(OFFSET('Base de dados'!$A$5,IF(O829&lt;20,1,IF(O829&gt;1000,10,MATCH(O829,Cargas,1))),Coluna_fih,1,1))*(PI()*(fi_h/1000)^2/4)*SQRT(2*9.81*(O829/100-fi_h/2/1000))*1000))</f>
        <v>3.8348405677874515</v>
      </c>
      <c r="Q829" s="38">
        <f ca="1">IF(O829="","",IF(Tipo_Vertedor="Retangular",IF(O829&lt;=cota_s*100,0,IF(Tipo_Vertedor="Retangular",Cd_sr*Lef_sr*((O829/100-cota_s)^(3/2))*1000)),IF(O829&lt;=cota_s*100+fi_s/20,0,(OFFSET('Base de dados'!$A$4,IF(O829&lt;20,1,IF(O829&gt;1000,10,MATCH(O829,Cargas,1))),Coluna_fis,1,1))*(PI()*(fi_s/1000)^2/4)*(2*9.81*(O829/100-cota_s-fi_s/2/1000))^0.5*1000)))</f>
        <v>2.4753511442017366</v>
      </c>
      <c r="R829" s="38">
        <f t="shared" ca="1" si="148"/>
        <v>6.3101917119891882</v>
      </c>
      <c r="S829" s="38">
        <f t="shared" ca="1" si="145"/>
        <v>258.74999999999994</v>
      </c>
    </row>
    <row r="830" spans="13:19">
      <c r="M830" s="132">
        <f t="shared" ca="1" si="144"/>
        <v>265.37865389951367</v>
      </c>
      <c r="N830" s="38">
        <f t="shared" si="146"/>
        <v>7.7718749999999996</v>
      </c>
      <c r="O830" s="36">
        <f t="shared" si="147"/>
        <v>207.25</v>
      </c>
      <c r="P830" s="38">
        <f ca="1">IF(ISERROR(IF(O830&lt;fi_h/20,0,(OFFSET('Base de dados'!$A$5,IF(O830&lt;20,1,IF(O830&gt;1000,10,MATCH(O830,Cargas,1))),Coluna_fih,1,1))*(1+0.13*0.25)*(PI()*(fi_h/1000)^2/4)*SQRT(2*9.81*(O830/100-fi_h/2/1000))*1000)),"",IF(O830&lt;fi_h/20,0,(OFFSET('Base de dados'!$A$5,IF(O830&lt;20,1,IF(O830&gt;1000,10,MATCH(O830,Cargas,1))),Coluna_fih,1,1))*(PI()*(fi_h/1000)^2/4)*SQRT(2*9.81*(O830/100-fi_h/2/1000))*1000))</f>
        <v>3.837175440063167</v>
      </c>
      <c r="Q830" s="38">
        <f ca="1">IF(O830="","",IF(Tipo_Vertedor="Retangular",IF(O830&lt;=cota_s*100,0,IF(Tipo_Vertedor="Retangular",Cd_sr*Lef_sr*((O830/100-cota_s)^(3/2))*1000)),IF(O830&lt;=cota_s*100+fi_s/20,0,(OFFSET('Base de dados'!$A$4,IF(O830&lt;20,1,IF(O830&gt;1000,10,MATCH(O830,Cargas,1))),Coluna_fis,1,1))*(PI()*(fi_s/1000)^2/4)*(2*9.81*(O830/100-cota_s-fi_s/2/1000))^0.5*1000)))</f>
        <v>2.478978459450516</v>
      </c>
      <c r="R830" s="38">
        <f t="shared" ca="1" si="148"/>
        <v>6.316153899513683</v>
      </c>
      <c r="S830" s="38">
        <f t="shared" ca="1" si="145"/>
        <v>259.0625</v>
      </c>
    </row>
    <row r="831" spans="13:19">
      <c r="M831" s="132">
        <f t="shared" ca="1" si="144"/>
        <v>265.69710936731531</v>
      </c>
      <c r="N831" s="38">
        <f t="shared" si="146"/>
        <v>7.7812500000000009</v>
      </c>
      <c r="O831" s="36">
        <f t="shared" si="147"/>
        <v>207.5</v>
      </c>
      <c r="P831" s="38">
        <f ca="1">IF(ISERROR(IF(O831&lt;fi_h/20,0,(OFFSET('Base de dados'!$A$5,IF(O831&lt;20,1,IF(O831&gt;1000,10,MATCH(O831,Cargas,1))),Coluna_fih,1,1))*(1+0.13*0.25)*(PI()*(fi_h/1000)^2/4)*SQRT(2*9.81*(O831/100-fi_h/2/1000))*1000)),"",IF(O831&lt;fi_h/20,0,(OFFSET('Base de dados'!$A$5,IF(O831&lt;20,1,IF(O831&gt;1000,10,MATCH(O831,Cargas,1))),Coluna_fih,1,1))*(PI()*(fi_h/1000)^2/4)*SQRT(2*9.81*(O831/100-fi_h/2/1000))*1000))</f>
        <v>3.8395088924626206</v>
      </c>
      <c r="Q831" s="38">
        <f ca="1">IF(O831="","",IF(Tipo_Vertedor="Retangular",IF(O831&lt;=cota_s*100,0,IF(Tipo_Vertedor="Retangular",Cd_sr*Lef_sr*((O831/100-cota_s)^(3/2))*1000)),IF(O831&lt;=cota_s*100+fi_s/20,0,(OFFSET('Base de dados'!$A$4,IF(O831&lt;20,1,IF(O831&gt;1000,10,MATCH(O831,Cargas,1))),Coluna_fis,1,1))*(PI()*(fi_s/1000)^2/4)*(2*9.81*(O831/100-cota_s-fi_s/2/1000))^0.5*1000)))</f>
        <v>2.4826004748526223</v>
      </c>
      <c r="R831" s="38">
        <f t="shared" ca="1" si="148"/>
        <v>6.3221093673152424</v>
      </c>
      <c r="S831" s="38">
        <f t="shared" ca="1" si="145"/>
        <v>259.37500000000006</v>
      </c>
    </row>
    <row r="832" spans="13:19">
      <c r="M832" s="132">
        <f t="shared" ca="1" si="144"/>
        <v>266.01555814114414</v>
      </c>
      <c r="N832" s="38">
        <f t="shared" si="146"/>
        <v>7.7906250000000004</v>
      </c>
      <c r="O832" s="36">
        <f t="shared" si="147"/>
        <v>207.75</v>
      </c>
      <c r="P832" s="38">
        <f ca="1">IF(ISERROR(IF(O832&lt;fi_h/20,0,(OFFSET('Base de dados'!$A$5,IF(O832&lt;20,1,IF(O832&gt;1000,10,MATCH(O832,Cargas,1))),Coluna_fih,1,1))*(1+0.13*0.25)*(PI()*(fi_h/1000)^2/4)*SQRT(2*9.81*(O832/100-fi_h/2/1000))*1000)),"",IF(O832&lt;fi_h/20,0,(OFFSET('Base de dados'!$A$5,IF(O832&lt;20,1,IF(O832&gt;1000,10,MATCH(O832,Cargas,1))),Coluna_fih,1,1))*(PI()*(fi_h/1000)^2/4)*SQRT(2*9.81*(O832/100-fi_h/2/1000))*1000))</f>
        <v>3.8418409275730188</v>
      </c>
      <c r="Q832" s="38">
        <f ca="1">IF(O832="","",IF(Tipo_Vertedor="Retangular",IF(O832&lt;=cota_s*100,0,IF(Tipo_Vertedor="Retangular",Cd_sr*Lef_sr*((O832/100-cota_s)^(3/2))*1000)),IF(O832&lt;=cota_s*100+fi_s/20,0,(OFFSET('Base de dados'!$A$4,IF(O832&lt;20,1,IF(O832&gt;1000,10,MATCH(O832,Cargas,1))),Coluna_fis,1,1))*(PI()*(fi_s/1000)^2/4)*(2*9.81*(O832/100-cota_s-fi_s/2/1000))^0.5*1000)))</f>
        <v>2.486217213571106</v>
      </c>
      <c r="R832" s="38">
        <f t="shared" ca="1" si="148"/>
        <v>6.3280581411441243</v>
      </c>
      <c r="S832" s="38">
        <f t="shared" ca="1" si="145"/>
        <v>259.6875</v>
      </c>
    </row>
    <row r="833" spans="13:19">
      <c r="M833" s="132">
        <f t="shared" ca="1" si="144"/>
        <v>266.33400024657459</v>
      </c>
      <c r="N833" s="38">
        <f t="shared" si="146"/>
        <v>7.8000000000000007</v>
      </c>
      <c r="O833" s="36">
        <f t="shared" si="147"/>
        <v>208</v>
      </c>
      <c r="P833" s="38">
        <f ca="1">IF(ISERROR(IF(O833&lt;fi_h/20,0,(OFFSET('Base de dados'!$A$5,IF(O833&lt;20,1,IF(O833&gt;1000,10,MATCH(O833,Cargas,1))),Coluna_fih,1,1))*(1+0.13*0.25)*(PI()*(fi_h/1000)^2/4)*SQRT(2*9.81*(O833/100-fi_h/2/1000))*1000)),"",IF(O833&lt;fi_h/20,0,(OFFSET('Base de dados'!$A$5,IF(O833&lt;20,1,IF(O833&gt;1000,10,MATCH(O833,Cargas,1))),Coluna_fih,1,1))*(PI()*(fi_h/1000)^2/4)*SQRT(2*9.81*(O833/100-fi_h/2/1000))*1000))</f>
        <v>3.8441715479737226</v>
      </c>
      <c r="Q833" s="38">
        <f ca="1">IF(O833="","",IF(Tipo_Vertedor="Retangular",IF(O833&lt;=cota_s*100,0,IF(Tipo_Vertedor="Retangular",Cd_sr*Lef_sr*((O833/100-cota_s)^(3/2))*1000)),IF(O833&lt;=cota_s*100+fi_s/20,0,(OFFSET('Base de dados'!$A$4,IF(O833&lt;20,1,IF(O833&gt;1000,10,MATCH(O833,Cargas,1))),Coluna_fis,1,1))*(PI()*(fi_s/1000)^2/4)*(2*9.81*(O833/100-cota_s-fi_s/2/1000))^0.5*1000)))</f>
        <v>2.4898286986007854</v>
      </c>
      <c r="R833" s="38">
        <f t="shared" ca="1" si="148"/>
        <v>6.334000246574508</v>
      </c>
      <c r="S833" s="38">
        <f t="shared" ca="1" si="145"/>
        <v>260.00000000000006</v>
      </c>
    </row>
    <row r="834" spans="13:19">
      <c r="M834" s="132">
        <f t="shared" ca="1" si="144"/>
        <v>266.65243570900623</v>
      </c>
      <c r="N834" s="38">
        <f t="shared" si="146"/>
        <v>7.8093750000000002</v>
      </c>
      <c r="O834" s="36">
        <f t="shared" si="147"/>
        <v>208.25</v>
      </c>
      <c r="P834" s="38">
        <f ca="1">IF(ISERROR(IF(O834&lt;fi_h/20,0,(OFFSET('Base de dados'!$A$5,IF(O834&lt;20,1,IF(O834&gt;1000,10,MATCH(O834,Cargas,1))),Coluna_fih,1,1))*(1+0.13*0.25)*(PI()*(fi_h/1000)^2/4)*SQRT(2*9.81*(O834/100-fi_h/2/1000))*1000)),"",IF(O834&lt;fi_h/20,0,(OFFSET('Base de dados'!$A$5,IF(O834&lt;20,1,IF(O834&gt;1000,10,MATCH(O834,Cargas,1))),Coluna_fih,1,1))*(PI()*(fi_h/1000)^2/4)*SQRT(2*9.81*(O834/100-fi_h/2/1000))*1000))</f>
        <v>3.8465007562362787</v>
      </c>
      <c r="Q834" s="38">
        <f ca="1">IF(O834="","",IF(Tipo_Vertedor="Retangular",IF(O834&lt;=cota_s*100,0,IF(Tipo_Vertedor="Retangular",Cd_sr*Lef_sr*((O834/100-cota_s)^(3/2))*1000)),IF(O834&lt;=cota_s*100+fi_s/20,0,(OFFSET('Base de dados'!$A$4,IF(O834&lt;20,1,IF(O834&gt;1000,10,MATCH(O834,Cargas,1))),Coluna_fis,1,1))*(PI()*(fi_s/1000)^2/4)*(2*9.81*(O834/100-cota_s-fi_s/2/1000))^0.5*1000)))</f>
        <v>2.4934349527699511</v>
      </c>
      <c r="R834" s="38">
        <f t="shared" ca="1" si="148"/>
        <v>6.3399357090062303</v>
      </c>
      <c r="S834" s="38">
        <f t="shared" ca="1" si="145"/>
        <v>260.3125</v>
      </c>
    </row>
    <row r="835" spans="13:19">
      <c r="M835" s="132">
        <f t="shared" ca="1" si="144"/>
        <v>266.9708645536665</v>
      </c>
      <c r="N835" s="38">
        <f t="shared" si="146"/>
        <v>7.8187499999999996</v>
      </c>
      <c r="O835" s="36">
        <f t="shared" si="147"/>
        <v>208.5</v>
      </c>
      <c r="P835" s="38">
        <f ca="1">IF(ISERROR(IF(O835&lt;fi_h/20,0,(OFFSET('Base de dados'!$A$5,IF(O835&lt;20,1,IF(O835&gt;1000,10,MATCH(O835,Cargas,1))),Coluna_fih,1,1))*(1+0.13*0.25)*(PI()*(fi_h/1000)^2/4)*SQRT(2*9.81*(O835/100-fi_h/2/1000))*1000)),"",IF(O835&lt;fi_h/20,0,(OFFSET('Base de dados'!$A$5,IF(O835&lt;20,1,IF(O835&gt;1000,10,MATCH(O835,Cargas,1))),Coluna_fih,1,1))*(PI()*(fi_h/1000)^2/4)*SQRT(2*9.81*(O835/100-fi_h/2/1000))*1000))</f>
        <v>3.8488285549244514</v>
      </c>
      <c r="Q835" s="38">
        <f ca="1">IF(O835="","",IF(Tipo_Vertedor="Retangular",IF(O835&lt;=cota_s*100,0,IF(Tipo_Vertedor="Retangular",Cd_sr*Lef_sr*((O835/100-cota_s)^(3/2))*1000)),IF(O835&lt;=cota_s*100+fi_s/20,0,(OFFSET('Base de dados'!$A$4,IF(O835&lt;20,1,IF(O835&gt;1000,10,MATCH(O835,Cargas,1))),Coluna_fis,1,1))*(PI()*(fi_s/1000)^2/4)*(2*9.81*(O835/100-cota_s-fi_s/2/1000))^0.5*1000)))</f>
        <v>2.4970359987420476</v>
      </c>
      <c r="R835" s="38">
        <f t="shared" ca="1" si="148"/>
        <v>6.345864553666499</v>
      </c>
      <c r="S835" s="38">
        <f t="shared" ca="1" si="145"/>
        <v>260.625</v>
      </c>
    </row>
    <row r="836" spans="13:19">
      <c r="M836" s="132">
        <f t="shared" ca="1" si="144"/>
        <v>267.2892868056116</v>
      </c>
      <c r="N836" s="38">
        <f t="shared" si="146"/>
        <v>7.828125</v>
      </c>
      <c r="O836" s="36">
        <f t="shared" si="147"/>
        <v>208.75</v>
      </c>
      <c r="P836" s="38">
        <f ca="1">IF(ISERROR(IF(O836&lt;fi_h/20,0,(OFFSET('Base de dados'!$A$5,IF(O836&lt;20,1,IF(O836&gt;1000,10,MATCH(O836,Cargas,1))),Coluna_fih,1,1))*(1+0.13*0.25)*(PI()*(fi_h/1000)^2/4)*SQRT(2*9.81*(O836/100-fi_h/2/1000))*1000)),"",IF(O836&lt;fi_h/20,0,(OFFSET('Base de dados'!$A$5,IF(O836&lt;20,1,IF(O836&gt;1000,10,MATCH(O836,Cargas,1))),Coluna_fih,1,1))*(PI()*(fi_h/1000)^2/4)*SQRT(2*9.81*(O836/100-fi_h/2/1000))*1000))</f>
        <v>3.8511549465942569</v>
      </c>
      <c r="Q836" s="38">
        <f ca="1">IF(O836="","",IF(Tipo_Vertedor="Retangular",IF(O836&lt;=cota_s*100,0,IF(Tipo_Vertedor="Retangular",Cd_sr*Lef_sr*((O836/100-cota_s)^(3/2))*1000)),IF(O836&lt;=cota_s*100+fi_s/20,0,(OFFSET('Base de dados'!$A$4,IF(O836&lt;20,1,IF(O836&gt;1000,10,MATCH(O836,Cargas,1))),Coluna_fis,1,1))*(PI()*(fi_s/1000)^2/4)*(2*9.81*(O836/100-cota_s-fi_s/2/1000))^0.5*1000)))</f>
        <v>2.5006318590173371</v>
      </c>
      <c r="R836" s="38">
        <f t="shared" ca="1" si="148"/>
        <v>6.351786805611594</v>
      </c>
      <c r="S836" s="38">
        <f t="shared" ca="1" si="145"/>
        <v>260.9375</v>
      </c>
    </row>
    <row r="837" spans="13:19">
      <c r="M837" s="132">
        <f t="shared" ref="M837:M900" ca="1" si="149">IF(O837="","",2*N837*1000/(Passo*60)+R837)</f>
        <v>267.60770248972847</v>
      </c>
      <c r="N837" s="38">
        <f t="shared" si="146"/>
        <v>7.8374999999999995</v>
      </c>
      <c r="O837" s="36">
        <f t="shared" si="147"/>
        <v>209</v>
      </c>
      <c r="P837" s="38">
        <f ca="1">IF(ISERROR(IF(O837&lt;fi_h/20,0,(OFFSET('Base de dados'!$A$5,IF(O837&lt;20,1,IF(O837&gt;1000,10,MATCH(O837,Cargas,1))),Coluna_fih,1,1))*(1+0.13*0.25)*(PI()*(fi_h/1000)^2/4)*SQRT(2*9.81*(O837/100-fi_h/2/1000))*1000)),"",IF(O837&lt;fi_h/20,0,(OFFSET('Base de dados'!$A$5,IF(O837&lt;20,1,IF(O837&gt;1000,10,MATCH(O837,Cargas,1))),Coluna_fih,1,1))*(PI()*(fi_h/1000)^2/4)*SQRT(2*9.81*(O837/100-fi_h/2/1000))*1000))</f>
        <v>3.8534799337939973</v>
      </c>
      <c r="Q837" s="38">
        <f ca="1">IF(O837="","",IF(Tipo_Vertedor="Retangular",IF(O837&lt;=cota_s*100,0,IF(Tipo_Vertedor="Retangular",Cd_sr*Lef_sr*((O837/100-cota_s)^(3/2))*1000)),IF(O837&lt;=cota_s*100+fi_s/20,0,(OFFSET('Base de dados'!$A$4,IF(O837&lt;20,1,IF(O837&gt;1000,10,MATCH(O837,Cargas,1))),Coluna_fis,1,1))*(PI()*(fi_s/1000)^2/4)*(2*9.81*(O837/100-cota_s-fi_s/2/1000))^0.5*1000)))</f>
        <v>2.5042225559345384</v>
      </c>
      <c r="R837" s="38">
        <f t="shared" ca="1" si="148"/>
        <v>6.3577024897285357</v>
      </c>
      <c r="S837" s="38">
        <f t="shared" ref="S837:S900" ca="1" si="150">IF(M837="","",2*N837*1000/(Passo*60))</f>
        <v>261.24999999999994</v>
      </c>
    </row>
    <row r="838" spans="13:19">
      <c r="M838" s="132">
        <f t="shared" ca="1" si="149"/>
        <v>267.92611163073667</v>
      </c>
      <c r="N838" s="38">
        <f t="shared" ref="N838:N901" si="151">IF(O838="","",b_0*(O838/100)^c_0)</f>
        <v>7.8468749999999989</v>
      </c>
      <c r="O838" s="36">
        <f t="shared" si="147"/>
        <v>209.25</v>
      </c>
      <c r="P838" s="38">
        <f ca="1">IF(ISERROR(IF(O838&lt;fi_h/20,0,(OFFSET('Base de dados'!$A$5,IF(O838&lt;20,1,IF(O838&gt;1000,10,MATCH(O838,Cargas,1))),Coluna_fih,1,1))*(1+0.13*0.25)*(PI()*(fi_h/1000)^2/4)*SQRT(2*9.81*(O838/100-fi_h/2/1000))*1000)),"",IF(O838&lt;fi_h/20,0,(OFFSET('Base de dados'!$A$5,IF(O838&lt;20,1,IF(O838&gt;1000,10,MATCH(O838,Cargas,1))),Coluna_fih,1,1))*(PI()*(fi_h/1000)^2/4)*SQRT(2*9.81*(O838/100-fi_h/2/1000))*1000))</f>
        <v>3.8558035190642905</v>
      </c>
      <c r="Q838" s="38">
        <f ca="1">IF(O838="","",IF(Tipo_Vertedor="Retangular",IF(O838&lt;=cota_s*100,0,IF(Tipo_Vertedor="Retangular",Cd_sr*Lef_sr*((O838/100-cota_s)^(3/2))*1000)),IF(O838&lt;=cota_s*100+fi_s/20,0,(OFFSET('Base de dados'!$A$4,IF(O838&lt;20,1,IF(O838&gt;1000,10,MATCH(O838,Cargas,1))),Coluna_fis,1,1))*(PI()*(fi_s/1000)^2/4)*(2*9.81*(O838/100-cota_s-fi_s/2/1000))^0.5*1000)))</f>
        <v>2.5078081116724458</v>
      </c>
      <c r="R838" s="38">
        <f t="shared" ca="1" si="148"/>
        <v>6.3636116307367363</v>
      </c>
      <c r="S838" s="38">
        <f t="shared" ca="1" si="150"/>
        <v>261.56249999999994</v>
      </c>
    </row>
    <row r="839" spans="13:19">
      <c r="M839" s="132">
        <f t="shared" ca="1" si="149"/>
        <v>268.24451425318966</v>
      </c>
      <c r="N839" s="38">
        <f t="shared" si="151"/>
        <v>7.8562500000000011</v>
      </c>
      <c r="O839" s="36">
        <f t="shared" si="147"/>
        <v>209.5</v>
      </c>
      <c r="P839" s="38">
        <f ca="1">IF(ISERROR(IF(O839&lt;fi_h/20,0,(OFFSET('Base de dados'!$A$5,IF(O839&lt;20,1,IF(O839&gt;1000,10,MATCH(O839,Cargas,1))),Coluna_fih,1,1))*(1+0.13*0.25)*(PI()*(fi_h/1000)^2/4)*SQRT(2*9.81*(O839/100-fi_h/2/1000))*1000)),"",IF(O839&lt;fi_h/20,0,(OFFSET('Base de dados'!$A$5,IF(O839&lt;20,1,IF(O839&gt;1000,10,MATCH(O839,Cargas,1))),Coluna_fih,1,1))*(PI()*(fi_h/1000)^2/4)*SQRT(2*9.81*(O839/100-fi_h/2/1000))*1000))</f>
        <v>3.8581257049381041</v>
      </c>
      <c r="Q839" s="38">
        <f ca="1">IF(O839="","",IF(Tipo_Vertedor="Retangular",IF(O839&lt;=cota_s*100,0,IF(Tipo_Vertedor="Retangular",Cd_sr*Lef_sr*((O839/100-cota_s)^(3/2))*1000)),IF(O839&lt;=cota_s*100+fi_s/20,0,(OFFSET('Base de dados'!$A$4,IF(O839&lt;20,1,IF(O839&gt;1000,10,MATCH(O839,Cargas,1))),Coluna_fis,1,1))*(PI()*(fi_s/1000)^2/4)*(2*9.81*(O839/100-cota_s-fi_s/2/1000))^0.5*1000)))</f>
        <v>2.5113885482515306</v>
      </c>
      <c r="R839" s="38">
        <f t="shared" ca="1" si="148"/>
        <v>6.3695142531896352</v>
      </c>
      <c r="S839" s="38">
        <f t="shared" ca="1" si="150"/>
        <v>261.87500000000006</v>
      </c>
    </row>
    <row r="840" spans="13:19">
      <c r="M840" s="132">
        <f t="shared" ca="1" si="149"/>
        <v>268.56291038147634</v>
      </c>
      <c r="N840" s="38">
        <f t="shared" si="151"/>
        <v>7.8656250000000005</v>
      </c>
      <c r="O840" s="36">
        <f t="shared" si="147"/>
        <v>209.75</v>
      </c>
      <c r="P840" s="38">
        <f ca="1">IF(ISERROR(IF(O840&lt;fi_h/20,0,(OFFSET('Base de dados'!$A$5,IF(O840&lt;20,1,IF(O840&gt;1000,10,MATCH(O840,Cargas,1))),Coluna_fih,1,1))*(1+0.13*0.25)*(PI()*(fi_h/1000)^2/4)*SQRT(2*9.81*(O840/100-fi_h/2/1000))*1000)),"",IF(O840&lt;fi_h/20,0,(OFFSET('Base de dados'!$A$5,IF(O840&lt;20,1,IF(O840&gt;1000,10,MATCH(O840,Cargas,1))),Coluna_fih,1,1))*(PI()*(fi_h/1000)^2/4)*SQRT(2*9.81*(O840/100-fi_h/2/1000))*1000))</f>
        <v>3.8604464939407874</v>
      </c>
      <c r="Q840" s="38">
        <f ca="1">IF(O840="","",IF(Tipo_Vertedor="Retangular",IF(O840&lt;=cota_s*100,0,IF(Tipo_Vertedor="Retangular",Cd_sr*Lef_sr*((O840/100-cota_s)^(3/2))*1000)),IF(O840&lt;=cota_s*100+fi_s/20,0,(OFFSET('Base de dados'!$A$4,IF(O840&lt;20,1,IF(O840&gt;1000,10,MATCH(O840,Cargas,1))),Coluna_fis,1,1))*(PI()*(fi_s/1000)^2/4)*(2*9.81*(O840/100-cota_s-fi_s/2/1000))^0.5*1000)))</f>
        <v>2.5149638875355125</v>
      </c>
      <c r="R840" s="38">
        <f t="shared" ca="1" si="148"/>
        <v>6.3754103814762999</v>
      </c>
      <c r="S840" s="38">
        <f t="shared" ca="1" si="150"/>
        <v>262.18750000000006</v>
      </c>
    </row>
    <row r="841" spans="13:19">
      <c r="M841" s="132">
        <f t="shared" ca="1" si="149"/>
        <v>268.88130003982303</v>
      </c>
      <c r="N841" s="38">
        <f t="shared" si="151"/>
        <v>7.875</v>
      </c>
      <c r="O841" s="36">
        <f t="shared" si="147"/>
        <v>210</v>
      </c>
      <c r="P841" s="38">
        <f ca="1">IF(ISERROR(IF(O841&lt;fi_h/20,0,(OFFSET('Base de dados'!$A$5,IF(O841&lt;20,1,IF(O841&gt;1000,10,MATCH(O841,Cargas,1))),Coluna_fih,1,1))*(1+0.13*0.25)*(PI()*(fi_h/1000)^2/4)*SQRT(2*9.81*(O841/100-fi_h/2/1000))*1000)),"",IF(O841&lt;fi_h/20,0,(OFFSET('Base de dados'!$A$5,IF(O841&lt;20,1,IF(O841&gt;1000,10,MATCH(O841,Cargas,1))),Coluna_fih,1,1))*(PI()*(fi_h/1000)^2/4)*SQRT(2*9.81*(O841/100-fi_h/2/1000))*1000))</f>
        <v>3.8627658885901037</v>
      </c>
      <c r="Q841" s="38">
        <f ca="1">IF(O841="","",IF(Tipo_Vertedor="Retangular",IF(O841&lt;=cota_s*100,0,IF(Tipo_Vertedor="Retangular",Cd_sr*Lef_sr*((O841/100-cota_s)^(3/2))*1000)),IF(O841&lt;=cota_s*100+fi_s/20,0,(OFFSET('Base de dados'!$A$4,IF(O841&lt;20,1,IF(O841&gt;1000,10,MATCH(O841,Cargas,1))),Coluna_fis,1,1))*(PI()*(fi_s/1000)^2/4)*(2*9.81*(O841/100-cota_s-fi_s/2/1000))^0.5*1000)))</f>
        <v>2.5185341512329242</v>
      </c>
      <c r="R841" s="38">
        <f t="shared" ca="1" si="148"/>
        <v>6.381300039823028</v>
      </c>
      <c r="S841" s="38">
        <f t="shared" ca="1" si="150"/>
        <v>262.5</v>
      </c>
    </row>
    <row r="842" spans="13:19">
      <c r="M842" s="132">
        <f t="shared" ca="1" si="149"/>
        <v>269.1996832522949</v>
      </c>
      <c r="N842" s="38">
        <f t="shared" si="151"/>
        <v>7.8843750000000004</v>
      </c>
      <c r="O842" s="36">
        <f t="shared" si="147"/>
        <v>210.25</v>
      </c>
      <c r="P842" s="38">
        <f ca="1">IF(ISERROR(IF(O842&lt;fi_h/20,0,(OFFSET('Base de dados'!$A$5,IF(O842&lt;20,1,IF(O842&gt;1000,10,MATCH(O842,Cargas,1))),Coluna_fih,1,1))*(1+0.13*0.25)*(PI()*(fi_h/1000)^2/4)*SQRT(2*9.81*(O842/100-fi_h/2/1000))*1000)),"",IF(O842&lt;fi_h/20,0,(OFFSET('Base de dados'!$A$5,IF(O842&lt;20,1,IF(O842&gt;1000,10,MATCH(O842,Cargas,1))),Coluna_fih,1,1))*(PI()*(fi_h/1000)^2/4)*SQRT(2*9.81*(O842/100-fi_h/2/1000))*1000))</f>
        <v>3.8650838913962611</v>
      </c>
      <c r="Q842" s="38">
        <f ca="1">IF(O842="","",IF(Tipo_Vertedor="Retangular",IF(O842&lt;=cota_s*100,0,IF(Tipo_Vertedor="Retangular",Cd_sr*Lef_sr*((O842/100-cota_s)^(3/2))*1000)),IF(O842&lt;=cota_s*100+fi_s/20,0,(OFFSET('Base de dados'!$A$4,IF(O842&lt;20,1,IF(O842&gt;1000,10,MATCH(O842,Cargas,1))),Coluna_fis,1,1))*(PI()*(fi_s/1000)^2/4)*(2*9.81*(O842/100-cota_s-fi_s/2/1000))^0.5*1000)))</f>
        <v>2.5220993608986451</v>
      </c>
      <c r="R842" s="38">
        <f t="shared" ca="1" si="148"/>
        <v>6.3871832522949061</v>
      </c>
      <c r="S842" s="38">
        <f t="shared" ca="1" si="150"/>
        <v>262.8125</v>
      </c>
    </row>
    <row r="843" spans="13:19">
      <c r="M843" s="132">
        <f t="shared" ca="1" si="149"/>
        <v>269.51806004279734</v>
      </c>
      <c r="N843" s="38">
        <f t="shared" si="151"/>
        <v>7.8937499999999998</v>
      </c>
      <c r="O843" s="36">
        <f t="shared" si="147"/>
        <v>210.5</v>
      </c>
      <c r="P843" s="38">
        <f ca="1">IF(ISERROR(IF(O843&lt;fi_h/20,0,(OFFSET('Base de dados'!$A$5,IF(O843&lt;20,1,IF(O843&gt;1000,10,MATCH(O843,Cargas,1))),Coluna_fih,1,1))*(1+0.13*0.25)*(PI()*(fi_h/1000)^2/4)*SQRT(2*9.81*(O843/100-fi_h/2/1000))*1000)),"",IF(O843&lt;fi_h/20,0,(OFFSET('Base de dados'!$A$5,IF(O843&lt;20,1,IF(O843&gt;1000,10,MATCH(O843,Cargas,1))),Coluna_fih,1,1))*(PI()*(fi_h/1000)^2/4)*SQRT(2*9.81*(O843/100-fi_h/2/1000))*1000))</f>
        <v>3.8674005048619473</v>
      </c>
      <c r="Q843" s="38">
        <f ca="1">IF(O843="","",IF(Tipo_Vertedor="Retangular",IF(O843&lt;=cota_s*100,0,IF(Tipo_Vertedor="Retangular",Cd_sr*Lef_sr*((O843/100-cota_s)^(3/2))*1000)),IF(O843&lt;=cota_s*100+fi_s/20,0,(OFFSET('Base de dados'!$A$4,IF(O843&lt;20,1,IF(O843&gt;1000,10,MATCH(O843,Cargas,1))),Coluna_fis,1,1))*(PI()*(fi_s/1000)^2/4)*(2*9.81*(O843/100-cota_s-fi_s/2/1000))^0.5*1000)))</f>
        <v>2.5256595379354212</v>
      </c>
      <c r="R843" s="38">
        <f t="shared" ca="1" si="148"/>
        <v>6.3930600427973685</v>
      </c>
      <c r="S843" s="38">
        <f t="shared" ca="1" si="150"/>
        <v>263.125</v>
      </c>
    </row>
    <row r="844" spans="13:19">
      <c r="M844" s="132">
        <f t="shared" ca="1" si="149"/>
        <v>269.83643043507766</v>
      </c>
      <c r="N844" s="38">
        <f t="shared" si="151"/>
        <v>7.9031249999999993</v>
      </c>
      <c r="O844" s="36">
        <f t="shared" si="147"/>
        <v>210.75</v>
      </c>
      <c r="P844" s="38">
        <f ca="1">IF(ISERROR(IF(O844&lt;fi_h/20,0,(OFFSET('Base de dados'!$A$5,IF(O844&lt;20,1,IF(O844&gt;1000,10,MATCH(O844,Cargas,1))),Coluna_fih,1,1))*(1+0.13*0.25)*(PI()*(fi_h/1000)^2/4)*SQRT(2*9.81*(O844/100-fi_h/2/1000))*1000)),"",IF(O844&lt;fi_h/20,0,(OFFSET('Base de dados'!$A$5,IF(O844&lt;20,1,IF(O844&gt;1000,10,MATCH(O844,Cargas,1))),Coluna_fih,1,1))*(PI()*(fi_h/1000)^2/4)*SQRT(2*9.81*(O844/100-fi_h/2/1000))*1000))</f>
        <v>3.8697157314823549</v>
      </c>
      <c r="Q844" s="38">
        <f ca="1">IF(O844="","",IF(Tipo_Vertedor="Retangular",IF(O844&lt;=cota_s*100,0,IF(Tipo_Vertedor="Retangular",Cd_sr*Lef_sr*((O844/100-cota_s)^(3/2))*1000)),IF(O844&lt;=cota_s*100+fi_s/20,0,(OFFSET('Base de dados'!$A$4,IF(O844&lt;20,1,IF(O844&gt;1000,10,MATCH(O844,Cargas,1))),Coluna_fis,1,1))*(PI()*(fi_s/1000)^2/4)*(2*9.81*(O844/100-cota_s-fi_s/2/1000))^0.5*1000)))</f>
        <v>2.5292147035953607</v>
      </c>
      <c r="R844" s="38">
        <f t="shared" ca="1" si="148"/>
        <v>6.3989304350777161</v>
      </c>
      <c r="S844" s="38">
        <f t="shared" ca="1" si="150"/>
        <v>263.43749999999994</v>
      </c>
    </row>
    <row r="845" spans="13:19">
      <c r="M845" s="132">
        <f t="shared" ca="1" si="149"/>
        <v>270.15479445272666</v>
      </c>
      <c r="N845" s="38">
        <f t="shared" si="151"/>
        <v>7.9124999999999996</v>
      </c>
      <c r="O845" s="36">
        <f t="shared" si="147"/>
        <v>211</v>
      </c>
      <c r="P845" s="38">
        <f ca="1">IF(ISERROR(IF(O845&lt;fi_h/20,0,(OFFSET('Base de dados'!$A$5,IF(O845&lt;20,1,IF(O845&gt;1000,10,MATCH(O845,Cargas,1))),Coluna_fih,1,1))*(1+0.13*0.25)*(PI()*(fi_h/1000)^2/4)*SQRT(2*9.81*(O845/100-fi_h/2/1000))*1000)),"",IF(O845&lt;fi_h/20,0,(OFFSET('Base de dados'!$A$5,IF(O845&lt;20,1,IF(O845&gt;1000,10,MATCH(O845,Cargas,1))),Coluna_fih,1,1))*(PI()*(fi_h/1000)^2/4)*SQRT(2*9.81*(O845/100-fi_h/2/1000))*1000))</f>
        <v>3.8720295737452206</v>
      </c>
      <c r="Q845" s="38">
        <f ca="1">IF(O845="","",IF(Tipo_Vertedor="Retangular",IF(O845&lt;=cota_s*100,0,IF(Tipo_Vertedor="Retangular",Cd_sr*Lef_sr*((O845/100-cota_s)^(3/2))*1000)),IF(O845&lt;=cota_s*100+fi_s/20,0,(OFFSET('Base de dados'!$A$4,IF(O845&lt;20,1,IF(O845&gt;1000,10,MATCH(O845,Cargas,1))),Coluna_fis,1,1))*(PI()*(fi_s/1000)^2/4)*(2*9.81*(O845/100-cota_s-fi_s/2/1000))^0.5*1000)))</f>
        <v>2.5327648789814217</v>
      </c>
      <c r="R845" s="38">
        <f t="shared" ca="1" si="148"/>
        <v>6.4047944527266427</v>
      </c>
      <c r="S845" s="38">
        <f t="shared" ca="1" si="150"/>
        <v>263.75</v>
      </c>
    </row>
    <row r="846" spans="13:19">
      <c r="M846" s="132">
        <f t="shared" ca="1" si="149"/>
        <v>270.47315211917964</v>
      </c>
      <c r="N846" s="38">
        <f t="shared" si="151"/>
        <v>7.9218749999999991</v>
      </c>
      <c r="O846" s="36">
        <f t="shared" si="147"/>
        <v>211.25</v>
      </c>
      <c r="P846" s="38">
        <f ca="1">IF(ISERROR(IF(O846&lt;fi_h/20,0,(OFFSET('Base de dados'!$A$5,IF(O846&lt;20,1,IF(O846&gt;1000,10,MATCH(O846,Cargas,1))),Coluna_fih,1,1))*(1+0.13*0.25)*(PI()*(fi_h/1000)^2/4)*SQRT(2*9.81*(O846/100-fi_h/2/1000))*1000)),"",IF(O846&lt;fi_h/20,0,(OFFSET('Base de dados'!$A$5,IF(O846&lt;20,1,IF(O846&gt;1000,10,MATCH(O846,Cargas,1))),Coluna_fih,1,1))*(PI()*(fi_h/1000)^2/4)*SQRT(2*9.81*(O846/100-fi_h/2/1000))*1000))</f>
        <v>3.8743420341308492</v>
      </c>
      <c r="Q846" s="38">
        <f ca="1">IF(O846="","",IF(Tipo_Vertedor="Retangular",IF(O846&lt;=cota_s*100,0,IF(Tipo_Vertedor="Retangular",Cd_sr*Lef_sr*((O846/100-cota_s)^(3/2))*1000)),IF(O846&lt;=cota_s*100+fi_s/20,0,(OFFSET('Base de dados'!$A$4,IF(O846&lt;20,1,IF(O846&gt;1000,10,MATCH(O846,Cargas,1))),Coluna_fis,1,1))*(PI()*(fi_s/1000)^2/4)*(2*9.81*(O846/100-cota_s-fi_s/2/1000))^0.5*1000)))</f>
        <v>2.5363100850488665</v>
      </c>
      <c r="R846" s="38">
        <f t="shared" ca="1" si="148"/>
        <v>6.4106521191797157</v>
      </c>
      <c r="S846" s="38">
        <f t="shared" ca="1" si="150"/>
        <v>264.06249999999994</v>
      </c>
    </row>
    <row r="847" spans="13:19">
      <c r="M847" s="132">
        <f t="shared" ca="1" si="149"/>
        <v>270.79150345771887</v>
      </c>
      <c r="N847" s="38">
        <f t="shared" si="151"/>
        <v>7.9312500000000004</v>
      </c>
      <c r="O847" s="36">
        <f t="shared" si="147"/>
        <v>211.5</v>
      </c>
      <c r="P847" s="38">
        <f ca="1">IF(ISERROR(IF(O847&lt;fi_h/20,0,(OFFSET('Base de dados'!$A$5,IF(O847&lt;20,1,IF(O847&gt;1000,10,MATCH(O847,Cargas,1))),Coluna_fih,1,1))*(1+0.13*0.25)*(PI()*(fi_h/1000)^2/4)*SQRT(2*9.81*(O847/100-fi_h/2/1000))*1000)),"",IF(O847&lt;fi_h/20,0,(OFFSET('Base de dados'!$A$5,IF(O847&lt;20,1,IF(O847&gt;1000,10,MATCH(O847,Cargas,1))),Coluna_fih,1,1))*(PI()*(fi_h/1000)^2/4)*SQRT(2*9.81*(O847/100-fi_h/2/1000))*1000))</f>
        <v>3.876653115112151</v>
      </c>
      <c r="Q847" s="38">
        <f ca="1">IF(O847="","",IF(Tipo_Vertedor="Retangular",IF(O847&lt;=cota_s*100,0,IF(Tipo_Vertedor="Retangular",Cd_sr*Lef_sr*((O847/100-cota_s)^(3/2))*1000)),IF(O847&lt;=cota_s*100+fi_s/20,0,(OFFSET('Base de dados'!$A$4,IF(O847&lt;20,1,IF(O847&gt;1000,10,MATCH(O847,Cargas,1))),Coluna_fis,1,1))*(PI()*(fi_s/1000)^2/4)*(2*9.81*(O847/100-cota_s-fi_s/2/1000))^0.5*1000)))</f>
        <v>2.5398503426067052</v>
      </c>
      <c r="R847" s="38">
        <f t="shared" ca="1" si="148"/>
        <v>6.4165034577188562</v>
      </c>
      <c r="S847" s="38">
        <f t="shared" ca="1" si="150"/>
        <v>264.375</v>
      </c>
    </row>
    <row r="848" spans="13:19">
      <c r="M848" s="132">
        <f t="shared" ca="1" si="149"/>
        <v>271.10984849147383</v>
      </c>
      <c r="N848" s="38">
        <f t="shared" si="151"/>
        <v>7.9406250000000007</v>
      </c>
      <c r="O848" s="36">
        <f t="shared" si="147"/>
        <v>211.75</v>
      </c>
      <c r="P848" s="38">
        <f ca="1">IF(ISERROR(IF(O848&lt;fi_h/20,0,(OFFSET('Base de dados'!$A$5,IF(O848&lt;20,1,IF(O848&gt;1000,10,MATCH(O848,Cargas,1))),Coluna_fih,1,1))*(1+0.13*0.25)*(PI()*(fi_h/1000)^2/4)*SQRT(2*9.81*(O848/100-fi_h/2/1000))*1000)),"",IF(O848&lt;fi_h/20,0,(OFFSET('Base de dados'!$A$5,IF(O848&lt;20,1,IF(O848&gt;1000,10,MATCH(O848,Cargas,1))),Coluna_fih,1,1))*(PI()*(fi_h/1000)^2/4)*SQRT(2*9.81*(O848/100-fi_h/2/1000))*1000))</f>
        <v>3.8789628191546663</v>
      </c>
      <c r="Q848" s="38">
        <f ca="1">IF(O848="","",IF(Tipo_Vertedor="Retangular",IF(O848&lt;=cota_s*100,0,IF(Tipo_Vertedor="Retangular",Cd_sr*Lef_sr*((O848/100-cota_s)^(3/2))*1000)),IF(O848&lt;=cota_s*100+fi_s/20,0,(OFFSET('Base de dados'!$A$4,IF(O848&lt;20,1,IF(O848&gt;1000,10,MATCH(O848,Cargas,1))),Coluna_fis,1,1))*(PI()*(fi_s/1000)^2/4)*(2*9.81*(O848/100-cota_s-fi_s/2/1000))^0.5*1000)))</f>
        <v>2.5433856723191246</v>
      </c>
      <c r="R848" s="38">
        <f t="shared" ca="1" si="148"/>
        <v>6.4223484914737909</v>
      </c>
      <c r="S848" s="38">
        <f t="shared" ca="1" si="150"/>
        <v>264.68750000000006</v>
      </c>
    </row>
    <row r="849" spans="13:19">
      <c r="M849" s="132">
        <f t="shared" ca="1" si="149"/>
        <v>271.42818724342351</v>
      </c>
      <c r="N849" s="38">
        <f t="shared" si="151"/>
        <v>7.95</v>
      </c>
      <c r="O849" s="36">
        <f t="shared" si="147"/>
        <v>212</v>
      </c>
      <c r="P849" s="38">
        <f ca="1">IF(ISERROR(IF(O849&lt;fi_h/20,0,(OFFSET('Base de dados'!$A$5,IF(O849&lt;20,1,IF(O849&gt;1000,10,MATCH(O849,Cargas,1))),Coluna_fih,1,1))*(1+0.13*0.25)*(PI()*(fi_h/1000)^2/4)*SQRT(2*9.81*(O849/100-fi_h/2/1000))*1000)),"",IF(O849&lt;fi_h/20,0,(OFFSET('Base de dados'!$A$5,IF(O849&lt;20,1,IF(O849&gt;1000,10,MATCH(O849,Cargas,1))),Coluna_fih,1,1))*(PI()*(fi_h/1000)^2/4)*SQRT(2*9.81*(O849/100-fi_h/2/1000))*1000))</f>
        <v>3.8812711487166029</v>
      </c>
      <c r="Q849" s="38">
        <f ca="1">IF(O849="","",IF(Tipo_Vertedor="Retangular",IF(O849&lt;=cota_s*100,0,IF(Tipo_Vertedor="Retangular",Cd_sr*Lef_sr*((O849/100-cota_s)^(3/2))*1000)),IF(O849&lt;=cota_s*100+fi_s/20,0,(OFFSET('Base de dados'!$A$4,IF(O849&lt;20,1,IF(O849&gt;1000,10,MATCH(O849,Cargas,1))),Coluna_fis,1,1))*(PI()*(fi_s/1000)^2/4)*(2*9.81*(O849/100-cota_s-fi_s/2/1000))^0.5*1000)))</f>
        <v>2.546916094706893</v>
      </c>
      <c r="R849" s="38">
        <f t="shared" ca="1" si="148"/>
        <v>6.4281872434234959</v>
      </c>
      <c r="S849" s="38">
        <f t="shared" ca="1" si="150"/>
        <v>265</v>
      </c>
    </row>
    <row r="850" spans="13:19">
      <c r="M850" s="132">
        <f t="shared" ca="1" si="149"/>
        <v>271.74651973639766</v>
      </c>
      <c r="N850" s="38">
        <f t="shared" si="151"/>
        <v>7.9593750000000005</v>
      </c>
      <c r="O850" s="36">
        <f t="shared" si="147"/>
        <v>212.25</v>
      </c>
      <c r="P850" s="38">
        <f ca="1">IF(ISERROR(IF(O850&lt;fi_h/20,0,(OFFSET('Base de dados'!$A$5,IF(O850&lt;20,1,IF(O850&gt;1000,10,MATCH(O850,Cargas,1))),Coluna_fih,1,1))*(1+0.13*0.25)*(PI()*(fi_h/1000)^2/4)*SQRT(2*9.81*(O850/100-fi_h/2/1000))*1000)),"",IF(O850&lt;fi_h/20,0,(OFFSET('Base de dados'!$A$5,IF(O850&lt;20,1,IF(O850&gt;1000,10,MATCH(O850,Cargas,1))),Coluna_fih,1,1))*(PI()*(fi_h/1000)^2/4)*SQRT(2*9.81*(O850/100-fi_h/2/1000))*1000))</f>
        <v>3.8835781062488586</v>
      </c>
      <c r="Q850" s="38">
        <f ca="1">IF(O850="","",IF(Tipo_Vertedor="Retangular",IF(O850&lt;=cota_s*100,0,IF(Tipo_Vertedor="Retangular",Cd_sr*Lef_sr*((O850/100-cota_s)^(3/2))*1000)),IF(O850&lt;=cota_s*100+fi_s/20,0,(OFFSET('Base de dados'!$A$4,IF(O850&lt;20,1,IF(O850&gt;1000,10,MATCH(O850,Cargas,1))),Coluna_fis,1,1))*(PI()*(fi_s/1000)^2/4)*(2*9.81*(O850/100-cota_s-fi_s/2/1000))^0.5*1000)))</f>
        <v>2.5504416301487511</v>
      </c>
      <c r="R850" s="38">
        <f t="shared" ca="1" si="148"/>
        <v>6.4340197363976097</v>
      </c>
      <c r="S850" s="38">
        <f t="shared" ca="1" si="150"/>
        <v>265.31250000000006</v>
      </c>
    </row>
    <row r="851" spans="13:19">
      <c r="M851" s="132">
        <f t="shared" ca="1" si="149"/>
        <v>272.06484599307782</v>
      </c>
      <c r="N851" s="38">
        <f t="shared" si="151"/>
        <v>7.96875</v>
      </c>
      <c r="O851" s="36">
        <f t="shared" ref="O851:O914" si="152">IF(ISERROR(IF(O850+passo_altura&gt;h_max_puls*100,"",O850+passo_altura)),"",IF(O850+passo_altura&gt;h_max_puls*100,"",O850+passo_altura))</f>
        <v>212.5</v>
      </c>
      <c r="P851" s="38">
        <f ca="1">IF(ISERROR(IF(O851&lt;fi_h/20,0,(OFFSET('Base de dados'!$A$5,IF(O851&lt;20,1,IF(O851&gt;1000,10,MATCH(O851,Cargas,1))),Coluna_fih,1,1))*(1+0.13*0.25)*(PI()*(fi_h/1000)^2/4)*SQRT(2*9.81*(O851/100-fi_h/2/1000))*1000)),"",IF(O851&lt;fi_h/20,0,(OFFSET('Base de dados'!$A$5,IF(O851&lt;20,1,IF(O851&gt;1000,10,MATCH(O851,Cargas,1))),Coluna_fih,1,1))*(PI()*(fi_h/1000)^2/4)*SQRT(2*9.81*(O851/100-fi_h/2/1000))*1000))</f>
        <v>3.8858836941950599</v>
      </c>
      <c r="Q851" s="38">
        <f ca="1">IF(O851="","",IF(Tipo_Vertedor="Retangular",IF(O851&lt;=cota_s*100,0,IF(Tipo_Vertedor="Retangular",Cd_sr*Lef_sr*((O851/100-cota_s)^(3/2))*1000)),IF(O851&lt;=cota_s*100+fi_s/20,0,(OFFSET('Base de dados'!$A$4,IF(O851&lt;20,1,IF(O851&gt;1000,10,MATCH(O851,Cargas,1))),Coluna_fis,1,1))*(PI()*(fi_s/1000)^2/4)*(2*9.81*(O851/100-cota_s-fi_s/2/1000))^0.5*1000)))</f>
        <v>2.5539622988827824</v>
      </c>
      <c r="R851" s="38">
        <f t="shared" ref="R851:R914" ca="1" si="153">IF(O851="","",Q851+P851)</f>
        <v>6.4398459930778422</v>
      </c>
      <c r="S851" s="38">
        <f t="shared" ca="1" si="150"/>
        <v>265.625</v>
      </c>
    </row>
    <row r="852" spans="13:19">
      <c r="M852" s="132">
        <f t="shared" ca="1" si="149"/>
        <v>272.3831660359993</v>
      </c>
      <c r="N852" s="38">
        <f t="shared" si="151"/>
        <v>7.9781249999999995</v>
      </c>
      <c r="O852" s="36">
        <f t="shared" si="152"/>
        <v>212.75</v>
      </c>
      <c r="P852" s="38">
        <f ca="1">IF(ISERROR(IF(O852&lt;fi_h/20,0,(OFFSET('Base de dados'!$A$5,IF(O852&lt;20,1,IF(O852&gt;1000,10,MATCH(O852,Cargas,1))),Coluna_fih,1,1))*(1+0.13*0.25)*(PI()*(fi_h/1000)^2/4)*SQRT(2*9.81*(O852/100-fi_h/2/1000))*1000)),"",IF(O852&lt;fi_h/20,0,(OFFSET('Base de dados'!$A$5,IF(O852&lt;20,1,IF(O852&gt;1000,10,MATCH(O852,Cargas,1))),Coluna_fih,1,1))*(PI()*(fi_h/1000)^2/4)*SQRT(2*9.81*(O852/100-fi_h/2/1000))*1000))</f>
        <v>3.8881879149915868</v>
      </c>
      <c r="Q852" s="38">
        <f ca="1">IF(O852="","",IF(Tipo_Vertedor="Retangular",IF(O852&lt;=cota_s*100,0,IF(Tipo_Vertedor="Retangular",Cd_sr*Lef_sr*((O852/100-cota_s)^(3/2))*1000)),IF(O852&lt;=cota_s*100+fi_s/20,0,(OFFSET('Base de dados'!$A$4,IF(O852&lt;20,1,IF(O852&gt;1000,10,MATCH(O852,Cargas,1))),Coluna_fis,1,1))*(PI()*(fi_s/1000)^2/4)*(2*9.81*(O852/100-cota_s-fi_s/2/1000))^0.5*1000)))</f>
        <v>2.5574781210077706</v>
      </c>
      <c r="R852" s="38">
        <f t="shared" ca="1" si="153"/>
        <v>6.4456660359993574</v>
      </c>
      <c r="S852" s="38">
        <f t="shared" ca="1" si="150"/>
        <v>265.93749999999994</v>
      </c>
    </row>
    <row r="853" spans="13:19">
      <c r="M853" s="132">
        <f t="shared" ca="1" si="149"/>
        <v>272.70147988755213</v>
      </c>
      <c r="N853" s="38">
        <f t="shared" si="151"/>
        <v>7.9874999999999998</v>
      </c>
      <c r="O853" s="36">
        <f t="shared" si="152"/>
        <v>213</v>
      </c>
      <c r="P853" s="38">
        <f ca="1">IF(ISERROR(IF(O853&lt;fi_h/20,0,(OFFSET('Base de dados'!$A$5,IF(O853&lt;20,1,IF(O853&gt;1000,10,MATCH(O853,Cargas,1))),Coluna_fih,1,1))*(1+0.13*0.25)*(PI()*(fi_h/1000)^2/4)*SQRT(2*9.81*(O853/100-fi_h/2/1000))*1000)),"",IF(O853&lt;fi_h/20,0,(OFFSET('Base de dados'!$A$5,IF(O853&lt;20,1,IF(O853&gt;1000,10,MATCH(O853,Cargas,1))),Coluna_fih,1,1))*(PI()*(fi_h/1000)^2/4)*SQRT(2*9.81*(O853/100-fi_h/2/1000))*1000))</f>
        <v>3.8904907710676033</v>
      </c>
      <c r="Q853" s="38">
        <f ca="1">IF(O853="","",IF(Tipo_Vertedor="Retangular",IF(O853&lt;=cota_s*100,0,IF(Tipo_Vertedor="Retangular",Cd_sr*Lef_sr*((O853/100-cota_s)^(3/2))*1000)),IF(O853&lt;=cota_s*100+fi_s/20,0,(OFFSET('Base de dados'!$A$4,IF(O853&lt;20,1,IF(O853&gt;1000,10,MATCH(O853,Cargas,1))),Coluna_fis,1,1))*(PI()*(fi_s/1000)^2/4)*(2*9.81*(O853/100-cota_s-fi_s/2/1000))^0.5*1000)))</f>
        <v>2.560989116484536</v>
      </c>
      <c r="R853" s="38">
        <f t="shared" ca="1" si="153"/>
        <v>6.4514798875521393</v>
      </c>
      <c r="S853" s="38">
        <f t="shared" ca="1" si="150"/>
        <v>266.25</v>
      </c>
    </row>
    <row r="854" spans="13:19">
      <c r="M854" s="132">
        <f t="shared" ca="1" si="149"/>
        <v>273.01978756998227</v>
      </c>
      <c r="N854" s="38">
        <f t="shared" si="151"/>
        <v>7.9968749999999993</v>
      </c>
      <c r="O854" s="36">
        <f t="shared" si="152"/>
        <v>213.25</v>
      </c>
      <c r="P854" s="38">
        <f ca="1">IF(ISERROR(IF(O854&lt;fi_h/20,0,(OFFSET('Base de dados'!$A$5,IF(O854&lt;20,1,IF(O854&gt;1000,10,MATCH(O854,Cargas,1))),Coluna_fih,1,1))*(1+0.13*0.25)*(PI()*(fi_h/1000)^2/4)*SQRT(2*9.81*(O854/100-fi_h/2/1000))*1000)),"",IF(O854&lt;fi_h/20,0,(OFFSET('Base de dados'!$A$5,IF(O854&lt;20,1,IF(O854&gt;1000,10,MATCH(O854,Cargas,1))),Coluna_fih,1,1))*(PI()*(fi_h/1000)^2/4)*SQRT(2*9.81*(O854/100-fi_h/2/1000))*1000))</f>
        <v>3.8927922648450908</v>
      </c>
      <c r="Q854" s="38">
        <f ca="1">IF(O854="","",IF(Tipo_Vertedor="Retangular",IF(O854&lt;=cota_s*100,0,IF(Tipo_Vertedor="Retangular",Cd_sr*Lef_sr*((O854/100-cota_s)^(3/2))*1000)),IF(O854&lt;=cota_s*100+fi_s/20,0,(OFFSET('Base de dados'!$A$4,IF(O854&lt;20,1,IF(O854&gt;1000,10,MATCH(O854,Cargas,1))),Coluna_fis,1,1))*(PI()*(fi_s/1000)^2/4)*(2*9.81*(O854/100-cota_s-fi_s/2/1000))^0.5*1000)))</f>
        <v>2.5644953051372599</v>
      </c>
      <c r="R854" s="38">
        <f t="shared" ca="1" si="153"/>
        <v>6.4572875699823502</v>
      </c>
      <c r="S854" s="38">
        <f t="shared" ca="1" si="150"/>
        <v>266.56249999999994</v>
      </c>
    </row>
    <row r="855" spans="13:19">
      <c r="M855" s="132">
        <f t="shared" ca="1" si="149"/>
        <v>273.33808910539369</v>
      </c>
      <c r="N855" s="38">
        <f t="shared" si="151"/>
        <v>8.0062499999999996</v>
      </c>
      <c r="O855" s="36">
        <f t="shared" si="152"/>
        <v>213.5</v>
      </c>
      <c r="P855" s="38">
        <f ca="1">IF(ISERROR(IF(O855&lt;fi_h/20,0,(OFFSET('Base de dados'!$A$5,IF(O855&lt;20,1,IF(O855&gt;1000,10,MATCH(O855,Cargas,1))),Coluna_fih,1,1))*(1+0.13*0.25)*(PI()*(fi_h/1000)^2/4)*SQRT(2*9.81*(O855/100-fi_h/2/1000))*1000)),"",IF(O855&lt;fi_h/20,0,(OFFSET('Base de dados'!$A$5,IF(O855&lt;20,1,IF(O855&gt;1000,10,MATCH(O855,Cargas,1))),Coluna_fih,1,1))*(PI()*(fi_h/1000)^2/4)*SQRT(2*9.81*(O855/100-fi_h/2/1000))*1000))</f>
        <v>3.895092398738873</v>
      </c>
      <c r="Q855" s="38">
        <f ca="1">IF(O855="","",IF(Tipo_Vertedor="Retangular",IF(O855&lt;=cota_s*100,0,IF(Tipo_Vertedor="Retangular",Cd_sr*Lef_sr*((O855/100-cota_s)^(3/2))*1000)),IF(O855&lt;=cota_s*100+fi_s/20,0,(OFFSET('Base de dados'!$A$4,IF(O855&lt;20,1,IF(O855&gt;1000,10,MATCH(O855,Cargas,1))),Coluna_fis,1,1))*(PI()*(fi_s/1000)^2/4)*(2*9.81*(O855/100-cota_s-fi_s/2/1000))^0.5*1000)))</f>
        <v>2.5679967066547924</v>
      </c>
      <c r="R855" s="38">
        <f t="shared" ca="1" si="153"/>
        <v>6.4630891053936654</v>
      </c>
      <c r="S855" s="38">
        <f t="shared" ca="1" si="150"/>
        <v>266.875</v>
      </c>
    </row>
    <row r="856" spans="13:19">
      <c r="M856" s="132">
        <f t="shared" ca="1" si="149"/>
        <v>273.65638451574858</v>
      </c>
      <c r="N856" s="38">
        <f t="shared" si="151"/>
        <v>8.015625</v>
      </c>
      <c r="O856" s="36">
        <f t="shared" si="152"/>
        <v>213.75</v>
      </c>
      <c r="P856" s="38">
        <f ca="1">IF(ISERROR(IF(O856&lt;fi_h/20,0,(OFFSET('Base de dados'!$A$5,IF(O856&lt;20,1,IF(O856&gt;1000,10,MATCH(O856,Cargas,1))),Coluna_fih,1,1))*(1+0.13*0.25)*(PI()*(fi_h/1000)^2/4)*SQRT(2*9.81*(O856/100-fi_h/2/1000))*1000)),"",IF(O856&lt;fi_h/20,0,(OFFSET('Base de dados'!$A$5,IF(O856&lt;20,1,IF(O856&gt;1000,10,MATCH(O856,Cargas,1))),Coluna_fih,1,1))*(PI()*(fi_h/1000)^2/4)*SQRT(2*9.81*(O856/100-fi_h/2/1000))*1000))</f>
        <v>3.8973911751566486</v>
      </c>
      <c r="Q856" s="38">
        <f ca="1">IF(O856="","",IF(Tipo_Vertedor="Retangular",IF(O856&lt;=cota_s*100,0,IF(Tipo_Vertedor="Retangular",Cd_sr*Lef_sr*((O856/100-cota_s)^(3/2))*1000)),IF(O856&lt;=cota_s*100+fi_s/20,0,(OFFSET('Base de dados'!$A$4,IF(O856&lt;20,1,IF(O856&gt;1000,10,MATCH(O856,Cargas,1))),Coluna_fis,1,1))*(PI()*(fi_s/1000)^2/4)*(2*9.81*(O856/100-cota_s-fi_s/2/1000))^0.5*1000)))</f>
        <v>2.5714933405919349</v>
      </c>
      <c r="R856" s="38">
        <f t="shared" ca="1" si="153"/>
        <v>6.4688845157485835</v>
      </c>
      <c r="S856" s="38">
        <f t="shared" ca="1" si="150"/>
        <v>267.1875</v>
      </c>
    </row>
    <row r="857" spans="13:19">
      <c r="M857" s="132">
        <f t="shared" ca="1" si="149"/>
        <v>273.97467382286976</v>
      </c>
      <c r="N857" s="38">
        <f t="shared" si="151"/>
        <v>8.0250000000000004</v>
      </c>
      <c r="O857" s="36">
        <f t="shared" si="152"/>
        <v>214</v>
      </c>
      <c r="P857" s="38">
        <f ca="1">IF(ISERROR(IF(O857&lt;fi_h/20,0,(OFFSET('Base de dados'!$A$5,IF(O857&lt;20,1,IF(O857&gt;1000,10,MATCH(O857,Cargas,1))),Coluna_fih,1,1))*(1+0.13*0.25)*(PI()*(fi_h/1000)^2/4)*SQRT(2*9.81*(O857/100-fi_h/2/1000))*1000)),"",IF(O857&lt;fi_h/20,0,(OFFSET('Base de dados'!$A$5,IF(O857&lt;20,1,IF(O857&gt;1000,10,MATCH(O857,Cargas,1))),Coluna_fih,1,1))*(PI()*(fi_h/1000)^2/4)*SQRT(2*9.81*(O857/100-fi_h/2/1000))*1000))</f>
        <v>3.8996885964990198</v>
      </c>
      <c r="Q857" s="38">
        <f ca="1">IF(O857="","",IF(Tipo_Vertedor="Retangular",IF(O857&lt;=cota_s*100,0,IF(Tipo_Vertedor="Retangular",Cd_sr*Lef_sr*((O857/100-cota_s)^(3/2))*1000)),IF(O857&lt;=cota_s*100+fi_s/20,0,(OFFSET('Base de dados'!$A$4,IF(O857&lt;20,1,IF(O857&gt;1000,10,MATCH(O857,Cargas,1))),Coluna_fis,1,1))*(PI()*(fi_s/1000)^2/4)*(2*9.81*(O857/100-cota_s-fi_s/2/1000))^0.5*1000)))</f>
        <v>2.5749852263707216</v>
      </c>
      <c r="R857" s="38">
        <f t="shared" ca="1" si="153"/>
        <v>6.4746738228697414</v>
      </c>
      <c r="S857" s="38">
        <f t="shared" ca="1" si="150"/>
        <v>267.5</v>
      </c>
    </row>
    <row r="858" spans="13:19">
      <c r="M858" s="132">
        <f t="shared" ca="1" si="149"/>
        <v>274.29295704844128</v>
      </c>
      <c r="N858" s="38">
        <f t="shared" si="151"/>
        <v>8.0343750000000007</v>
      </c>
      <c r="O858" s="36">
        <f t="shared" si="152"/>
        <v>214.25</v>
      </c>
      <c r="P858" s="38">
        <f ca="1">IF(ISERROR(IF(O858&lt;fi_h/20,0,(OFFSET('Base de dados'!$A$5,IF(O858&lt;20,1,IF(O858&gt;1000,10,MATCH(O858,Cargas,1))),Coluna_fih,1,1))*(1+0.13*0.25)*(PI()*(fi_h/1000)^2/4)*SQRT(2*9.81*(O858/100-fi_h/2/1000))*1000)),"",IF(O858&lt;fi_h/20,0,(OFFSET('Base de dados'!$A$5,IF(O858&lt;20,1,IF(O858&gt;1000,10,MATCH(O858,Cargas,1))),Coluna_fih,1,1))*(PI()*(fi_h/1000)^2/4)*SQRT(2*9.81*(O858/100-fi_h/2/1000))*1000))</f>
        <v>3.9019846651595227</v>
      </c>
      <c r="Q858" s="38">
        <f ca="1">IF(O858="","",IF(Tipo_Vertedor="Retangular",IF(O858&lt;=cota_s*100,0,IF(Tipo_Vertedor="Retangular",Cd_sr*Lef_sr*((O858/100-cota_s)^(3/2))*1000)),IF(O858&lt;=cota_s*100+fi_s/20,0,(OFFSET('Base de dados'!$A$4,IF(O858&lt;20,1,IF(O858&gt;1000,10,MATCH(O858,Cargas,1))),Coluna_fis,1,1))*(PI()*(fi_s/1000)^2/4)*(2*9.81*(O858/100-cota_s-fi_s/2/1000))^0.5*1000)))</f>
        <v>2.5784723832816754</v>
      </c>
      <c r="R858" s="38">
        <f t="shared" ca="1" si="153"/>
        <v>6.4804570484411981</v>
      </c>
      <c r="S858" s="38">
        <f t="shared" ca="1" si="150"/>
        <v>267.81250000000006</v>
      </c>
    </row>
    <row r="859" spans="13:19">
      <c r="M859" s="132">
        <f t="shared" ca="1" si="149"/>
        <v>274.61123421400964</v>
      </c>
      <c r="N859" s="38">
        <f t="shared" si="151"/>
        <v>8.0437499999999993</v>
      </c>
      <c r="O859" s="36">
        <f t="shared" si="152"/>
        <v>214.5</v>
      </c>
      <c r="P859" s="38">
        <f ca="1">IF(ISERROR(IF(O859&lt;fi_h/20,0,(OFFSET('Base de dados'!$A$5,IF(O859&lt;20,1,IF(O859&gt;1000,10,MATCH(O859,Cargas,1))),Coluna_fih,1,1))*(1+0.13*0.25)*(PI()*(fi_h/1000)^2/4)*SQRT(2*9.81*(O859/100-fi_h/2/1000))*1000)),"",IF(O859&lt;fi_h/20,0,(OFFSET('Base de dados'!$A$5,IF(O859&lt;20,1,IF(O859&gt;1000,10,MATCH(O859,Cargas,1))),Coluna_fih,1,1))*(PI()*(fi_h/1000)^2/4)*SQRT(2*9.81*(O859/100-fi_h/2/1000))*1000))</f>
        <v>3.9042793835246536</v>
      </c>
      <c r="Q859" s="38">
        <f ca="1">IF(O859="","",IF(Tipo_Vertedor="Retangular",IF(O859&lt;=cota_s*100,0,IF(Tipo_Vertedor="Retangular",Cd_sr*Lef_sr*((O859/100-cota_s)^(3/2))*1000)),IF(O859&lt;=cota_s*100+fi_s/20,0,(OFFSET('Base de dados'!$A$4,IF(O859&lt;20,1,IF(O859&gt;1000,10,MATCH(O859,Cargas,1))),Coluna_fis,1,1))*(PI()*(fi_s/1000)^2/4)*(2*9.81*(O859/100-cota_s-fi_s/2/1000))^0.5*1000)))</f>
        <v>2.5819548304850524</v>
      </c>
      <c r="R859" s="38">
        <f t="shared" ca="1" si="153"/>
        <v>6.4862342140097056</v>
      </c>
      <c r="S859" s="38">
        <f t="shared" ca="1" si="150"/>
        <v>268.12499999999994</v>
      </c>
    </row>
    <row r="860" spans="13:19">
      <c r="M860" s="132">
        <f t="shared" ca="1" si="149"/>
        <v>274.92950534098594</v>
      </c>
      <c r="N860" s="38">
        <f t="shared" si="151"/>
        <v>8.0531249999999996</v>
      </c>
      <c r="O860" s="36">
        <f t="shared" si="152"/>
        <v>214.75</v>
      </c>
      <c r="P860" s="38">
        <f ca="1">IF(ISERROR(IF(O860&lt;fi_h/20,0,(OFFSET('Base de dados'!$A$5,IF(O860&lt;20,1,IF(O860&gt;1000,10,MATCH(O860,Cargas,1))),Coluna_fih,1,1))*(1+0.13*0.25)*(PI()*(fi_h/1000)^2/4)*SQRT(2*9.81*(O860/100-fi_h/2/1000))*1000)),"",IF(O860&lt;fi_h/20,0,(OFFSET('Base de dados'!$A$5,IF(O860&lt;20,1,IF(O860&gt;1000,10,MATCH(O860,Cargas,1))),Coluna_fih,1,1))*(PI()*(fi_h/1000)^2/4)*SQRT(2*9.81*(O860/100-fi_h/2/1000))*1000))</f>
        <v>3.9065727539739004</v>
      </c>
      <c r="Q860" s="38">
        <f ca="1">IF(O860="","",IF(Tipo_Vertedor="Retangular",IF(O860&lt;=cota_s*100,0,IF(Tipo_Vertedor="Retangular",Cd_sr*Lef_sr*((O860/100-cota_s)^(3/2))*1000)),IF(O860&lt;=cota_s*100+fi_s/20,0,(OFFSET('Base de dados'!$A$4,IF(O860&lt;20,1,IF(O860&gt;1000,10,MATCH(O860,Cargas,1))),Coluna_fis,1,1))*(PI()*(fi_s/1000)^2/4)*(2*9.81*(O860/100-cota_s-fi_s/2/1000))^0.5*1000)))</f>
        <v>2.5854325870120651</v>
      </c>
      <c r="R860" s="38">
        <f t="shared" ca="1" si="153"/>
        <v>6.4920053409859655</v>
      </c>
      <c r="S860" s="38">
        <f t="shared" ca="1" si="150"/>
        <v>268.4375</v>
      </c>
    </row>
    <row r="861" spans="13:19">
      <c r="M861" s="132">
        <f t="shared" ca="1" si="149"/>
        <v>275.24777045064587</v>
      </c>
      <c r="N861" s="38">
        <f t="shared" si="151"/>
        <v>8.0625</v>
      </c>
      <c r="O861" s="36">
        <f t="shared" si="152"/>
        <v>215</v>
      </c>
      <c r="P861" s="38">
        <f ca="1">IF(ISERROR(IF(O861&lt;fi_h/20,0,(OFFSET('Base de dados'!$A$5,IF(O861&lt;20,1,IF(O861&gt;1000,10,MATCH(O861,Cargas,1))),Coluna_fih,1,1))*(1+0.13*0.25)*(PI()*(fi_h/1000)^2/4)*SQRT(2*9.81*(O861/100-fi_h/2/1000))*1000)),"",IF(O861&lt;fi_h/20,0,(OFFSET('Base de dados'!$A$5,IF(O861&lt;20,1,IF(O861&gt;1000,10,MATCH(O861,Cargas,1))),Coluna_fih,1,1))*(PI()*(fi_h/1000)^2/4)*SQRT(2*9.81*(O861/100-fi_h/2/1000))*1000))</f>
        <v>3.9088647788797712</v>
      </c>
      <c r="Q861" s="38">
        <f ca="1">IF(O861="","",IF(Tipo_Vertedor="Retangular",IF(O861&lt;=cota_s*100,0,IF(Tipo_Vertedor="Retangular",Cd_sr*Lef_sr*((O861/100-cota_s)^(3/2))*1000)),IF(O861&lt;=cota_s*100+fi_s/20,0,(OFFSET('Base de dados'!$A$4,IF(O861&lt;20,1,IF(O861&gt;1000,10,MATCH(O861,Cargas,1))),Coluna_fis,1,1))*(PI()*(fi_s/1000)^2/4)*(2*9.81*(O861/100-cota_s-fi_s/2/1000))^0.5*1000)))</f>
        <v>2.588905671766105</v>
      </c>
      <c r="R861" s="38">
        <f t="shared" ca="1" si="153"/>
        <v>6.4977704506458762</v>
      </c>
      <c r="S861" s="38">
        <f t="shared" ca="1" si="150"/>
        <v>268.75</v>
      </c>
    </row>
    <row r="862" spans="13:19">
      <c r="M862" s="132">
        <f t="shared" ca="1" si="149"/>
        <v>275.56602956413167</v>
      </c>
      <c r="N862" s="38">
        <f t="shared" si="151"/>
        <v>8.0718749999999986</v>
      </c>
      <c r="O862" s="36">
        <f t="shared" si="152"/>
        <v>215.25</v>
      </c>
      <c r="P862" s="38">
        <f ca="1">IF(ISERROR(IF(O862&lt;fi_h/20,0,(OFFSET('Base de dados'!$A$5,IF(O862&lt;20,1,IF(O862&gt;1000,10,MATCH(O862,Cargas,1))),Coluna_fih,1,1))*(1+0.13*0.25)*(PI()*(fi_h/1000)^2/4)*SQRT(2*9.81*(O862/100-fi_h/2/1000))*1000)),"",IF(O862&lt;fi_h/20,0,(OFFSET('Base de dados'!$A$5,IF(O862&lt;20,1,IF(O862&gt;1000,10,MATCH(O862,Cargas,1))),Coluna_fih,1,1))*(PI()*(fi_h/1000)^2/4)*SQRT(2*9.81*(O862/100-fi_h/2/1000))*1000))</f>
        <v>3.9111554606078203</v>
      </c>
      <c r="Q862" s="38">
        <f ca="1">IF(O862="","",IF(Tipo_Vertedor="Retangular",IF(O862&lt;=cota_s*100,0,IF(Tipo_Vertedor="Retangular",Cd_sr*Lef_sr*((O862/100-cota_s)^(3/2))*1000)),IF(O862&lt;=cota_s*100+fi_s/20,0,(OFFSET('Base de dados'!$A$4,IF(O862&lt;20,1,IF(O862&gt;1000,10,MATCH(O862,Cargas,1))),Coluna_fis,1,1))*(PI()*(fi_s/1000)^2/4)*(2*9.81*(O862/100-cota_s-fi_s/2/1000))^0.5*1000)))</f>
        <v>2.5923741035239334</v>
      </c>
      <c r="R862" s="38">
        <f t="shared" ca="1" si="153"/>
        <v>6.5035295641317532</v>
      </c>
      <c r="S862" s="38">
        <f t="shared" ca="1" si="150"/>
        <v>269.06249999999994</v>
      </c>
    </row>
    <row r="863" spans="13:19">
      <c r="M863" s="132">
        <f t="shared" ca="1" si="149"/>
        <v>275.8842827024535</v>
      </c>
      <c r="N863" s="38">
        <f t="shared" si="151"/>
        <v>8.0812499999999989</v>
      </c>
      <c r="O863" s="36">
        <f t="shared" si="152"/>
        <v>215.5</v>
      </c>
      <c r="P863" s="38">
        <f ca="1">IF(ISERROR(IF(O863&lt;fi_h/20,0,(OFFSET('Base de dados'!$A$5,IF(O863&lt;20,1,IF(O863&gt;1000,10,MATCH(O863,Cargas,1))),Coluna_fih,1,1))*(1+0.13*0.25)*(PI()*(fi_h/1000)^2/4)*SQRT(2*9.81*(O863/100-fi_h/2/1000))*1000)),"",IF(O863&lt;fi_h/20,0,(OFFSET('Base de dados'!$A$5,IF(O863&lt;20,1,IF(O863&gt;1000,10,MATCH(O863,Cargas,1))),Coluna_fih,1,1))*(PI()*(fi_h/1000)^2/4)*SQRT(2*9.81*(O863/100-fi_h/2/1000))*1000))</f>
        <v>3.9134448015166834</v>
      </c>
      <c r="Q863" s="38">
        <f ca="1">IF(O863="","",IF(Tipo_Vertedor="Retangular",IF(O863&lt;=cota_s*100,0,IF(Tipo_Vertedor="Retangular",Cd_sr*Lef_sr*((O863/100-cota_s)^(3/2))*1000)),IF(O863&lt;=cota_s*100+fi_s/20,0,(OFFSET('Base de dados'!$A$4,IF(O863&lt;20,1,IF(O863&gt;1000,10,MATCH(O863,Cargas,1))),Coluna_fis,1,1))*(PI()*(fi_s/1000)^2/4)*(2*9.81*(O863/100-cota_s-fi_s/2/1000))^0.5*1000)))</f>
        <v>2.5958379009368682</v>
      </c>
      <c r="R863" s="38">
        <f t="shared" ca="1" si="153"/>
        <v>6.509282702453552</v>
      </c>
      <c r="S863" s="38">
        <f t="shared" ca="1" si="150"/>
        <v>269.37499999999994</v>
      </c>
    </row>
    <row r="864" spans="13:19">
      <c r="M864" s="132">
        <f t="shared" ca="1" si="149"/>
        <v>276.20252988649008</v>
      </c>
      <c r="N864" s="38">
        <f t="shared" si="151"/>
        <v>8.0906250000000011</v>
      </c>
      <c r="O864" s="36">
        <f t="shared" si="152"/>
        <v>215.75</v>
      </c>
      <c r="P864" s="38">
        <f ca="1">IF(ISERROR(IF(O864&lt;fi_h/20,0,(OFFSET('Base de dados'!$A$5,IF(O864&lt;20,1,IF(O864&gt;1000,10,MATCH(O864,Cargas,1))),Coluna_fih,1,1))*(1+0.13*0.25)*(PI()*(fi_h/1000)^2/4)*SQRT(2*9.81*(O864/100-fi_h/2/1000))*1000)),"",IF(O864&lt;fi_h/20,0,(OFFSET('Base de dados'!$A$5,IF(O864&lt;20,1,IF(O864&gt;1000,10,MATCH(O864,Cargas,1))),Coluna_fih,1,1))*(PI()*(fi_h/1000)^2/4)*SQRT(2*9.81*(O864/100-fi_h/2/1000))*1000))</f>
        <v>3.9157328039580954</v>
      </c>
      <c r="Q864" s="38">
        <f ca="1">IF(O864="","",IF(Tipo_Vertedor="Retangular",IF(O864&lt;=cota_s*100,0,IF(Tipo_Vertedor="Retangular",Cd_sr*Lef_sr*((O864/100-cota_s)^(3/2))*1000)),IF(O864&lt;=cota_s*100+fi_s/20,0,(OFFSET('Base de dados'!$A$4,IF(O864&lt;20,1,IF(O864&gt;1000,10,MATCH(O864,Cargas,1))),Coluna_fis,1,1))*(PI()*(fi_s/1000)^2/4)*(2*9.81*(O864/100-cota_s-fi_s/2/1000))^0.5*1000)))</f>
        <v>2.5992970825319555</v>
      </c>
      <c r="R864" s="38">
        <f t="shared" ca="1" si="153"/>
        <v>6.5150298864900513</v>
      </c>
      <c r="S864" s="38">
        <f t="shared" ca="1" si="150"/>
        <v>269.68750000000006</v>
      </c>
    </row>
    <row r="865" spans="13:19">
      <c r="M865" s="132">
        <f t="shared" ca="1" si="149"/>
        <v>276.52077113699011</v>
      </c>
      <c r="N865" s="38">
        <f t="shared" si="151"/>
        <v>8.1000000000000014</v>
      </c>
      <c r="O865" s="36">
        <f t="shared" si="152"/>
        <v>216</v>
      </c>
      <c r="P865" s="38">
        <f ca="1">IF(ISERROR(IF(O865&lt;fi_h/20,0,(OFFSET('Base de dados'!$A$5,IF(O865&lt;20,1,IF(O865&gt;1000,10,MATCH(O865,Cargas,1))),Coluna_fih,1,1))*(1+0.13*0.25)*(PI()*(fi_h/1000)^2/4)*SQRT(2*9.81*(O865/100-fi_h/2/1000))*1000)),"",IF(O865&lt;fi_h/20,0,(OFFSET('Base de dados'!$A$5,IF(O865&lt;20,1,IF(O865&gt;1000,10,MATCH(O865,Cargas,1))),Coluna_fih,1,1))*(PI()*(fi_h/1000)^2/4)*SQRT(2*9.81*(O865/100-fi_h/2/1000))*1000))</f>
        <v>3.9180194702769278</v>
      </c>
      <c r="Q865" s="38">
        <f ca="1">IF(O865="","",IF(Tipo_Vertedor="Retangular",IF(O865&lt;=cota_s*100,0,IF(Tipo_Vertedor="Retangular",Cd_sr*Lef_sr*((O865/100-cota_s)^(3/2))*1000)),IF(O865&lt;=cota_s*100+fi_s/20,0,(OFFSET('Base de dados'!$A$4,IF(O865&lt;20,1,IF(O865&gt;1000,10,MATCH(O865,Cargas,1))),Coluna_fis,1,1))*(PI()*(fi_s/1000)^2/4)*(2*9.81*(O865/100-cota_s-fi_s/2/1000))^0.5*1000)))</f>
        <v>2.6027516667131234</v>
      </c>
      <c r="R865" s="38">
        <f t="shared" ca="1" si="153"/>
        <v>6.5207711369900512</v>
      </c>
      <c r="S865" s="38">
        <f t="shared" ca="1" si="150"/>
        <v>270.00000000000006</v>
      </c>
    </row>
    <row r="866" spans="13:19">
      <c r="M866" s="132">
        <f t="shared" ca="1" si="149"/>
        <v>276.83900647457352</v>
      </c>
      <c r="N866" s="38">
        <f t="shared" si="151"/>
        <v>8.109375</v>
      </c>
      <c r="O866" s="36">
        <f t="shared" si="152"/>
        <v>216.25</v>
      </c>
      <c r="P866" s="38">
        <f ca="1">IF(ISERROR(IF(O866&lt;fi_h/20,0,(OFFSET('Base de dados'!$A$5,IF(O866&lt;20,1,IF(O866&gt;1000,10,MATCH(O866,Cargas,1))),Coluna_fih,1,1))*(1+0.13*0.25)*(PI()*(fi_h/1000)^2/4)*SQRT(2*9.81*(O866/100-fi_h/2/1000))*1000)),"",IF(O866&lt;fi_h/20,0,(OFFSET('Base de dados'!$A$5,IF(O866&lt;20,1,IF(O866&gt;1000,10,MATCH(O866,Cargas,1))),Coluna_fih,1,1))*(PI()*(fi_h/1000)^2/4)*SQRT(2*9.81*(O866/100-fi_h/2/1000))*1000))</f>
        <v>3.9203048028112146</v>
      </c>
      <c r="Q866" s="38">
        <f ca="1">IF(O866="","",IF(Tipo_Vertedor="Retangular",IF(O866&lt;=cota_s*100,0,IF(Tipo_Vertedor="Retangular",Cd_sr*Lef_sr*((O866/100-cota_s)^(3/2))*1000)),IF(O866&lt;=cota_s*100+fi_s/20,0,(OFFSET('Base de dados'!$A$4,IF(O866&lt;20,1,IF(O866&gt;1000,10,MATCH(O866,Cargas,1))),Coluna_fis,1,1))*(PI()*(fi_s/1000)^2/4)*(2*9.81*(O866/100-cota_s-fi_s/2/1000))^0.5*1000)))</f>
        <v>2.606201671762328</v>
      </c>
      <c r="R866" s="38">
        <f t="shared" ca="1" si="153"/>
        <v>6.5265064745735426</v>
      </c>
      <c r="S866" s="38">
        <f t="shared" ca="1" si="150"/>
        <v>270.3125</v>
      </c>
    </row>
    <row r="867" spans="13:19">
      <c r="M867" s="132">
        <f t="shared" ca="1" si="149"/>
        <v>277.15723591973284</v>
      </c>
      <c r="N867" s="38">
        <f t="shared" si="151"/>
        <v>8.1187500000000004</v>
      </c>
      <c r="O867" s="36">
        <f t="shared" si="152"/>
        <v>216.5</v>
      </c>
      <c r="P867" s="38">
        <f ca="1">IF(ISERROR(IF(O867&lt;fi_h/20,0,(OFFSET('Base de dados'!$A$5,IF(O867&lt;20,1,IF(O867&gt;1000,10,MATCH(O867,Cargas,1))),Coluna_fih,1,1))*(1+0.13*0.25)*(PI()*(fi_h/1000)^2/4)*SQRT(2*9.81*(O867/100-fi_h/2/1000))*1000)),"",IF(O867&lt;fi_h/20,0,(OFFSET('Base de dados'!$A$5,IF(O867&lt;20,1,IF(O867&gt;1000,10,MATCH(O867,Cargas,1))),Coluna_fih,1,1))*(PI()*(fi_h/1000)^2/4)*SQRT(2*9.81*(O867/100-fi_h/2/1000))*1000))</f>
        <v>3.9225888038921761</v>
      </c>
      <c r="Q867" s="38">
        <f ca="1">IF(O867="","",IF(Tipo_Vertedor="Retangular",IF(O867&lt;=cota_s*100,0,IF(Tipo_Vertedor="Retangular",Cd_sr*Lef_sr*((O867/100-cota_s)^(3/2))*1000)),IF(O867&lt;=cota_s*100+fi_s/20,0,(OFFSET('Base de dados'!$A$4,IF(O867&lt;20,1,IF(O867&gt;1000,10,MATCH(O867,Cargas,1))),Coluna_fis,1,1))*(PI()*(fi_s/1000)^2/4)*(2*9.81*(O867/100-cota_s-fi_s/2/1000))^0.5*1000)))</f>
        <v>2.609647115840676</v>
      </c>
      <c r="R867" s="38">
        <f t="shared" ca="1" si="153"/>
        <v>6.5322359197328517</v>
      </c>
      <c r="S867" s="38">
        <f t="shared" ca="1" si="150"/>
        <v>270.625</v>
      </c>
    </row>
    <row r="868" spans="13:19">
      <c r="M868" s="132">
        <f t="shared" ca="1" si="149"/>
        <v>277.47545949283386</v>
      </c>
      <c r="N868" s="38">
        <f t="shared" si="151"/>
        <v>8.1281250000000007</v>
      </c>
      <c r="O868" s="36">
        <f t="shared" si="152"/>
        <v>216.75</v>
      </c>
      <c r="P868" s="38">
        <f ca="1">IF(ISERROR(IF(O868&lt;fi_h/20,0,(OFFSET('Base de dados'!$A$5,IF(O868&lt;20,1,IF(O868&gt;1000,10,MATCH(O868,Cargas,1))),Coluna_fih,1,1))*(1+0.13*0.25)*(PI()*(fi_h/1000)^2/4)*SQRT(2*9.81*(O868/100-fi_h/2/1000))*1000)),"",IF(O868&lt;fi_h/20,0,(OFFSET('Base de dados'!$A$5,IF(O868&lt;20,1,IF(O868&gt;1000,10,MATCH(O868,Cargas,1))),Coluna_fih,1,1))*(PI()*(fi_h/1000)^2/4)*SQRT(2*9.81*(O868/100-fi_h/2/1000))*1000))</f>
        <v>3.9248714758442511</v>
      </c>
      <c r="Q868" s="38">
        <f ca="1">IF(O868="","",IF(Tipo_Vertedor="Retangular",IF(O868&lt;=cota_s*100,0,IF(Tipo_Vertedor="Retangular",Cd_sr*Lef_sr*((O868/100-cota_s)^(3/2))*1000)),IF(O868&lt;=cota_s*100+fi_s/20,0,(OFFSET('Base de dados'!$A$4,IF(O868&lt;20,1,IF(O868&gt;1000,10,MATCH(O868,Cargas,1))),Coluna_fis,1,1))*(PI()*(fi_s/1000)^2/4)*(2*9.81*(O868/100-cota_s-fi_s/2/1000))^0.5*1000)))</f>
        <v>2.6130880169895478</v>
      </c>
      <c r="R868" s="38">
        <f t="shared" ca="1" si="153"/>
        <v>6.5379594928337994</v>
      </c>
      <c r="S868" s="38">
        <f t="shared" ca="1" si="150"/>
        <v>270.93750000000006</v>
      </c>
    </row>
    <row r="869" spans="13:19">
      <c r="M869" s="132">
        <f t="shared" ca="1" si="149"/>
        <v>277.79367721411677</v>
      </c>
      <c r="N869" s="38">
        <f t="shared" si="151"/>
        <v>8.1374999999999993</v>
      </c>
      <c r="O869" s="36">
        <f t="shared" si="152"/>
        <v>217</v>
      </c>
      <c r="P869" s="38">
        <f ca="1">IF(ISERROR(IF(O869&lt;fi_h/20,0,(OFFSET('Base de dados'!$A$5,IF(O869&lt;20,1,IF(O869&gt;1000,10,MATCH(O869,Cargas,1))),Coluna_fih,1,1))*(1+0.13*0.25)*(PI()*(fi_h/1000)^2/4)*SQRT(2*9.81*(O869/100-fi_h/2/1000))*1000)),"",IF(O869&lt;fi_h/20,0,(OFFSET('Base de dados'!$A$5,IF(O869&lt;20,1,IF(O869&gt;1000,10,MATCH(O869,Cargas,1))),Coluna_fih,1,1))*(PI()*(fi_h/1000)^2/4)*SQRT(2*9.81*(O869/100-fi_h/2/1000))*1000))</f>
        <v>3.9271528209851225</v>
      </c>
      <c r="Q869" s="38">
        <f ca="1">IF(O869="","",IF(Tipo_Vertedor="Retangular",IF(O869&lt;=cota_s*100,0,IF(Tipo_Vertedor="Retangular",Cd_sr*Lef_sr*((O869/100-cota_s)^(3/2))*1000)),IF(O869&lt;=cota_s*100+fi_s/20,0,(OFFSET('Base de dados'!$A$4,IF(O869&lt;20,1,IF(O869&gt;1000,10,MATCH(O869,Cargas,1))),Coluna_fis,1,1))*(PI()*(fi_s/1000)^2/4)*(2*9.81*(O869/100-cota_s-fi_s/2/1000))^0.5*1000)))</f>
        <v>2.6165243931316935</v>
      </c>
      <c r="R869" s="38">
        <f t="shared" ca="1" si="153"/>
        <v>6.5436772141168156</v>
      </c>
      <c r="S869" s="38">
        <f t="shared" ca="1" si="150"/>
        <v>271.24999999999994</v>
      </c>
    </row>
    <row r="870" spans="13:19">
      <c r="M870" s="132">
        <f t="shared" ca="1" si="149"/>
        <v>278.11188910369805</v>
      </c>
      <c r="N870" s="38">
        <f t="shared" si="151"/>
        <v>8.1468749999999996</v>
      </c>
      <c r="O870" s="36">
        <f t="shared" si="152"/>
        <v>217.25</v>
      </c>
      <c r="P870" s="38">
        <f ca="1">IF(ISERROR(IF(O870&lt;fi_h/20,0,(OFFSET('Base de dados'!$A$5,IF(O870&lt;20,1,IF(O870&gt;1000,10,MATCH(O870,Cargas,1))),Coluna_fih,1,1))*(1+0.13*0.25)*(PI()*(fi_h/1000)^2/4)*SQRT(2*9.81*(O870/100-fi_h/2/1000))*1000)),"",IF(O870&lt;fi_h/20,0,(OFFSET('Base de dados'!$A$5,IF(O870&lt;20,1,IF(O870&gt;1000,10,MATCH(O870,Cargas,1))),Coluna_fih,1,1))*(PI()*(fi_h/1000)^2/4)*SQRT(2*9.81*(O870/100-fi_h/2/1000))*1000))</f>
        <v>3.9294328416257449</v>
      </c>
      <c r="Q870" s="38">
        <f ca="1">IF(O870="","",IF(Tipo_Vertedor="Retangular",IF(O870&lt;=cota_s*100,0,IF(Tipo_Vertedor="Retangular",Cd_sr*Lef_sr*((O870/100-cota_s)^(3/2))*1000)),IF(O870&lt;=cota_s*100+fi_s/20,0,(OFFSET('Base de dados'!$A$4,IF(O870&lt;20,1,IF(O870&gt;1000,10,MATCH(O870,Cargas,1))),Coluna_fis,1,1))*(PI()*(fi_s/1000)^2/4)*(2*9.81*(O870/100-cota_s-fi_s/2/1000))^0.5*1000)))</f>
        <v>2.619956262072324</v>
      </c>
      <c r="R870" s="38">
        <f t="shared" ca="1" si="153"/>
        <v>6.5493891036980685</v>
      </c>
      <c r="S870" s="38">
        <f t="shared" ca="1" si="150"/>
        <v>271.5625</v>
      </c>
    </row>
    <row r="871" spans="13:19">
      <c r="M871" s="132">
        <f t="shared" ca="1" si="149"/>
        <v>278.43009518157055</v>
      </c>
      <c r="N871" s="38">
        <f t="shared" si="151"/>
        <v>8.15625</v>
      </c>
      <c r="O871" s="36">
        <f t="shared" si="152"/>
        <v>217.5</v>
      </c>
      <c r="P871" s="38">
        <f ca="1">IF(ISERROR(IF(O871&lt;fi_h/20,0,(OFFSET('Base de dados'!$A$5,IF(O871&lt;20,1,IF(O871&gt;1000,10,MATCH(O871,Cargas,1))),Coluna_fih,1,1))*(1+0.13*0.25)*(PI()*(fi_h/1000)^2/4)*SQRT(2*9.81*(O871/100-fi_h/2/1000))*1000)),"",IF(O871&lt;fi_h/20,0,(OFFSET('Base de dados'!$A$5,IF(O871&lt;20,1,IF(O871&gt;1000,10,MATCH(O871,Cargas,1))),Coluna_fih,1,1))*(PI()*(fi_h/1000)^2/4)*SQRT(2*9.81*(O871/100-fi_h/2/1000))*1000))</f>
        <v>3.9317115400703737</v>
      </c>
      <c r="Q871" s="38">
        <f ca="1">IF(O871="","",IF(Tipo_Vertedor="Retangular",IF(O871&lt;=cota_s*100,0,IF(Tipo_Vertedor="Retangular",Cd_sr*Lef_sr*((O871/100-cota_s)^(3/2))*1000)),IF(O871&lt;=cota_s*100+fi_s/20,0,(OFFSET('Base de dados'!$A$4,IF(O871&lt;20,1,IF(O871&gt;1000,10,MATCH(O871,Cargas,1))),Coluna_fis,1,1))*(PI()*(fi_s/1000)^2/4)*(2*9.81*(O871/100-cota_s-fi_s/2/1000))^0.5*1000)))</f>
        <v>2.623383641500189</v>
      </c>
      <c r="R871" s="38">
        <f t="shared" ca="1" si="153"/>
        <v>6.5550951815705627</v>
      </c>
      <c r="S871" s="38">
        <f t="shared" ca="1" si="150"/>
        <v>271.875</v>
      </c>
    </row>
    <row r="872" spans="13:19">
      <c r="M872" s="132">
        <f t="shared" ca="1" si="149"/>
        <v>278.7482954676052</v>
      </c>
      <c r="N872" s="38">
        <f t="shared" si="151"/>
        <v>8.1656250000000004</v>
      </c>
      <c r="O872" s="36">
        <f t="shared" si="152"/>
        <v>217.75</v>
      </c>
      <c r="P872" s="38">
        <f ca="1">IF(ISERROR(IF(O872&lt;fi_h/20,0,(OFFSET('Base de dados'!$A$5,IF(O872&lt;20,1,IF(O872&gt;1000,10,MATCH(O872,Cargas,1))),Coluna_fih,1,1))*(1+0.13*0.25)*(PI()*(fi_h/1000)^2/4)*SQRT(2*9.81*(O872/100-fi_h/2/1000))*1000)),"",IF(O872&lt;fi_h/20,0,(OFFSET('Base de dados'!$A$5,IF(O872&lt;20,1,IF(O872&gt;1000,10,MATCH(O872,Cargas,1))),Coluna_fih,1,1))*(PI()*(fi_h/1000)^2/4)*SQRT(2*9.81*(O872/100-fi_h/2/1000))*1000))</f>
        <v>3.9339889186165911</v>
      </c>
      <c r="Q872" s="38">
        <f ca="1">IF(O872="","",IF(Tipo_Vertedor="Retangular",IF(O872&lt;=cota_s*100,0,IF(Tipo_Vertedor="Retangular",Cd_sr*Lef_sr*((O872/100-cota_s)^(3/2))*1000)),IF(O872&lt;=cota_s*100+fi_s/20,0,(OFFSET('Base de dados'!$A$4,IF(O872&lt;20,1,IF(O872&gt;1000,10,MATCH(O872,Cargas,1))),Coluna_fis,1,1))*(PI()*(fi_s/1000)^2/4)*(2*9.81*(O872/100-cota_s-fi_s/2/1000))^0.5*1000)))</f>
        <v>2.6268065489886387</v>
      </c>
      <c r="R872" s="38">
        <f t="shared" ca="1" si="153"/>
        <v>6.5607954676052298</v>
      </c>
      <c r="S872" s="38">
        <f t="shared" ca="1" si="150"/>
        <v>272.1875</v>
      </c>
    </row>
    <row r="873" spans="13:19">
      <c r="M873" s="132">
        <f t="shared" ca="1" si="149"/>
        <v>279.06648998155208</v>
      </c>
      <c r="N873" s="38">
        <f t="shared" si="151"/>
        <v>8.1750000000000007</v>
      </c>
      <c r="O873" s="36">
        <f t="shared" si="152"/>
        <v>218</v>
      </c>
      <c r="P873" s="38">
        <f ca="1">IF(ISERROR(IF(O873&lt;fi_h/20,0,(OFFSET('Base de dados'!$A$5,IF(O873&lt;20,1,IF(O873&gt;1000,10,MATCH(O873,Cargas,1))),Coluna_fih,1,1))*(1+0.13*0.25)*(PI()*(fi_h/1000)^2/4)*SQRT(2*9.81*(O873/100-fi_h/2/1000))*1000)),"",IF(O873&lt;fi_h/20,0,(OFFSET('Base de dados'!$A$5,IF(O873&lt;20,1,IF(O873&gt;1000,10,MATCH(O873,Cargas,1))),Coluna_fih,1,1))*(PI()*(fi_h/1000)^2/4)*SQRT(2*9.81*(O873/100-fi_h/2/1000))*1000))</f>
        <v>3.9362649795553284</v>
      </c>
      <c r="Q873" s="38">
        <f ca="1">IF(O873="","",IF(Tipo_Vertedor="Retangular",IF(O873&lt;=cota_s*100,0,IF(Tipo_Vertedor="Retangular",Cd_sr*Lef_sr*((O873/100-cota_s)^(3/2))*1000)),IF(O873&lt;=cota_s*100+fi_s/20,0,(OFFSET('Base de dados'!$A$4,IF(O873&lt;20,1,IF(O873&gt;1000,10,MATCH(O873,Cargas,1))),Coluna_fis,1,1))*(PI()*(fi_s/1000)^2/4)*(2*9.81*(O873/100-cota_s-fi_s/2/1000))^0.5*1000)))</f>
        <v>2.6302250019966755</v>
      </c>
      <c r="R873" s="38">
        <f t="shared" ca="1" si="153"/>
        <v>6.5664899815520039</v>
      </c>
      <c r="S873" s="38">
        <f t="shared" ca="1" si="150"/>
        <v>272.50000000000006</v>
      </c>
    </row>
    <row r="874" spans="13:19">
      <c r="M874" s="132">
        <f t="shared" ca="1" si="149"/>
        <v>279.38467874304092</v>
      </c>
      <c r="N874" s="38">
        <f t="shared" si="151"/>
        <v>8.1843750000000011</v>
      </c>
      <c r="O874" s="36">
        <f t="shared" si="152"/>
        <v>218.25</v>
      </c>
      <c r="P874" s="38">
        <f ca="1">IF(ISERROR(IF(O874&lt;fi_h/20,0,(OFFSET('Base de dados'!$A$5,IF(O874&lt;20,1,IF(O874&gt;1000,10,MATCH(O874,Cargas,1))),Coluna_fih,1,1))*(1+0.13*0.25)*(PI()*(fi_h/1000)^2/4)*SQRT(2*9.81*(O874/100-fi_h/2/1000))*1000)),"",IF(O874&lt;fi_h/20,0,(OFFSET('Base de dados'!$A$5,IF(O874&lt;20,1,IF(O874&gt;1000,10,MATCH(O874,Cargas,1))),Coluna_fih,1,1))*(PI()*(fi_h/1000)^2/4)*SQRT(2*9.81*(O874/100-fi_h/2/1000))*1000))</f>
        <v>3.938539725170902</v>
      </c>
      <c r="Q874" s="38">
        <f ca="1">IF(O874="","",IF(Tipo_Vertedor="Retangular",IF(O874&lt;=cota_s*100,0,IF(Tipo_Vertedor="Retangular",Cd_sr*Lef_sr*((O874/100-cota_s)^(3/2))*1000)),IF(O874&lt;=cota_s*100+fi_s/20,0,(OFFSET('Base de dados'!$A$4,IF(O874&lt;20,1,IF(O874&gt;1000,10,MATCH(O874,Cargas,1))),Coluna_fis,1,1))*(PI()*(fi_s/1000)^2/4)*(2*9.81*(O874/100-cota_s-fi_s/2/1000))^0.5*1000)))</f>
        <v>2.6336390178699922</v>
      </c>
      <c r="R874" s="38">
        <f t="shared" ca="1" si="153"/>
        <v>6.5721787430408938</v>
      </c>
      <c r="S874" s="38">
        <f t="shared" ca="1" si="150"/>
        <v>272.81250000000006</v>
      </c>
    </row>
    <row r="875" spans="13:19">
      <c r="M875" s="132">
        <f t="shared" ca="1" si="149"/>
        <v>279.70286177158306</v>
      </c>
      <c r="N875" s="38">
        <f t="shared" si="151"/>
        <v>8.1937499999999996</v>
      </c>
      <c r="O875" s="36">
        <f t="shared" si="152"/>
        <v>218.5</v>
      </c>
      <c r="P875" s="38">
        <f ca="1">IF(ISERROR(IF(O875&lt;fi_h/20,0,(OFFSET('Base de dados'!$A$5,IF(O875&lt;20,1,IF(O875&gt;1000,10,MATCH(O875,Cargas,1))),Coluna_fih,1,1))*(1+0.13*0.25)*(PI()*(fi_h/1000)^2/4)*SQRT(2*9.81*(O875/100-fi_h/2/1000))*1000)),"",IF(O875&lt;fi_h/20,0,(OFFSET('Base de dados'!$A$5,IF(O875&lt;20,1,IF(O875&gt;1000,10,MATCH(O875,Cargas,1))),Coluna_fih,1,1))*(PI()*(fi_h/1000)^2/4)*SQRT(2*9.81*(O875/100-fi_h/2/1000))*1000))</f>
        <v>3.9408131577410335</v>
      </c>
      <c r="Q875" s="38">
        <f ca="1">IF(O875="","",IF(Tipo_Vertedor="Retangular",IF(O875&lt;=cota_s*100,0,IF(Tipo_Vertedor="Retangular",Cd_sr*Lef_sr*((O875/100-cota_s)^(3/2))*1000)),IF(O875&lt;=cota_s*100+fi_s/20,0,(OFFSET('Base de dados'!$A$4,IF(O875&lt;20,1,IF(O875&gt;1000,10,MATCH(O875,Cargas,1))),Coluna_fis,1,1))*(PI()*(fi_s/1000)^2/4)*(2*9.81*(O875/100-cota_s-fi_s/2/1000))^0.5*1000)))</f>
        <v>2.6370486138420022</v>
      </c>
      <c r="R875" s="38">
        <f t="shared" ca="1" si="153"/>
        <v>6.5778617715830361</v>
      </c>
      <c r="S875" s="38">
        <f t="shared" ca="1" si="150"/>
        <v>273.125</v>
      </c>
    </row>
    <row r="876" spans="13:19">
      <c r="M876" s="132">
        <f t="shared" ca="1" si="149"/>
        <v>280.0210390865717</v>
      </c>
      <c r="N876" s="38">
        <f t="shared" si="151"/>
        <v>8.203125</v>
      </c>
      <c r="O876" s="36">
        <f t="shared" si="152"/>
        <v>218.75</v>
      </c>
      <c r="P876" s="38">
        <f ca="1">IF(ISERROR(IF(O876&lt;fi_h/20,0,(OFFSET('Base de dados'!$A$5,IF(O876&lt;20,1,IF(O876&gt;1000,10,MATCH(O876,Cargas,1))),Coluna_fih,1,1))*(1+0.13*0.25)*(PI()*(fi_h/1000)^2/4)*SQRT(2*9.81*(O876/100-fi_h/2/1000))*1000)),"",IF(O876&lt;fi_h/20,0,(OFFSET('Base de dados'!$A$5,IF(O876&lt;20,1,IF(O876&gt;1000,10,MATCH(O876,Cargas,1))),Coluna_fih,1,1))*(PI()*(fi_h/1000)^2/4)*SQRT(2*9.81*(O876/100-fi_h/2/1000))*1000))</f>
        <v>3.9430852795368794</v>
      </c>
      <c r="Q876" s="38">
        <f ca="1">IF(O876="","",IF(Tipo_Vertedor="Retangular",IF(O876&lt;=cota_s*100,0,IF(Tipo_Vertedor="Retangular",Cd_sr*Lef_sr*((O876/100-cota_s)^(3/2))*1000)),IF(O876&lt;=cota_s*100+fi_s/20,0,(OFFSET('Base de dados'!$A$4,IF(O876&lt;20,1,IF(O876&gt;1000,10,MATCH(O876,Cargas,1))),Coluna_fis,1,1))*(PI()*(fi_s/1000)^2/4)*(2*9.81*(O876/100-cota_s-fi_s/2/1000))^0.5*1000)))</f>
        <v>2.64045380703485</v>
      </c>
      <c r="R876" s="38">
        <f t="shared" ca="1" si="153"/>
        <v>6.5835390865717294</v>
      </c>
      <c r="S876" s="38">
        <f t="shared" ca="1" si="150"/>
        <v>273.4375</v>
      </c>
    </row>
    <row r="877" spans="13:19">
      <c r="M877" s="132">
        <f t="shared" ca="1" si="149"/>
        <v>280.33921070728348</v>
      </c>
      <c r="N877" s="38">
        <f t="shared" si="151"/>
        <v>8.2125000000000004</v>
      </c>
      <c r="O877" s="36">
        <f t="shared" si="152"/>
        <v>219</v>
      </c>
      <c r="P877" s="38">
        <f ca="1">IF(ISERROR(IF(O877&lt;fi_h/20,0,(OFFSET('Base de dados'!$A$5,IF(O877&lt;20,1,IF(O877&gt;1000,10,MATCH(O877,Cargas,1))),Coluna_fih,1,1))*(1+0.13*0.25)*(PI()*(fi_h/1000)^2/4)*SQRT(2*9.81*(O877/100-fi_h/2/1000))*1000)),"",IF(O877&lt;fi_h/20,0,(OFFSET('Base de dados'!$A$5,IF(O877&lt;20,1,IF(O877&gt;1000,10,MATCH(O877,Cargas,1))),Coluna_fih,1,1))*(PI()*(fi_h/1000)^2/4)*SQRT(2*9.81*(O877/100-fi_h/2/1000))*1000))</f>
        <v>3.9453560928230553</v>
      </c>
      <c r="Q877" s="38">
        <f ca="1">IF(O877="","",IF(Tipo_Vertedor="Retangular",IF(O877&lt;=cota_s*100,0,IF(Tipo_Vertedor="Retangular",Cd_sr*Lef_sr*((O877/100-cota_s)^(3/2))*1000)),IF(O877&lt;=cota_s*100+fi_s/20,0,(OFFSET('Base de dados'!$A$4,IF(O877&lt;20,1,IF(O877&gt;1000,10,MATCH(O877,Cargas,1))),Coluna_fis,1,1))*(PI()*(fi_s/1000)^2/4)*(2*9.81*(O877/100-cota_s-fi_s/2/1000))^0.5*1000)))</f>
        <v>2.6438546144604169</v>
      </c>
      <c r="R877" s="38">
        <f t="shared" ca="1" si="153"/>
        <v>6.5892107072834722</v>
      </c>
      <c r="S877" s="38">
        <f t="shared" ca="1" si="150"/>
        <v>273.75</v>
      </c>
    </row>
    <row r="878" spans="13:19">
      <c r="M878" s="132">
        <f t="shared" ca="1" si="149"/>
        <v>280.6573766528789</v>
      </c>
      <c r="N878" s="38">
        <f t="shared" si="151"/>
        <v>8.2218749999999989</v>
      </c>
      <c r="O878" s="36">
        <f t="shared" si="152"/>
        <v>219.25</v>
      </c>
      <c r="P878" s="38">
        <f ca="1">IF(ISERROR(IF(O878&lt;fi_h/20,0,(OFFSET('Base de dados'!$A$5,IF(O878&lt;20,1,IF(O878&gt;1000,10,MATCH(O878,Cargas,1))),Coluna_fih,1,1))*(1+0.13*0.25)*(PI()*(fi_h/1000)^2/4)*SQRT(2*9.81*(O878/100-fi_h/2/1000))*1000)),"",IF(O878&lt;fi_h/20,0,(OFFSET('Base de dados'!$A$5,IF(O878&lt;20,1,IF(O878&gt;1000,10,MATCH(O878,Cargas,1))),Coluna_fih,1,1))*(PI()*(fi_h/1000)^2/4)*SQRT(2*9.81*(O878/100-fi_h/2/1000))*1000))</f>
        <v>3.9476255998576644</v>
      </c>
      <c r="Q878" s="38">
        <f ca="1">IF(O878="","",IF(Tipo_Vertedor="Retangular",IF(O878&lt;=cota_s*100,0,IF(Tipo_Vertedor="Retangular",Cd_sr*Lef_sr*((O878/100-cota_s)^(3/2))*1000)),IF(O878&lt;=cota_s*100+fi_s/20,0,(OFFSET('Base de dados'!$A$4,IF(O878&lt;20,1,IF(O878&gt;1000,10,MATCH(O878,Cargas,1))),Coluna_fis,1,1))*(PI()*(fi_s/1000)^2/4)*(2*9.81*(O878/100-cota_s-fi_s/2/1000))^0.5*1000)))</f>
        <v>2.6472510530213129</v>
      </c>
      <c r="R878" s="38">
        <f t="shared" ca="1" si="153"/>
        <v>6.5948766528789768</v>
      </c>
      <c r="S878" s="38">
        <f t="shared" ca="1" si="150"/>
        <v>274.06249999999994</v>
      </c>
    </row>
    <row r="879" spans="13:19">
      <c r="M879" s="132">
        <f t="shared" ca="1" si="149"/>
        <v>280.97553694240418</v>
      </c>
      <c r="N879" s="38">
        <f t="shared" si="151"/>
        <v>8.2312499999999993</v>
      </c>
      <c r="O879" s="36">
        <f t="shared" si="152"/>
        <v>219.5</v>
      </c>
      <c r="P879" s="38">
        <f ca="1">IF(ISERROR(IF(O879&lt;fi_h/20,0,(OFFSET('Base de dados'!$A$5,IF(O879&lt;20,1,IF(O879&gt;1000,10,MATCH(O879,Cargas,1))),Coluna_fih,1,1))*(1+0.13*0.25)*(PI()*(fi_h/1000)^2/4)*SQRT(2*9.81*(O879/100-fi_h/2/1000))*1000)),"",IF(O879&lt;fi_h/20,0,(OFFSET('Base de dados'!$A$5,IF(O879&lt;20,1,IF(O879&gt;1000,10,MATCH(O879,Cargas,1))),Coluna_fih,1,1))*(PI()*(fi_h/1000)^2/4)*SQRT(2*9.81*(O879/100-fi_h/2/1000))*1000))</f>
        <v>3.9498938028923205</v>
      </c>
      <c r="Q879" s="38">
        <f ca="1">IF(O879="","",IF(Tipo_Vertedor="Retangular",IF(O879&lt;=cota_s*100,0,IF(Tipo_Vertedor="Retangular",Cd_sr*Lef_sr*((O879/100-cota_s)^(3/2))*1000)),IF(O879&lt;=cota_s*100+fi_s/20,0,(OFFSET('Base de dados'!$A$4,IF(O879&lt;20,1,IF(O879&gt;1000,10,MATCH(O879,Cargas,1))),Coluna_fis,1,1))*(PI()*(fi_s/1000)^2/4)*(2*9.81*(O879/100-cota_s-fi_s/2/1000))^0.5*1000)))</f>
        <v>2.6506431395118533</v>
      </c>
      <c r="R879" s="38">
        <f t="shared" ca="1" si="153"/>
        <v>6.6005369424041742</v>
      </c>
      <c r="S879" s="38">
        <f t="shared" ca="1" si="150"/>
        <v>274.375</v>
      </c>
    </row>
    <row r="880" spans="13:19">
      <c r="M880" s="132">
        <f t="shared" ca="1" si="149"/>
        <v>281.2936915947912</v>
      </c>
      <c r="N880" s="38">
        <f t="shared" si="151"/>
        <v>8.2406249999999996</v>
      </c>
      <c r="O880" s="36">
        <f t="shared" si="152"/>
        <v>219.75</v>
      </c>
      <c r="P880" s="38">
        <f ca="1">IF(ISERROR(IF(O880&lt;fi_h/20,0,(OFFSET('Base de dados'!$A$5,IF(O880&lt;20,1,IF(O880&gt;1000,10,MATCH(O880,Cargas,1))),Coluna_fih,1,1))*(1+0.13*0.25)*(PI()*(fi_h/1000)^2/4)*SQRT(2*9.81*(O880/100-fi_h/2/1000))*1000)),"",IF(O880&lt;fi_h/20,0,(OFFSET('Base de dados'!$A$5,IF(O880&lt;20,1,IF(O880&gt;1000,10,MATCH(O880,Cargas,1))),Coluna_fih,1,1))*(PI()*(fi_h/1000)^2/4)*SQRT(2*9.81*(O880/100-fi_h/2/1000))*1000))</f>
        <v>3.9521607041721785</v>
      </c>
      <c r="Q880" s="38">
        <f ca="1">IF(O880="","",IF(Tipo_Vertedor="Retangular",IF(O880&lt;=cota_s*100,0,IF(Tipo_Vertedor="Retangular",Cd_sr*Lef_sr*((O880/100-cota_s)^(3/2))*1000)),IF(O880&lt;=cota_s*100+fi_s/20,0,(OFFSET('Base de dados'!$A$4,IF(O880&lt;20,1,IF(O880&gt;1000,10,MATCH(O880,Cargas,1))),Coluna_fis,1,1))*(PI()*(fi_s/1000)^2/4)*(2*9.81*(O880/100-cota_s-fi_s/2/1000))^0.5*1000)))</f>
        <v>2.6540308906190346</v>
      </c>
      <c r="R880" s="38">
        <f t="shared" ca="1" si="153"/>
        <v>6.6061915947912127</v>
      </c>
      <c r="S880" s="38">
        <f t="shared" ca="1" si="150"/>
        <v>274.6875</v>
      </c>
    </row>
    <row r="881" spans="13:19">
      <c r="M881" s="132">
        <f t="shared" ca="1" si="149"/>
        <v>281.61184062885945</v>
      </c>
      <c r="N881" s="38">
        <f t="shared" si="151"/>
        <v>8.25</v>
      </c>
      <c r="O881" s="36">
        <f t="shared" si="152"/>
        <v>220</v>
      </c>
      <c r="P881" s="38">
        <f ca="1">IF(ISERROR(IF(O881&lt;fi_h/20,0,(OFFSET('Base de dados'!$A$5,IF(O881&lt;20,1,IF(O881&gt;1000,10,MATCH(O881,Cargas,1))),Coluna_fih,1,1))*(1+0.13*0.25)*(PI()*(fi_h/1000)^2/4)*SQRT(2*9.81*(O881/100-fi_h/2/1000))*1000)),"",IF(O881&lt;fi_h/20,0,(OFFSET('Base de dados'!$A$5,IF(O881&lt;20,1,IF(O881&gt;1000,10,MATCH(O881,Cargas,1))),Coluna_fih,1,1))*(PI()*(fi_h/1000)^2/4)*SQRT(2*9.81*(O881/100-fi_h/2/1000))*1000))</f>
        <v>3.9544263059359586</v>
      </c>
      <c r="Q881" s="38">
        <f ca="1">IF(O881="","",IF(Tipo_Vertedor="Retangular",IF(O881&lt;=cota_s*100,0,IF(Tipo_Vertedor="Retangular",Cd_sr*Lef_sr*((O881/100-cota_s)^(3/2))*1000)),IF(O881&lt;=cota_s*100+fi_s/20,0,(OFFSET('Base de dados'!$A$4,IF(O881&lt;20,1,IF(O881&gt;1000,10,MATCH(O881,Cargas,1))),Coluna_fis,1,1))*(PI()*(fi_s/1000)^2/4)*(2*9.81*(O881/100-cota_s-fi_s/2/1000))^0.5*1000)))</f>
        <v>2.6574143229234832</v>
      </c>
      <c r="R881" s="38">
        <f t="shared" ca="1" si="153"/>
        <v>6.6118406288594418</v>
      </c>
      <c r="S881" s="38">
        <f t="shared" ca="1" si="150"/>
        <v>275</v>
      </c>
    </row>
    <row r="882" spans="13:19">
      <c r="M882" s="132">
        <f t="shared" ca="1" si="149"/>
        <v>281.9299840633164</v>
      </c>
      <c r="N882" s="38">
        <f t="shared" si="151"/>
        <v>8.2593750000000004</v>
      </c>
      <c r="O882" s="36">
        <f t="shared" si="152"/>
        <v>220.25</v>
      </c>
      <c r="P882" s="38">
        <f ca="1">IF(ISERROR(IF(O882&lt;fi_h/20,0,(OFFSET('Base de dados'!$A$5,IF(O882&lt;20,1,IF(O882&gt;1000,10,MATCH(O882,Cargas,1))),Coluna_fih,1,1))*(1+0.13*0.25)*(PI()*(fi_h/1000)^2/4)*SQRT(2*9.81*(O882/100-fi_h/2/1000))*1000)),"",IF(O882&lt;fi_h/20,0,(OFFSET('Base de dados'!$A$5,IF(O882&lt;20,1,IF(O882&gt;1000,10,MATCH(O882,Cargas,1))),Coluna_fih,1,1))*(PI()*(fi_h/1000)^2/4)*SQRT(2*9.81*(O882/100-fi_h/2/1000))*1000))</f>
        <v>3.9566906104159685</v>
      </c>
      <c r="Q882" s="38">
        <f ca="1">IF(O882="","",IF(Tipo_Vertedor="Retangular",IF(O882&lt;=cota_s*100,0,IF(Tipo_Vertedor="Retangular",Cd_sr*Lef_sr*((O882/100-cota_s)^(3/2))*1000)),IF(O882&lt;=cota_s*100+fi_s/20,0,(OFFSET('Base de dados'!$A$4,IF(O882&lt;20,1,IF(O882&gt;1000,10,MATCH(O882,Cargas,1))),Coluna_fis,1,1))*(PI()*(fi_s/1000)^2/4)*(2*9.81*(O882/100-cota_s-fi_s/2/1000))^0.5*1000)))</f>
        <v>2.6607934529004096</v>
      </c>
      <c r="R882" s="38">
        <f t="shared" ca="1" si="153"/>
        <v>6.6174840633163781</v>
      </c>
      <c r="S882" s="38">
        <f t="shared" ca="1" si="150"/>
        <v>275.3125</v>
      </c>
    </row>
    <row r="883" spans="13:19">
      <c r="M883" s="132">
        <f t="shared" ca="1" si="149"/>
        <v>282.24812191675869</v>
      </c>
      <c r="N883" s="38">
        <f t="shared" si="151"/>
        <v>8.2687500000000007</v>
      </c>
      <c r="O883" s="36">
        <f t="shared" si="152"/>
        <v>220.5</v>
      </c>
      <c r="P883" s="38">
        <f ca="1">IF(ISERROR(IF(O883&lt;fi_h/20,0,(OFFSET('Base de dados'!$A$5,IF(O883&lt;20,1,IF(O883&gt;1000,10,MATCH(O883,Cargas,1))),Coluna_fih,1,1))*(1+0.13*0.25)*(PI()*(fi_h/1000)^2/4)*SQRT(2*9.81*(O883/100-fi_h/2/1000))*1000)),"",IF(O883&lt;fi_h/20,0,(OFFSET('Base de dados'!$A$5,IF(O883&lt;20,1,IF(O883&gt;1000,10,MATCH(O883,Cargas,1))),Coluna_fih,1,1))*(PI()*(fi_h/1000)^2/4)*SQRT(2*9.81*(O883/100-fi_h/2/1000))*1000))</f>
        <v>3.9589536198381334</v>
      </c>
      <c r="Q883" s="38">
        <f ca="1">IF(O883="","",IF(Tipo_Vertedor="Retangular",IF(O883&lt;=cota_s*100,0,IF(Tipo_Vertedor="Retangular",Cd_sr*Lef_sr*((O883/100-cota_s)^(3/2))*1000)),IF(O883&lt;=cota_s*100+fi_s/20,0,(OFFSET('Base de dados'!$A$4,IF(O883&lt;20,1,IF(O883&gt;1000,10,MATCH(O883,Cargas,1))),Coluna_fis,1,1))*(PI()*(fi_s/1000)^2/4)*(2*9.81*(O883/100-cota_s-fi_s/2/1000))^0.5*1000)))</f>
        <v>2.6641682969205398</v>
      </c>
      <c r="R883" s="38">
        <f t="shared" ca="1" si="153"/>
        <v>6.6231219167586737</v>
      </c>
      <c r="S883" s="38">
        <f t="shared" ca="1" si="150"/>
        <v>275.625</v>
      </c>
    </row>
    <row r="884" spans="13:19">
      <c r="M884" s="132">
        <f t="shared" ca="1" si="149"/>
        <v>282.56625420767307</v>
      </c>
      <c r="N884" s="38">
        <f t="shared" si="151"/>
        <v>8.2781249999999993</v>
      </c>
      <c r="O884" s="36">
        <f t="shared" si="152"/>
        <v>220.75</v>
      </c>
      <c r="P884" s="38">
        <f ca="1">IF(ISERROR(IF(O884&lt;fi_h/20,0,(OFFSET('Base de dados'!$A$5,IF(O884&lt;20,1,IF(O884&gt;1000,10,MATCH(O884,Cargas,1))),Coluna_fih,1,1))*(1+0.13*0.25)*(PI()*(fi_h/1000)^2/4)*SQRT(2*9.81*(O884/100-fi_h/2/1000))*1000)),"",IF(O884&lt;fi_h/20,0,(OFFSET('Base de dados'!$A$5,IF(O884&lt;20,1,IF(O884&gt;1000,10,MATCH(O884,Cargas,1))),Coluna_fih,1,1))*(PI()*(fi_h/1000)^2/4)*SQRT(2*9.81*(O884/100-fi_h/2/1000))*1000))</f>
        <v>3.9612153364220219</v>
      </c>
      <c r="Q884" s="38">
        <f ca="1">IF(O884="","",IF(Tipo_Vertedor="Retangular",IF(O884&lt;=cota_s*100,0,IF(Tipo_Vertedor="Retangular",Cd_sr*Lef_sr*((O884/100-cota_s)^(3/2))*1000)),IF(O884&lt;=cota_s*100+fi_s/20,0,(OFFSET('Base de dados'!$A$4,IF(O884&lt;20,1,IF(O884&gt;1000,10,MATCH(O884,Cargas,1))),Coluna_fis,1,1))*(PI()*(fi_s/1000)^2/4)*(2*9.81*(O884/100-cota_s-fi_s/2/1000))^0.5*1000)))</f>
        <v>2.6675388712510451</v>
      </c>
      <c r="R884" s="38">
        <f t="shared" ca="1" si="153"/>
        <v>6.628754207673067</v>
      </c>
      <c r="S884" s="38">
        <f t="shared" ca="1" si="150"/>
        <v>275.9375</v>
      </c>
    </row>
    <row r="885" spans="13:19">
      <c r="M885" s="132">
        <f t="shared" ca="1" si="149"/>
        <v>282.88438095443735</v>
      </c>
      <c r="N885" s="38">
        <f t="shared" si="151"/>
        <v>8.2874999999999996</v>
      </c>
      <c r="O885" s="36">
        <f t="shared" si="152"/>
        <v>221</v>
      </c>
      <c r="P885" s="38">
        <f ca="1">IF(ISERROR(IF(O885&lt;fi_h/20,0,(OFFSET('Base de dados'!$A$5,IF(O885&lt;20,1,IF(O885&gt;1000,10,MATCH(O885,Cargas,1))),Coluna_fih,1,1))*(1+0.13*0.25)*(PI()*(fi_h/1000)^2/4)*SQRT(2*9.81*(O885/100-fi_h/2/1000))*1000)),"",IF(O885&lt;fi_h/20,0,(OFFSET('Base de dados'!$A$5,IF(O885&lt;20,1,IF(O885&gt;1000,10,MATCH(O885,Cargas,1))),Coluna_fih,1,1))*(PI()*(fi_h/1000)^2/4)*SQRT(2*9.81*(O885/100-fi_h/2/1000))*1000))</f>
        <v>3.9634757623808685</v>
      </c>
      <c r="Q885" s="38">
        <f ca="1">IF(O885="","",IF(Tipo_Vertedor="Retangular",IF(O885&lt;=cota_s*100,0,IF(Tipo_Vertedor="Retangular",Cd_sr*Lef_sr*((O885/100-cota_s)^(3/2))*1000)),IF(O885&lt;=cota_s*100+fi_s/20,0,(OFFSET('Base de dados'!$A$4,IF(O885&lt;20,1,IF(O885&gt;1000,10,MATCH(O885,Cargas,1))),Coluna_fis,1,1))*(PI()*(fi_s/1000)^2/4)*(2*9.81*(O885/100-cota_s-fi_s/2/1000))^0.5*1000)))</f>
        <v>2.670905192056451</v>
      </c>
      <c r="R885" s="38">
        <f t="shared" ca="1" si="153"/>
        <v>6.6343809544373196</v>
      </c>
      <c r="S885" s="38">
        <f t="shared" ca="1" si="150"/>
        <v>276.25</v>
      </c>
    </row>
    <row r="886" spans="13:19">
      <c r="M886" s="132">
        <f t="shared" ca="1" si="149"/>
        <v>283.20250217532117</v>
      </c>
      <c r="N886" s="38">
        <f t="shared" si="151"/>
        <v>8.296875</v>
      </c>
      <c r="O886" s="36">
        <f t="shared" si="152"/>
        <v>221.25</v>
      </c>
      <c r="P886" s="38">
        <f ca="1">IF(ISERROR(IF(O886&lt;fi_h/20,0,(OFFSET('Base de dados'!$A$5,IF(O886&lt;20,1,IF(O886&gt;1000,10,MATCH(O886,Cargas,1))),Coluna_fih,1,1))*(1+0.13*0.25)*(PI()*(fi_h/1000)^2/4)*SQRT(2*9.81*(O886/100-fi_h/2/1000))*1000)),"",IF(O886&lt;fi_h/20,0,(OFFSET('Base de dados'!$A$5,IF(O886&lt;20,1,IF(O886&gt;1000,10,MATCH(O886,Cargas,1))),Coluna_fih,1,1))*(PI()*(fi_h/1000)^2/4)*SQRT(2*9.81*(O886/100-fi_h/2/1000))*1000))</f>
        <v>3.9657348999216002</v>
      </c>
      <c r="Q886" s="38">
        <f ca="1">IF(O886="","",IF(Tipo_Vertedor="Retangular",IF(O886&lt;=cota_s*100,0,IF(Tipo_Vertedor="Retangular",Cd_sr*Lef_sr*((O886/100-cota_s)^(3/2))*1000)),IF(O886&lt;=cota_s*100+fi_s/20,0,(OFFSET('Base de dados'!$A$4,IF(O886&lt;20,1,IF(O886&gt;1000,10,MATCH(O886,Cargas,1))),Coluna_fis,1,1))*(PI()*(fi_s/1000)^2/4)*(2*9.81*(O886/100-cota_s-fi_s/2/1000))^0.5*1000)))</f>
        <v>2.6742672753995462</v>
      </c>
      <c r="R886" s="38">
        <f t="shared" ca="1" si="153"/>
        <v>6.6400021753211469</v>
      </c>
      <c r="S886" s="38">
        <f t="shared" ca="1" si="150"/>
        <v>276.5625</v>
      </c>
    </row>
    <row r="887" spans="13:19">
      <c r="M887" s="132">
        <f t="shared" ca="1" si="149"/>
        <v>283.5206178884871</v>
      </c>
      <c r="N887" s="38">
        <f t="shared" si="151"/>
        <v>8.3062499999999986</v>
      </c>
      <c r="O887" s="36">
        <f t="shared" si="152"/>
        <v>221.5</v>
      </c>
      <c r="P887" s="38">
        <f ca="1">IF(ISERROR(IF(O887&lt;fi_h/20,0,(OFFSET('Base de dados'!$A$5,IF(O887&lt;20,1,IF(O887&gt;1000,10,MATCH(O887,Cargas,1))),Coluna_fih,1,1))*(1+0.13*0.25)*(PI()*(fi_h/1000)^2/4)*SQRT(2*9.81*(O887/100-fi_h/2/1000))*1000)),"",IF(O887&lt;fi_h/20,0,(OFFSET('Base de dados'!$A$5,IF(O887&lt;20,1,IF(O887&gt;1000,10,MATCH(O887,Cargas,1))),Coluna_fih,1,1))*(PI()*(fi_h/1000)^2/4)*SQRT(2*9.81*(O887/100-fi_h/2/1000))*1000))</f>
        <v>3.9679927512448607</v>
      </c>
      <c r="Q887" s="38">
        <f ca="1">IF(O887="","",IF(Tipo_Vertedor="Retangular",IF(O887&lt;=cota_s*100,0,IF(Tipo_Vertedor="Retangular",Cd_sr*Lef_sr*((O887/100-cota_s)^(3/2))*1000)),IF(O887&lt;=cota_s*100+fi_s/20,0,(OFFSET('Base de dados'!$A$4,IF(O887&lt;20,1,IF(O887&gt;1000,10,MATCH(O887,Cargas,1))),Coluna_fis,1,1))*(PI()*(fi_s/1000)^2/4)*(2*9.81*(O887/100-cota_s-fi_s/2/1000))^0.5*1000)))</f>
        <v>2.677625137242277</v>
      </c>
      <c r="R887" s="38">
        <f t="shared" ca="1" si="153"/>
        <v>6.6456178884871377</v>
      </c>
      <c r="S887" s="38">
        <f t="shared" ca="1" si="150"/>
        <v>276.87499999999994</v>
      </c>
    </row>
    <row r="888" spans="13:19">
      <c r="M888" s="132">
        <f t="shared" ca="1" si="149"/>
        <v>283.8387281119916</v>
      </c>
      <c r="N888" s="38">
        <f t="shared" si="151"/>
        <v>8.3156249999999989</v>
      </c>
      <c r="O888" s="36">
        <f t="shared" si="152"/>
        <v>221.75</v>
      </c>
      <c r="P888" s="38">
        <f ca="1">IF(ISERROR(IF(O888&lt;fi_h/20,0,(OFFSET('Base de dados'!$A$5,IF(O888&lt;20,1,IF(O888&gt;1000,10,MATCH(O888,Cargas,1))),Coluna_fih,1,1))*(1+0.13*0.25)*(PI()*(fi_h/1000)^2/4)*SQRT(2*9.81*(O888/100-fi_h/2/1000))*1000)),"",IF(O888&lt;fi_h/20,0,(OFFSET('Base de dados'!$A$5,IF(O888&lt;20,1,IF(O888&gt;1000,10,MATCH(O888,Cargas,1))),Coluna_fih,1,1))*(PI()*(fi_h/1000)^2/4)*SQRT(2*9.81*(O888/100-fi_h/2/1000))*1000))</f>
        <v>3.9702493185450369</v>
      </c>
      <c r="Q888" s="38">
        <f ca="1">IF(O888="","",IF(Tipo_Vertedor="Retangular",IF(O888&lt;=cota_s*100,0,IF(Tipo_Vertedor="Retangular",Cd_sr*Lef_sr*((O888/100-cota_s)^(3/2))*1000)),IF(O888&lt;=cota_s*100+fi_s/20,0,(OFFSET('Base de dados'!$A$4,IF(O888&lt;20,1,IF(O888&gt;1000,10,MATCH(O888,Cargas,1))),Coluna_fis,1,1))*(PI()*(fi_s/1000)^2/4)*(2*9.81*(O888/100-cota_s-fi_s/2/1000))^0.5*1000)))</f>
        <v>2.6809787934466263</v>
      </c>
      <c r="R888" s="38">
        <f t="shared" ca="1" si="153"/>
        <v>6.6512281119916636</v>
      </c>
      <c r="S888" s="38">
        <f t="shared" ca="1" si="150"/>
        <v>277.18749999999994</v>
      </c>
    </row>
    <row r="889" spans="13:19">
      <c r="M889" s="132">
        <f t="shared" ca="1" si="149"/>
        <v>284.15683286378584</v>
      </c>
      <c r="N889" s="38">
        <f t="shared" si="151"/>
        <v>8.3250000000000011</v>
      </c>
      <c r="O889" s="36">
        <f t="shared" si="152"/>
        <v>222</v>
      </c>
      <c r="P889" s="38">
        <f ca="1">IF(ISERROR(IF(O889&lt;fi_h/20,0,(OFFSET('Base de dados'!$A$5,IF(O889&lt;20,1,IF(O889&gt;1000,10,MATCH(O889,Cargas,1))),Coluna_fih,1,1))*(1+0.13*0.25)*(PI()*(fi_h/1000)^2/4)*SQRT(2*9.81*(O889/100-fi_h/2/1000))*1000)),"",IF(O889&lt;fi_h/20,0,(OFFSET('Base de dados'!$A$5,IF(O889&lt;20,1,IF(O889&gt;1000,10,MATCH(O889,Cargas,1))),Coluna_fih,1,1))*(PI()*(fi_h/1000)^2/4)*SQRT(2*9.81*(O889/100-fi_h/2/1000))*1000))</f>
        <v>3.9725046040102852</v>
      </c>
      <c r="Q889" s="38">
        <f ca="1">IF(O889="","",IF(Tipo_Vertedor="Retangular",IF(O889&lt;=cota_s*100,0,IF(Tipo_Vertedor="Retangular",Cd_sr*Lef_sr*((O889/100-cota_s)^(3/2))*1000)),IF(O889&lt;=cota_s*100+fi_s/20,0,(OFFSET('Base de dados'!$A$4,IF(O889&lt;20,1,IF(O889&gt;1000,10,MATCH(O889,Cargas,1))),Coluna_fis,1,1))*(PI()*(fi_s/1000)^2/4)*(2*9.81*(O889/100-cota_s-fi_s/2/1000))^0.5*1000)))</f>
        <v>2.6843282597754956</v>
      </c>
      <c r="R889" s="38">
        <f t="shared" ca="1" si="153"/>
        <v>6.6568328637857803</v>
      </c>
      <c r="S889" s="38">
        <f t="shared" ca="1" si="150"/>
        <v>277.50000000000006</v>
      </c>
    </row>
    <row r="890" spans="13:19">
      <c r="M890" s="132">
        <f t="shared" ca="1" si="149"/>
        <v>284.47493216171614</v>
      </c>
      <c r="N890" s="38">
        <f t="shared" si="151"/>
        <v>8.3343750000000014</v>
      </c>
      <c r="O890" s="36">
        <f t="shared" si="152"/>
        <v>222.25</v>
      </c>
      <c r="P890" s="38">
        <f ca="1">IF(ISERROR(IF(O890&lt;fi_h/20,0,(OFFSET('Base de dados'!$A$5,IF(O890&lt;20,1,IF(O890&gt;1000,10,MATCH(O890,Cargas,1))),Coluna_fih,1,1))*(1+0.13*0.25)*(PI()*(fi_h/1000)^2/4)*SQRT(2*9.81*(O890/100-fi_h/2/1000))*1000)),"",IF(O890&lt;fi_h/20,0,(OFFSET('Base de dados'!$A$5,IF(O890&lt;20,1,IF(O890&gt;1000,10,MATCH(O890,Cargas,1))),Coluna_fih,1,1))*(PI()*(fi_h/1000)^2/4)*SQRT(2*9.81*(O890/100-fi_h/2/1000))*1000))</f>
        <v>3.9747586098225494</v>
      </c>
      <c r="Q890" s="38">
        <f ca="1">IF(O890="","",IF(Tipo_Vertedor="Retangular",IF(O890&lt;=cota_s*100,0,IF(Tipo_Vertedor="Retangular",Cd_sr*Lef_sr*((O890/100-cota_s)^(3/2))*1000)),IF(O890&lt;=cota_s*100+fi_s/20,0,(OFFSET('Base de dados'!$A$4,IF(O890&lt;20,1,IF(O890&gt;1000,10,MATCH(O890,Cargas,1))),Coluna_fis,1,1))*(PI()*(fi_s/1000)^2/4)*(2*9.81*(O890/100-cota_s-fi_s/2/1000))^0.5*1000)))</f>
        <v>2.6876735518935604</v>
      </c>
      <c r="R890" s="38">
        <f t="shared" ca="1" si="153"/>
        <v>6.6624321617161097</v>
      </c>
      <c r="S890" s="38">
        <f t="shared" ca="1" si="150"/>
        <v>277.81250000000006</v>
      </c>
    </row>
    <row r="891" spans="13:19">
      <c r="M891" s="132">
        <f t="shared" ca="1" si="149"/>
        <v>284.79302602352573</v>
      </c>
      <c r="N891" s="38">
        <f t="shared" si="151"/>
        <v>8.34375</v>
      </c>
      <c r="O891" s="36">
        <f t="shared" si="152"/>
        <v>222.5</v>
      </c>
      <c r="P891" s="38">
        <f ca="1">IF(ISERROR(IF(O891&lt;fi_h/20,0,(OFFSET('Base de dados'!$A$5,IF(O891&lt;20,1,IF(O891&gt;1000,10,MATCH(O891,Cargas,1))),Coluna_fih,1,1))*(1+0.13*0.25)*(PI()*(fi_h/1000)^2/4)*SQRT(2*9.81*(O891/100-fi_h/2/1000))*1000)),"",IF(O891&lt;fi_h/20,0,(OFFSET('Base de dados'!$A$5,IF(O891&lt;20,1,IF(O891&gt;1000,10,MATCH(O891,Cargas,1))),Coluna_fih,1,1))*(PI()*(fi_h/1000)^2/4)*SQRT(2*9.81*(O891/100-fi_h/2/1000))*1000))</f>
        <v>3.9770113381575949</v>
      </c>
      <c r="Q891" s="38">
        <f ca="1">IF(O891="","",IF(Tipo_Vertedor="Retangular",IF(O891&lt;=cota_s*100,0,IF(Tipo_Vertedor="Retangular",Cd_sr*Lef_sr*((O891/100-cota_s)^(3/2))*1000)),IF(O891&lt;=cota_s*100+fi_s/20,0,(OFFSET('Base de dados'!$A$4,IF(O891&lt;20,1,IF(O891&gt;1000,10,MATCH(O891,Cargas,1))),Coluna_fis,1,1))*(PI()*(fi_s/1000)^2/4)*(2*9.81*(O891/100-cota_s-fi_s/2/1000))^0.5*1000)))</f>
        <v>2.6910146853681334</v>
      </c>
      <c r="R891" s="38">
        <f t="shared" ca="1" si="153"/>
        <v>6.6680260235257283</v>
      </c>
      <c r="S891" s="38">
        <f t="shared" ca="1" si="150"/>
        <v>278.125</v>
      </c>
    </row>
    <row r="892" spans="13:19">
      <c r="M892" s="132">
        <f t="shared" ca="1" si="149"/>
        <v>285.11111446685504</v>
      </c>
      <c r="N892" s="38">
        <f t="shared" si="151"/>
        <v>8.3531250000000004</v>
      </c>
      <c r="O892" s="36">
        <f t="shared" si="152"/>
        <v>222.75</v>
      </c>
      <c r="P892" s="38">
        <f ca="1">IF(ISERROR(IF(O892&lt;fi_h/20,0,(OFFSET('Base de dados'!$A$5,IF(O892&lt;20,1,IF(O892&gt;1000,10,MATCH(O892,Cargas,1))),Coluna_fih,1,1))*(1+0.13*0.25)*(PI()*(fi_h/1000)^2/4)*SQRT(2*9.81*(O892/100-fi_h/2/1000))*1000)),"",IF(O892&lt;fi_h/20,0,(OFFSET('Base de dados'!$A$5,IF(O892&lt;20,1,IF(O892&gt;1000,10,MATCH(O892,Cargas,1))),Coluna_fih,1,1))*(PI()*(fi_h/1000)^2/4)*SQRT(2*9.81*(O892/100-fi_h/2/1000))*1000))</f>
        <v>3.9792627911850253</v>
      </c>
      <c r="Q892" s="38">
        <f ca="1">IF(O892="","",IF(Tipo_Vertedor="Retangular",IF(O892&lt;=cota_s*100,0,IF(Tipo_Vertedor="Retangular",Cd_sr*Lef_sr*((O892/100-cota_s)^(3/2))*1000)),IF(O892&lt;=cota_s*100+fi_s/20,0,(OFFSET('Base de dados'!$A$4,IF(O892&lt;20,1,IF(O892&gt;1000,10,MATCH(O892,Cargas,1))),Coluna_fis,1,1))*(PI()*(fi_s/1000)^2/4)*(2*9.81*(O892/100-cota_s-fi_s/2/1000))^0.5*1000)))</f>
        <v>2.6943516756700054</v>
      </c>
      <c r="R892" s="38">
        <f t="shared" ca="1" si="153"/>
        <v>6.6736144668550308</v>
      </c>
      <c r="S892" s="38">
        <f t="shared" ca="1" si="150"/>
        <v>278.4375</v>
      </c>
    </row>
    <row r="893" spans="13:19">
      <c r="M893" s="132">
        <f t="shared" ca="1" si="149"/>
        <v>285.42919750924261</v>
      </c>
      <c r="N893" s="38">
        <f t="shared" si="151"/>
        <v>8.3625000000000007</v>
      </c>
      <c r="O893" s="36">
        <f t="shared" si="152"/>
        <v>223</v>
      </c>
      <c r="P893" s="38">
        <f ca="1">IF(ISERROR(IF(O893&lt;fi_h/20,0,(OFFSET('Base de dados'!$A$5,IF(O893&lt;20,1,IF(O893&gt;1000,10,MATCH(O893,Cargas,1))),Coluna_fih,1,1))*(1+0.13*0.25)*(PI()*(fi_h/1000)^2/4)*SQRT(2*9.81*(O893/100-fi_h/2/1000))*1000)),"",IF(O893&lt;fi_h/20,0,(OFFSET('Base de dados'!$A$5,IF(O893&lt;20,1,IF(O893&gt;1000,10,MATCH(O893,Cargas,1))),Coluna_fih,1,1))*(PI()*(fi_h/1000)^2/4)*SQRT(2*9.81*(O893/100-fi_h/2/1000))*1000))</f>
        <v>3.9815129710683119</v>
      </c>
      <c r="Q893" s="38">
        <f ca="1">IF(O893="","",IF(Tipo_Vertedor="Retangular",IF(O893&lt;=cota_s*100,0,IF(Tipo_Vertedor="Retangular",Cd_sr*Lef_sr*((O893/100-cota_s)^(3/2))*1000)),IF(O893&lt;=cota_s*100+fi_s/20,0,(OFFSET('Base de dados'!$A$4,IF(O893&lt;20,1,IF(O893&gt;1000,10,MATCH(O893,Cargas,1))),Coluna_fis,1,1))*(PI()*(fi_s/1000)^2/4)*(2*9.81*(O893/100-cota_s-fi_s/2/1000))^0.5*1000)))</f>
        <v>2.6976845381742787</v>
      </c>
      <c r="R893" s="38">
        <f t="shared" ca="1" si="153"/>
        <v>6.6791975092425906</v>
      </c>
      <c r="S893" s="38">
        <f t="shared" ca="1" si="150"/>
        <v>278.75</v>
      </c>
    </row>
    <row r="894" spans="13:19">
      <c r="M894" s="132">
        <f t="shared" ca="1" si="149"/>
        <v>285.74727516812601</v>
      </c>
      <c r="N894" s="38">
        <f t="shared" si="151"/>
        <v>8.3718749999999993</v>
      </c>
      <c r="O894" s="36">
        <f t="shared" si="152"/>
        <v>223.25</v>
      </c>
      <c r="P894" s="38">
        <f ca="1">IF(ISERROR(IF(O894&lt;fi_h/20,0,(OFFSET('Base de dados'!$A$5,IF(O894&lt;20,1,IF(O894&gt;1000,10,MATCH(O894,Cargas,1))),Coluna_fih,1,1))*(1+0.13*0.25)*(PI()*(fi_h/1000)^2/4)*SQRT(2*9.81*(O894/100-fi_h/2/1000))*1000)),"",IF(O894&lt;fi_h/20,0,(OFFSET('Base de dados'!$A$5,IF(O894&lt;20,1,IF(O894&gt;1000,10,MATCH(O894,Cargas,1))),Coluna_fih,1,1))*(PI()*(fi_h/1000)^2/4)*SQRT(2*9.81*(O894/100-fi_h/2/1000))*1000))</f>
        <v>3.9837618799648133</v>
      </c>
      <c r="Q894" s="38">
        <f ca="1">IF(O894="","",IF(Tipo_Vertedor="Retangular",IF(O894&lt;=cota_s*100,0,IF(Tipo_Vertedor="Retangular",Cd_sr*Lef_sr*((O894/100-cota_s)^(3/2))*1000)),IF(O894&lt;=cota_s*100+fi_s/20,0,(OFFSET('Base de dados'!$A$4,IF(O894&lt;20,1,IF(O894&gt;1000,10,MATCH(O894,Cargas,1))),Coluna_fis,1,1))*(PI()*(fi_s/1000)^2/4)*(2*9.81*(O894/100-cota_s-fi_s/2/1000))^0.5*1000)))</f>
        <v>2.7010132881612003</v>
      </c>
      <c r="R894" s="38">
        <f t="shared" ca="1" si="153"/>
        <v>6.6847751681260137</v>
      </c>
      <c r="S894" s="38">
        <f t="shared" ca="1" si="150"/>
        <v>279.0625</v>
      </c>
    </row>
    <row r="895" spans="13:19">
      <c r="M895" s="132">
        <f t="shared" ca="1" si="149"/>
        <v>286.06534746084276</v>
      </c>
      <c r="N895" s="38">
        <f t="shared" si="151"/>
        <v>8.3812499999999996</v>
      </c>
      <c r="O895" s="36">
        <f t="shared" si="152"/>
        <v>223.5</v>
      </c>
      <c r="P895" s="38">
        <f ca="1">IF(ISERROR(IF(O895&lt;fi_h/20,0,(OFFSET('Base de dados'!$A$5,IF(O895&lt;20,1,IF(O895&gt;1000,10,MATCH(O895,Cargas,1))),Coluna_fih,1,1))*(1+0.13*0.25)*(PI()*(fi_h/1000)^2/4)*SQRT(2*9.81*(O895/100-fi_h/2/1000))*1000)),"",IF(O895&lt;fi_h/20,0,(OFFSET('Base de dados'!$A$5,IF(O895&lt;20,1,IF(O895&gt;1000,10,MATCH(O895,Cargas,1))),Coluna_fih,1,1))*(PI()*(fi_h/1000)^2/4)*SQRT(2*9.81*(O895/100-fi_h/2/1000))*1000))</f>
        <v>3.9860095200258066</v>
      </c>
      <c r="Q895" s="38">
        <f ca="1">IF(O895="","",IF(Tipo_Vertedor="Retangular",IF(O895&lt;=cota_s*100,0,IF(Tipo_Vertedor="Retangular",Cd_sr*Lef_sr*((O895/100-cota_s)^(3/2))*1000)),IF(O895&lt;=cota_s*100+fi_s/20,0,(OFFSET('Base de dados'!$A$4,IF(O895&lt;20,1,IF(O895&gt;1000,10,MATCH(O895,Cargas,1))),Coluna_fis,1,1))*(PI()*(fi_s/1000)^2/4)*(2*9.81*(O895/100-cota_s-fi_s/2/1000))^0.5*1000)))</f>
        <v>2.7043379408169734</v>
      </c>
      <c r="R895" s="38">
        <f t="shared" ca="1" si="153"/>
        <v>6.69034746084278</v>
      </c>
      <c r="S895" s="38">
        <f t="shared" ca="1" si="150"/>
        <v>279.375</v>
      </c>
    </row>
    <row r="896" spans="13:19">
      <c r="M896" s="132">
        <f t="shared" ca="1" si="149"/>
        <v>286.38341440463108</v>
      </c>
      <c r="N896" s="38">
        <f t="shared" si="151"/>
        <v>8.390625</v>
      </c>
      <c r="O896" s="36">
        <f t="shared" si="152"/>
        <v>223.75</v>
      </c>
      <c r="P896" s="38">
        <f ca="1">IF(ISERROR(IF(O896&lt;fi_h/20,0,(OFFSET('Base de dados'!$A$5,IF(O896&lt;20,1,IF(O896&gt;1000,10,MATCH(O896,Cargas,1))),Coluna_fih,1,1))*(1+0.13*0.25)*(PI()*(fi_h/1000)^2/4)*SQRT(2*9.81*(O896/100-fi_h/2/1000))*1000)),"",IF(O896&lt;fi_h/20,0,(OFFSET('Base de dados'!$A$5,IF(O896&lt;20,1,IF(O896&gt;1000,10,MATCH(O896,Cargas,1))),Coluna_fih,1,1))*(PI()*(fi_h/1000)^2/4)*SQRT(2*9.81*(O896/100-fi_h/2/1000))*1000))</f>
        <v>3.9882558933965031</v>
      </c>
      <c r="Q896" s="38">
        <f ca="1">IF(O896="","",IF(Tipo_Vertedor="Retangular",IF(O896&lt;=cota_s*100,0,IF(Tipo_Vertedor="Retangular",Cd_sr*Lef_sr*((O896/100-cota_s)^(3/2))*1000)),IF(O896&lt;=cota_s*100+fi_s/20,0,(OFFSET('Base de dados'!$A$4,IF(O896&lt;20,1,IF(O896&gt;1000,10,MATCH(O896,Cargas,1))),Coluna_fis,1,1))*(PI()*(fi_s/1000)^2/4)*(2*9.81*(O896/100-cota_s-fi_s/2/1000))^0.5*1000)))</f>
        <v>2.7076585112345675</v>
      </c>
      <c r="R896" s="38">
        <f t="shared" ca="1" si="153"/>
        <v>6.6959144046310701</v>
      </c>
      <c r="S896" s="38">
        <f t="shared" ca="1" si="150"/>
        <v>279.6875</v>
      </c>
    </row>
    <row r="897" spans="13:19">
      <c r="M897" s="132">
        <f t="shared" ca="1" si="149"/>
        <v>286.70147601663058</v>
      </c>
      <c r="N897" s="38">
        <f t="shared" si="151"/>
        <v>8.4</v>
      </c>
      <c r="O897" s="36">
        <f t="shared" si="152"/>
        <v>224</v>
      </c>
      <c r="P897" s="38">
        <f ca="1">IF(ISERROR(IF(O897&lt;fi_h/20,0,(OFFSET('Base de dados'!$A$5,IF(O897&lt;20,1,IF(O897&gt;1000,10,MATCH(O897,Cargas,1))),Coluna_fih,1,1))*(1+0.13*0.25)*(PI()*(fi_h/1000)^2/4)*SQRT(2*9.81*(O897/100-fi_h/2/1000))*1000)),"",IF(O897&lt;fi_h/20,0,(OFFSET('Base de dados'!$A$5,IF(O897&lt;20,1,IF(O897&gt;1000,10,MATCH(O897,Cargas,1))),Coluna_fih,1,1))*(PI()*(fi_h/1000)^2/4)*SQRT(2*9.81*(O897/100-fi_h/2/1000))*1000))</f>
        <v>3.9905010022160776</v>
      </c>
      <c r="Q897" s="38">
        <f ca="1">IF(O897="","",IF(Tipo_Vertedor="Retangular",IF(O897&lt;=cota_s*100,0,IF(Tipo_Vertedor="Retangular",Cd_sr*Lef_sr*((O897/100-cota_s)^(3/2))*1000)),IF(O897&lt;=cota_s*100+fi_s/20,0,(OFFSET('Base de dados'!$A$4,IF(O897&lt;20,1,IF(O897&gt;1000,10,MATCH(O897,Cargas,1))),Coluna_fis,1,1))*(PI()*(fi_s/1000)^2/4)*(2*9.81*(O897/100-cota_s-fi_s/2/1000))^0.5*1000)))</f>
        <v>2.7109750144145202</v>
      </c>
      <c r="R897" s="38">
        <f t="shared" ca="1" si="153"/>
        <v>6.7014760166305978</v>
      </c>
      <c r="S897" s="38">
        <f t="shared" ca="1" si="150"/>
        <v>280</v>
      </c>
    </row>
    <row r="898" spans="13:19">
      <c r="M898" s="132">
        <f t="shared" ca="1" si="149"/>
        <v>287.01953231388342</v>
      </c>
      <c r="N898" s="38">
        <f t="shared" si="151"/>
        <v>8.4093750000000007</v>
      </c>
      <c r="O898" s="36">
        <f t="shared" si="152"/>
        <v>224.25</v>
      </c>
      <c r="P898" s="38">
        <f ca="1">IF(ISERROR(IF(O898&lt;fi_h/20,0,(OFFSET('Base de dados'!$A$5,IF(O898&lt;20,1,IF(O898&gt;1000,10,MATCH(O898,Cargas,1))),Coluna_fih,1,1))*(1+0.13*0.25)*(PI()*(fi_h/1000)^2/4)*SQRT(2*9.81*(O898/100-fi_h/2/1000))*1000)),"",IF(O898&lt;fi_h/20,0,(OFFSET('Base de dados'!$A$5,IF(O898&lt;20,1,IF(O898&gt;1000,10,MATCH(O898,Cargas,1))),Coluna_fih,1,1))*(PI()*(fi_h/1000)^2/4)*SQRT(2*9.81*(O898/100-fi_h/2/1000))*1000))</f>
        <v>3.9927448486176895</v>
      </c>
      <c r="Q898" s="38">
        <f ca="1">IF(O898="","",IF(Tipo_Vertedor="Retangular",IF(O898&lt;=cota_s*100,0,IF(Tipo_Vertedor="Retangular",Cd_sr*Lef_sr*((O898/100-cota_s)^(3/2))*1000)),IF(O898&lt;=cota_s*100+fi_s/20,0,(OFFSET('Base de dados'!$A$4,IF(O898&lt;20,1,IF(O898&gt;1000,10,MATCH(O898,Cargas,1))),Coluna_fis,1,1))*(PI()*(fi_s/1000)^2/4)*(2*9.81*(O898/100-cota_s-fi_s/2/1000))^0.5*1000)))</f>
        <v>2.7142874652657212</v>
      </c>
      <c r="R898" s="38">
        <f t="shared" ca="1" si="153"/>
        <v>6.7070323138834107</v>
      </c>
      <c r="S898" s="38">
        <f t="shared" ca="1" si="150"/>
        <v>280.3125</v>
      </c>
    </row>
    <row r="899" spans="13:19">
      <c r="M899" s="132">
        <f t="shared" ca="1" si="149"/>
        <v>287.33758331333479</v>
      </c>
      <c r="N899" s="38">
        <f t="shared" si="151"/>
        <v>8.4187500000000011</v>
      </c>
      <c r="O899" s="36">
        <f t="shared" si="152"/>
        <v>224.5</v>
      </c>
      <c r="P899" s="38">
        <f ca="1">IF(ISERROR(IF(O899&lt;fi_h/20,0,(OFFSET('Base de dados'!$A$5,IF(O899&lt;20,1,IF(O899&gt;1000,10,MATCH(O899,Cargas,1))),Coluna_fih,1,1))*(1+0.13*0.25)*(PI()*(fi_h/1000)^2/4)*SQRT(2*9.81*(O899/100-fi_h/2/1000))*1000)),"",IF(O899&lt;fi_h/20,0,(OFFSET('Base de dados'!$A$5,IF(O899&lt;20,1,IF(O899&gt;1000,10,MATCH(O899,Cargas,1))),Coluna_fih,1,1))*(PI()*(fi_h/1000)^2/4)*SQRT(2*9.81*(O899/100-fi_h/2/1000))*1000))</f>
        <v>3.9949874347285084</v>
      </c>
      <c r="Q899" s="38">
        <f ca="1">IF(O899="","",IF(Tipo_Vertedor="Retangular",IF(O899&lt;=cota_s*100,0,IF(Tipo_Vertedor="Retangular",Cd_sr*Lef_sr*((O899/100-cota_s)^(3/2))*1000)),IF(O899&lt;=cota_s*100+fi_s/20,0,(OFFSET('Base de dados'!$A$4,IF(O899&lt;20,1,IF(O899&gt;1000,10,MATCH(O899,Cargas,1))),Coluna_fis,1,1))*(PI()*(fi_s/1000)^2/4)*(2*9.81*(O899/100-cota_s-fi_s/2/1000))^0.5*1000)))</f>
        <v>2.7175958786062031</v>
      </c>
      <c r="R899" s="38">
        <f t="shared" ca="1" si="153"/>
        <v>6.7125833133347115</v>
      </c>
      <c r="S899" s="38">
        <f t="shared" ca="1" si="150"/>
        <v>280.62500000000006</v>
      </c>
    </row>
    <row r="900" spans="13:19">
      <c r="M900" s="132">
        <f t="shared" ca="1" si="149"/>
        <v>287.65562903183366</v>
      </c>
      <c r="N900" s="38">
        <f t="shared" si="151"/>
        <v>8.4281249999999996</v>
      </c>
      <c r="O900" s="36">
        <f t="shared" si="152"/>
        <v>224.75</v>
      </c>
      <c r="P900" s="38">
        <f ca="1">IF(ISERROR(IF(O900&lt;fi_h/20,0,(OFFSET('Base de dados'!$A$5,IF(O900&lt;20,1,IF(O900&gt;1000,10,MATCH(O900,Cargas,1))),Coluna_fih,1,1))*(1+0.13*0.25)*(PI()*(fi_h/1000)^2/4)*SQRT(2*9.81*(O900/100-fi_h/2/1000))*1000)),"",IF(O900&lt;fi_h/20,0,(OFFSET('Base de dados'!$A$5,IF(O900&lt;20,1,IF(O900&gt;1000,10,MATCH(O900,Cargas,1))),Coluna_fih,1,1))*(PI()*(fi_h/1000)^2/4)*SQRT(2*9.81*(O900/100-fi_h/2/1000))*1000))</f>
        <v>3.9972287626697374</v>
      </c>
      <c r="Q900" s="38">
        <f ca="1">IF(O900="","",IF(Tipo_Vertedor="Retangular",IF(O900&lt;=cota_s*100,0,IF(Tipo_Vertedor="Retangular",Cd_sr*Lef_sr*((O900/100-cota_s)^(3/2))*1000)),IF(O900&lt;=cota_s*100+fi_s/20,0,(OFFSET('Base de dados'!$A$4,IF(O900&lt;20,1,IF(O900&gt;1000,10,MATCH(O900,Cargas,1))),Coluna_fis,1,1))*(PI()*(fi_s/1000)^2/4)*(2*9.81*(O900/100-cota_s-fi_s/2/1000))^0.5*1000)))</f>
        <v>2.7209002691639084</v>
      </c>
      <c r="R900" s="38">
        <f t="shared" ca="1" si="153"/>
        <v>6.7181290318336462</v>
      </c>
      <c r="S900" s="38">
        <f t="shared" ca="1" si="150"/>
        <v>280.9375</v>
      </c>
    </row>
    <row r="901" spans="13:19">
      <c r="M901" s="132">
        <f t="shared" ref="M901:M964" ca="1" si="154">IF(O901="","",2*N901*1000/(Passo*60)+R901)</f>
        <v>287.9736694861341</v>
      </c>
      <c r="N901" s="38">
        <f t="shared" si="151"/>
        <v>8.4375</v>
      </c>
      <c r="O901" s="36">
        <f t="shared" si="152"/>
        <v>225</v>
      </c>
      <c r="P901" s="38">
        <f ca="1">IF(ISERROR(IF(O901&lt;fi_h/20,0,(OFFSET('Base de dados'!$A$5,IF(O901&lt;20,1,IF(O901&gt;1000,10,MATCH(O901,Cargas,1))),Coluna_fih,1,1))*(1+0.13*0.25)*(PI()*(fi_h/1000)^2/4)*SQRT(2*9.81*(O901/100-fi_h/2/1000))*1000)),"",IF(O901&lt;fi_h/20,0,(OFFSET('Base de dados'!$A$5,IF(O901&lt;20,1,IF(O901&gt;1000,10,MATCH(O901,Cargas,1))),Coluna_fih,1,1))*(PI()*(fi_h/1000)^2/4)*SQRT(2*9.81*(O901/100-fi_h/2/1000))*1000))</f>
        <v>3.9994688345566365</v>
      </c>
      <c r="Q901" s="38">
        <f ca="1">IF(O901="","",IF(Tipo_Vertedor="Retangular",IF(O901&lt;=cota_s*100,0,IF(Tipo_Vertedor="Retangular",Cd_sr*Lef_sr*((O901/100-cota_s)^(3/2))*1000)),IF(O901&lt;=cota_s*100+fi_s/20,0,(OFFSET('Base de dados'!$A$4,IF(O901&lt;20,1,IF(O901&gt;1000,10,MATCH(O901,Cargas,1))),Coluna_fis,1,1))*(PI()*(fi_s/1000)^2/4)*(2*9.81*(O901/100-cota_s-fi_s/2/1000))^0.5*1000)))</f>
        <v>2.7242006515774566</v>
      </c>
      <c r="R901" s="38">
        <f t="shared" ca="1" si="153"/>
        <v>6.7236694861340931</v>
      </c>
      <c r="S901" s="38">
        <f t="shared" ref="S901:S964" ca="1" si="155">IF(M901="","",2*N901*1000/(Passo*60))</f>
        <v>281.25</v>
      </c>
    </row>
    <row r="902" spans="13:19">
      <c r="M902" s="132">
        <f t="shared" ca="1" si="154"/>
        <v>288.29170469289545</v>
      </c>
      <c r="N902" s="38">
        <f t="shared" ref="N902:N965" si="156">IF(O902="","",b_0*(O902/100)^c_0)</f>
        <v>8.4468750000000004</v>
      </c>
      <c r="O902" s="36">
        <f t="shared" si="152"/>
        <v>225.25</v>
      </c>
      <c r="P902" s="38">
        <f ca="1">IF(ISERROR(IF(O902&lt;fi_h/20,0,(OFFSET('Base de dados'!$A$5,IF(O902&lt;20,1,IF(O902&gt;1000,10,MATCH(O902,Cargas,1))),Coluna_fih,1,1))*(1+0.13*0.25)*(PI()*(fi_h/1000)^2/4)*SQRT(2*9.81*(O902/100-fi_h/2/1000))*1000)),"",IF(O902&lt;fi_h/20,0,(OFFSET('Base de dados'!$A$5,IF(O902&lt;20,1,IF(O902&gt;1000,10,MATCH(O902,Cargas,1))),Coluna_fih,1,1))*(PI()*(fi_h/1000)^2/4)*SQRT(2*9.81*(O902/100-fi_h/2/1000))*1000))</f>
        <v>4.001707652498542</v>
      </c>
      <c r="Q902" s="38">
        <f ca="1">IF(O902="","",IF(Tipo_Vertedor="Retangular",IF(O902&lt;=cota_s*100,0,IF(Tipo_Vertedor="Retangular",Cd_sr*Lef_sr*((O902/100-cota_s)^(3/2))*1000)),IF(O902&lt;=cota_s*100+fi_s/20,0,(OFFSET('Base de dados'!$A$4,IF(O902&lt;20,1,IF(O902&gt;1000,10,MATCH(O902,Cargas,1))),Coluna_fis,1,1))*(PI()*(fi_s/1000)^2/4)*(2*9.81*(O902/100-cota_s-fi_s/2/1000))^0.5*1000)))</f>
        <v>2.7274970403968992</v>
      </c>
      <c r="R902" s="38">
        <f t="shared" ca="1" si="153"/>
        <v>6.7292046928954417</v>
      </c>
      <c r="S902" s="38">
        <f t="shared" ca="1" si="155"/>
        <v>281.5625</v>
      </c>
    </row>
    <row r="903" spans="13:19">
      <c r="M903" s="132">
        <f t="shared" ca="1" si="154"/>
        <v>288.6097346686833</v>
      </c>
      <c r="N903" s="38">
        <f t="shared" si="156"/>
        <v>8.4562499999999989</v>
      </c>
      <c r="O903" s="36">
        <f t="shared" si="152"/>
        <v>225.5</v>
      </c>
      <c r="P903" s="38">
        <f ca="1">IF(ISERROR(IF(O903&lt;fi_h/20,0,(OFFSET('Base de dados'!$A$5,IF(O903&lt;20,1,IF(O903&gt;1000,10,MATCH(O903,Cargas,1))),Coluna_fih,1,1))*(1+0.13*0.25)*(PI()*(fi_h/1000)^2/4)*SQRT(2*9.81*(O903/100-fi_h/2/1000))*1000)),"",IF(O903&lt;fi_h/20,0,(OFFSET('Base de dados'!$A$5,IF(O903&lt;20,1,IF(O903&gt;1000,10,MATCH(O903,Cargas,1))),Coluna_fih,1,1))*(PI()*(fi_h/1000)^2/4)*SQRT(2*9.81*(O903/100-fi_h/2/1000))*1000))</f>
        <v>4.0039452185988971</v>
      </c>
      <c r="Q903" s="38">
        <f ca="1">IF(O903="","",IF(Tipo_Vertedor="Retangular",IF(O903&lt;=cota_s*100,0,IF(Tipo_Vertedor="Retangular",Cd_sr*Lef_sr*((O903/100-cota_s)^(3/2))*1000)),IF(O903&lt;=cota_s*100+fi_s/20,0,(OFFSET('Base de dados'!$A$4,IF(O903&lt;20,1,IF(O903&gt;1000,10,MATCH(O903,Cargas,1))),Coluna_fis,1,1))*(PI()*(fi_s/1000)^2/4)*(2*9.81*(O903/100-cota_s-fi_s/2/1000))^0.5*1000)))</f>
        <v>2.730789450084472</v>
      </c>
      <c r="R903" s="38">
        <f t="shared" ca="1" si="153"/>
        <v>6.7347346686833696</v>
      </c>
      <c r="S903" s="38">
        <f t="shared" ca="1" si="155"/>
        <v>281.87499999999994</v>
      </c>
    </row>
    <row r="904" spans="13:19">
      <c r="M904" s="132">
        <f t="shared" ca="1" si="154"/>
        <v>288.92775942997059</v>
      </c>
      <c r="N904" s="38">
        <f t="shared" si="156"/>
        <v>8.4656249999999993</v>
      </c>
      <c r="O904" s="36">
        <f t="shared" si="152"/>
        <v>225.75</v>
      </c>
      <c r="P904" s="38">
        <f ca="1">IF(ISERROR(IF(O904&lt;fi_h/20,0,(OFFSET('Base de dados'!$A$5,IF(O904&lt;20,1,IF(O904&gt;1000,10,MATCH(O904,Cargas,1))),Coluna_fih,1,1))*(1+0.13*0.25)*(PI()*(fi_h/1000)^2/4)*SQRT(2*9.81*(O904/100-fi_h/2/1000))*1000)),"",IF(O904&lt;fi_h/20,0,(OFFSET('Base de dados'!$A$5,IF(O904&lt;20,1,IF(O904&gt;1000,10,MATCH(O904,Cargas,1))),Coluna_fih,1,1))*(PI()*(fi_h/1000)^2/4)*SQRT(2*9.81*(O904/100-fi_h/2/1000))*1000))</f>
        <v>4.0061815349552665</v>
      </c>
      <c r="Q904" s="38">
        <f ca="1">IF(O904="","",IF(Tipo_Vertedor="Retangular",IF(O904&lt;=cota_s*100,0,IF(Tipo_Vertedor="Retangular",Cd_sr*Lef_sr*((O904/100-cota_s)^(3/2))*1000)),IF(O904&lt;=cota_s*100+fi_s/20,0,(OFFSET('Base de dados'!$A$4,IF(O904&lt;20,1,IF(O904&gt;1000,10,MATCH(O904,Cargas,1))),Coluna_fis,1,1))*(PI()*(fi_s/1000)^2/4)*(2*9.81*(O904/100-cota_s-fi_s/2/1000))^0.5*1000)))</f>
        <v>2.7340778950153308</v>
      </c>
      <c r="R904" s="38">
        <f t="shared" ca="1" si="153"/>
        <v>6.7402594299705978</v>
      </c>
      <c r="S904" s="38">
        <f t="shared" ca="1" si="155"/>
        <v>282.1875</v>
      </c>
    </row>
    <row r="905" spans="13:19">
      <c r="M905" s="132">
        <f t="shared" ca="1" si="154"/>
        <v>289.24577899313766</v>
      </c>
      <c r="N905" s="38">
        <f t="shared" si="156"/>
        <v>8.4749999999999996</v>
      </c>
      <c r="O905" s="36">
        <f t="shared" si="152"/>
        <v>226</v>
      </c>
      <c r="P905" s="38">
        <f ca="1">IF(ISERROR(IF(O905&lt;fi_h/20,0,(OFFSET('Base de dados'!$A$5,IF(O905&lt;20,1,IF(O905&gt;1000,10,MATCH(O905,Cargas,1))),Coluna_fih,1,1))*(1+0.13*0.25)*(PI()*(fi_h/1000)^2/4)*SQRT(2*9.81*(O905/100-fi_h/2/1000))*1000)),"",IF(O905&lt;fi_h/20,0,(OFFSET('Base de dados'!$A$5,IF(O905&lt;20,1,IF(O905&gt;1000,10,MATCH(O905,Cargas,1))),Coluna_fih,1,1))*(PI()*(fi_h/1000)^2/4)*SQRT(2*9.81*(O905/100-fi_h/2/1000))*1000))</f>
        <v>4.00841660365937</v>
      </c>
      <c r="Q905" s="38">
        <f ca="1">IF(O905="","",IF(Tipo_Vertedor="Retangular",IF(O905&lt;=cota_s*100,0,IF(Tipo_Vertedor="Retangular",Cd_sr*Lef_sr*((O905/100-cota_s)^(3/2))*1000)),IF(O905&lt;=cota_s*100+fi_s/20,0,(OFFSET('Base de dados'!$A$4,IF(O905&lt;20,1,IF(O905&gt;1000,10,MATCH(O905,Cargas,1))),Coluna_fis,1,1))*(PI()*(fi_s/1000)^2/4)*(2*9.81*(O905/100-cota_s-fi_s/2/1000))^0.5*1000)))</f>
        <v>2.7373623894782853</v>
      </c>
      <c r="R905" s="38">
        <f t="shared" ca="1" si="153"/>
        <v>6.7457789931376553</v>
      </c>
      <c r="S905" s="38">
        <f t="shared" ca="1" si="155"/>
        <v>282.5</v>
      </c>
    </row>
    <row r="906" spans="13:19">
      <c r="M906" s="132">
        <f t="shared" ca="1" si="154"/>
        <v>289.56379337447362</v>
      </c>
      <c r="N906" s="38">
        <f t="shared" si="156"/>
        <v>8.484375</v>
      </c>
      <c r="O906" s="36">
        <f t="shared" si="152"/>
        <v>226.25</v>
      </c>
      <c r="P906" s="38">
        <f ca="1">IF(ISERROR(IF(O906&lt;fi_h/20,0,(OFFSET('Base de dados'!$A$5,IF(O906&lt;20,1,IF(O906&gt;1000,10,MATCH(O906,Cargas,1))),Coluna_fih,1,1))*(1+0.13*0.25)*(PI()*(fi_h/1000)^2/4)*SQRT(2*9.81*(O906/100-fi_h/2/1000))*1000)),"",IF(O906&lt;fi_h/20,0,(OFFSET('Base de dados'!$A$5,IF(O906&lt;20,1,IF(O906&gt;1000,10,MATCH(O906,Cargas,1))),Coluna_fih,1,1))*(PI()*(fi_h/1000)^2/4)*SQRT(2*9.81*(O906/100-fi_h/2/1000))*1000))</f>
        <v>4.0106504267970919</v>
      </c>
      <c r="Q906" s="38">
        <f ca="1">IF(O906="","",IF(Tipo_Vertedor="Retangular",IF(O906&lt;=cota_s*100,0,IF(Tipo_Vertedor="Retangular",Cd_sr*Lef_sr*((O906/100-cota_s)^(3/2))*1000)),IF(O906&lt;=cota_s*100+fi_s/20,0,(OFFSET('Base de dados'!$A$4,IF(O906&lt;20,1,IF(O906&gt;1000,10,MATCH(O906,Cargas,1))),Coluna_fis,1,1))*(PI()*(fi_s/1000)^2/4)*(2*9.81*(O906/100-cota_s-fi_s/2/1000))^0.5*1000)))</f>
        <v>2.7406429476765264</v>
      </c>
      <c r="R906" s="38">
        <f t="shared" ca="1" si="153"/>
        <v>6.7512933744736188</v>
      </c>
      <c r="S906" s="38">
        <f t="shared" ca="1" si="155"/>
        <v>282.8125</v>
      </c>
    </row>
    <row r="907" spans="13:19">
      <c r="M907" s="132">
        <f t="shared" ca="1" si="154"/>
        <v>289.88180259017685</v>
      </c>
      <c r="N907" s="38">
        <f t="shared" si="156"/>
        <v>8.4937500000000004</v>
      </c>
      <c r="O907" s="36">
        <f t="shared" si="152"/>
        <v>226.5</v>
      </c>
      <c r="P907" s="38">
        <f ca="1">IF(ISERROR(IF(O907&lt;fi_h/20,0,(OFFSET('Base de dados'!$A$5,IF(O907&lt;20,1,IF(O907&gt;1000,10,MATCH(O907,Cargas,1))),Coluna_fih,1,1))*(1+0.13*0.25)*(PI()*(fi_h/1000)^2/4)*SQRT(2*9.81*(O907/100-fi_h/2/1000))*1000)),"",IF(O907&lt;fi_h/20,0,(OFFSET('Base de dados'!$A$5,IF(O907&lt;20,1,IF(O907&gt;1000,10,MATCH(O907,Cargas,1))),Coluna_fih,1,1))*(PI()*(fi_h/1000)^2/4)*SQRT(2*9.81*(O907/100-fi_h/2/1000))*1000))</f>
        <v>4.0128830064485141</v>
      </c>
      <c r="Q907" s="38">
        <f ca="1">IF(O907="","",IF(Tipo_Vertedor="Retangular",IF(O907&lt;=cota_s*100,0,IF(Tipo_Vertedor="Retangular",Cd_sr*Lef_sr*((O907/100-cota_s)^(3/2))*1000)),IF(O907&lt;=cota_s*100+fi_s/20,0,(OFFSET('Base de dados'!$A$4,IF(O907&lt;20,1,IF(O907&gt;1000,10,MATCH(O907,Cargas,1))),Coluna_fis,1,1))*(PI()*(fi_s/1000)^2/4)*(2*9.81*(O907/100-cota_s-fi_s/2/1000))^0.5*1000)))</f>
        <v>2.7439195837283363</v>
      </c>
      <c r="R907" s="38">
        <f t="shared" ca="1" si="153"/>
        <v>6.75680259017685</v>
      </c>
      <c r="S907" s="38">
        <f t="shared" ca="1" si="155"/>
        <v>283.125</v>
      </c>
    </row>
    <row r="908" spans="13:19">
      <c r="M908" s="132">
        <f t="shared" ca="1" si="154"/>
        <v>290.19980665635575</v>
      </c>
      <c r="N908" s="38">
        <f t="shared" si="156"/>
        <v>8.5031250000000007</v>
      </c>
      <c r="O908" s="36">
        <f t="shared" si="152"/>
        <v>226.75</v>
      </c>
      <c r="P908" s="38">
        <f ca="1">IF(ISERROR(IF(O908&lt;fi_h/20,0,(OFFSET('Base de dados'!$A$5,IF(O908&lt;20,1,IF(O908&gt;1000,10,MATCH(O908,Cargas,1))),Coluna_fih,1,1))*(1+0.13*0.25)*(PI()*(fi_h/1000)^2/4)*SQRT(2*9.81*(O908/100-fi_h/2/1000))*1000)),"",IF(O908&lt;fi_h/20,0,(OFFSET('Base de dados'!$A$5,IF(O908&lt;20,1,IF(O908&gt;1000,10,MATCH(O908,Cargas,1))),Coluna_fih,1,1))*(PI()*(fi_h/1000)^2/4)*SQRT(2*9.81*(O908/100-fi_h/2/1000))*1000))</f>
        <v>4.0151143446879374</v>
      </c>
      <c r="Q908" s="38">
        <f ca="1">IF(O908="","",IF(Tipo_Vertedor="Retangular",IF(O908&lt;=cota_s*100,0,IF(Tipo_Vertedor="Retangular",Cd_sr*Lef_sr*((O908/100-cota_s)^(3/2))*1000)),IF(O908&lt;=cota_s*100+fi_s/20,0,(OFFSET('Base de dados'!$A$4,IF(O908&lt;20,1,IF(O908&gt;1000,10,MATCH(O908,Cargas,1))),Coluna_fis,1,1))*(PI()*(fi_s/1000)^2/4)*(2*9.81*(O908/100-cota_s-fi_s/2/1000))^0.5*1000)))</f>
        <v>2.7471923116678045</v>
      </c>
      <c r="R908" s="38">
        <f t="shared" ca="1" si="153"/>
        <v>6.7623066563557419</v>
      </c>
      <c r="S908" s="38">
        <f t="shared" ca="1" si="155"/>
        <v>283.4375</v>
      </c>
    </row>
    <row r="909" spans="13:19">
      <c r="M909" s="132">
        <f t="shared" ca="1" si="154"/>
        <v>290.51780558902942</v>
      </c>
      <c r="N909" s="38">
        <f t="shared" si="156"/>
        <v>8.5124999999999993</v>
      </c>
      <c r="O909" s="36">
        <f t="shared" si="152"/>
        <v>227</v>
      </c>
      <c r="P909" s="38">
        <f ca="1">IF(ISERROR(IF(O909&lt;fi_h/20,0,(OFFSET('Base de dados'!$A$5,IF(O909&lt;20,1,IF(O909&gt;1000,10,MATCH(O909,Cargas,1))),Coluna_fih,1,1))*(1+0.13*0.25)*(PI()*(fi_h/1000)^2/4)*SQRT(2*9.81*(O909/100-fi_h/2/1000))*1000)),"",IF(O909&lt;fi_h/20,0,(OFFSET('Base de dados'!$A$5,IF(O909&lt;20,1,IF(O909&gt;1000,10,MATCH(O909,Cargas,1))),Coluna_fih,1,1))*(PI()*(fi_h/1000)^2/4)*SQRT(2*9.81*(O909/100-fi_h/2/1000))*1000))</f>
        <v>4.0173444435838981</v>
      </c>
      <c r="Q909" s="38">
        <f ca="1">IF(O909="","",IF(Tipo_Vertedor="Retangular",IF(O909&lt;=cota_s*100,0,IF(Tipo_Vertedor="Retangular",Cd_sr*Lef_sr*((O909/100-cota_s)^(3/2))*1000)),IF(O909&lt;=cota_s*100+fi_s/20,0,(OFFSET('Base de dados'!$A$4,IF(O909&lt;20,1,IF(O909&gt;1000,10,MATCH(O909,Cargas,1))),Coluna_fis,1,1))*(PI()*(fi_s/1000)^2/4)*(2*9.81*(O909/100-cota_s-fi_s/2/1000))^0.5*1000)))</f>
        <v>2.7504611454455237</v>
      </c>
      <c r="R909" s="38">
        <f t="shared" ca="1" si="153"/>
        <v>6.7678055890294218</v>
      </c>
      <c r="S909" s="38">
        <f t="shared" ca="1" si="155"/>
        <v>283.75</v>
      </c>
    </row>
    <row r="910" spans="13:19">
      <c r="M910" s="132">
        <f t="shared" ca="1" si="154"/>
        <v>290.83579940412847</v>
      </c>
      <c r="N910" s="38">
        <f t="shared" si="156"/>
        <v>8.5218749999999996</v>
      </c>
      <c r="O910" s="36">
        <f t="shared" si="152"/>
        <v>227.25</v>
      </c>
      <c r="P910" s="38">
        <f ca="1">IF(ISERROR(IF(O910&lt;fi_h/20,0,(OFFSET('Base de dados'!$A$5,IF(O910&lt;20,1,IF(O910&gt;1000,10,MATCH(O910,Cargas,1))),Coluna_fih,1,1))*(1+0.13*0.25)*(PI()*(fi_h/1000)^2/4)*SQRT(2*9.81*(O910/100-fi_h/2/1000))*1000)),"",IF(O910&lt;fi_h/20,0,(OFFSET('Base de dados'!$A$5,IF(O910&lt;20,1,IF(O910&gt;1000,10,MATCH(O910,Cargas,1))),Coluna_fih,1,1))*(PI()*(fi_h/1000)^2/4)*SQRT(2*9.81*(O910/100-fi_h/2/1000))*1000))</f>
        <v>4.0195733051991969</v>
      </c>
      <c r="Q910" s="38">
        <f ca="1">IF(O910="","",IF(Tipo_Vertedor="Retangular",IF(O910&lt;=cota_s*100,0,IF(Tipo_Vertedor="Retangular",Cd_sr*Lef_sr*((O910/100-cota_s)^(3/2))*1000)),IF(O910&lt;=cota_s*100+fi_s/20,0,(OFFSET('Base de dados'!$A$4,IF(O910&lt;20,1,IF(O910&gt;1000,10,MATCH(O910,Cargas,1))),Coluna_fis,1,1))*(PI()*(fi_s/1000)^2/4)*(2*9.81*(O910/100-cota_s-fi_s/2/1000))^0.5*1000)))</f>
        <v>2.7537260989292873</v>
      </c>
      <c r="R910" s="38">
        <f t="shared" ca="1" si="153"/>
        <v>6.7732994041284842</v>
      </c>
      <c r="S910" s="38">
        <f t="shared" ca="1" si="155"/>
        <v>284.0625</v>
      </c>
    </row>
    <row r="911" spans="13:19">
      <c r="M911" s="132">
        <f t="shared" ca="1" si="154"/>
        <v>291.15378811749571</v>
      </c>
      <c r="N911" s="38">
        <f t="shared" si="156"/>
        <v>8.53125</v>
      </c>
      <c r="O911" s="36">
        <f t="shared" si="152"/>
        <v>227.5</v>
      </c>
      <c r="P911" s="38">
        <f ca="1">IF(ISERROR(IF(O911&lt;fi_h/20,0,(OFFSET('Base de dados'!$A$5,IF(O911&lt;20,1,IF(O911&gt;1000,10,MATCH(O911,Cargas,1))),Coluna_fih,1,1))*(1+0.13*0.25)*(PI()*(fi_h/1000)^2/4)*SQRT(2*9.81*(O911/100-fi_h/2/1000))*1000)),"",IF(O911&lt;fi_h/20,0,(OFFSET('Base de dados'!$A$5,IF(O911&lt;20,1,IF(O911&gt;1000,10,MATCH(O911,Cargas,1))),Coluna_fih,1,1))*(PI()*(fi_h/1000)^2/4)*SQRT(2*9.81*(O911/100-fi_h/2/1000))*1000))</f>
        <v>4.0218009315909171</v>
      </c>
      <c r="Q911" s="38">
        <f ca="1">IF(O911="","",IF(Tipo_Vertedor="Retangular",IF(O911&lt;=cota_s*100,0,IF(Tipo_Vertedor="Retangular",Cd_sr*Lef_sr*((O911/100-cota_s)^(3/2))*1000)),IF(O911&lt;=cota_s*100+fi_s/20,0,(OFFSET('Base de dados'!$A$4,IF(O911&lt;20,1,IF(O911&gt;1000,10,MATCH(O911,Cargas,1))),Coluna_fis,1,1))*(PI()*(fi_s/1000)^2/4)*(2*9.81*(O911/100-cota_s-fi_s/2/1000))^0.5*1000)))</f>
        <v>2.756987185904773</v>
      </c>
      <c r="R911" s="38">
        <f t="shared" ca="1" si="153"/>
        <v>6.7787881174956901</v>
      </c>
      <c r="S911" s="38">
        <f t="shared" ca="1" si="155"/>
        <v>284.375</v>
      </c>
    </row>
    <row r="912" spans="13:19">
      <c r="M912" s="132">
        <f t="shared" ca="1" si="154"/>
        <v>291.47177174488661</v>
      </c>
      <c r="N912" s="38">
        <f t="shared" si="156"/>
        <v>8.5406249999999986</v>
      </c>
      <c r="O912" s="36">
        <f t="shared" si="152"/>
        <v>227.75</v>
      </c>
      <c r="P912" s="38">
        <f ca="1">IF(ISERROR(IF(O912&lt;fi_h/20,0,(OFFSET('Base de dados'!$A$5,IF(O912&lt;20,1,IF(O912&gt;1000,10,MATCH(O912,Cargas,1))),Coluna_fih,1,1))*(1+0.13*0.25)*(PI()*(fi_h/1000)^2/4)*SQRT(2*9.81*(O912/100-fi_h/2/1000))*1000)),"",IF(O912&lt;fi_h/20,0,(OFFSET('Base de dados'!$A$5,IF(O912&lt;20,1,IF(O912&gt;1000,10,MATCH(O912,Cargas,1))),Coluna_fih,1,1))*(PI()*(fi_h/1000)^2/4)*SQRT(2*9.81*(O912/100-fi_h/2/1000))*1000))</f>
        <v>4.0240273248104499</v>
      </c>
      <c r="Q912" s="38">
        <f ca="1">IF(O912="","",IF(Tipo_Vertedor="Retangular",IF(O912&lt;=cota_s*100,0,IF(Tipo_Vertedor="Retangular",Cd_sr*Lef_sr*((O912/100-cota_s)^(3/2))*1000)),IF(O912&lt;=cota_s*100+fi_s/20,0,(OFFSET('Base de dados'!$A$4,IF(O912&lt;20,1,IF(O912&gt;1000,10,MATCH(O912,Cargas,1))),Coluna_fis,1,1))*(PI()*(fi_s/1000)^2/4)*(2*9.81*(O912/100-cota_s-fi_s/2/1000))^0.5*1000)))</f>
        <v>2.7602444200762237</v>
      </c>
      <c r="R912" s="38">
        <f t="shared" ca="1" si="153"/>
        <v>6.7842717448866736</v>
      </c>
      <c r="S912" s="38">
        <f t="shared" ca="1" si="155"/>
        <v>284.68749999999994</v>
      </c>
    </row>
    <row r="913" spans="13:19">
      <c r="M913" s="132">
        <f t="shared" ca="1" si="154"/>
        <v>291.78975030197057</v>
      </c>
      <c r="N913" s="38">
        <f t="shared" si="156"/>
        <v>8.5499999999999989</v>
      </c>
      <c r="O913" s="36">
        <f t="shared" si="152"/>
        <v>228</v>
      </c>
      <c r="P913" s="38">
        <f ca="1">IF(ISERROR(IF(O913&lt;fi_h/20,0,(OFFSET('Base de dados'!$A$5,IF(O913&lt;20,1,IF(O913&gt;1000,10,MATCH(O913,Cargas,1))),Coluna_fih,1,1))*(1+0.13*0.25)*(PI()*(fi_h/1000)^2/4)*SQRT(2*9.81*(O913/100-fi_h/2/1000))*1000)),"",IF(O913&lt;fi_h/20,0,(OFFSET('Base de dados'!$A$5,IF(O913&lt;20,1,IF(O913&gt;1000,10,MATCH(O913,Cargas,1))),Coluna_fih,1,1))*(PI()*(fi_h/1000)^2/4)*SQRT(2*9.81*(O913/100-fi_h/2/1000))*1000))</f>
        <v>4.0262524869035126</v>
      </c>
      <c r="Q913" s="38">
        <f ca="1">IF(O913="","",IF(Tipo_Vertedor="Retangular",IF(O913&lt;=cota_s*100,0,IF(Tipo_Vertedor="Retangular",Cd_sr*Lef_sr*((O913/100-cota_s)^(3/2))*1000)),IF(O913&lt;=cota_s*100+fi_s/20,0,(OFFSET('Base de dados'!$A$4,IF(O913&lt;20,1,IF(O913&gt;1000,10,MATCH(O913,Cargas,1))),Coluna_fis,1,1))*(PI()*(fi_s/1000)^2/4)*(2*9.81*(O913/100-cota_s-fi_s/2/1000))^0.5*1000)))</f>
        <v>2.7634978150671179</v>
      </c>
      <c r="R913" s="38">
        <f t="shared" ca="1" si="153"/>
        <v>6.7897503019706305</v>
      </c>
      <c r="S913" s="38">
        <f t="shared" ca="1" si="155"/>
        <v>284.99999999999994</v>
      </c>
    </row>
    <row r="914" spans="13:19">
      <c r="M914" s="132">
        <f t="shared" ca="1" si="154"/>
        <v>292.10772380433104</v>
      </c>
      <c r="N914" s="38">
        <f t="shared" si="156"/>
        <v>8.5593750000000011</v>
      </c>
      <c r="O914" s="36">
        <f t="shared" si="152"/>
        <v>228.25</v>
      </c>
      <c r="P914" s="38">
        <f ca="1">IF(ISERROR(IF(O914&lt;fi_h/20,0,(OFFSET('Base de dados'!$A$5,IF(O914&lt;20,1,IF(O914&gt;1000,10,MATCH(O914,Cargas,1))),Coluna_fih,1,1))*(1+0.13*0.25)*(PI()*(fi_h/1000)^2/4)*SQRT(2*9.81*(O914/100-fi_h/2/1000))*1000)),"",IF(O914&lt;fi_h/20,0,(OFFSET('Base de dados'!$A$5,IF(O914&lt;20,1,IF(O914&gt;1000,10,MATCH(O914,Cargas,1))),Coluna_fih,1,1))*(PI()*(fi_h/1000)^2/4)*SQRT(2*9.81*(O914/100-fi_h/2/1000))*1000))</f>
        <v>4.0284764199101746</v>
      </c>
      <c r="Q914" s="38">
        <f ca="1">IF(O914="","",IF(Tipo_Vertedor="Retangular",IF(O914&lt;=cota_s*100,0,IF(Tipo_Vertedor="Retangular",Cd_sr*Lef_sr*((O914/100-cota_s)^(3/2))*1000)),IF(O914&lt;=cota_s*100+fi_s/20,0,(OFFSET('Base de dados'!$A$4,IF(O914&lt;20,1,IF(O914&gt;1000,10,MATCH(O914,Cargas,1))),Coluna_fis,1,1))*(PI()*(fi_s/1000)^2/4)*(2*9.81*(O914/100-cota_s-fi_s/2/1000))^0.5*1000)))</f>
        <v>2.766747384420837</v>
      </c>
      <c r="R914" s="38">
        <f t="shared" ca="1" si="153"/>
        <v>6.7952238043310116</v>
      </c>
      <c r="S914" s="38">
        <f t="shared" ca="1" si="155"/>
        <v>285.31250000000006</v>
      </c>
    </row>
    <row r="915" spans="13:19">
      <c r="M915" s="132">
        <f t="shared" ca="1" si="154"/>
        <v>292.42569226746627</v>
      </c>
      <c r="N915" s="38">
        <f t="shared" si="156"/>
        <v>8.5687500000000014</v>
      </c>
      <c r="O915" s="36">
        <f t="shared" ref="O915:O978" si="157">IF(ISERROR(IF(O914+passo_altura&gt;h_max_puls*100,"",O914+passo_altura)),"",IF(O914+passo_altura&gt;h_max_puls*100,"",O914+passo_altura))</f>
        <v>228.5</v>
      </c>
      <c r="P915" s="38">
        <f ca="1">IF(ISERROR(IF(O915&lt;fi_h/20,0,(OFFSET('Base de dados'!$A$5,IF(O915&lt;20,1,IF(O915&gt;1000,10,MATCH(O915,Cargas,1))),Coluna_fih,1,1))*(1+0.13*0.25)*(PI()*(fi_h/1000)^2/4)*SQRT(2*9.81*(O915/100-fi_h/2/1000))*1000)),"",IF(O915&lt;fi_h/20,0,(OFFSET('Base de dados'!$A$5,IF(O915&lt;20,1,IF(O915&gt;1000,10,MATCH(O915,Cargas,1))),Coluna_fih,1,1))*(PI()*(fi_h/1000)^2/4)*SQRT(2*9.81*(O915/100-fi_h/2/1000))*1000))</f>
        <v>4.0306991258648752</v>
      </c>
      <c r="Q915" s="38">
        <f ca="1">IF(O915="","",IF(Tipo_Vertedor="Retangular",IF(O915&lt;=cota_s*100,0,IF(Tipo_Vertedor="Retangular",Cd_sr*Lef_sr*((O915/100-cota_s)^(3/2))*1000)),IF(O915&lt;=cota_s*100+fi_s/20,0,(OFFSET('Base de dados'!$A$4,IF(O915&lt;20,1,IF(O915&gt;1000,10,MATCH(O915,Cargas,1))),Coluna_fis,1,1))*(PI()*(fi_s/1000)^2/4)*(2*9.81*(O915/100-cota_s-fi_s/2/1000))^0.5*1000)))</f>
        <v>2.7699931416013208</v>
      </c>
      <c r="R915" s="38">
        <f t="shared" ref="R915:R978" ca="1" si="158">IF(O915="","",Q915+P915)</f>
        <v>6.8006922674661965</v>
      </c>
      <c r="S915" s="38">
        <f t="shared" ca="1" si="155"/>
        <v>285.62500000000006</v>
      </c>
    </row>
    <row r="916" spans="13:19">
      <c r="M916" s="132">
        <f t="shared" ca="1" si="154"/>
        <v>292.74365570679015</v>
      </c>
      <c r="N916" s="38">
        <f t="shared" si="156"/>
        <v>8.578125</v>
      </c>
      <c r="O916" s="36">
        <f t="shared" si="157"/>
        <v>228.75</v>
      </c>
      <c r="P916" s="38">
        <f ca="1">IF(ISERROR(IF(O916&lt;fi_h/20,0,(OFFSET('Base de dados'!$A$5,IF(O916&lt;20,1,IF(O916&gt;1000,10,MATCH(O916,Cargas,1))),Coluna_fih,1,1))*(1+0.13*0.25)*(PI()*(fi_h/1000)^2/4)*SQRT(2*9.81*(O916/100-fi_h/2/1000))*1000)),"",IF(O916&lt;fi_h/20,0,(OFFSET('Base de dados'!$A$5,IF(O916&lt;20,1,IF(O916&gt;1000,10,MATCH(O916,Cargas,1))),Coluna_fih,1,1))*(PI()*(fi_h/1000)^2/4)*SQRT(2*9.81*(O916/100-fi_h/2/1000))*1000))</f>
        <v>4.0329206067964503</v>
      </c>
      <c r="Q916" s="38">
        <f ca="1">IF(O916="","",IF(Tipo_Vertedor="Retangular",IF(O916&lt;=cota_s*100,0,IF(Tipo_Vertedor="Retangular",Cd_sr*Lef_sr*((O916/100-cota_s)^(3/2))*1000)),IF(O916&lt;=cota_s*100+fi_s/20,0,(OFFSET('Base de dados'!$A$4,IF(O916&lt;20,1,IF(O916&gt;1000,10,MATCH(O916,Cargas,1))),Coluna_fis,1,1))*(PI()*(fi_s/1000)^2/4)*(2*9.81*(O916/100-cota_s-fi_s/2/1000))^0.5*1000)))</f>
        <v>2.7732350999937165</v>
      </c>
      <c r="R916" s="38">
        <f t="shared" ca="1" si="158"/>
        <v>6.8061557067901663</v>
      </c>
      <c r="S916" s="38">
        <f t="shared" ca="1" si="155"/>
        <v>285.9375</v>
      </c>
    </row>
    <row r="917" spans="13:19">
      <c r="M917" s="132">
        <f t="shared" ca="1" si="154"/>
        <v>293.06161413763317</v>
      </c>
      <c r="N917" s="38">
        <f t="shared" si="156"/>
        <v>8.5875000000000004</v>
      </c>
      <c r="O917" s="36">
        <f t="shared" si="157"/>
        <v>229</v>
      </c>
      <c r="P917" s="38">
        <f ca="1">IF(ISERROR(IF(O917&lt;fi_h/20,0,(OFFSET('Base de dados'!$A$5,IF(O917&lt;20,1,IF(O917&gt;1000,10,MATCH(O917,Cargas,1))),Coluna_fih,1,1))*(1+0.13*0.25)*(PI()*(fi_h/1000)^2/4)*SQRT(2*9.81*(O917/100-fi_h/2/1000))*1000)),"",IF(O917&lt;fi_h/20,0,(OFFSET('Base de dados'!$A$5,IF(O917&lt;20,1,IF(O917&gt;1000,10,MATCH(O917,Cargas,1))),Coluna_fih,1,1))*(PI()*(fi_h/1000)^2/4)*SQRT(2*9.81*(O917/100-fi_h/2/1000))*1000))</f>
        <v>4.0351408647281479</v>
      </c>
      <c r="Q917" s="38">
        <f ca="1">IF(O917="","",IF(Tipo_Vertedor="Retangular",IF(O917&lt;=cota_s*100,0,IF(Tipo_Vertedor="Retangular",Cd_sr*Lef_sr*((O917/100-cota_s)^(3/2))*1000)),IF(O917&lt;=cota_s*100+fi_s/20,0,(OFFSET('Base de dados'!$A$4,IF(O917&lt;20,1,IF(O917&gt;1000,10,MATCH(O917,Cargas,1))),Coluna_fis,1,1))*(PI()*(fi_s/1000)^2/4)*(2*9.81*(O917/100-cota_s-fi_s/2/1000))^0.5*1000)))</f>
        <v>2.7764732729050294</v>
      </c>
      <c r="R917" s="38">
        <f t="shared" ca="1" si="158"/>
        <v>6.8116141376331774</v>
      </c>
      <c r="S917" s="38">
        <f t="shared" ca="1" si="155"/>
        <v>286.25</v>
      </c>
    </row>
    <row r="918" spans="13:19">
      <c r="M918" s="132">
        <f t="shared" ca="1" si="154"/>
        <v>293.37956757524239</v>
      </c>
      <c r="N918" s="38">
        <f t="shared" si="156"/>
        <v>8.5968750000000007</v>
      </c>
      <c r="O918" s="36">
        <f t="shared" si="157"/>
        <v>229.25</v>
      </c>
      <c r="P918" s="38">
        <f ca="1">IF(ISERROR(IF(O918&lt;fi_h/20,0,(OFFSET('Base de dados'!$A$5,IF(O918&lt;20,1,IF(O918&gt;1000,10,MATCH(O918,Cargas,1))),Coluna_fih,1,1))*(1+0.13*0.25)*(PI()*(fi_h/1000)^2/4)*SQRT(2*9.81*(O918/100-fi_h/2/1000))*1000)),"",IF(O918&lt;fi_h/20,0,(OFFSET('Base de dados'!$A$5,IF(O918&lt;20,1,IF(O918&gt;1000,10,MATCH(O918,Cargas,1))),Coluna_fih,1,1))*(PI()*(fi_h/1000)^2/4)*SQRT(2*9.81*(O918/100-fi_h/2/1000))*1000))</f>
        <v>4.0373599016776547</v>
      </c>
      <c r="Q918" s="38">
        <f ca="1">IF(O918="","",IF(Tipo_Vertedor="Retangular",IF(O918&lt;=cota_s*100,0,IF(Tipo_Vertedor="Retangular",Cd_sr*Lef_sr*((O918/100-cota_s)^(3/2))*1000)),IF(O918&lt;=cota_s*100+fi_s/20,0,(OFFSET('Base de dados'!$A$4,IF(O918&lt;20,1,IF(O918&gt;1000,10,MATCH(O918,Cargas,1))),Coluna_fis,1,1))*(PI()*(fi_s/1000)^2/4)*(2*9.81*(O918/100-cota_s-fi_s/2/1000))^0.5*1000)))</f>
        <v>2.7797076735647539</v>
      </c>
      <c r="R918" s="38">
        <f t="shared" ca="1" si="158"/>
        <v>6.8170675752424081</v>
      </c>
      <c r="S918" s="38">
        <f t="shared" ca="1" si="155"/>
        <v>286.5625</v>
      </c>
    </row>
    <row r="919" spans="13:19">
      <c r="M919" s="132">
        <f t="shared" ca="1" si="154"/>
        <v>293.69751603478261</v>
      </c>
      <c r="N919" s="38">
        <f t="shared" si="156"/>
        <v>8.6062499999999993</v>
      </c>
      <c r="O919" s="36">
        <f t="shared" si="157"/>
        <v>229.5</v>
      </c>
      <c r="P919" s="38">
        <f ca="1">IF(ISERROR(IF(O919&lt;fi_h/20,0,(OFFSET('Base de dados'!$A$5,IF(O919&lt;20,1,IF(O919&gt;1000,10,MATCH(O919,Cargas,1))),Coluna_fih,1,1))*(1+0.13*0.25)*(PI()*(fi_h/1000)^2/4)*SQRT(2*9.81*(O919/100-fi_h/2/1000))*1000)),"",IF(O919&lt;fi_h/20,0,(OFFSET('Base de dados'!$A$5,IF(O919&lt;20,1,IF(O919&gt;1000,10,MATCH(O919,Cargas,1))),Coluna_fih,1,1))*(PI()*(fi_h/1000)^2/4)*SQRT(2*9.81*(O919/100-fi_h/2/1000))*1000))</f>
        <v>4.0395777196571139</v>
      </c>
      <c r="Q919" s="38">
        <f ca="1">IF(O919="","",IF(Tipo_Vertedor="Retangular",IF(O919&lt;=cota_s*100,0,IF(Tipo_Vertedor="Retangular",Cd_sr*Lef_sr*((O919/100-cota_s)^(3/2))*1000)),IF(O919&lt;=cota_s*100+fi_s/20,0,(OFFSET('Base de dados'!$A$4,IF(O919&lt;20,1,IF(O919&gt;1000,10,MATCH(O919,Cargas,1))),Coluna_fis,1,1))*(PI()*(fi_s/1000)^2/4)*(2*9.81*(O919/100-cota_s-fi_s/2/1000))^0.5*1000)))</f>
        <v>2.7829383151255049</v>
      </c>
      <c r="R919" s="38">
        <f t="shared" ca="1" si="158"/>
        <v>6.8225160347826188</v>
      </c>
      <c r="S919" s="38">
        <f t="shared" ca="1" si="155"/>
        <v>286.875</v>
      </c>
    </row>
    <row r="920" spans="13:19">
      <c r="M920" s="132">
        <f t="shared" ca="1" si="154"/>
        <v>294.01545953133677</v>
      </c>
      <c r="N920" s="38">
        <f t="shared" si="156"/>
        <v>8.6156249999999996</v>
      </c>
      <c r="O920" s="36">
        <f t="shared" si="157"/>
        <v>229.75</v>
      </c>
      <c r="P920" s="38">
        <f ca="1">IF(ISERROR(IF(O920&lt;fi_h/20,0,(OFFSET('Base de dados'!$A$5,IF(O920&lt;20,1,IF(O920&gt;1000,10,MATCH(O920,Cargas,1))),Coluna_fih,1,1))*(1+0.13*0.25)*(PI()*(fi_h/1000)^2/4)*SQRT(2*9.81*(O920/100-fi_h/2/1000))*1000)),"",IF(O920&lt;fi_h/20,0,(OFFSET('Base de dados'!$A$5,IF(O920&lt;20,1,IF(O920&gt;1000,10,MATCH(O920,Cargas,1))),Coluna_fih,1,1))*(PI()*(fi_h/1000)^2/4)*SQRT(2*9.81*(O920/100-fi_h/2/1000))*1000))</f>
        <v>4.0417943206731524</v>
      </c>
      <c r="Q920" s="38">
        <f ca="1">IF(O920="","",IF(Tipo_Vertedor="Retangular",IF(O920&lt;=cota_s*100,0,IF(Tipo_Vertedor="Retangular",Cd_sr*Lef_sr*((O920/100-cota_s)^(3/2))*1000)),IF(O920&lt;=cota_s*100+fi_s/20,0,(OFFSET('Base de dados'!$A$4,IF(O920&lt;20,1,IF(O920&gt;1000,10,MATCH(O920,Cargas,1))),Coluna_fis,1,1))*(PI()*(fi_s/1000)^2/4)*(2*9.81*(O920/100-cota_s-fi_s/2/1000))^0.5*1000)))</f>
        <v>2.7861652106636452</v>
      </c>
      <c r="R920" s="38">
        <f t="shared" ca="1" si="158"/>
        <v>6.8279595313367976</v>
      </c>
      <c r="S920" s="38">
        <f t="shared" ca="1" si="155"/>
        <v>287.1875</v>
      </c>
    </row>
    <row r="921" spans="13:19">
      <c r="M921" s="132">
        <f t="shared" ca="1" si="154"/>
        <v>294.33339807990677</v>
      </c>
      <c r="N921" s="38">
        <f t="shared" si="156"/>
        <v>8.625</v>
      </c>
      <c r="O921" s="36">
        <f t="shared" si="157"/>
        <v>230</v>
      </c>
      <c r="P921" s="38">
        <f ca="1">IF(ISERROR(IF(O921&lt;fi_h/20,0,(OFFSET('Base de dados'!$A$5,IF(O921&lt;20,1,IF(O921&gt;1000,10,MATCH(O921,Cargas,1))),Coluna_fih,1,1))*(1+0.13*0.25)*(PI()*(fi_h/1000)^2/4)*SQRT(2*9.81*(O921/100-fi_h/2/1000))*1000)),"",IF(O921&lt;fi_h/20,0,(OFFSET('Base de dados'!$A$5,IF(O921&lt;20,1,IF(O921&gt;1000,10,MATCH(O921,Cargas,1))),Coluna_fih,1,1))*(PI()*(fi_h/1000)^2/4)*SQRT(2*9.81*(O921/100-fi_h/2/1000))*1000))</f>
        <v>4.0440097067268921</v>
      </c>
      <c r="Q921" s="38">
        <f ca="1">IF(O921="","",IF(Tipo_Vertedor="Retangular",IF(O921&lt;=cota_s*100,0,IF(Tipo_Vertedor="Retangular",Cd_sr*Lef_sr*((O921/100-cota_s)^(3/2))*1000)),IF(O921&lt;=cota_s*100+fi_s/20,0,(OFFSET('Base de dados'!$A$4,IF(O921&lt;20,1,IF(O921&gt;1000,10,MATCH(O921,Cargas,1))),Coluna_fis,1,1))*(PI()*(fi_s/1000)^2/4)*(2*9.81*(O921/100-cota_s-fi_s/2/1000))^0.5*1000)))</f>
        <v>2.7893883731798983</v>
      </c>
      <c r="R921" s="38">
        <f t="shared" ca="1" si="158"/>
        <v>6.8333980799067904</v>
      </c>
      <c r="S921" s="38">
        <f t="shared" ca="1" si="155"/>
        <v>287.5</v>
      </c>
    </row>
    <row r="922" spans="13:19">
      <c r="M922" s="132">
        <f t="shared" ca="1" si="154"/>
        <v>294.65133169541394</v>
      </c>
      <c r="N922" s="38">
        <f t="shared" si="156"/>
        <v>8.6343750000000004</v>
      </c>
      <c r="O922" s="36">
        <f t="shared" si="157"/>
        <v>230.25</v>
      </c>
      <c r="P922" s="38">
        <f ca="1">IF(ISERROR(IF(O922&lt;fi_h/20,0,(OFFSET('Base de dados'!$A$5,IF(O922&lt;20,1,IF(O922&gt;1000,10,MATCH(O922,Cargas,1))),Coluna_fih,1,1))*(1+0.13*0.25)*(PI()*(fi_h/1000)^2/4)*SQRT(2*9.81*(O922/100-fi_h/2/1000))*1000)),"",IF(O922&lt;fi_h/20,0,(OFFSET('Base de dados'!$A$5,IF(O922&lt;20,1,IF(O922&gt;1000,10,MATCH(O922,Cargas,1))),Coluna_fih,1,1))*(PI()*(fi_h/1000)^2/4)*SQRT(2*9.81*(O922/100-fi_h/2/1000))*1000))</f>
        <v>4.0462238798139802</v>
      </c>
      <c r="Q922" s="38">
        <f ca="1">IF(O922="","",IF(Tipo_Vertedor="Retangular",IF(O922&lt;=cota_s*100,0,IF(Tipo_Vertedor="Retangular",Cd_sr*Lef_sr*((O922/100-cota_s)^(3/2))*1000)),IF(O922&lt;=cota_s*100+fi_s/20,0,(OFFSET('Base de dados'!$A$4,IF(O922&lt;20,1,IF(O922&gt;1000,10,MATCH(O922,Cargas,1))),Coluna_fis,1,1))*(PI()*(fi_s/1000)^2/4)*(2*9.81*(O922/100-cota_s-fi_s/2/1000))^0.5*1000)))</f>
        <v>2.7926078155999656</v>
      </c>
      <c r="R922" s="38">
        <f t="shared" ca="1" si="158"/>
        <v>6.8388316954139459</v>
      </c>
      <c r="S922" s="38">
        <f t="shared" ca="1" si="155"/>
        <v>287.8125</v>
      </c>
    </row>
    <row r="923" spans="13:19">
      <c r="M923" s="132">
        <f t="shared" ca="1" si="154"/>
        <v>294.96926039269971</v>
      </c>
      <c r="N923" s="38">
        <f t="shared" si="156"/>
        <v>8.6437500000000007</v>
      </c>
      <c r="O923" s="36">
        <f t="shared" si="157"/>
        <v>230.5</v>
      </c>
      <c r="P923" s="38">
        <f ca="1">IF(ISERROR(IF(O923&lt;fi_h/20,0,(OFFSET('Base de dados'!$A$5,IF(O923&lt;20,1,IF(O923&gt;1000,10,MATCH(O923,Cargas,1))),Coluna_fih,1,1))*(1+0.13*0.25)*(PI()*(fi_h/1000)^2/4)*SQRT(2*9.81*(O923/100-fi_h/2/1000))*1000)),"",IF(O923&lt;fi_h/20,0,(OFFSET('Base de dados'!$A$5,IF(O923&lt;20,1,IF(O923&gt;1000,10,MATCH(O923,Cargas,1))),Coluna_fih,1,1))*(PI()*(fi_h/1000)^2/4)*SQRT(2*9.81*(O923/100-fi_h/2/1000))*1000))</f>
        <v>4.0484368419246062</v>
      </c>
      <c r="Q923" s="38">
        <f ca="1">IF(O923="","",IF(Tipo_Vertedor="Retangular",IF(O923&lt;=cota_s*100,0,IF(Tipo_Vertedor="Retangular",Cd_sr*Lef_sr*((O923/100-cota_s)^(3/2))*1000)),IF(O923&lt;=cota_s*100+fi_s/20,0,(OFFSET('Base de dados'!$A$4,IF(O923&lt;20,1,IF(O923&gt;1000,10,MATCH(O923,Cargas,1))),Coluna_fis,1,1))*(PI()*(fi_s/1000)^2/4)*(2*9.81*(O923/100-cota_s-fi_s/2/1000))^0.5*1000)))</f>
        <v>2.7958235507751237</v>
      </c>
      <c r="R923" s="38">
        <f t="shared" ca="1" si="158"/>
        <v>6.8442603926997299</v>
      </c>
      <c r="S923" s="38">
        <f t="shared" ca="1" si="155"/>
        <v>288.125</v>
      </c>
    </row>
    <row r="924" spans="13:19">
      <c r="M924" s="132">
        <f t="shared" ca="1" si="154"/>
        <v>295.28718418652642</v>
      </c>
      <c r="N924" s="38">
        <f t="shared" si="156"/>
        <v>8.6531250000000011</v>
      </c>
      <c r="O924" s="36">
        <f t="shared" si="157"/>
        <v>230.75</v>
      </c>
      <c r="P924" s="38">
        <f ca="1">IF(ISERROR(IF(O924&lt;fi_h/20,0,(OFFSET('Base de dados'!$A$5,IF(O924&lt;20,1,IF(O924&gt;1000,10,MATCH(O924,Cargas,1))),Coluna_fih,1,1))*(1+0.13*0.25)*(PI()*(fi_h/1000)^2/4)*SQRT(2*9.81*(O924/100-fi_h/2/1000))*1000)),"",IF(O924&lt;fi_h/20,0,(OFFSET('Base de dados'!$A$5,IF(O924&lt;20,1,IF(O924&gt;1000,10,MATCH(O924,Cargas,1))),Coluna_fih,1,1))*(PI()*(fi_h/1000)^2/4)*SQRT(2*9.81*(O924/100-fi_h/2/1000))*1000))</f>
        <v>4.0506485950435209</v>
      </c>
      <c r="Q924" s="38">
        <f ca="1">IF(O924="","",IF(Tipo_Vertedor="Retangular",IF(O924&lt;=cota_s*100,0,IF(Tipo_Vertedor="Retangular",Cd_sr*Lef_sr*((O924/100-cota_s)^(3/2))*1000)),IF(O924&lt;=cota_s*100+fi_s/20,0,(OFFSET('Base de dados'!$A$4,IF(O924&lt;20,1,IF(O924&gt;1000,10,MATCH(O924,Cargas,1))),Coluna_fis,1,1))*(PI()*(fi_s/1000)^2/4)*(2*9.81*(O924/100-cota_s-fi_s/2/1000))^0.5*1000)))</f>
        <v>2.7990355914828284</v>
      </c>
      <c r="R924" s="38">
        <f t="shared" ca="1" si="158"/>
        <v>6.8496841865263498</v>
      </c>
      <c r="S924" s="38">
        <f t="shared" ca="1" si="155"/>
        <v>288.43750000000006</v>
      </c>
    </row>
    <row r="925" spans="13:19">
      <c r="M925" s="132">
        <f t="shared" ca="1" si="154"/>
        <v>295.60510309157735</v>
      </c>
      <c r="N925" s="38">
        <f t="shared" si="156"/>
        <v>8.6624999999999996</v>
      </c>
      <c r="O925" s="36">
        <f t="shared" si="157"/>
        <v>231</v>
      </c>
      <c r="P925" s="38">
        <f ca="1">IF(ISERROR(IF(O925&lt;fi_h/20,0,(OFFSET('Base de dados'!$A$5,IF(O925&lt;20,1,IF(O925&gt;1000,10,MATCH(O925,Cargas,1))),Coluna_fih,1,1))*(1+0.13*0.25)*(PI()*(fi_h/1000)^2/4)*SQRT(2*9.81*(O925/100-fi_h/2/1000))*1000)),"",IF(O925&lt;fi_h/20,0,(OFFSET('Base de dados'!$A$5,IF(O925&lt;20,1,IF(O925&gt;1000,10,MATCH(O925,Cargas,1))),Coluna_fih,1,1))*(PI()*(fi_h/1000)^2/4)*SQRT(2*9.81*(O925/100-fi_h/2/1000))*1000))</f>
        <v>4.052859141150063</v>
      </c>
      <c r="Q925" s="38">
        <f ca="1">IF(O925="","",IF(Tipo_Vertedor="Retangular",IF(O925&lt;=cota_s*100,0,IF(Tipo_Vertedor="Retangular",Cd_sr*Lef_sr*((O925/100-cota_s)^(3/2))*1000)),IF(O925&lt;=cota_s*100+fi_s/20,0,(OFFSET('Base de dados'!$A$4,IF(O925&lt;20,1,IF(O925&gt;1000,10,MATCH(O925,Cargas,1))),Coluna_fis,1,1))*(PI()*(fi_s/1000)^2/4)*(2*9.81*(O925/100-cota_s-fi_s/2/1000))^0.5*1000)))</f>
        <v>2.802243950427306</v>
      </c>
      <c r="R925" s="38">
        <f t="shared" ca="1" si="158"/>
        <v>6.8551030915773694</v>
      </c>
      <c r="S925" s="38">
        <f t="shared" ca="1" si="155"/>
        <v>288.75</v>
      </c>
    </row>
    <row r="926" spans="13:19">
      <c r="M926" s="132">
        <f t="shared" ca="1" si="154"/>
        <v>295.9230171224583</v>
      </c>
      <c r="N926" s="38">
        <f t="shared" si="156"/>
        <v>8.671875</v>
      </c>
      <c r="O926" s="36">
        <f t="shared" si="157"/>
        <v>231.25</v>
      </c>
      <c r="P926" s="38">
        <f ca="1">IF(ISERROR(IF(O926&lt;fi_h/20,0,(OFFSET('Base de dados'!$A$5,IF(O926&lt;20,1,IF(O926&gt;1000,10,MATCH(O926,Cargas,1))),Coluna_fih,1,1))*(1+0.13*0.25)*(PI()*(fi_h/1000)^2/4)*SQRT(2*9.81*(O926/100-fi_h/2/1000))*1000)),"",IF(O926&lt;fi_h/20,0,(OFFSET('Base de dados'!$A$5,IF(O926&lt;20,1,IF(O926&gt;1000,10,MATCH(O926,Cargas,1))),Coluna_fih,1,1))*(PI()*(fi_h/1000)^2/4)*SQRT(2*9.81*(O926/100-fi_h/2/1000))*1000))</f>
        <v>4.0550684822181733</v>
      </c>
      <c r="Q926" s="38">
        <f ca="1">IF(O926="","",IF(Tipo_Vertedor="Retangular",IF(O926&lt;=cota_s*100,0,IF(Tipo_Vertedor="Retangular",Cd_sr*Lef_sr*((O926/100-cota_s)^(3/2))*1000)),IF(O926&lt;=cota_s*100+fi_s/20,0,(OFFSET('Base de dados'!$A$4,IF(O926&lt;20,1,IF(O926&gt;1000,10,MATCH(O926,Cargas,1))),Coluna_fis,1,1))*(PI()*(fi_s/1000)^2/4)*(2*9.81*(O926/100-cota_s-fi_s/2/1000))^0.5*1000)))</f>
        <v>2.8054486402401384</v>
      </c>
      <c r="R926" s="38">
        <f t="shared" ca="1" si="158"/>
        <v>6.8605171224583117</v>
      </c>
      <c r="S926" s="38">
        <f t="shared" ca="1" si="155"/>
        <v>289.0625</v>
      </c>
    </row>
    <row r="927" spans="13:19">
      <c r="M927" s="132">
        <f t="shared" ca="1" si="154"/>
        <v>296.24092629369727</v>
      </c>
      <c r="N927" s="38">
        <f t="shared" si="156"/>
        <v>8.6812500000000004</v>
      </c>
      <c r="O927" s="36">
        <f t="shared" si="157"/>
        <v>231.5</v>
      </c>
      <c r="P927" s="38">
        <f ca="1">IF(ISERROR(IF(O927&lt;fi_h/20,0,(OFFSET('Base de dados'!$A$5,IF(O927&lt;20,1,IF(O927&gt;1000,10,MATCH(O927,Cargas,1))),Coluna_fih,1,1))*(1+0.13*0.25)*(PI()*(fi_h/1000)^2/4)*SQRT(2*9.81*(O927/100-fi_h/2/1000))*1000)),"",IF(O927&lt;fi_h/20,0,(OFFSET('Base de dados'!$A$5,IF(O927&lt;20,1,IF(O927&gt;1000,10,MATCH(O927,Cargas,1))),Coluna_fih,1,1))*(PI()*(fi_h/1000)^2/4)*SQRT(2*9.81*(O927/100-fi_h/2/1000))*1000))</f>
        <v>4.0572766202164203</v>
      </c>
      <c r="Q927" s="38">
        <f ca="1">IF(O927="","",IF(Tipo_Vertedor="Retangular",IF(O927&lt;=cota_s*100,0,IF(Tipo_Vertedor="Retangular",Cd_sr*Lef_sr*((O927/100-cota_s)^(3/2))*1000)),IF(O927&lt;=cota_s*100+fi_s/20,0,(OFFSET('Base de dados'!$A$4,IF(O927&lt;20,1,IF(O927&gt;1000,10,MATCH(O927,Cargas,1))),Coluna_fis,1,1))*(PI()*(fi_s/1000)^2/4)*(2*9.81*(O927/100-cota_s-fi_s/2/1000))^0.5*1000)))</f>
        <v>2.8086496734808435</v>
      </c>
      <c r="R927" s="38">
        <f t="shared" ca="1" si="158"/>
        <v>6.8659262936972638</v>
      </c>
      <c r="S927" s="38">
        <f t="shared" ca="1" si="155"/>
        <v>289.375</v>
      </c>
    </row>
    <row r="928" spans="13:19">
      <c r="M928" s="132">
        <f t="shared" ca="1" si="154"/>
        <v>296.55883061974544</v>
      </c>
      <c r="N928" s="38">
        <f t="shared" si="156"/>
        <v>8.6906249999999989</v>
      </c>
      <c r="O928" s="36">
        <f t="shared" si="157"/>
        <v>231.75</v>
      </c>
      <c r="P928" s="38">
        <f ca="1">IF(ISERROR(IF(O928&lt;fi_h/20,0,(OFFSET('Base de dados'!$A$5,IF(O928&lt;20,1,IF(O928&gt;1000,10,MATCH(O928,Cargas,1))),Coluna_fih,1,1))*(1+0.13*0.25)*(PI()*(fi_h/1000)^2/4)*SQRT(2*9.81*(O928/100-fi_h/2/1000))*1000)),"",IF(O928&lt;fi_h/20,0,(OFFSET('Base de dados'!$A$5,IF(O928&lt;20,1,IF(O928&gt;1000,10,MATCH(O928,Cargas,1))),Coluna_fih,1,1))*(PI()*(fi_h/1000)^2/4)*SQRT(2*9.81*(O928/100-fi_h/2/1000))*1000))</f>
        <v>4.0594835571080159</v>
      </c>
      <c r="Q928" s="38">
        <f ca="1">IF(O928="","",IF(Tipo_Vertedor="Retangular",IF(O928&lt;=cota_s*100,0,IF(Tipo_Vertedor="Retangular",Cd_sr*Lef_sr*((O928/100-cota_s)^(3/2))*1000)),IF(O928&lt;=cota_s*100+fi_s/20,0,(OFFSET('Base de dados'!$A$4,IF(O928&lt;20,1,IF(O928&gt;1000,10,MATCH(O928,Cargas,1))),Coluna_fis,1,1))*(PI()*(fi_s/1000)^2/4)*(2*9.81*(O928/100-cota_s-fi_s/2/1000))^0.5*1000)))</f>
        <v>2.8118470626374505</v>
      </c>
      <c r="R928" s="38">
        <f t="shared" ca="1" si="158"/>
        <v>6.871330619745466</v>
      </c>
      <c r="S928" s="38">
        <f t="shared" ca="1" si="155"/>
        <v>289.68749999999994</v>
      </c>
    </row>
    <row r="929" spans="13:19">
      <c r="M929" s="132">
        <f t="shared" ca="1" si="154"/>
        <v>296.87673011497793</v>
      </c>
      <c r="N929" s="38">
        <f t="shared" si="156"/>
        <v>8.6999999999999993</v>
      </c>
      <c r="O929" s="36">
        <f t="shared" si="157"/>
        <v>232</v>
      </c>
      <c r="P929" s="38">
        <f ca="1">IF(ISERROR(IF(O929&lt;fi_h/20,0,(OFFSET('Base de dados'!$A$5,IF(O929&lt;20,1,IF(O929&gt;1000,10,MATCH(O929,Cargas,1))),Coluna_fih,1,1))*(1+0.13*0.25)*(PI()*(fi_h/1000)^2/4)*SQRT(2*9.81*(O929/100-fi_h/2/1000))*1000)),"",IF(O929&lt;fi_h/20,0,(OFFSET('Base de dados'!$A$5,IF(O929&lt;20,1,IF(O929&gt;1000,10,MATCH(O929,Cargas,1))),Coluna_fih,1,1))*(PI()*(fi_h/1000)^2/4)*SQRT(2*9.81*(O929/100-fi_h/2/1000))*1000))</f>
        <v>4.0616892948508418</v>
      </c>
      <c r="Q929" s="38">
        <f ca="1">IF(O929="","",IF(Tipo_Vertedor="Retangular",IF(O929&lt;=cota_s*100,0,IF(Tipo_Vertedor="Retangular",Cd_sr*Lef_sr*((O929/100-cota_s)^(3/2))*1000)),IF(O929&lt;=cota_s*100+fi_s/20,0,(OFFSET('Base de dados'!$A$4,IF(O929&lt;20,1,IF(O929&gt;1000,10,MATCH(O929,Cargas,1))),Coluna_fis,1,1))*(PI()*(fi_s/1000)^2/4)*(2*9.81*(O929/100-cota_s-fi_s/2/1000))^0.5*1000)))</f>
        <v>2.8150408201270665</v>
      </c>
      <c r="R929" s="38">
        <f t="shared" ca="1" si="158"/>
        <v>6.8767301149779083</v>
      </c>
      <c r="S929" s="38">
        <f t="shared" ca="1" si="155"/>
        <v>290</v>
      </c>
    </row>
    <row r="930" spans="13:19">
      <c r="M930" s="132">
        <f t="shared" ca="1" si="154"/>
        <v>297.19462479369389</v>
      </c>
      <c r="N930" s="38">
        <f t="shared" si="156"/>
        <v>8.7093749999999996</v>
      </c>
      <c r="O930" s="36">
        <f t="shared" si="157"/>
        <v>232.25</v>
      </c>
      <c r="P930" s="38">
        <f ca="1">IF(ISERROR(IF(O930&lt;fi_h/20,0,(OFFSET('Base de dados'!$A$5,IF(O930&lt;20,1,IF(O930&gt;1000,10,MATCH(O930,Cargas,1))),Coluna_fih,1,1))*(1+0.13*0.25)*(PI()*(fi_h/1000)^2/4)*SQRT(2*9.81*(O930/100-fi_h/2/1000))*1000)),"",IF(O930&lt;fi_h/20,0,(OFFSET('Base de dados'!$A$5,IF(O930&lt;20,1,IF(O930&gt;1000,10,MATCH(O930,Cargas,1))),Coluna_fih,1,1))*(PI()*(fi_h/1000)^2/4)*SQRT(2*9.81*(O930/100-fi_h/2/1000))*1000))</f>
        <v>4.0638938353974625</v>
      </c>
      <c r="Q930" s="38">
        <f ca="1">IF(O930="","",IF(Tipo_Vertedor="Retangular",IF(O930&lt;=cota_s*100,0,IF(Tipo_Vertedor="Retangular",Cd_sr*Lef_sr*((O930/100-cota_s)^(3/2))*1000)),IF(O930&lt;=cota_s*100+fi_s/20,0,(OFFSET('Base de dados'!$A$4,IF(O930&lt;20,1,IF(O930&gt;1000,10,MATCH(O930,Cargas,1))),Coluna_fis,1,1))*(PI()*(fi_s/1000)^2/4)*(2*9.81*(O930/100-cota_s-fi_s/2/1000))^0.5*1000)))</f>
        <v>2.8182309582964407</v>
      </c>
      <c r="R930" s="38">
        <f t="shared" ca="1" si="158"/>
        <v>6.8821247936939027</v>
      </c>
      <c r="S930" s="38">
        <f t="shared" ca="1" si="155"/>
        <v>290.3125</v>
      </c>
    </row>
    <row r="931" spans="13:19">
      <c r="M931" s="132">
        <f t="shared" ca="1" si="154"/>
        <v>297.5125146701177</v>
      </c>
      <c r="N931" s="38">
        <f t="shared" si="156"/>
        <v>8.71875</v>
      </c>
      <c r="O931" s="36">
        <f t="shared" si="157"/>
        <v>232.5</v>
      </c>
      <c r="P931" s="38">
        <f ca="1">IF(ISERROR(IF(O931&lt;fi_h/20,0,(OFFSET('Base de dados'!$A$5,IF(O931&lt;20,1,IF(O931&gt;1000,10,MATCH(O931,Cargas,1))),Coluna_fih,1,1))*(1+0.13*0.25)*(PI()*(fi_h/1000)^2/4)*SQRT(2*9.81*(O931/100-fi_h/2/1000))*1000)),"",IF(O931&lt;fi_h/20,0,(OFFSET('Base de dados'!$A$5,IF(O931&lt;20,1,IF(O931&gt;1000,10,MATCH(O931,Cargas,1))),Coluna_fih,1,1))*(PI()*(fi_h/1000)^2/4)*SQRT(2*9.81*(O931/100-fi_h/2/1000))*1000))</f>
        <v>4.0660971806951531</v>
      </c>
      <c r="Q931" s="38">
        <f ca="1">IF(O931="","",IF(Tipo_Vertedor="Retangular",IF(O931&lt;=cota_s*100,0,IF(Tipo_Vertedor="Retangular",Cd_sr*Lef_sr*((O931/100-cota_s)^(3/2))*1000)),IF(O931&lt;=cota_s*100+fi_s/20,0,(OFFSET('Base de dados'!$A$4,IF(O931&lt;20,1,IF(O931&gt;1000,10,MATCH(O931,Cargas,1))),Coluna_fis,1,1))*(PI()*(fi_s/1000)^2/4)*(2*9.81*(O931/100-cota_s-fi_s/2/1000))^0.5*1000)))</f>
        <v>2.8214174894225215</v>
      </c>
      <c r="R931" s="38">
        <f t="shared" ca="1" si="158"/>
        <v>6.8875146701176746</v>
      </c>
      <c r="S931" s="38">
        <f t="shared" ca="1" si="155"/>
        <v>290.625</v>
      </c>
    </row>
    <row r="932" spans="13:19">
      <c r="M932" s="132">
        <f t="shared" ca="1" si="154"/>
        <v>297.83039975839893</v>
      </c>
      <c r="N932" s="38">
        <f t="shared" si="156"/>
        <v>8.7281250000000004</v>
      </c>
      <c r="O932" s="36">
        <f t="shared" si="157"/>
        <v>232.75</v>
      </c>
      <c r="P932" s="38">
        <f ca="1">IF(ISERROR(IF(O932&lt;fi_h/20,0,(OFFSET('Base de dados'!$A$5,IF(O932&lt;20,1,IF(O932&gt;1000,10,MATCH(O932,Cargas,1))),Coluna_fih,1,1))*(1+0.13*0.25)*(PI()*(fi_h/1000)^2/4)*SQRT(2*9.81*(O932/100-fi_h/2/1000))*1000)),"",IF(O932&lt;fi_h/20,0,(OFFSET('Base de dados'!$A$5,IF(O932&lt;20,1,IF(O932&gt;1000,10,MATCH(O932,Cargas,1))),Coluna_fih,1,1))*(PI()*(fi_h/1000)^2/4)*SQRT(2*9.81*(O932/100-fi_h/2/1000))*1000))</f>
        <v>4.068299332685914</v>
      </c>
      <c r="Q932" s="38">
        <f ca="1">IF(O932="","",IF(Tipo_Vertedor="Retangular",IF(O932&lt;=cota_s*100,0,IF(Tipo_Vertedor="Retangular",Cd_sr*Lef_sr*((O932/100-cota_s)^(3/2))*1000)),IF(O932&lt;=cota_s*100+fi_s/20,0,(OFFSET('Base de dados'!$A$4,IF(O932&lt;20,1,IF(O932&gt;1000,10,MATCH(O932,Cargas,1))),Coluna_fis,1,1))*(PI()*(fi_s/1000)^2/4)*(2*9.81*(O932/100-cota_s-fi_s/2/1000))^0.5*1000)))</f>
        <v>2.8246004257130051</v>
      </c>
      <c r="R932" s="38">
        <f t="shared" ca="1" si="158"/>
        <v>6.8928997583989187</v>
      </c>
      <c r="S932" s="38">
        <f t="shared" ca="1" si="155"/>
        <v>290.9375</v>
      </c>
    </row>
    <row r="933" spans="13:19">
      <c r="M933" s="132">
        <f t="shared" ca="1" si="154"/>
        <v>298.14828007261337</v>
      </c>
      <c r="N933" s="38">
        <f t="shared" si="156"/>
        <v>8.7375000000000007</v>
      </c>
      <c r="O933" s="36">
        <f t="shared" si="157"/>
        <v>233</v>
      </c>
      <c r="P933" s="38">
        <f ca="1">IF(ISERROR(IF(O933&lt;fi_h/20,0,(OFFSET('Base de dados'!$A$5,IF(O933&lt;20,1,IF(O933&gt;1000,10,MATCH(O933,Cargas,1))),Coluna_fih,1,1))*(1+0.13*0.25)*(PI()*(fi_h/1000)^2/4)*SQRT(2*9.81*(O933/100-fi_h/2/1000))*1000)),"",IF(O933&lt;fi_h/20,0,(OFFSET('Base de dados'!$A$5,IF(O933&lt;20,1,IF(O933&gt;1000,10,MATCH(O933,Cargas,1))),Coluna_fih,1,1))*(PI()*(fi_h/1000)^2/4)*SQRT(2*9.81*(O933/100-fi_h/2/1000))*1000))</f>
        <v>4.0705002933064902</v>
      </c>
      <c r="Q933" s="38">
        <f ca="1">IF(O933="","",IF(Tipo_Vertedor="Retangular",IF(O933&lt;=cota_s*100,0,IF(Tipo_Vertedor="Retangular",Cd_sr*Lef_sr*((O933/100-cota_s)^(3/2))*1000)),IF(O933&lt;=cota_s*100+fi_s/20,0,(OFFSET('Base de dados'!$A$4,IF(O933&lt;20,1,IF(O933&gt;1000,10,MATCH(O933,Cargas,1))),Coluna_fis,1,1))*(PI()*(fi_s/1000)^2/4)*(2*9.81*(O933/100-cota_s-fi_s/2/1000))^0.5*1000)))</f>
        <v>2.8277797793068853</v>
      </c>
      <c r="R933" s="38">
        <f t="shared" ca="1" si="158"/>
        <v>6.8982800726133755</v>
      </c>
      <c r="S933" s="38">
        <f t="shared" ca="1" si="155"/>
        <v>291.25</v>
      </c>
    </row>
    <row r="934" spans="13:19">
      <c r="M934" s="132">
        <f t="shared" ca="1" si="154"/>
        <v>298.4661556267634</v>
      </c>
      <c r="N934" s="38">
        <f t="shared" si="156"/>
        <v>8.7468749999999993</v>
      </c>
      <c r="O934" s="36">
        <f t="shared" si="157"/>
        <v>233.25</v>
      </c>
      <c r="P934" s="38">
        <f ca="1">IF(ISERROR(IF(O934&lt;fi_h/20,0,(OFFSET('Base de dados'!$A$5,IF(O934&lt;20,1,IF(O934&gt;1000,10,MATCH(O934,Cargas,1))),Coluna_fih,1,1))*(1+0.13*0.25)*(PI()*(fi_h/1000)^2/4)*SQRT(2*9.81*(O934/100-fi_h/2/1000))*1000)),"",IF(O934&lt;fi_h/20,0,(OFFSET('Base de dados'!$A$5,IF(O934&lt;20,1,IF(O934&gt;1000,10,MATCH(O934,Cargas,1))),Coluna_fih,1,1))*(PI()*(fi_h/1000)^2/4)*SQRT(2*9.81*(O934/100-fi_h/2/1000))*1000))</f>
        <v>4.0727000644883988</v>
      </c>
      <c r="Q934" s="38">
        <f ca="1">IF(O934="","",IF(Tipo_Vertedor="Retangular",IF(O934&lt;=cota_s*100,0,IF(Tipo_Vertedor="Retangular",Cd_sr*Lef_sr*((O934/100-cota_s)^(3/2))*1000)),IF(O934&lt;=cota_s*100+fi_s/20,0,(OFFSET('Base de dados'!$A$4,IF(O934&lt;20,1,IF(O934&gt;1000,10,MATCH(O934,Cargas,1))),Coluna_fis,1,1))*(PI()*(fi_s/1000)^2/4)*(2*9.81*(O934/100-cota_s-fi_s/2/1000))^0.5*1000)))</f>
        <v>2.8309555622749905</v>
      </c>
      <c r="R934" s="38">
        <f t="shared" ca="1" si="158"/>
        <v>6.9036556267633893</v>
      </c>
      <c r="S934" s="38">
        <f t="shared" ca="1" si="155"/>
        <v>291.5625</v>
      </c>
    </row>
    <row r="935" spans="13:19">
      <c r="M935" s="132">
        <f t="shared" ca="1" si="154"/>
        <v>298.78402643477847</v>
      </c>
      <c r="N935" s="38">
        <f t="shared" si="156"/>
        <v>8.7562499999999996</v>
      </c>
      <c r="O935" s="36">
        <f t="shared" si="157"/>
        <v>233.5</v>
      </c>
      <c r="P935" s="38">
        <f ca="1">IF(ISERROR(IF(O935&lt;fi_h/20,0,(OFFSET('Base de dados'!$A$5,IF(O935&lt;20,1,IF(O935&gt;1000,10,MATCH(O935,Cargas,1))),Coluna_fih,1,1))*(1+0.13*0.25)*(PI()*(fi_h/1000)^2/4)*SQRT(2*9.81*(O935/100-fi_h/2/1000))*1000)),"",IF(O935&lt;fi_h/20,0,(OFFSET('Base de dados'!$A$5,IF(O935&lt;20,1,IF(O935&gt;1000,10,MATCH(O935,Cargas,1))),Coluna_fih,1,1))*(PI()*(fi_h/1000)^2/4)*SQRT(2*9.81*(O935/100-fi_h/2/1000))*1000))</f>
        <v>4.0748986481579363</v>
      </c>
      <c r="Q935" s="38">
        <f ca="1">IF(O935="","",IF(Tipo_Vertedor="Retangular",IF(O935&lt;=cota_s*100,0,IF(Tipo_Vertedor="Retangular",Cd_sr*Lef_sr*((O935/100-cota_s)^(3/2))*1000)),IF(O935&lt;=cota_s*100+fi_s/20,0,(OFFSET('Base de dados'!$A$4,IF(O935&lt;20,1,IF(O935&gt;1000,10,MATCH(O935,Cargas,1))),Coluna_fis,1,1))*(PI()*(fi_s/1000)^2/4)*(2*9.81*(O935/100-cota_s-fi_s/2/1000))^0.5*1000)))</f>
        <v>2.8341277866205181</v>
      </c>
      <c r="R935" s="38">
        <f t="shared" ca="1" si="158"/>
        <v>6.909026434778454</v>
      </c>
      <c r="S935" s="38">
        <f t="shared" ca="1" si="155"/>
        <v>291.875</v>
      </c>
    </row>
    <row r="936" spans="13:19">
      <c r="M936" s="132">
        <f t="shared" ca="1" si="154"/>
        <v>299.10189251051577</v>
      </c>
      <c r="N936" s="38">
        <f t="shared" si="156"/>
        <v>8.765625</v>
      </c>
      <c r="O936" s="36">
        <f t="shared" si="157"/>
        <v>233.75</v>
      </c>
      <c r="P936" s="38">
        <f ca="1">IF(ISERROR(IF(O936&lt;fi_h/20,0,(OFFSET('Base de dados'!$A$5,IF(O936&lt;20,1,IF(O936&gt;1000,10,MATCH(O936,Cargas,1))),Coluna_fih,1,1))*(1+0.13*0.25)*(PI()*(fi_h/1000)^2/4)*SQRT(2*9.81*(O936/100-fi_h/2/1000))*1000)),"",IF(O936&lt;fi_h/20,0,(OFFSET('Base de dados'!$A$5,IF(O936&lt;20,1,IF(O936&gt;1000,10,MATCH(O936,Cargas,1))),Coluna_fih,1,1))*(PI()*(fi_h/1000)^2/4)*SQRT(2*9.81*(O936/100-fi_h/2/1000))*1000))</f>
        <v>4.0770960462362122</v>
      </c>
      <c r="Q936" s="38">
        <f ca="1">IF(O936="","",IF(Tipo_Vertedor="Retangular",IF(O936&lt;=cota_s*100,0,IF(Tipo_Vertedor="Retangular",Cd_sr*Lef_sr*((O936/100-cota_s)^(3/2))*1000)),IF(O936&lt;=cota_s*100+fi_s/20,0,(OFFSET('Base de dados'!$A$4,IF(O936&lt;20,1,IF(O936&gt;1000,10,MATCH(O936,Cargas,1))),Coluna_fis,1,1))*(PI()*(fi_s/1000)^2/4)*(2*9.81*(O936/100-cota_s-fi_s/2/1000))^0.5*1000)))</f>
        <v>2.8372964642795653</v>
      </c>
      <c r="R936" s="38">
        <f t="shared" ca="1" si="158"/>
        <v>6.9143925105157775</v>
      </c>
      <c r="S936" s="38">
        <f t="shared" ca="1" si="155"/>
        <v>292.1875</v>
      </c>
    </row>
    <row r="937" spans="13:19">
      <c r="M937" s="132">
        <f t="shared" ca="1" si="154"/>
        <v>299.41975386776073</v>
      </c>
      <c r="N937" s="38">
        <f t="shared" si="156"/>
        <v>8.7749999999999986</v>
      </c>
      <c r="O937" s="36">
        <f t="shared" si="157"/>
        <v>234</v>
      </c>
      <c r="P937" s="38">
        <f ca="1">IF(ISERROR(IF(O937&lt;fi_h/20,0,(OFFSET('Base de dados'!$A$5,IF(O937&lt;20,1,IF(O937&gt;1000,10,MATCH(O937,Cargas,1))),Coluna_fih,1,1))*(1+0.13*0.25)*(PI()*(fi_h/1000)^2/4)*SQRT(2*9.81*(O937/100-fi_h/2/1000))*1000)),"",IF(O937&lt;fi_h/20,0,(OFFSET('Base de dados'!$A$5,IF(O937&lt;20,1,IF(O937&gt;1000,10,MATCH(O937,Cargas,1))),Coluna_fih,1,1))*(PI()*(fi_h/1000)^2/4)*SQRT(2*9.81*(O937/100-fi_h/2/1000))*1000))</f>
        <v>4.079292260639158</v>
      </c>
      <c r="Q937" s="38">
        <f ca="1">IF(O937="","",IF(Tipo_Vertedor="Retangular",IF(O937&lt;=cota_s*100,0,IF(Tipo_Vertedor="Retangular",Cd_sr*Lef_sr*((O937/100-cota_s)^(3/2))*1000)),IF(O937&lt;=cota_s*100+fi_s/20,0,(OFFSET('Base de dados'!$A$4,IF(O937&lt;20,1,IF(O937&gt;1000,10,MATCH(O937,Cargas,1))),Coluna_fis,1,1))*(PI()*(fi_s/1000)^2/4)*(2*9.81*(O937/100-cota_s-fi_s/2/1000))^0.5*1000)))</f>
        <v>2.8404616071216546</v>
      </c>
      <c r="R937" s="38">
        <f t="shared" ca="1" si="158"/>
        <v>6.9197538677608126</v>
      </c>
      <c r="S937" s="38">
        <f t="shared" ca="1" si="155"/>
        <v>292.49999999999994</v>
      </c>
    </row>
    <row r="938" spans="13:19">
      <c r="M938" s="132">
        <f t="shared" ca="1" si="154"/>
        <v>299.73761052022775</v>
      </c>
      <c r="N938" s="38">
        <f t="shared" si="156"/>
        <v>8.7843749999999989</v>
      </c>
      <c r="O938" s="36">
        <f t="shared" si="157"/>
        <v>234.25</v>
      </c>
      <c r="P938" s="38">
        <f ca="1">IF(ISERROR(IF(O938&lt;fi_h/20,0,(OFFSET('Base de dados'!$A$5,IF(O938&lt;20,1,IF(O938&gt;1000,10,MATCH(O938,Cargas,1))),Coluna_fih,1,1))*(1+0.13*0.25)*(PI()*(fi_h/1000)^2/4)*SQRT(2*9.81*(O938/100-fi_h/2/1000))*1000)),"",IF(O938&lt;fi_h/20,0,(OFFSET('Base de dados'!$A$5,IF(O938&lt;20,1,IF(O938&gt;1000,10,MATCH(O938,Cargas,1))),Coluna_fih,1,1))*(PI()*(fi_h/1000)^2/4)*SQRT(2*9.81*(O938/100-fi_h/2/1000))*1000))</f>
        <v>4.0814872932775508</v>
      </c>
      <c r="Q938" s="38">
        <f ca="1">IF(O938="","",IF(Tipo_Vertedor="Retangular",IF(O938&lt;=cota_s*100,0,IF(Tipo_Vertedor="Retangular",Cd_sr*Lef_sr*((O938/100-cota_s)^(3/2))*1000)),IF(O938&lt;=cota_s*100+fi_s/20,0,(OFFSET('Base de dados'!$A$4,IF(O938&lt;20,1,IF(O938&gt;1000,10,MATCH(O938,Cargas,1))),Coluna_fis,1,1))*(PI()*(fi_s/1000)^2/4)*(2*9.81*(O938/100-cota_s-fi_s/2/1000))^0.5*1000)))</f>
        <v>2.8436232269502475</v>
      </c>
      <c r="R938" s="38">
        <f t="shared" ca="1" si="158"/>
        <v>6.9251105202277987</v>
      </c>
      <c r="S938" s="38">
        <f t="shared" ca="1" si="155"/>
        <v>292.81249999999994</v>
      </c>
    </row>
    <row r="939" spans="13:19">
      <c r="M939" s="132">
        <f t="shared" ca="1" si="154"/>
        <v>300.05546248156037</v>
      </c>
      <c r="N939" s="38">
        <f t="shared" si="156"/>
        <v>8.7937500000000011</v>
      </c>
      <c r="O939" s="36">
        <f t="shared" si="157"/>
        <v>234.5</v>
      </c>
      <c r="P939" s="38">
        <f ca="1">IF(ISERROR(IF(O939&lt;fi_h/20,0,(OFFSET('Base de dados'!$A$5,IF(O939&lt;20,1,IF(O939&gt;1000,10,MATCH(O939,Cargas,1))),Coluna_fih,1,1))*(1+0.13*0.25)*(PI()*(fi_h/1000)^2/4)*SQRT(2*9.81*(O939/100-fi_h/2/1000))*1000)),"",IF(O939&lt;fi_h/20,0,(OFFSET('Base de dados'!$A$5,IF(O939&lt;20,1,IF(O939&gt;1000,10,MATCH(O939,Cargas,1))),Coluna_fih,1,1))*(PI()*(fi_h/1000)^2/4)*SQRT(2*9.81*(O939/100-fi_h/2/1000))*1000))</f>
        <v>4.0836811460570335</v>
      </c>
      <c r="Q939" s="38">
        <f ca="1">IF(O939="","",IF(Tipo_Vertedor="Retangular",IF(O939&lt;=cota_s*100,0,IF(Tipo_Vertedor="Retangular",Cd_sr*Lef_sr*((O939/100-cota_s)^(3/2))*1000)),IF(O939&lt;=cota_s*100+fi_s/20,0,(OFFSET('Base de dados'!$A$4,IF(O939&lt;20,1,IF(O939&gt;1000,10,MATCH(O939,Cargas,1))),Coluna_fis,1,1))*(PI()*(fi_s/1000)^2/4)*(2*9.81*(O939/100-cota_s-fi_s/2/1000))^0.5*1000)))</f>
        <v>2.8467813355032643</v>
      </c>
      <c r="R939" s="38">
        <f t="shared" ca="1" si="158"/>
        <v>6.9304624815602978</v>
      </c>
      <c r="S939" s="38">
        <f t="shared" ca="1" si="155"/>
        <v>293.12500000000006</v>
      </c>
    </row>
    <row r="940" spans="13:19">
      <c r="M940" s="132">
        <f t="shared" ca="1" si="154"/>
        <v>300.37330976533178</v>
      </c>
      <c r="N940" s="38">
        <f t="shared" si="156"/>
        <v>8.8031250000000014</v>
      </c>
      <c r="O940" s="36">
        <f t="shared" si="157"/>
        <v>234.75</v>
      </c>
      <c r="P940" s="38">
        <f ca="1">IF(ISERROR(IF(O940&lt;fi_h/20,0,(OFFSET('Base de dados'!$A$5,IF(O940&lt;20,1,IF(O940&gt;1000,10,MATCH(O940,Cargas,1))),Coluna_fih,1,1))*(1+0.13*0.25)*(PI()*(fi_h/1000)^2/4)*SQRT(2*9.81*(O940/100-fi_h/2/1000))*1000)),"",IF(O940&lt;fi_h/20,0,(OFFSET('Base de dados'!$A$5,IF(O940&lt;20,1,IF(O940&gt;1000,10,MATCH(O940,Cargas,1))),Coluna_fih,1,1))*(PI()*(fi_h/1000)^2/4)*SQRT(2*9.81*(O940/100-fi_h/2/1000))*1000))</f>
        <v>4.0858738208781302</v>
      </c>
      <c r="Q940" s="38">
        <f ca="1">IF(O940="","",IF(Tipo_Vertedor="Retangular",IF(O940&lt;=cota_s*100,0,IF(Tipo_Vertedor="Retangular",Cd_sr*Lef_sr*((O940/100-cota_s)^(3/2))*1000)),IF(O940&lt;=cota_s*100+fi_s/20,0,(OFFSET('Base de dados'!$A$4,IF(O940&lt;20,1,IF(O940&gt;1000,10,MATCH(O940,Cargas,1))),Coluna_fis,1,1))*(PI()*(fi_s/1000)^2/4)*(2*9.81*(O940/100-cota_s-fi_s/2/1000))^0.5*1000)))</f>
        <v>2.8499359444535872</v>
      </c>
      <c r="R940" s="38">
        <f t="shared" ca="1" si="158"/>
        <v>6.935809765331717</v>
      </c>
      <c r="S940" s="38">
        <f t="shared" ca="1" si="155"/>
        <v>293.43750000000006</v>
      </c>
    </row>
    <row r="941" spans="13:19">
      <c r="M941" s="132">
        <f t="shared" ca="1" si="154"/>
        <v>300.69115238504583</v>
      </c>
      <c r="N941" s="38">
        <f t="shared" si="156"/>
        <v>8.8125</v>
      </c>
      <c r="O941" s="36">
        <f t="shared" si="157"/>
        <v>235</v>
      </c>
      <c r="P941" s="38">
        <f ca="1">IF(ISERROR(IF(O941&lt;fi_h/20,0,(OFFSET('Base de dados'!$A$5,IF(O941&lt;20,1,IF(O941&gt;1000,10,MATCH(O941,Cargas,1))),Coluna_fih,1,1))*(1+0.13*0.25)*(PI()*(fi_h/1000)^2/4)*SQRT(2*9.81*(O941/100-fi_h/2/1000))*1000)),"",IF(O941&lt;fi_h/20,0,(OFFSET('Base de dados'!$A$5,IF(O941&lt;20,1,IF(O941&gt;1000,10,MATCH(O941,Cargas,1))),Coluna_fih,1,1))*(PI()*(fi_h/1000)^2/4)*SQRT(2*9.81*(O941/100-fi_h/2/1000))*1000))</f>
        <v>4.0880653196362742</v>
      </c>
      <c r="Q941" s="38">
        <f ca="1">IF(O941="","",IF(Tipo_Vertedor="Retangular",IF(O941&lt;=cota_s*100,0,IF(Tipo_Vertedor="Retangular",Cd_sr*Lef_sr*((O941/100-cota_s)^(3/2))*1000)),IF(O941&lt;=cota_s*100+fi_s/20,0,(OFFSET('Base de dados'!$A$4,IF(O941&lt;20,1,IF(O941&gt;1000,10,MATCH(O941,Cargas,1))),Coluna_fis,1,1))*(PI()*(fi_s/1000)^2/4)*(2*9.81*(O941/100-cota_s-fi_s/2/1000))^0.5*1000)))</f>
        <v>2.8530870654095657</v>
      </c>
      <c r="R941" s="38">
        <f t="shared" ca="1" si="158"/>
        <v>6.9411523850458394</v>
      </c>
      <c r="S941" s="38">
        <f t="shared" ca="1" si="155"/>
        <v>293.75</v>
      </c>
    </row>
    <row r="942" spans="13:19">
      <c r="M942" s="132">
        <f t="shared" ca="1" si="154"/>
        <v>301.00899035413732</v>
      </c>
      <c r="N942" s="38">
        <f t="shared" si="156"/>
        <v>8.8218750000000004</v>
      </c>
      <c r="O942" s="36">
        <f t="shared" si="157"/>
        <v>235.25</v>
      </c>
      <c r="P942" s="38">
        <f ca="1">IF(ISERROR(IF(O942&lt;fi_h/20,0,(OFFSET('Base de dados'!$A$5,IF(O942&lt;20,1,IF(O942&gt;1000,10,MATCH(O942,Cargas,1))),Coluna_fih,1,1))*(1+0.13*0.25)*(PI()*(fi_h/1000)^2/4)*SQRT(2*9.81*(O942/100-fi_h/2/1000))*1000)),"",IF(O942&lt;fi_h/20,0,(OFFSET('Base de dados'!$A$5,IF(O942&lt;20,1,IF(O942&gt;1000,10,MATCH(O942,Cargas,1))),Coluna_fih,1,1))*(PI()*(fi_h/1000)^2/4)*SQRT(2*9.81*(O942/100-fi_h/2/1000))*1000))</f>
        <v>4.0902556442218136</v>
      </c>
      <c r="Q942" s="38">
        <f ca="1">IF(O942="","",IF(Tipo_Vertedor="Retangular",IF(O942&lt;=cota_s*100,0,IF(Tipo_Vertedor="Retangular",Cd_sr*Lef_sr*((O942/100-cota_s)^(3/2))*1000)),IF(O942&lt;=cota_s*100+fi_s/20,0,(OFFSET('Base de dados'!$A$4,IF(O942&lt;20,1,IF(O942&gt;1000,10,MATCH(O942,Cargas,1))),Coluna_fis,1,1))*(PI()*(fi_s/1000)^2/4)*(2*9.81*(O942/100-cota_s-fi_s/2/1000))^0.5*1000)))</f>
        <v>2.8562347099155163</v>
      </c>
      <c r="R942" s="38">
        <f t="shared" ca="1" si="158"/>
        <v>6.94649035413733</v>
      </c>
      <c r="S942" s="38">
        <f t="shared" ca="1" si="155"/>
        <v>294.0625</v>
      </c>
    </row>
    <row r="943" spans="13:19">
      <c r="M943" s="132">
        <f t="shared" ca="1" si="154"/>
        <v>301.32682368597227</v>
      </c>
      <c r="N943" s="38">
        <f t="shared" si="156"/>
        <v>8.8312500000000007</v>
      </c>
      <c r="O943" s="36">
        <f t="shared" si="157"/>
        <v>235.5</v>
      </c>
      <c r="P943" s="38">
        <f ca="1">IF(ISERROR(IF(O943&lt;fi_h/20,0,(OFFSET('Base de dados'!$A$5,IF(O943&lt;20,1,IF(O943&gt;1000,10,MATCH(O943,Cargas,1))),Coluna_fih,1,1))*(1+0.13*0.25)*(PI()*(fi_h/1000)^2/4)*SQRT(2*9.81*(O943/100-fi_h/2/1000))*1000)),"",IF(O943&lt;fi_h/20,0,(OFFSET('Base de dados'!$A$5,IF(O943&lt;20,1,IF(O943&gt;1000,10,MATCH(O943,Cargas,1))),Coluna_fih,1,1))*(PI()*(fi_h/1000)^2/4)*SQRT(2*9.81*(O943/100-fi_h/2/1000))*1000))</f>
        <v>4.0924447965200441</v>
      </c>
      <c r="Q943" s="38">
        <f ca="1">IF(O943="","",IF(Tipo_Vertedor="Retangular",IF(O943&lt;=cota_s*100,0,IF(Tipo_Vertedor="Retangular",Cd_sr*Lef_sr*((O943/100-cota_s)^(3/2))*1000)),IF(O943&lt;=cota_s*100+fi_s/20,0,(OFFSET('Base de dados'!$A$4,IF(O943&lt;20,1,IF(O943&gt;1000,10,MATCH(O943,Cargas,1))),Coluna_fis,1,1))*(PI()*(fi_s/1000)^2/4)*(2*9.81*(O943/100-cota_s-fi_s/2/1000))^0.5*1000)))</f>
        <v>2.859378889452215</v>
      </c>
      <c r="R943" s="38">
        <f t="shared" ca="1" si="158"/>
        <v>6.9518236859722595</v>
      </c>
      <c r="S943" s="38">
        <f t="shared" ca="1" si="155"/>
        <v>294.375</v>
      </c>
    </row>
    <row r="944" spans="13:19">
      <c r="M944" s="132">
        <f t="shared" ca="1" si="154"/>
        <v>301.64465239384862</v>
      </c>
      <c r="N944" s="38">
        <f t="shared" si="156"/>
        <v>8.8406249999999993</v>
      </c>
      <c r="O944" s="36">
        <f t="shared" si="157"/>
        <v>235.75</v>
      </c>
      <c r="P944" s="38">
        <f ca="1">IF(ISERROR(IF(O944&lt;fi_h/20,0,(OFFSET('Base de dados'!$A$5,IF(O944&lt;20,1,IF(O944&gt;1000,10,MATCH(O944,Cargas,1))),Coluna_fih,1,1))*(1+0.13*0.25)*(PI()*(fi_h/1000)^2/4)*SQRT(2*9.81*(O944/100-fi_h/2/1000))*1000)),"",IF(O944&lt;fi_h/20,0,(OFFSET('Base de dados'!$A$5,IF(O944&lt;20,1,IF(O944&gt;1000,10,MATCH(O944,Cargas,1))),Coluna_fih,1,1))*(PI()*(fi_h/1000)^2/4)*SQRT(2*9.81*(O944/100-fi_h/2/1000))*1000))</f>
        <v>4.0946327784112162</v>
      </c>
      <c r="Q944" s="38">
        <f ca="1">IF(O944="","",IF(Tipo_Vertedor="Retangular",IF(O944&lt;=cota_s*100,0,IF(Tipo_Vertedor="Retangular",Cd_sr*Lef_sr*((O944/100-cota_s)^(3/2))*1000)),IF(O944&lt;=cota_s*100+fi_s/20,0,(OFFSET('Base de dados'!$A$4,IF(O944&lt;20,1,IF(O944&gt;1000,10,MATCH(O944,Cargas,1))),Coluna_fis,1,1))*(PI()*(fi_s/1000)^2/4)*(2*9.81*(O944/100-cota_s-fi_s/2/1000))^0.5*1000)))</f>
        <v>2.862519615437384</v>
      </c>
      <c r="R944" s="38">
        <f t="shared" ca="1" si="158"/>
        <v>6.9571523938486006</v>
      </c>
      <c r="S944" s="38">
        <f t="shared" ca="1" si="155"/>
        <v>294.6875</v>
      </c>
    </row>
    <row r="945" spans="13:19">
      <c r="M945" s="132">
        <f t="shared" ca="1" si="154"/>
        <v>301.96247649099672</v>
      </c>
      <c r="N945" s="38">
        <f t="shared" si="156"/>
        <v>8.85</v>
      </c>
      <c r="O945" s="36">
        <f t="shared" si="157"/>
        <v>236</v>
      </c>
      <c r="P945" s="38">
        <f ca="1">IF(ISERROR(IF(O945&lt;fi_h/20,0,(OFFSET('Base de dados'!$A$5,IF(O945&lt;20,1,IF(O945&gt;1000,10,MATCH(O945,Cargas,1))),Coluna_fih,1,1))*(1+0.13*0.25)*(PI()*(fi_h/1000)^2/4)*SQRT(2*9.81*(O945/100-fi_h/2/1000))*1000)),"",IF(O945&lt;fi_h/20,0,(OFFSET('Base de dados'!$A$5,IF(O945&lt;20,1,IF(O945&gt;1000,10,MATCH(O945,Cargas,1))),Coluna_fih,1,1))*(PI()*(fi_h/1000)^2/4)*SQRT(2*9.81*(O945/100-fi_h/2/1000))*1000))</f>
        <v>4.096819591770565</v>
      </c>
      <c r="Q945" s="38">
        <f ca="1">IF(O945="","",IF(Tipo_Vertedor="Retangular",IF(O945&lt;=cota_s*100,0,IF(Tipo_Vertedor="Retangular",Cd_sr*Lef_sr*((O945/100-cota_s)^(3/2))*1000)),IF(O945&lt;=cota_s*100+fi_s/20,0,(OFFSET('Base de dados'!$A$4,IF(O945&lt;20,1,IF(O945&gt;1000,10,MATCH(O945,Cargas,1))),Coluna_fis,1,1))*(PI()*(fi_s/1000)^2/4)*(2*9.81*(O945/100-cota_s-fi_s/2/1000))^0.5*1000)))</f>
        <v>2.8656568992261788</v>
      </c>
      <c r="R945" s="38">
        <f t="shared" ca="1" si="158"/>
        <v>6.9624764909967443</v>
      </c>
      <c r="S945" s="38">
        <f t="shared" ca="1" si="155"/>
        <v>295</v>
      </c>
    </row>
    <row r="946" spans="13:19">
      <c r="M946" s="132">
        <f t="shared" ca="1" si="154"/>
        <v>302.28029599057999</v>
      </c>
      <c r="N946" s="38">
        <f t="shared" si="156"/>
        <v>8.859375</v>
      </c>
      <c r="O946" s="36">
        <f t="shared" si="157"/>
        <v>236.25</v>
      </c>
      <c r="P946" s="38">
        <f ca="1">IF(ISERROR(IF(O946&lt;fi_h/20,0,(OFFSET('Base de dados'!$A$5,IF(O946&lt;20,1,IF(O946&gt;1000,10,MATCH(O946,Cargas,1))),Coluna_fih,1,1))*(1+0.13*0.25)*(PI()*(fi_h/1000)^2/4)*SQRT(2*9.81*(O946/100-fi_h/2/1000))*1000)),"",IF(O946&lt;fi_h/20,0,(OFFSET('Base de dados'!$A$5,IF(O946&lt;20,1,IF(O946&gt;1000,10,MATCH(O946,Cargas,1))),Coluna_fih,1,1))*(PI()*(fi_h/1000)^2/4)*SQRT(2*9.81*(O946/100-fi_h/2/1000))*1000))</f>
        <v>4.0990052384683171</v>
      </c>
      <c r="Q946" s="38">
        <f ca="1">IF(O946="","",IF(Tipo_Vertedor="Retangular",IF(O946&lt;=cota_s*100,0,IF(Tipo_Vertedor="Retangular",Cd_sr*Lef_sr*((O946/100-cota_s)^(3/2))*1000)),IF(O946&lt;=cota_s*100+fi_s/20,0,(OFFSET('Base de dados'!$A$4,IF(O946&lt;20,1,IF(O946&gt;1000,10,MATCH(O946,Cargas,1))),Coluna_fis,1,1))*(PI()*(fi_s/1000)^2/4)*(2*9.81*(O946/100-cota_s-fi_s/2/1000))^0.5*1000)))</f>
        <v>2.8687907521116638</v>
      </c>
      <c r="R946" s="38">
        <f t="shared" ca="1" si="158"/>
        <v>6.9677959905799813</v>
      </c>
      <c r="S946" s="38">
        <f t="shared" ca="1" si="155"/>
        <v>295.3125</v>
      </c>
    </row>
    <row r="947" spans="13:19">
      <c r="M947" s="132">
        <f t="shared" ca="1" si="154"/>
        <v>302.59811090569502</v>
      </c>
      <c r="N947" s="38">
        <f t="shared" si="156"/>
        <v>8.8687500000000004</v>
      </c>
      <c r="O947" s="36">
        <f t="shared" si="157"/>
        <v>236.5</v>
      </c>
      <c r="P947" s="38">
        <f ca="1">IF(ISERROR(IF(O947&lt;fi_h/20,0,(OFFSET('Base de dados'!$A$5,IF(O947&lt;20,1,IF(O947&gt;1000,10,MATCH(O947,Cargas,1))),Coluna_fih,1,1))*(1+0.13*0.25)*(PI()*(fi_h/1000)^2/4)*SQRT(2*9.81*(O947/100-fi_h/2/1000))*1000)),"",IF(O947&lt;fi_h/20,0,(OFFSET('Base de dados'!$A$5,IF(O947&lt;20,1,IF(O947&gt;1000,10,MATCH(O947,Cargas,1))),Coluna_fih,1,1))*(PI()*(fi_h/1000)^2/4)*SQRT(2*9.81*(O947/100-fi_h/2/1000))*1000))</f>
        <v>4.1011897203697227</v>
      </c>
      <c r="Q947" s="38">
        <f ca="1">IF(O947="","",IF(Tipo_Vertedor="Retangular",IF(O947&lt;=cota_s*100,0,IF(Tipo_Vertedor="Retangular",Cd_sr*Lef_sr*((O947/100-cota_s)^(3/2))*1000)),IF(O947&lt;=cota_s*100+fi_s/20,0,(OFFSET('Base de dados'!$A$4,IF(O947&lt;20,1,IF(O947&gt;1000,10,MATCH(O947,Cargas,1))),Coluna_fis,1,1))*(PI()*(fi_s/1000)^2/4)*(2*9.81*(O947/100-cota_s-fi_s/2/1000))^0.5*1000)))</f>
        <v>2.8719211853252893</v>
      </c>
      <c r="R947" s="38">
        <f t="shared" ca="1" si="158"/>
        <v>6.9731109056950125</v>
      </c>
      <c r="S947" s="38">
        <f t="shared" ca="1" si="155"/>
        <v>295.625</v>
      </c>
    </row>
    <row r="948" spans="13:19">
      <c r="M948" s="132">
        <f t="shared" ca="1" si="154"/>
        <v>302.91592124937245</v>
      </c>
      <c r="N948" s="38">
        <f t="shared" si="156"/>
        <v>8.8781250000000007</v>
      </c>
      <c r="O948" s="36">
        <f t="shared" si="157"/>
        <v>236.75</v>
      </c>
      <c r="P948" s="38">
        <f ca="1">IF(ISERROR(IF(O948&lt;fi_h/20,0,(OFFSET('Base de dados'!$A$5,IF(O948&lt;20,1,IF(O948&gt;1000,10,MATCH(O948,Cargas,1))),Coluna_fih,1,1))*(1+0.13*0.25)*(PI()*(fi_h/1000)^2/4)*SQRT(2*9.81*(O948/100-fi_h/2/1000))*1000)),"",IF(O948&lt;fi_h/20,0,(OFFSET('Base de dados'!$A$5,IF(O948&lt;20,1,IF(O948&gt;1000,10,MATCH(O948,Cargas,1))),Coluna_fih,1,1))*(PI()*(fi_h/1000)^2/4)*SQRT(2*9.81*(O948/100-fi_h/2/1000))*1000))</f>
        <v>4.1033730393350618</v>
      </c>
      <c r="Q948" s="38">
        <f ca="1">IF(O948="","",IF(Tipo_Vertedor="Retangular",IF(O948&lt;=cota_s*100,0,IF(Tipo_Vertedor="Retangular",Cd_sr*Lef_sr*((O948/100-cota_s)^(3/2))*1000)),IF(O948&lt;=cota_s*100+fi_s/20,0,(OFFSET('Base de dados'!$A$4,IF(O948&lt;20,1,IF(O948&gt;1000,10,MATCH(O948,Cargas,1))),Coluna_fis,1,1))*(PI()*(fi_s/1000)^2/4)*(2*9.81*(O948/100-cota_s-fi_s/2/1000))^0.5*1000)))</f>
        <v>2.8750482100373591</v>
      </c>
      <c r="R948" s="38">
        <f t="shared" ca="1" si="158"/>
        <v>6.9784212493724205</v>
      </c>
      <c r="S948" s="38">
        <f t="shared" ca="1" si="155"/>
        <v>295.9375</v>
      </c>
    </row>
    <row r="949" spans="13:19">
      <c r="M949" s="132">
        <f t="shared" ca="1" si="154"/>
        <v>303.23372703457721</v>
      </c>
      <c r="N949" s="38">
        <f t="shared" si="156"/>
        <v>8.8875000000000011</v>
      </c>
      <c r="O949" s="36">
        <f t="shared" si="157"/>
        <v>237</v>
      </c>
      <c r="P949" s="38">
        <f ca="1">IF(ISERROR(IF(O949&lt;fi_h/20,0,(OFFSET('Base de dados'!$A$5,IF(O949&lt;20,1,IF(O949&gt;1000,10,MATCH(O949,Cargas,1))),Coluna_fih,1,1))*(1+0.13*0.25)*(PI()*(fi_h/1000)^2/4)*SQRT(2*9.81*(O949/100-fi_h/2/1000))*1000)),"",IF(O949&lt;fi_h/20,0,(OFFSET('Base de dados'!$A$5,IF(O949&lt;20,1,IF(O949&gt;1000,10,MATCH(O949,Cargas,1))),Coluna_fih,1,1))*(PI()*(fi_h/1000)^2/4)*SQRT(2*9.81*(O949/100-fi_h/2/1000))*1000))</f>
        <v>4.1055551972196698</v>
      </c>
      <c r="Q949" s="38">
        <f ca="1">IF(O949="","",IF(Tipo_Vertedor="Retangular",IF(O949&lt;=cota_s*100,0,IF(Tipo_Vertedor="Retangular",Cd_sr*Lef_sr*((O949/100-cota_s)^(3/2))*1000)),IF(O949&lt;=cota_s*100+fi_s/20,0,(OFFSET('Base de dados'!$A$4,IF(O949&lt;20,1,IF(O949&gt;1000,10,MATCH(O949,Cargas,1))),Coluna_fis,1,1))*(PI()*(fi_s/1000)^2/4)*(2*9.81*(O949/100-cota_s-fi_s/2/1000))^0.5*1000)))</f>
        <v>2.8781718373574972</v>
      </c>
      <c r="R949" s="38">
        <f t="shared" ca="1" si="158"/>
        <v>6.9837270345771669</v>
      </c>
      <c r="S949" s="38">
        <f t="shared" ca="1" si="155"/>
        <v>296.25000000000006</v>
      </c>
    </row>
    <row r="950" spans="13:19">
      <c r="M950" s="132">
        <f t="shared" ca="1" si="154"/>
        <v>303.55152827420903</v>
      </c>
      <c r="N950" s="38">
        <f t="shared" si="156"/>
        <v>8.8968749999999996</v>
      </c>
      <c r="O950" s="36">
        <f t="shared" si="157"/>
        <v>237.25</v>
      </c>
      <c r="P950" s="38">
        <f ca="1">IF(ISERROR(IF(O950&lt;fi_h/20,0,(OFFSET('Base de dados'!$A$5,IF(O950&lt;20,1,IF(O950&gt;1000,10,MATCH(O950,Cargas,1))),Coluna_fih,1,1))*(1+0.13*0.25)*(PI()*(fi_h/1000)^2/4)*SQRT(2*9.81*(O950/100-fi_h/2/1000))*1000)),"",IF(O950&lt;fi_h/20,0,(OFFSET('Base de dados'!$A$5,IF(O950&lt;20,1,IF(O950&gt;1000,10,MATCH(O950,Cargas,1))),Coluna_fih,1,1))*(PI()*(fi_h/1000)^2/4)*SQRT(2*9.81*(O950/100-fi_h/2/1000))*1000))</f>
        <v>4.1077361958739527</v>
      </c>
      <c r="Q950" s="38">
        <f ca="1">IF(O950="","",IF(Tipo_Vertedor="Retangular",IF(O950&lt;=cota_s*100,0,IF(Tipo_Vertedor="Retangular",Cd_sr*Lef_sr*((O950/100-cota_s)^(3/2))*1000)),IF(O950&lt;=cota_s*100+fi_s/20,0,(OFFSET('Base de dados'!$A$4,IF(O950&lt;20,1,IF(O950&gt;1000,10,MATCH(O950,Cargas,1))),Coluna_fis,1,1))*(PI()*(fi_s/1000)^2/4)*(2*9.81*(O950/100-cota_s-fi_s/2/1000))^0.5*1000)))</f>
        <v>2.881292078335107</v>
      </c>
      <c r="R950" s="38">
        <f t="shared" ca="1" si="158"/>
        <v>6.9890282742090601</v>
      </c>
      <c r="S950" s="38">
        <f t="shared" ca="1" si="155"/>
        <v>296.5625</v>
      </c>
    </row>
    <row r="951" spans="13:19">
      <c r="M951" s="132">
        <f t="shared" ca="1" si="154"/>
        <v>303.86932498110326</v>
      </c>
      <c r="N951" s="38">
        <f t="shared" si="156"/>
        <v>8.90625</v>
      </c>
      <c r="O951" s="36">
        <f t="shared" si="157"/>
        <v>237.5</v>
      </c>
      <c r="P951" s="38">
        <f ca="1">IF(ISERROR(IF(O951&lt;fi_h/20,0,(OFFSET('Base de dados'!$A$5,IF(O951&lt;20,1,IF(O951&gt;1000,10,MATCH(O951,Cargas,1))),Coluna_fih,1,1))*(1+0.13*0.25)*(PI()*(fi_h/1000)^2/4)*SQRT(2*9.81*(O951/100-fi_h/2/1000))*1000)),"",IF(O951&lt;fi_h/20,0,(OFFSET('Base de dados'!$A$5,IF(O951&lt;20,1,IF(O951&gt;1000,10,MATCH(O951,Cargas,1))),Coluna_fih,1,1))*(PI()*(fi_h/1000)^2/4)*SQRT(2*9.81*(O951/100-fi_h/2/1000))*1000))</f>
        <v>4.1099160371434094</v>
      </c>
      <c r="Q951" s="38">
        <f ca="1">IF(O951="","",IF(Tipo_Vertedor="Retangular",IF(O951&lt;=cota_s*100,0,IF(Tipo_Vertedor="Retangular",Cd_sr*Lef_sr*((O951/100-cota_s)^(3/2))*1000)),IF(O951&lt;=cota_s*100+fi_s/20,0,(OFFSET('Base de dados'!$A$4,IF(O951&lt;20,1,IF(O951&gt;1000,10,MATCH(O951,Cargas,1))),Coluna_fis,1,1))*(PI()*(fi_s/1000)^2/4)*(2*9.81*(O951/100-cota_s-fi_s/2/1000))^0.5*1000)))</f>
        <v>2.8844089439598277</v>
      </c>
      <c r="R951" s="38">
        <f t="shared" ca="1" si="158"/>
        <v>6.9943249811032366</v>
      </c>
      <c r="S951" s="38">
        <f t="shared" ca="1" si="155"/>
        <v>296.875</v>
      </c>
    </row>
    <row r="952" spans="13:19">
      <c r="M952" s="132">
        <f t="shared" ca="1" si="154"/>
        <v>304.18711716803062</v>
      </c>
      <c r="N952" s="38">
        <f t="shared" si="156"/>
        <v>8.9156250000000004</v>
      </c>
      <c r="O952" s="36">
        <f t="shared" si="157"/>
        <v>237.75</v>
      </c>
      <c r="P952" s="38">
        <f ca="1">IF(ISERROR(IF(O952&lt;fi_h/20,0,(OFFSET('Base de dados'!$A$5,IF(O952&lt;20,1,IF(O952&gt;1000,10,MATCH(O952,Cargas,1))),Coluna_fih,1,1))*(1+0.13*0.25)*(PI()*(fi_h/1000)^2/4)*SQRT(2*9.81*(O952/100-fi_h/2/1000))*1000)),"",IF(O952&lt;fi_h/20,0,(OFFSET('Base de dados'!$A$5,IF(O952&lt;20,1,IF(O952&gt;1000,10,MATCH(O952,Cargas,1))),Coluna_fih,1,1))*(PI()*(fi_h/1000)^2/4)*SQRT(2*9.81*(O952/100-fi_h/2/1000))*1000))</f>
        <v>4.1120947228686457</v>
      </c>
      <c r="Q952" s="38">
        <f ca="1">IF(O952="","",IF(Tipo_Vertedor="Retangular",IF(O952&lt;=cota_s*100,0,IF(Tipo_Vertedor="Retangular",Cd_sr*Lef_sr*((O952/100-cota_s)^(3/2))*1000)),IF(O952&lt;=cota_s*100+fi_s/20,0,(OFFSET('Base de dados'!$A$4,IF(O952&lt;20,1,IF(O952&gt;1000,10,MATCH(O952,Cargas,1))),Coluna_fis,1,1))*(PI()*(fi_s/1000)^2/4)*(2*9.81*(O952/100-cota_s-fi_s/2/1000))^0.5*1000)))</f>
        <v>2.8875224451619861</v>
      </c>
      <c r="R952" s="38">
        <f t="shared" ca="1" si="158"/>
        <v>6.9996171680306318</v>
      </c>
      <c r="S952" s="38">
        <f t="shared" ca="1" si="155"/>
        <v>297.1875</v>
      </c>
    </row>
    <row r="953" spans="13:19">
      <c r="M953" s="132">
        <f t="shared" ca="1" si="154"/>
        <v>304.50490484769836</v>
      </c>
      <c r="N953" s="38">
        <f t="shared" si="156"/>
        <v>8.9249999999999989</v>
      </c>
      <c r="O953" s="36">
        <f t="shared" si="157"/>
        <v>238</v>
      </c>
      <c r="P953" s="38">
        <f ca="1">IF(ISERROR(IF(O953&lt;fi_h/20,0,(OFFSET('Base de dados'!$A$5,IF(O953&lt;20,1,IF(O953&gt;1000,10,MATCH(O953,Cargas,1))),Coluna_fih,1,1))*(1+0.13*0.25)*(PI()*(fi_h/1000)^2/4)*SQRT(2*9.81*(O953/100-fi_h/2/1000))*1000)),"",IF(O953&lt;fi_h/20,0,(OFFSET('Base de dados'!$A$5,IF(O953&lt;20,1,IF(O953&gt;1000,10,MATCH(O953,Cargas,1))),Coluna_fih,1,1))*(PI()*(fi_h/1000)^2/4)*SQRT(2*9.81*(O953/100-fi_h/2/1000))*1000))</f>
        <v>4.1142722548853934</v>
      </c>
      <c r="Q953" s="38">
        <f ca="1">IF(O953="","",IF(Tipo_Vertedor="Retangular",IF(O953&lt;=cota_s*100,0,IF(Tipo_Vertedor="Retangular",Cd_sr*Lef_sr*((O953/100-cota_s)^(3/2))*1000)),IF(O953&lt;=cota_s*100+fi_s/20,0,(OFFSET('Base de dados'!$A$4,IF(O953&lt;20,1,IF(O953&gt;1000,10,MATCH(O953,Cargas,1))),Coluna_fis,1,1))*(PI()*(fi_s/1000)^2/4)*(2*9.81*(O953/100-cota_s-fi_s/2/1000))^0.5*1000)))</f>
        <v>2.8906325928130441</v>
      </c>
      <c r="R953" s="38">
        <f t="shared" ca="1" si="158"/>
        <v>7.0049048476984375</v>
      </c>
      <c r="S953" s="38">
        <f t="shared" ca="1" si="155"/>
        <v>297.49999999999994</v>
      </c>
    </row>
    <row r="954" spans="13:19">
      <c r="M954" s="132">
        <f t="shared" ca="1" si="154"/>
        <v>304.82268803275059</v>
      </c>
      <c r="N954" s="38">
        <f t="shared" si="156"/>
        <v>8.9343749999999993</v>
      </c>
      <c r="O954" s="36">
        <f t="shared" si="157"/>
        <v>238.25</v>
      </c>
      <c r="P954" s="38">
        <f ca="1">IF(ISERROR(IF(O954&lt;fi_h/20,0,(OFFSET('Base de dados'!$A$5,IF(O954&lt;20,1,IF(O954&gt;1000,10,MATCH(O954,Cargas,1))),Coluna_fih,1,1))*(1+0.13*0.25)*(PI()*(fi_h/1000)^2/4)*SQRT(2*9.81*(O954/100-fi_h/2/1000))*1000)),"",IF(O954&lt;fi_h/20,0,(OFFSET('Base de dados'!$A$5,IF(O954&lt;20,1,IF(O954&gt;1000,10,MATCH(O954,Cargas,1))),Coluna_fih,1,1))*(PI()*(fi_h/1000)^2/4)*SQRT(2*9.81*(O954/100-fi_h/2/1000))*1000))</f>
        <v>4.1164486350245291</v>
      </c>
      <c r="Q954" s="38">
        <f ca="1">IF(O954="","",IF(Tipo_Vertedor="Retangular",IF(O954&lt;=cota_s*100,0,IF(Tipo_Vertedor="Retangular",Cd_sr*Lef_sr*((O954/100-cota_s)^(3/2))*1000)),IF(O954&lt;=cota_s*100+fi_s/20,0,(OFFSET('Base de dados'!$A$4,IF(O954&lt;20,1,IF(O954&gt;1000,10,MATCH(O954,Cargas,1))),Coluna_fis,1,1))*(PI()*(fi_s/1000)^2/4)*(2*9.81*(O954/100-cota_s-fi_s/2/1000))^0.5*1000)))</f>
        <v>2.8937393977260406</v>
      </c>
      <c r="R954" s="38">
        <f t="shared" ca="1" si="158"/>
        <v>7.0101880327505697</v>
      </c>
      <c r="S954" s="38">
        <f t="shared" ca="1" si="155"/>
        <v>297.8125</v>
      </c>
    </row>
    <row r="955" spans="13:19">
      <c r="M955" s="132">
        <f t="shared" ca="1" si="154"/>
        <v>305.14046673576814</v>
      </c>
      <c r="N955" s="38">
        <f t="shared" si="156"/>
        <v>8.9437499999999996</v>
      </c>
      <c r="O955" s="36">
        <f t="shared" si="157"/>
        <v>238.5</v>
      </c>
      <c r="P955" s="38">
        <f ca="1">IF(ISERROR(IF(O955&lt;fi_h/20,0,(OFFSET('Base de dados'!$A$5,IF(O955&lt;20,1,IF(O955&gt;1000,10,MATCH(O955,Cargas,1))),Coluna_fih,1,1))*(1+0.13*0.25)*(PI()*(fi_h/1000)^2/4)*SQRT(2*9.81*(O955/100-fi_h/2/1000))*1000)),"",IF(O955&lt;fi_h/20,0,(OFFSET('Base de dados'!$A$5,IF(O955&lt;20,1,IF(O955&gt;1000,10,MATCH(O955,Cargas,1))),Coluna_fih,1,1))*(PI()*(fi_h/1000)^2/4)*SQRT(2*9.81*(O955/100-fi_h/2/1000))*1000))</f>
        <v>4.1186238651120943</v>
      </c>
      <c r="Q955" s="38">
        <f ca="1">IF(O955="","",IF(Tipo_Vertedor="Retangular",IF(O955&lt;=cota_s*100,0,IF(Tipo_Vertedor="Retangular",Cd_sr*Lef_sr*((O955/100-cota_s)^(3/2))*1000)),IF(O955&lt;=cota_s*100+fi_s/20,0,(OFFSET('Base de dados'!$A$4,IF(O955&lt;20,1,IF(O955&gt;1000,10,MATCH(O955,Cargas,1))),Coluna_fis,1,1))*(PI()*(fi_s/1000)^2/4)*(2*9.81*(O955/100-cota_s-fi_s/2/1000))^0.5*1000)))</f>
        <v>2.8968428706560316</v>
      </c>
      <c r="R955" s="38">
        <f t="shared" ca="1" si="158"/>
        <v>7.0154667357681255</v>
      </c>
      <c r="S955" s="38">
        <f t="shared" ca="1" si="155"/>
        <v>298.125</v>
      </c>
    </row>
    <row r="956" spans="13:19">
      <c r="M956" s="132">
        <f t="shared" ca="1" si="154"/>
        <v>305.45824096926981</v>
      </c>
      <c r="N956" s="38">
        <f t="shared" si="156"/>
        <v>8.953125</v>
      </c>
      <c r="O956" s="36">
        <f t="shared" si="157"/>
        <v>238.75</v>
      </c>
      <c r="P956" s="38">
        <f ca="1">IF(ISERROR(IF(O956&lt;fi_h/20,0,(OFFSET('Base de dados'!$A$5,IF(O956&lt;20,1,IF(O956&gt;1000,10,MATCH(O956,Cargas,1))),Coluna_fih,1,1))*(1+0.13*0.25)*(PI()*(fi_h/1000)^2/4)*SQRT(2*9.81*(O956/100-fi_h/2/1000))*1000)),"",IF(O956&lt;fi_h/20,0,(OFFSET('Base de dados'!$A$5,IF(O956&lt;20,1,IF(O956&gt;1000,10,MATCH(O956,Cargas,1))),Coluna_fih,1,1))*(PI()*(fi_h/1000)^2/4)*SQRT(2*9.81*(O956/100-fi_h/2/1000))*1000))</f>
        <v>4.1207979469693088</v>
      </c>
      <c r="Q956" s="38">
        <f ca="1">IF(O956="","",IF(Tipo_Vertedor="Retangular",IF(O956&lt;=cota_s*100,0,IF(Tipo_Vertedor="Retangular",Cd_sr*Lef_sr*((O956/100-cota_s)^(3/2))*1000)),IF(O956&lt;=cota_s*100+fi_s/20,0,(OFFSET('Base de dados'!$A$4,IF(O956&lt;20,1,IF(O956&gt;1000,10,MATCH(O956,Cargas,1))),Coluna_fis,1,1))*(PI()*(fi_s/1000)^2/4)*(2*9.81*(O956/100-cota_s-fi_s/2/1000))^0.5*1000)))</f>
        <v>2.8999430223005227</v>
      </c>
      <c r="R956" s="38">
        <f t="shared" ca="1" si="158"/>
        <v>7.0207409692698315</v>
      </c>
      <c r="S956" s="38">
        <f t="shared" ca="1" si="155"/>
        <v>298.4375</v>
      </c>
    </row>
    <row r="957" spans="13:19">
      <c r="M957" s="132">
        <f t="shared" ca="1" si="154"/>
        <v>305.77601074571248</v>
      </c>
      <c r="N957" s="38">
        <f t="shared" si="156"/>
        <v>8.9625000000000004</v>
      </c>
      <c r="O957" s="36">
        <f t="shared" si="157"/>
        <v>239</v>
      </c>
      <c r="P957" s="38">
        <f ca="1">IF(ISERROR(IF(O957&lt;fi_h/20,0,(OFFSET('Base de dados'!$A$5,IF(O957&lt;20,1,IF(O957&gt;1000,10,MATCH(O957,Cargas,1))),Coluna_fih,1,1))*(1+0.13*0.25)*(PI()*(fi_h/1000)^2/4)*SQRT(2*9.81*(O957/100-fi_h/2/1000))*1000)),"",IF(O957&lt;fi_h/20,0,(OFFSET('Base de dados'!$A$5,IF(O957&lt;20,1,IF(O957&gt;1000,10,MATCH(O957,Cargas,1))),Coluna_fih,1,1))*(PI()*(fi_h/1000)^2/4)*SQRT(2*9.81*(O957/100-fi_h/2/1000))*1000))</f>
        <v>4.1229708824125888</v>
      </c>
      <c r="Q957" s="38">
        <f ca="1">IF(O957="","",IF(Tipo_Vertedor="Retangular",IF(O957&lt;=cota_s*100,0,IF(Tipo_Vertedor="Retangular",Cd_sr*Lef_sr*((O957/100-cota_s)^(3/2))*1000)),IF(O957&lt;=cota_s*100+fi_s/20,0,(OFFSET('Base de dados'!$A$4,IF(O957&lt;20,1,IF(O957&gt;1000,10,MATCH(O957,Cargas,1))),Coluna_fis,1,1))*(PI()*(fi_s/1000)^2/4)*(2*9.81*(O957/100-cota_s-fi_s/2/1000))^0.5*1000)))</f>
        <v>2.9030398632998993</v>
      </c>
      <c r="R957" s="38">
        <f t="shared" ca="1" si="158"/>
        <v>7.0260107457124885</v>
      </c>
      <c r="S957" s="38">
        <f t="shared" ca="1" si="155"/>
        <v>298.75</v>
      </c>
    </row>
    <row r="958" spans="13:19">
      <c r="M958" s="132">
        <f t="shared" ca="1" si="154"/>
        <v>306.09377607749144</v>
      </c>
      <c r="N958" s="38">
        <f t="shared" si="156"/>
        <v>8.9718750000000007</v>
      </c>
      <c r="O958" s="36">
        <f t="shared" si="157"/>
        <v>239.25</v>
      </c>
      <c r="P958" s="38">
        <f ca="1">IF(ISERROR(IF(O958&lt;fi_h/20,0,(OFFSET('Base de dados'!$A$5,IF(O958&lt;20,1,IF(O958&gt;1000,10,MATCH(O958,Cargas,1))),Coluna_fih,1,1))*(1+0.13*0.25)*(PI()*(fi_h/1000)^2/4)*SQRT(2*9.81*(O958/100-fi_h/2/1000))*1000)),"",IF(O958&lt;fi_h/20,0,(OFFSET('Base de dados'!$A$5,IF(O958&lt;20,1,IF(O958&gt;1000,10,MATCH(O958,Cargas,1))),Coluna_fih,1,1))*(PI()*(fi_h/1000)^2/4)*SQRT(2*9.81*(O958/100-fi_h/2/1000))*1000))</f>
        <v>4.1251426732535705</v>
      </c>
      <c r="Q958" s="38">
        <f ca="1">IF(O958="","",IF(Tipo_Vertedor="Retangular",IF(O958&lt;=cota_s*100,0,IF(Tipo_Vertedor="Retangular",Cd_sr*Lef_sr*((O958/100-cota_s)^(3/2))*1000)),IF(O958&lt;=cota_s*100+fi_s/20,0,(OFFSET('Base de dados'!$A$4,IF(O958&lt;20,1,IF(O958&gt;1000,10,MATCH(O958,Cargas,1))),Coluna_fis,1,1))*(PI()*(fi_s/1000)^2/4)*(2*9.81*(O958/100-cota_s-fi_s/2/1000))^0.5*1000)))</f>
        <v>2.9061334042378548</v>
      </c>
      <c r="R958" s="38">
        <f t="shared" ca="1" si="158"/>
        <v>7.0312760774914249</v>
      </c>
      <c r="S958" s="38">
        <f t="shared" ca="1" si="155"/>
        <v>299.0625</v>
      </c>
    </row>
    <row r="959" spans="13:19">
      <c r="M959" s="132">
        <f t="shared" ca="1" si="154"/>
        <v>306.41153697694091</v>
      </c>
      <c r="N959" s="38">
        <f t="shared" si="156"/>
        <v>8.9812499999999993</v>
      </c>
      <c r="O959" s="36">
        <f t="shared" si="157"/>
        <v>239.5</v>
      </c>
      <c r="P959" s="38">
        <f ca="1">IF(ISERROR(IF(O959&lt;fi_h/20,0,(OFFSET('Base de dados'!$A$5,IF(O959&lt;20,1,IF(O959&gt;1000,10,MATCH(O959,Cargas,1))),Coluna_fih,1,1))*(1+0.13*0.25)*(PI()*(fi_h/1000)^2/4)*SQRT(2*9.81*(O959/100-fi_h/2/1000))*1000)),"",IF(O959&lt;fi_h/20,0,(OFFSET('Base de dados'!$A$5,IF(O959&lt;20,1,IF(O959&gt;1000,10,MATCH(O959,Cargas,1))),Coluna_fih,1,1))*(PI()*(fi_h/1000)^2/4)*SQRT(2*9.81*(O959/100-fi_h/2/1000))*1000))</f>
        <v>4.1273133212991215</v>
      </c>
      <c r="Q959" s="38">
        <f ca="1">IF(O959="","",IF(Tipo_Vertedor="Retangular",IF(O959&lt;=cota_s*100,0,IF(Tipo_Vertedor="Retangular",Cd_sr*Lef_sr*((O959/100-cota_s)^(3/2))*1000)),IF(O959&lt;=cota_s*100+fi_s/20,0,(OFFSET('Base de dados'!$A$4,IF(O959&lt;20,1,IF(O959&gt;1000,10,MATCH(O959,Cargas,1))),Coluna_fis,1,1))*(PI()*(fi_s/1000)^2/4)*(2*9.81*(O959/100-cota_s-fi_s/2/1000))^0.5*1000)))</f>
        <v>2.9092236556418127</v>
      </c>
      <c r="R959" s="38">
        <f t="shared" ca="1" si="158"/>
        <v>7.0365369769409343</v>
      </c>
      <c r="S959" s="38">
        <f t="shared" ca="1" si="155"/>
        <v>299.375</v>
      </c>
    </row>
    <row r="960" spans="13:19">
      <c r="M960" s="132">
        <f t="shared" ca="1" si="154"/>
        <v>306.72929345633469</v>
      </c>
      <c r="N960" s="38">
        <f t="shared" si="156"/>
        <v>8.9906249999999996</v>
      </c>
      <c r="O960" s="36">
        <f t="shared" si="157"/>
        <v>239.75</v>
      </c>
      <c r="P960" s="38">
        <f ca="1">IF(ISERROR(IF(O960&lt;fi_h/20,0,(OFFSET('Base de dados'!$A$5,IF(O960&lt;20,1,IF(O960&gt;1000,10,MATCH(O960,Cargas,1))),Coluna_fih,1,1))*(1+0.13*0.25)*(PI()*(fi_h/1000)^2/4)*SQRT(2*9.81*(O960/100-fi_h/2/1000))*1000)),"",IF(O960&lt;fi_h/20,0,(OFFSET('Base de dados'!$A$5,IF(O960&lt;20,1,IF(O960&gt;1000,10,MATCH(O960,Cargas,1))),Coluna_fih,1,1))*(PI()*(fi_h/1000)^2/4)*SQRT(2*9.81*(O960/100-fi_h/2/1000))*1000))</f>
        <v>4.1294828283513629</v>
      </c>
      <c r="Q960" s="38">
        <f ca="1">IF(O960="","",IF(Tipo_Vertedor="Retangular",IF(O960&lt;=cota_s*100,0,IF(Tipo_Vertedor="Retangular",Cd_sr*Lef_sr*((O960/100-cota_s)^(3/2))*1000)),IF(O960&lt;=cota_s*100+fi_s/20,0,(OFFSET('Base de dados'!$A$4,IF(O960&lt;20,1,IF(O960&gt;1000,10,MATCH(O960,Cargas,1))),Coluna_fis,1,1))*(PI()*(fi_s/1000)^2/4)*(2*9.81*(O960/100-cota_s-fi_s/2/1000))^0.5*1000)))</f>
        <v>2.9123106279833411</v>
      </c>
      <c r="R960" s="38">
        <f t="shared" ca="1" si="158"/>
        <v>7.0417934563347035</v>
      </c>
      <c r="S960" s="38">
        <f t="shared" ca="1" si="155"/>
        <v>299.6875</v>
      </c>
    </row>
    <row r="961" spans="13:19">
      <c r="M961" s="132">
        <f t="shared" ca="1" si="154"/>
        <v>307.04704552788627</v>
      </c>
      <c r="N961" s="38">
        <f t="shared" si="156"/>
        <v>9</v>
      </c>
      <c r="O961" s="36">
        <f t="shared" si="157"/>
        <v>240</v>
      </c>
      <c r="P961" s="38">
        <f ca="1">IF(ISERROR(IF(O961&lt;fi_h/20,0,(OFFSET('Base de dados'!$A$5,IF(O961&lt;20,1,IF(O961&gt;1000,10,MATCH(O961,Cargas,1))),Coluna_fih,1,1))*(1+0.13*0.25)*(PI()*(fi_h/1000)^2/4)*SQRT(2*9.81*(O961/100-fi_h/2/1000))*1000)),"",IF(O961&lt;fi_h/20,0,(OFFSET('Base de dados'!$A$5,IF(O961&lt;20,1,IF(O961&gt;1000,10,MATCH(O961,Cargas,1))),Coluna_fih,1,1))*(PI()*(fi_h/1000)^2/4)*SQRT(2*9.81*(O961/100-fi_h/2/1000))*1000))</f>
        <v>4.1316511962076783</v>
      </c>
      <c r="Q961" s="38">
        <f ca="1">IF(O961="","",IF(Tipo_Vertedor="Retangular",IF(O961&lt;=cota_s*100,0,IF(Tipo_Vertedor="Retangular",Cd_sr*Lef_sr*((O961/100-cota_s)^(3/2))*1000)),IF(O961&lt;=cota_s*100+fi_s/20,0,(OFFSET('Base de dados'!$A$4,IF(O961&lt;20,1,IF(O961&gt;1000,10,MATCH(O961,Cargas,1))),Coluna_fis,1,1))*(PI()*(fi_s/1000)^2/4)*(2*9.81*(O961/100-cota_s-fi_s/2/1000))^0.5*1000)))</f>
        <v>2.9153943316785687</v>
      </c>
      <c r="R961" s="38">
        <f t="shared" ca="1" si="158"/>
        <v>7.0470455278862474</v>
      </c>
      <c r="S961" s="38">
        <f t="shared" ca="1" si="155"/>
        <v>300</v>
      </c>
    </row>
    <row r="962" spans="13:19">
      <c r="M962" s="132">
        <f t="shared" ca="1" si="154"/>
        <v>307.36479320374929</v>
      </c>
      <c r="N962" s="38">
        <f t="shared" si="156"/>
        <v>9.0093749999999986</v>
      </c>
      <c r="O962" s="36">
        <f t="shared" si="157"/>
        <v>240.25</v>
      </c>
      <c r="P962" s="38">
        <f ca="1">IF(ISERROR(IF(O962&lt;fi_h/20,0,(OFFSET('Base de dados'!$A$5,IF(O962&lt;20,1,IF(O962&gt;1000,10,MATCH(O962,Cargas,1))),Coluna_fih,1,1))*(1+0.13*0.25)*(PI()*(fi_h/1000)^2/4)*SQRT(2*9.81*(O962/100-fi_h/2/1000))*1000)),"",IF(O962&lt;fi_h/20,0,(OFFSET('Base de dados'!$A$5,IF(O962&lt;20,1,IF(O962&gt;1000,10,MATCH(O962,Cargas,1))),Coluna_fih,1,1))*(PI()*(fi_h/1000)^2/4)*SQRT(2*9.81*(O962/100-fi_h/2/1000))*1000))</f>
        <v>4.1338184266607447</v>
      </c>
      <c r="Q962" s="38">
        <f ca="1">IF(O962="","",IF(Tipo_Vertedor="Retangular",IF(O962&lt;=cota_s*100,0,IF(Tipo_Vertedor="Retangular",Cd_sr*Lef_sr*((O962/100-cota_s)^(3/2))*1000)),IF(O962&lt;=cota_s*100+fi_s/20,0,(OFFSET('Base de dados'!$A$4,IF(O962&lt;20,1,IF(O962&gt;1000,10,MATCH(O962,Cargas,1))),Coluna_fis,1,1))*(PI()*(fi_s/1000)^2/4)*(2*9.81*(O962/100-cota_s-fi_s/2/1000))^0.5*1000)))</f>
        <v>2.9184747770885973</v>
      </c>
      <c r="R962" s="38">
        <f t="shared" ca="1" si="158"/>
        <v>7.0522932037493415</v>
      </c>
      <c r="S962" s="38">
        <f t="shared" ca="1" si="155"/>
        <v>300.31249999999994</v>
      </c>
    </row>
    <row r="963" spans="13:19">
      <c r="M963" s="132">
        <f t="shared" ca="1" si="154"/>
        <v>307.68253649601837</v>
      </c>
      <c r="N963" s="38">
        <f t="shared" si="156"/>
        <v>9.0187499999999989</v>
      </c>
      <c r="O963" s="36">
        <f t="shared" si="157"/>
        <v>240.5</v>
      </c>
      <c r="P963" s="38">
        <f ca="1">IF(ISERROR(IF(O963&lt;fi_h/20,0,(OFFSET('Base de dados'!$A$5,IF(O963&lt;20,1,IF(O963&gt;1000,10,MATCH(O963,Cargas,1))),Coluna_fih,1,1))*(1+0.13*0.25)*(PI()*(fi_h/1000)^2/4)*SQRT(2*9.81*(O963/100-fi_h/2/1000))*1000)),"",IF(O963&lt;fi_h/20,0,(OFFSET('Base de dados'!$A$5,IF(O963&lt;20,1,IF(O963&gt;1000,10,MATCH(O963,Cargas,1))),Coluna_fih,1,1))*(PI()*(fi_h/1000)^2/4)*SQRT(2*9.81*(O963/100-fi_h/2/1000))*1000))</f>
        <v>4.1359845214985373</v>
      </c>
      <c r="Q963" s="38">
        <f ca="1">IF(O963="","",IF(Tipo_Vertedor="Retangular",IF(O963&lt;=cota_s*100,0,IF(Tipo_Vertedor="Retangular",Cd_sr*Lef_sr*((O963/100-cota_s)^(3/2))*1000)),IF(O963&lt;=cota_s*100+fi_s/20,0,(OFFSET('Base de dados'!$A$4,IF(O963&lt;20,1,IF(O963&gt;1000,10,MATCH(O963,Cargas,1))),Coluna_fis,1,1))*(PI()*(fi_s/1000)^2/4)*(2*9.81*(O963/100-cota_s-fi_s/2/1000))^0.5*1000)))</f>
        <v>2.921551974519903</v>
      </c>
      <c r="R963" s="38">
        <f t="shared" ca="1" si="158"/>
        <v>7.0575364960184404</v>
      </c>
      <c r="S963" s="38">
        <f t="shared" ca="1" si="155"/>
        <v>300.62499999999994</v>
      </c>
    </row>
    <row r="964" spans="13:19">
      <c r="M964" s="132">
        <f t="shared" ca="1" si="154"/>
        <v>308.00027541672915</v>
      </c>
      <c r="N964" s="38">
        <f t="shared" si="156"/>
        <v>9.0281250000000011</v>
      </c>
      <c r="O964" s="36">
        <f t="shared" si="157"/>
        <v>240.75</v>
      </c>
      <c r="P964" s="38">
        <f ca="1">IF(ISERROR(IF(O964&lt;fi_h/20,0,(OFFSET('Base de dados'!$A$5,IF(O964&lt;20,1,IF(O964&gt;1000,10,MATCH(O964,Cargas,1))),Coluna_fih,1,1))*(1+0.13*0.25)*(PI()*(fi_h/1000)^2/4)*SQRT(2*9.81*(O964/100-fi_h/2/1000))*1000)),"",IF(O964&lt;fi_h/20,0,(OFFSET('Base de dados'!$A$5,IF(O964&lt;20,1,IF(O964&gt;1000,10,MATCH(O964,Cargas,1))),Coluna_fih,1,1))*(PI()*(fi_h/1000)^2/4)*SQRT(2*9.81*(O964/100-fi_h/2/1000))*1000))</f>
        <v>4.1381494825043559</v>
      </c>
      <c r="Q964" s="38">
        <f ca="1">IF(O964="","",IF(Tipo_Vertedor="Retangular",IF(O964&lt;=cota_s*100,0,IF(Tipo_Vertedor="Retangular",Cd_sr*Lef_sr*((O964/100-cota_s)^(3/2))*1000)),IF(O964&lt;=cota_s*100+fi_s/20,0,(OFFSET('Base de dados'!$A$4,IF(O964&lt;20,1,IF(O964&gt;1000,10,MATCH(O964,Cargas,1))),Coluna_fis,1,1))*(PI()*(fi_s/1000)^2/4)*(2*9.81*(O964/100-cota_s-fi_s/2/1000))^0.5*1000)))</f>
        <v>2.9246259342247436</v>
      </c>
      <c r="R964" s="38">
        <f t="shared" ca="1" si="158"/>
        <v>7.0627754167290995</v>
      </c>
      <c r="S964" s="38">
        <f t="shared" ca="1" si="155"/>
        <v>300.93750000000006</v>
      </c>
    </row>
    <row r="965" spans="13:19">
      <c r="M965" s="132">
        <f t="shared" ref="M965:M1028" ca="1" si="159">IF(O965="","",2*N965*1000/(Passo*60)+R965)</f>
        <v>308.31800997785842</v>
      </c>
      <c r="N965" s="38">
        <f t="shared" si="156"/>
        <v>9.0375000000000014</v>
      </c>
      <c r="O965" s="36">
        <f t="shared" si="157"/>
        <v>241</v>
      </c>
      <c r="P965" s="38">
        <f ca="1">IF(ISERROR(IF(O965&lt;fi_h/20,0,(OFFSET('Base de dados'!$A$5,IF(O965&lt;20,1,IF(O965&gt;1000,10,MATCH(O965,Cargas,1))),Coluna_fih,1,1))*(1+0.13*0.25)*(PI()*(fi_h/1000)^2/4)*SQRT(2*9.81*(O965/100-fi_h/2/1000))*1000)),"",IF(O965&lt;fi_h/20,0,(OFFSET('Base de dados'!$A$5,IF(O965&lt;20,1,IF(O965&gt;1000,10,MATCH(O965,Cargas,1))),Coluna_fih,1,1))*(PI()*(fi_h/1000)^2/4)*SQRT(2*9.81*(O965/100-fi_h/2/1000))*1000))</f>
        <v>4.1403133114568318</v>
      </c>
      <c r="Q965" s="38">
        <f ca="1">IF(O965="","",IF(Tipo_Vertedor="Retangular",IF(O965&lt;=cota_s*100,0,IF(Tipo_Vertedor="Retangular",Cd_sr*Lef_sr*((O965/100-cota_s)^(3/2))*1000)),IF(O965&lt;=cota_s*100+fi_s/20,0,(OFFSET('Base de dados'!$A$4,IF(O965&lt;20,1,IF(O965&gt;1000,10,MATCH(O965,Cargas,1))),Coluna_fis,1,1))*(PI()*(fi_s/1000)^2/4)*(2*9.81*(O965/100-cota_s-fi_s/2/1000))^0.5*1000)))</f>
        <v>2.9276966664015527</v>
      </c>
      <c r="R965" s="38">
        <f t="shared" ca="1" si="158"/>
        <v>7.0680099778583845</v>
      </c>
      <c r="S965" s="38">
        <f t="shared" ref="S965:S1028" ca="1" si="160">IF(M965="","",2*N965*1000/(Passo*60))</f>
        <v>301.25000000000006</v>
      </c>
    </row>
    <row r="966" spans="13:19">
      <c r="M966" s="132">
        <f t="shared" ca="1" si="159"/>
        <v>308.63574019132528</v>
      </c>
      <c r="N966" s="38">
        <f t="shared" ref="N966:N1029" si="161">IF(O966="","",b_0*(O966/100)^c_0)</f>
        <v>9.046875</v>
      </c>
      <c r="O966" s="36">
        <f t="shared" si="157"/>
        <v>241.25</v>
      </c>
      <c r="P966" s="38">
        <f ca="1">IF(ISERROR(IF(O966&lt;fi_h/20,0,(OFFSET('Base de dados'!$A$5,IF(O966&lt;20,1,IF(O966&gt;1000,10,MATCH(O966,Cargas,1))),Coluna_fih,1,1))*(1+0.13*0.25)*(PI()*(fi_h/1000)^2/4)*SQRT(2*9.81*(O966/100-fi_h/2/1000))*1000)),"",IF(O966&lt;fi_h/20,0,(OFFSET('Base de dados'!$A$5,IF(O966&lt;20,1,IF(O966&gt;1000,10,MATCH(O966,Cargas,1))),Coluna_fih,1,1))*(PI()*(fi_h/1000)^2/4)*SQRT(2*9.81*(O966/100-fi_h/2/1000))*1000))</f>
        <v>4.1424760101299585</v>
      </c>
      <c r="Q966" s="38">
        <f ca="1">IF(O966="","",IF(Tipo_Vertedor="Retangular",IF(O966&lt;=cota_s*100,0,IF(Tipo_Vertedor="Retangular",Cd_sr*Lef_sr*((O966/100-cota_s)^(3/2))*1000)),IF(O966&lt;=cota_s*100+fi_s/20,0,(OFFSET('Base de dados'!$A$4,IF(O966&lt;20,1,IF(O966&gt;1000,10,MATCH(O966,Cargas,1))),Coluna_fis,1,1))*(PI()*(fi_s/1000)^2/4)*(2*9.81*(O966/100-cota_s-fi_s/2/1000))^0.5*1000)))</f>
        <v>2.9307641811953369</v>
      </c>
      <c r="R966" s="38">
        <f t="shared" ca="1" si="158"/>
        <v>7.0732401913252954</v>
      </c>
      <c r="S966" s="38">
        <f t="shared" ca="1" si="160"/>
        <v>301.5625</v>
      </c>
    </row>
    <row r="967" spans="13:19">
      <c r="M967" s="132">
        <f t="shared" ca="1" si="159"/>
        <v>308.95346606899113</v>
      </c>
      <c r="N967" s="38">
        <f t="shared" si="161"/>
        <v>9.0562500000000004</v>
      </c>
      <c r="O967" s="36">
        <f t="shared" si="157"/>
        <v>241.5</v>
      </c>
      <c r="P967" s="38">
        <f ca="1">IF(ISERROR(IF(O967&lt;fi_h/20,0,(OFFSET('Base de dados'!$A$5,IF(O967&lt;20,1,IF(O967&gt;1000,10,MATCH(O967,Cargas,1))),Coluna_fih,1,1))*(1+0.13*0.25)*(PI()*(fi_h/1000)^2/4)*SQRT(2*9.81*(O967/100-fi_h/2/1000))*1000)),"",IF(O967&lt;fi_h/20,0,(OFFSET('Base de dados'!$A$5,IF(O967&lt;20,1,IF(O967&gt;1000,10,MATCH(O967,Cargas,1))),Coluna_fih,1,1))*(PI()*(fi_h/1000)^2/4)*SQRT(2*9.81*(O967/100-fi_h/2/1000))*1000))</f>
        <v>4.1446375802930948</v>
      </c>
      <c r="Q967" s="38">
        <f ca="1">IF(O967="","",IF(Tipo_Vertedor="Retangular",IF(O967&lt;=cota_s*100,0,IF(Tipo_Vertedor="Retangular",Cd_sr*Lef_sr*((O967/100-cota_s)^(3/2))*1000)),IF(O967&lt;=cota_s*100+fi_s/20,0,(OFFSET('Base de dados'!$A$4,IF(O967&lt;20,1,IF(O967&gt;1000,10,MATCH(O967,Cargas,1))),Coluna_fis,1,1))*(PI()*(fi_s/1000)^2/4)*(2*9.81*(O967/100-cota_s-fi_s/2/1000))^0.5*1000)))</f>
        <v>2.9338284886980661</v>
      </c>
      <c r="R967" s="38">
        <f t="shared" ca="1" si="158"/>
        <v>7.0784660689911609</v>
      </c>
      <c r="S967" s="38">
        <f t="shared" ca="1" si="160"/>
        <v>301.875</v>
      </c>
    </row>
    <row r="968" spans="13:19">
      <c r="M968" s="132">
        <f t="shared" ca="1" si="159"/>
        <v>309.27118762266008</v>
      </c>
      <c r="N968" s="38">
        <f t="shared" si="161"/>
        <v>9.0656250000000007</v>
      </c>
      <c r="O968" s="36">
        <f t="shared" si="157"/>
        <v>241.75</v>
      </c>
      <c r="P968" s="38">
        <f ca="1">IF(ISERROR(IF(O968&lt;fi_h/20,0,(OFFSET('Base de dados'!$A$5,IF(O968&lt;20,1,IF(O968&gt;1000,10,MATCH(O968,Cargas,1))),Coluna_fih,1,1))*(1+0.13*0.25)*(PI()*(fi_h/1000)^2/4)*SQRT(2*9.81*(O968/100-fi_h/2/1000))*1000)),"",IF(O968&lt;fi_h/20,0,(OFFSET('Base de dados'!$A$5,IF(O968&lt;20,1,IF(O968&gt;1000,10,MATCH(O968,Cargas,1))),Coluna_fih,1,1))*(PI()*(fi_h/1000)^2/4)*SQRT(2*9.81*(O968/100-fi_h/2/1000))*1000))</f>
        <v>4.1467980237109892</v>
      </c>
      <c r="Q968" s="38">
        <f ca="1">IF(O968="","",IF(Tipo_Vertedor="Retangular",IF(O968&lt;=cota_s*100,0,IF(Tipo_Vertedor="Retangular",Cd_sr*Lef_sr*((O968/100-cota_s)^(3/2))*1000)),IF(O968&lt;=cota_s*100+fi_s/20,0,(OFFSET('Base de dados'!$A$4,IF(O968&lt;20,1,IF(O968&gt;1000,10,MATCH(O968,Cargas,1))),Coluna_fis,1,1))*(PI()*(fi_s/1000)^2/4)*(2*9.81*(O968/100-cota_s-fi_s/2/1000))^0.5*1000)))</f>
        <v>2.9368895989490631</v>
      </c>
      <c r="R968" s="38">
        <f t="shared" ca="1" si="158"/>
        <v>7.0836876226600527</v>
      </c>
      <c r="S968" s="38">
        <f t="shared" ca="1" si="160"/>
        <v>302.1875</v>
      </c>
    </row>
    <row r="969" spans="13:19">
      <c r="M969" s="132">
        <f t="shared" ca="1" si="159"/>
        <v>309.58890486407915</v>
      </c>
      <c r="N969" s="38">
        <f t="shared" si="161"/>
        <v>9.0749999999999993</v>
      </c>
      <c r="O969" s="36">
        <f t="shared" si="157"/>
        <v>242</v>
      </c>
      <c r="P969" s="38">
        <f ca="1">IF(ISERROR(IF(O969&lt;fi_h/20,0,(OFFSET('Base de dados'!$A$5,IF(O969&lt;20,1,IF(O969&gt;1000,10,MATCH(O969,Cargas,1))),Coluna_fih,1,1))*(1+0.13*0.25)*(PI()*(fi_h/1000)^2/4)*SQRT(2*9.81*(O969/100-fi_h/2/1000))*1000)),"",IF(O969&lt;fi_h/20,0,(OFFSET('Base de dados'!$A$5,IF(O969&lt;20,1,IF(O969&gt;1000,10,MATCH(O969,Cargas,1))),Coluna_fih,1,1))*(PI()*(fi_h/1000)^2/4)*SQRT(2*9.81*(O969/100-fi_h/2/1000))*1000))</f>
        <v>4.1489573421438006</v>
      </c>
      <c r="Q969" s="38">
        <f ca="1">IF(O969="","",IF(Tipo_Vertedor="Retangular",IF(O969&lt;=cota_s*100,0,IF(Tipo_Vertedor="Retangular",Cd_sr*Lef_sr*((O969/100-cota_s)^(3/2))*1000)),IF(O969&lt;=cota_s*100+fi_s/20,0,(OFFSET('Base de dados'!$A$4,IF(O969&lt;20,1,IF(O969&gt;1000,10,MATCH(O969,Cargas,1))),Coluna_fis,1,1))*(PI()*(fi_s/1000)^2/4)*(2*9.81*(O969/100-cota_s-fi_s/2/1000))^0.5*1000)))</f>
        <v>2.9399475219353821</v>
      </c>
      <c r="R969" s="38">
        <f t="shared" ca="1" si="158"/>
        <v>7.0889048640791827</v>
      </c>
      <c r="S969" s="38">
        <f t="shared" ca="1" si="160"/>
        <v>302.5</v>
      </c>
    </row>
    <row r="970" spans="13:19">
      <c r="M970" s="132">
        <f t="shared" ca="1" si="159"/>
        <v>309.90661780493929</v>
      </c>
      <c r="N970" s="38">
        <f t="shared" si="161"/>
        <v>9.0843749999999996</v>
      </c>
      <c r="O970" s="36">
        <f t="shared" si="157"/>
        <v>242.25</v>
      </c>
      <c r="P970" s="38">
        <f ca="1">IF(ISERROR(IF(O970&lt;fi_h/20,0,(OFFSET('Base de dados'!$A$5,IF(O970&lt;20,1,IF(O970&gt;1000,10,MATCH(O970,Cargas,1))),Coluna_fih,1,1))*(1+0.13*0.25)*(PI()*(fi_h/1000)^2/4)*SQRT(2*9.81*(O970/100-fi_h/2/1000))*1000)),"",IF(O970&lt;fi_h/20,0,(OFFSET('Base de dados'!$A$5,IF(O970&lt;20,1,IF(O970&gt;1000,10,MATCH(O970,Cargas,1))),Coluna_fih,1,1))*(PI()*(fi_h/1000)^2/4)*SQRT(2*9.81*(O970/100-fi_h/2/1000))*1000))</f>
        <v>4.1511155373471018</v>
      </c>
      <c r="Q970" s="38">
        <f ca="1">IF(O970="","",IF(Tipo_Vertedor="Retangular",IF(O970&lt;=cota_s*100,0,IF(Tipo_Vertedor="Retangular",Cd_sr*Lef_sr*((O970/100-cota_s)^(3/2))*1000)),IF(O970&lt;=cota_s*100+fi_s/20,0,(OFFSET('Base de dados'!$A$4,IF(O970&lt;20,1,IF(O970&gt;1000,10,MATCH(O970,Cargas,1))),Coluna_fis,1,1))*(PI()*(fi_s/1000)^2/4)*(2*9.81*(O970/100-cota_s-fi_s/2/1000))^0.5*1000)))</f>
        <v>2.9430022675921954</v>
      </c>
      <c r="R970" s="38">
        <f t="shared" ca="1" si="158"/>
        <v>7.0941178049392972</v>
      </c>
      <c r="S970" s="38">
        <f t="shared" ca="1" si="160"/>
        <v>302.8125</v>
      </c>
    </row>
    <row r="971" spans="13:19">
      <c r="M971" s="132">
        <f t="shared" ca="1" si="159"/>
        <v>310.22432645687508</v>
      </c>
      <c r="N971" s="38">
        <f t="shared" si="161"/>
        <v>9.09375</v>
      </c>
      <c r="O971" s="36">
        <f t="shared" si="157"/>
        <v>242.5</v>
      </c>
      <c r="P971" s="38">
        <f ca="1">IF(ISERROR(IF(O971&lt;fi_h/20,0,(OFFSET('Base de dados'!$A$5,IF(O971&lt;20,1,IF(O971&gt;1000,10,MATCH(O971,Cargas,1))),Coluna_fih,1,1))*(1+0.13*0.25)*(PI()*(fi_h/1000)^2/4)*SQRT(2*9.81*(O971/100-fi_h/2/1000))*1000)),"",IF(O971&lt;fi_h/20,0,(OFFSET('Base de dados'!$A$5,IF(O971&lt;20,1,IF(O971&gt;1000,10,MATCH(O971,Cargas,1))),Coluna_fih,1,1))*(PI()*(fi_h/1000)^2/4)*SQRT(2*9.81*(O971/100-fi_h/2/1000))*1000))</f>
        <v>4.1532726110719125</v>
      </c>
      <c r="Q971" s="38">
        <f ca="1">IF(O971="","",IF(Tipo_Vertedor="Retangular",IF(O971&lt;=cota_s*100,0,IF(Tipo_Vertedor="Retangular",Cd_sr*Lef_sr*((O971/100-cota_s)^(3/2))*1000)),IF(O971&lt;=cota_s*100+fi_s/20,0,(OFFSET('Base de dados'!$A$4,IF(O971&lt;20,1,IF(O971&gt;1000,10,MATCH(O971,Cargas,1))),Coluna_fis,1,1))*(PI()*(fi_s/1000)^2/4)*(2*9.81*(O971/100-cota_s-fi_s/2/1000))^0.5*1000)))</f>
        <v>2.9460538458031635</v>
      </c>
      <c r="R971" s="38">
        <f t="shared" ca="1" si="158"/>
        <v>7.099326456875076</v>
      </c>
      <c r="S971" s="38">
        <f t="shared" ca="1" si="160"/>
        <v>303.125</v>
      </c>
    </row>
    <row r="972" spans="13:19">
      <c r="M972" s="132">
        <f t="shared" ca="1" si="159"/>
        <v>310.54203083146552</v>
      </c>
      <c r="N972" s="38">
        <f t="shared" si="161"/>
        <v>9.1031250000000004</v>
      </c>
      <c r="O972" s="36">
        <f t="shared" si="157"/>
        <v>242.75</v>
      </c>
      <c r="P972" s="38">
        <f ca="1">IF(ISERROR(IF(O972&lt;fi_h/20,0,(OFFSET('Base de dados'!$A$5,IF(O972&lt;20,1,IF(O972&gt;1000,10,MATCH(O972,Cargas,1))),Coluna_fih,1,1))*(1+0.13*0.25)*(PI()*(fi_h/1000)^2/4)*SQRT(2*9.81*(O972/100-fi_h/2/1000))*1000)),"",IF(O972&lt;fi_h/20,0,(OFFSET('Base de dados'!$A$5,IF(O972&lt;20,1,IF(O972&gt;1000,10,MATCH(O972,Cargas,1))),Coluna_fih,1,1))*(PI()*(fi_h/1000)^2/4)*SQRT(2*9.81*(O972/100-fi_h/2/1000))*1000))</f>
        <v>4.1554285650646996</v>
      </c>
      <c r="Q972" s="38">
        <f ca="1">IF(O972="","",IF(Tipo_Vertedor="Retangular",IF(O972&lt;=cota_s*100,0,IF(Tipo_Vertedor="Retangular",Cd_sr*Lef_sr*((O972/100-cota_s)^(3/2))*1000)),IF(O972&lt;=cota_s*100+fi_s/20,0,(OFFSET('Base de dados'!$A$4,IF(O972&lt;20,1,IF(O972&gt;1000,10,MATCH(O972,Cargas,1))),Coluna_fis,1,1))*(PI()*(fi_s/1000)^2/4)*(2*9.81*(O972/100-cota_s-fi_s/2/1000))^0.5*1000)))</f>
        <v>2.9491022664008151</v>
      </c>
      <c r="R972" s="38">
        <f t="shared" ca="1" si="158"/>
        <v>7.1045308314655147</v>
      </c>
      <c r="S972" s="38">
        <f t="shared" ca="1" si="160"/>
        <v>303.4375</v>
      </c>
    </row>
    <row r="973" spans="13:19">
      <c r="M973" s="132">
        <f t="shared" ca="1" si="159"/>
        <v>310.85973094023433</v>
      </c>
      <c r="N973" s="38">
        <f t="shared" si="161"/>
        <v>9.1125000000000007</v>
      </c>
      <c r="O973" s="36">
        <f t="shared" si="157"/>
        <v>243</v>
      </c>
      <c r="P973" s="38">
        <f ca="1">IF(ISERROR(IF(O973&lt;fi_h/20,0,(OFFSET('Base de dados'!$A$5,IF(O973&lt;20,1,IF(O973&gt;1000,10,MATCH(O973,Cargas,1))),Coluna_fih,1,1))*(1+0.13*0.25)*(PI()*(fi_h/1000)^2/4)*SQRT(2*9.81*(O973/100-fi_h/2/1000))*1000)),"",IF(O973&lt;fi_h/20,0,(OFFSET('Base de dados'!$A$5,IF(O973&lt;20,1,IF(O973&gt;1000,10,MATCH(O973,Cargas,1))),Coluna_fih,1,1))*(PI()*(fi_h/1000)^2/4)*SQRT(2*9.81*(O973/100-fi_h/2/1000))*1000))</f>
        <v>4.1575834010674093</v>
      </c>
      <c r="Q973" s="38">
        <f ca="1">IF(O973="","",IF(Tipo_Vertedor="Retangular",IF(O973&lt;=cota_s*100,0,IF(Tipo_Vertedor="Retangular",Cd_sr*Lef_sr*((O973/100-cota_s)^(3/2))*1000)),IF(O973&lt;=cota_s*100+fi_s/20,0,(OFFSET('Base de dados'!$A$4,IF(O973&lt;20,1,IF(O973&gt;1000,10,MATCH(O973,Cargas,1))),Coluna_fis,1,1))*(PI()*(fi_s/1000)^2/4)*(2*9.81*(O973/100-cota_s-fi_s/2/1000))^0.5*1000)))</f>
        <v>2.9521475391669076</v>
      </c>
      <c r="R973" s="38">
        <f t="shared" ca="1" si="158"/>
        <v>7.109730940234317</v>
      </c>
      <c r="S973" s="38">
        <f t="shared" ca="1" si="160"/>
        <v>303.75</v>
      </c>
    </row>
    <row r="974" spans="13:19">
      <c r="M974" s="132">
        <f t="shared" ca="1" si="159"/>
        <v>311.17742679465033</v>
      </c>
      <c r="N974" s="38">
        <f t="shared" si="161"/>
        <v>9.1218750000000011</v>
      </c>
      <c r="O974" s="36">
        <f t="shared" si="157"/>
        <v>243.25</v>
      </c>
      <c r="P974" s="38">
        <f ca="1">IF(ISERROR(IF(O974&lt;fi_h/20,0,(OFFSET('Base de dados'!$A$5,IF(O974&lt;20,1,IF(O974&gt;1000,10,MATCH(O974,Cargas,1))),Coluna_fih,1,1))*(1+0.13*0.25)*(PI()*(fi_h/1000)^2/4)*SQRT(2*9.81*(O974/100-fi_h/2/1000))*1000)),"",IF(O974&lt;fi_h/20,0,(OFFSET('Base de dados'!$A$5,IF(O974&lt;20,1,IF(O974&gt;1000,10,MATCH(O974,Cargas,1))),Coluna_fih,1,1))*(PI()*(fi_h/1000)^2/4)*SQRT(2*9.81*(O974/100-fi_h/2/1000))*1000))</f>
        <v>4.1597371208174705</v>
      </c>
      <c r="Q974" s="38">
        <f ca="1">IF(O974="","",IF(Tipo_Vertedor="Retangular",IF(O974&lt;=cota_s*100,0,IF(Tipo_Vertedor="Retangular",Cd_sr*Lef_sr*((O974/100-cota_s)^(3/2))*1000)),IF(O974&lt;=cota_s*100+fi_s/20,0,(OFFSET('Base de dados'!$A$4,IF(O974&lt;20,1,IF(O974&gt;1000,10,MATCH(O974,Cargas,1))),Coluna_fis,1,1))*(PI()*(fi_s/1000)^2/4)*(2*9.81*(O974/100-cota_s-fi_s/2/1000))^0.5*1000)))</f>
        <v>2.9551896738328041</v>
      </c>
      <c r="R974" s="38">
        <f t="shared" ca="1" si="158"/>
        <v>7.114926794650275</v>
      </c>
      <c r="S974" s="38">
        <f t="shared" ca="1" si="160"/>
        <v>304.06250000000006</v>
      </c>
    </row>
    <row r="975" spans="13:19">
      <c r="M975" s="132">
        <f t="shared" ca="1" si="159"/>
        <v>311.49511840612763</v>
      </c>
      <c r="N975" s="38">
        <f t="shared" si="161"/>
        <v>9.1312499999999996</v>
      </c>
      <c r="O975" s="36">
        <f t="shared" si="157"/>
        <v>243.5</v>
      </c>
      <c r="P975" s="38">
        <f ca="1">IF(ISERROR(IF(O975&lt;fi_h/20,0,(OFFSET('Base de dados'!$A$5,IF(O975&lt;20,1,IF(O975&gt;1000,10,MATCH(O975,Cargas,1))),Coluna_fih,1,1))*(1+0.13*0.25)*(PI()*(fi_h/1000)^2/4)*SQRT(2*9.81*(O975/100-fi_h/2/1000))*1000)),"",IF(O975&lt;fi_h/20,0,(OFFSET('Base de dados'!$A$5,IF(O975&lt;20,1,IF(O975&gt;1000,10,MATCH(O975,Cargas,1))),Coluna_fih,1,1))*(PI()*(fi_h/1000)^2/4)*SQRT(2*9.81*(O975/100-fi_h/2/1000))*1000))</f>
        <v>4.1618897260478205</v>
      </c>
      <c r="Q975" s="38">
        <f ca="1">IF(O975="","",IF(Tipo_Vertedor="Retangular",IF(O975&lt;=cota_s*100,0,IF(Tipo_Vertedor="Retangular",Cd_sr*Lef_sr*((O975/100-cota_s)^(3/2))*1000)),IF(O975&lt;=cota_s*100+fi_s/20,0,(OFFSET('Base de dados'!$A$4,IF(O975&lt;20,1,IF(O975&gt;1000,10,MATCH(O975,Cargas,1))),Coluna_fis,1,1))*(PI()*(fi_s/1000)^2/4)*(2*9.81*(O975/100-cota_s-fi_s/2/1000))^0.5*1000)))</f>
        <v>2.9582286800798285</v>
      </c>
      <c r="R975" s="38">
        <f t="shared" ca="1" si="158"/>
        <v>7.1201184061276486</v>
      </c>
      <c r="S975" s="38">
        <f t="shared" ca="1" si="160"/>
        <v>304.375</v>
      </c>
    </row>
    <row r="976" spans="13:19">
      <c r="M976" s="132">
        <f t="shared" ca="1" si="159"/>
        <v>311.81280578602656</v>
      </c>
      <c r="N976" s="38">
        <f t="shared" si="161"/>
        <v>9.140625</v>
      </c>
      <c r="O976" s="36">
        <f t="shared" si="157"/>
        <v>243.75</v>
      </c>
      <c r="P976" s="38">
        <f ca="1">IF(ISERROR(IF(O976&lt;fi_h/20,0,(OFFSET('Base de dados'!$A$5,IF(O976&lt;20,1,IF(O976&gt;1000,10,MATCH(O976,Cargas,1))),Coluna_fih,1,1))*(1+0.13*0.25)*(PI()*(fi_h/1000)^2/4)*SQRT(2*9.81*(O976/100-fi_h/2/1000))*1000)),"",IF(O976&lt;fi_h/20,0,(OFFSET('Base de dados'!$A$5,IF(O976&lt;20,1,IF(O976&gt;1000,10,MATCH(O976,Cargas,1))),Coluna_fih,1,1))*(PI()*(fi_h/1000)^2/4)*SQRT(2*9.81*(O976/100-fi_h/2/1000))*1000))</f>
        <v>4.1640412184869131</v>
      </c>
      <c r="Q976" s="38">
        <f ca="1">IF(O976="","",IF(Tipo_Vertedor="Retangular",IF(O976&lt;=cota_s*100,0,IF(Tipo_Vertedor="Retangular",Cd_sr*Lef_sr*((O976/100-cota_s)^(3/2))*1000)),IF(O976&lt;=cota_s*100+fi_s/20,0,(OFFSET('Base de dados'!$A$4,IF(O976&lt;20,1,IF(O976&gt;1000,10,MATCH(O976,Cargas,1))),Coluna_fis,1,1))*(PI()*(fi_s/1000)^2/4)*(2*9.81*(O976/100-cota_s-fi_s/2/1000))^0.5*1000)))</f>
        <v>2.9612645675396267</v>
      </c>
      <c r="R976" s="38">
        <f t="shared" ca="1" si="158"/>
        <v>7.1253057860265399</v>
      </c>
      <c r="S976" s="38">
        <f t="shared" ca="1" si="160"/>
        <v>304.6875</v>
      </c>
    </row>
    <row r="977" spans="13:19">
      <c r="M977" s="132">
        <f t="shared" ca="1" si="159"/>
        <v>312.13048894565327</v>
      </c>
      <c r="N977" s="38">
        <f t="shared" si="161"/>
        <v>9.15</v>
      </c>
      <c r="O977" s="36">
        <f t="shared" si="157"/>
        <v>244</v>
      </c>
      <c r="P977" s="38">
        <f ca="1">IF(ISERROR(IF(O977&lt;fi_h/20,0,(OFFSET('Base de dados'!$A$5,IF(O977&lt;20,1,IF(O977&gt;1000,10,MATCH(O977,Cargas,1))),Coluna_fih,1,1))*(1+0.13*0.25)*(PI()*(fi_h/1000)^2/4)*SQRT(2*9.81*(O977/100-fi_h/2/1000))*1000)),"",IF(O977&lt;fi_h/20,0,(OFFSET('Base de dados'!$A$5,IF(O977&lt;20,1,IF(O977&gt;1000,10,MATCH(O977,Cargas,1))),Coluna_fih,1,1))*(PI()*(fi_h/1000)^2/4)*SQRT(2*9.81*(O977/100-fi_h/2/1000))*1000))</f>
        <v>4.1661915998587418</v>
      </c>
      <c r="Q977" s="38">
        <f ca="1">IF(O977="","",IF(Tipo_Vertedor="Retangular",IF(O977&lt;=cota_s*100,0,IF(Tipo_Vertedor="Retangular",Cd_sr*Lef_sr*((O977/100-cota_s)^(3/2))*1000)),IF(O977&lt;=cota_s*100+fi_s/20,0,(OFFSET('Base de dados'!$A$4,IF(O977&lt;20,1,IF(O977&gt;1000,10,MATCH(O977,Cargas,1))),Coluna_fis,1,1))*(PI()*(fi_s/1000)^2/4)*(2*9.81*(O977/100-cota_s-fi_s/2/1000))^0.5*1000)))</f>
        <v>2.9642973457945239</v>
      </c>
      <c r="R977" s="38">
        <f t="shared" ca="1" si="158"/>
        <v>7.1304889456532656</v>
      </c>
      <c r="S977" s="38">
        <f t="shared" ca="1" si="160"/>
        <v>305</v>
      </c>
    </row>
    <row r="978" spans="13:19">
      <c r="M978" s="132">
        <f t="shared" ca="1" si="159"/>
        <v>312.44816789626066</v>
      </c>
      <c r="N978" s="38">
        <f t="shared" si="161"/>
        <v>9.1593749999999989</v>
      </c>
      <c r="O978" s="36">
        <f t="shared" si="157"/>
        <v>244.25</v>
      </c>
      <c r="P978" s="38">
        <f ca="1">IF(ISERROR(IF(O978&lt;fi_h/20,0,(OFFSET('Base de dados'!$A$5,IF(O978&lt;20,1,IF(O978&gt;1000,10,MATCH(O978,Cargas,1))),Coluna_fih,1,1))*(1+0.13*0.25)*(PI()*(fi_h/1000)^2/4)*SQRT(2*9.81*(O978/100-fi_h/2/1000))*1000)),"",IF(O978&lt;fi_h/20,0,(OFFSET('Base de dados'!$A$5,IF(O978&lt;20,1,IF(O978&gt;1000,10,MATCH(O978,Cargas,1))),Coluna_fih,1,1))*(PI()*(fi_h/1000)^2/4)*SQRT(2*9.81*(O978/100-fi_h/2/1000))*1000))</f>
        <v>4.1683408718828554</v>
      </c>
      <c r="Q978" s="38">
        <f ca="1">IF(O978="","",IF(Tipo_Vertedor="Retangular",IF(O978&lt;=cota_s*100,0,IF(Tipo_Vertedor="Retangular",Cd_sr*Lef_sr*((O978/100-cota_s)^(3/2))*1000)),IF(O978&lt;=cota_s*100+fi_s/20,0,(OFFSET('Base de dados'!$A$4,IF(O978&lt;20,1,IF(O978&gt;1000,10,MATCH(O978,Cargas,1))),Coluna_fis,1,1))*(PI()*(fi_s/1000)^2/4)*(2*9.81*(O978/100-cota_s-fi_s/2/1000))^0.5*1000)))</f>
        <v>2.9673270243778775</v>
      </c>
      <c r="R978" s="38">
        <f t="shared" ca="1" si="158"/>
        <v>7.1356678962607329</v>
      </c>
      <c r="S978" s="38">
        <f t="shared" ca="1" si="160"/>
        <v>305.31249999999994</v>
      </c>
    </row>
    <row r="979" spans="13:19">
      <c r="M979" s="132">
        <f t="shared" ca="1" si="159"/>
        <v>312.76584264904881</v>
      </c>
      <c r="N979" s="38">
        <f t="shared" si="161"/>
        <v>9.1687499999999993</v>
      </c>
      <c r="O979" s="36">
        <f t="shared" ref="O979:O1042" si="162">IF(ISERROR(IF(O978+passo_altura&gt;h_max_puls*100,"",O978+passo_altura)),"",IF(O978+passo_altura&gt;h_max_puls*100,"",O978+passo_altura))</f>
        <v>244.5</v>
      </c>
      <c r="P979" s="38">
        <f ca="1">IF(ISERROR(IF(O979&lt;fi_h/20,0,(OFFSET('Base de dados'!$A$5,IF(O979&lt;20,1,IF(O979&gt;1000,10,MATCH(O979,Cargas,1))),Coluna_fih,1,1))*(1+0.13*0.25)*(PI()*(fi_h/1000)^2/4)*SQRT(2*9.81*(O979/100-fi_h/2/1000))*1000)),"",IF(O979&lt;fi_h/20,0,(OFFSET('Base de dados'!$A$5,IF(O979&lt;20,1,IF(O979&gt;1000,10,MATCH(O979,Cargas,1))),Coluna_fih,1,1))*(PI()*(fi_h/1000)^2/4)*SQRT(2*9.81*(O979/100-fi_h/2/1000))*1000))</f>
        <v>4.1704890362743665</v>
      </c>
      <c r="Q979" s="38">
        <f ca="1">IF(O979="","",IF(Tipo_Vertedor="Retangular",IF(O979&lt;=cota_s*100,0,IF(Tipo_Vertedor="Retangular",Cd_sr*Lef_sr*((O979/100-cota_s)^(3/2))*1000)),IF(O979&lt;=cota_s*100+fi_s/20,0,(OFFSET('Base de dados'!$A$4,IF(O979&lt;20,1,IF(O979&gt;1000,10,MATCH(O979,Cargas,1))),Coluna_fis,1,1))*(PI()*(fi_s/1000)^2/4)*(2*9.81*(O979/100-cota_s-fi_s/2/1000))^0.5*1000)))</f>
        <v>2.9703536127744248</v>
      </c>
      <c r="R979" s="38">
        <f t="shared" ref="R979:R1042" ca="1" si="163">IF(O979="","",Q979+P979)</f>
        <v>7.1408426490487908</v>
      </c>
      <c r="S979" s="38">
        <f t="shared" ca="1" si="160"/>
        <v>305.625</v>
      </c>
    </row>
    <row r="980" spans="13:19">
      <c r="M980" s="132">
        <f t="shared" ca="1" si="159"/>
        <v>313.0835132151646</v>
      </c>
      <c r="N980" s="38">
        <f t="shared" si="161"/>
        <v>9.1781249999999996</v>
      </c>
      <c r="O980" s="36">
        <f t="shared" si="162"/>
        <v>244.75</v>
      </c>
      <c r="P980" s="38">
        <f ca="1">IF(ISERROR(IF(O980&lt;fi_h/20,0,(OFFSET('Base de dados'!$A$5,IF(O980&lt;20,1,IF(O980&gt;1000,10,MATCH(O980,Cargas,1))),Coluna_fih,1,1))*(1+0.13*0.25)*(PI()*(fi_h/1000)^2/4)*SQRT(2*9.81*(O980/100-fi_h/2/1000))*1000)),"",IF(O980&lt;fi_h/20,0,(OFFSET('Base de dados'!$A$5,IF(O980&lt;20,1,IF(O980&gt;1000,10,MATCH(O980,Cargas,1))),Coluna_fih,1,1))*(PI()*(fi_h/1000)^2/4)*SQRT(2*9.81*(O980/100-fi_h/2/1000))*1000))</f>
        <v>4.1726360947439778</v>
      </c>
      <c r="Q980" s="38">
        <f ca="1">IF(O980="","",IF(Tipo_Vertedor="Retangular",IF(O980&lt;=cota_s*100,0,IF(Tipo_Vertedor="Retangular",Cd_sr*Lef_sr*((O980/100-cota_s)^(3/2))*1000)),IF(O980&lt;=cota_s*100+fi_s/20,0,(OFFSET('Base de dados'!$A$4,IF(O980&lt;20,1,IF(O980&gt;1000,10,MATCH(O980,Cargas,1))),Coluna_fis,1,1))*(PI()*(fi_s/1000)^2/4)*(2*9.81*(O980/100-cota_s-fi_s/2/1000))^0.5*1000)))</f>
        <v>2.973377120420631</v>
      </c>
      <c r="R980" s="38">
        <f t="shared" ca="1" si="163"/>
        <v>7.1460132151646087</v>
      </c>
      <c r="S980" s="38">
        <f t="shared" ca="1" si="160"/>
        <v>305.9375</v>
      </c>
    </row>
    <row r="981" spans="13:19">
      <c r="M981" s="132">
        <f t="shared" ca="1" si="159"/>
        <v>313.40117960570302</v>
      </c>
      <c r="N981" s="38">
        <f t="shared" si="161"/>
        <v>9.1875</v>
      </c>
      <c r="O981" s="36">
        <f t="shared" si="162"/>
        <v>245</v>
      </c>
      <c r="P981" s="38">
        <f ca="1">IF(ISERROR(IF(O981&lt;fi_h/20,0,(OFFSET('Base de dados'!$A$5,IF(O981&lt;20,1,IF(O981&gt;1000,10,MATCH(O981,Cargas,1))),Coluna_fih,1,1))*(1+0.13*0.25)*(PI()*(fi_h/1000)^2/4)*SQRT(2*9.81*(O981/100-fi_h/2/1000))*1000)),"",IF(O981&lt;fi_h/20,0,(OFFSET('Base de dados'!$A$5,IF(O981&lt;20,1,IF(O981&gt;1000,10,MATCH(O981,Cargas,1))),Coluna_fih,1,1))*(PI()*(fi_h/1000)^2/4)*SQRT(2*9.81*(O981/100-fi_h/2/1000))*1000))</f>
        <v>4.1747820489979901</v>
      </c>
      <c r="Q981" s="38">
        <f ca="1">IF(O981="","",IF(Tipo_Vertedor="Retangular",IF(O981&lt;=cota_s*100,0,IF(Tipo_Vertedor="Retangular",Cd_sr*Lef_sr*((O981/100-cota_s)^(3/2))*1000)),IF(O981&lt;=cota_s*100+fi_s/20,0,(OFFSET('Base de dados'!$A$4,IF(O981&lt;20,1,IF(O981&gt;1000,10,MATCH(O981,Cargas,1))),Coluna_fis,1,1))*(PI()*(fi_s/1000)^2/4)*(2*9.81*(O981/100-cota_s-fi_s/2/1000))^0.5*1000)))</f>
        <v>2.976397556705034</v>
      </c>
      <c r="R981" s="38">
        <f t="shared" ca="1" si="163"/>
        <v>7.1511796057030246</v>
      </c>
      <c r="S981" s="38">
        <f t="shared" ca="1" si="160"/>
        <v>306.25</v>
      </c>
    </row>
    <row r="982" spans="13:19">
      <c r="M982" s="132">
        <f t="shared" ca="1" si="159"/>
        <v>313.71884183170692</v>
      </c>
      <c r="N982" s="38">
        <f t="shared" si="161"/>
        <v>9.1968750000000004</v>
      </c>
      <c r="O982" s="36">
        <f t="shared" si="162"/>
        <v>245.25</v>
      </c>
      <c r="P982" s="38">
        <f ca="1">IF(ISERROR(IF(O982&lt;fi_h/20,0,(OFFSET('Base de dados'!$A$5,IF(O982&lt;20,1,IF(O982&gt;1000,10,MATCH(O982,Cargas,1))),Coluna_fih,1,1))*(1+0.13*0.25)*(PI()*(fi_h/1000)^2/4)*SQRT(2*9.81*(O982/100-fi_h/2/1000))*1000)),"",IF(O982&lt;fi_h/20,0,(OFFSET('Base de dados'!$A$5,IF(O982&lt;20,1,IF(O982&gt;1000,10,MATCH(O982,Cargas,1))),Coluna_fih,1,1))*(PI()*(fi_h/1000)^2/4)*SQRT(2*9.81*(O982/100-fi_h/2/1000))*1000))</f>
        <v>4.1769269007383203</v>
      </c>
      <c r="Q982" s="38">
        <f ca="1">IF(O982="","",IF(Tipo_Vertedor="Retangular",IF(O982&lt;=cota_s*100,0,IF(Tipo_Vertedor="Retangular",Cd_sr*Lef_sr*((O982/100-cota_s)^(3/2))*1000)),IF(O982&lt;=cota_s*100+fi_s/20,0,(OFFSET('Base de dados'!$A$4,IF(O982&lt;20,1,IF(O982&gt;1000,10,MATCH(O982,Cargas,1))),Coluna_fis,1,1))*(PI()*(fi_s/1000)^2/4)*(2*9.81*(O982/100-cota_s-fi_s/2/1000))^0.5*1000)))</f>
        <v>2.9794149309685793</v>
      </c>
      <c r="R982" s="38">
        <f t="shared" ca="1" si="163"/>
        <v>7.1563418317069001</v>
      </c>
      <c r="S982" s="38">
        <f t="shared" ca="1" si="160"/>
        <v>306.5625</v>
      </c>
    </row>
    <row r="983" spans="13:19">
      <c r="M983" s="132">
        <f t="shared" ca="1" si="159"/>
        <v>314.0364999041675</v>
      </c>
      <c r="N983" s="38">
        <f t="shared" si="161"/>
        <v>9.2062500000000007</v>
      </c>
      <c r="O983" s="36">
        <f t="shared" si="162"/>
        <v>245.5</v>
      </c>
      <c r="P983" s="38">
        <f ca="1">IF(ISERROR(IF(O983&lt;fi_h/20,0,(OFFSET('Base de dados'!$A$5,IF(O983&lt;20,1,IF(O983&gt;1000,10,MATCH(O983,Cargas,1))),Coluna_fih,1,1))*(1+0.13*0.25)*(PI()*(fi_h/1000)^2/4)*SQRT(2*9.81*(O983/100-fi_h/2/1000))*1000)),"",IF(O983&lt;fi_h/20,0,(OFFSET('Base de dados'!$A$5,IF(O983&lt;20,1,IF(O983&gt;1000,10,MATCH(O983,Cargas,1))),Coluna_fih,1,1))*(PI()*(fi_h/1000)^2/4)*SQRT(2*9.81*(O983/100-fi_h/2/1000))*1000))</f>
        <v>4.1790706516625198</v>
      </c>
      <c r="Q983" s="38">
        <f ca="1">IF(O983="","",IF(Tipo_Vertedor="Retangular",IF(O983&lt;=cota_s*100,0,IF(Tipo_Vertedor="Retangular",Cd_sr*Lef_sr*((O983/100-cota_s)^(3/2))*1000)),IF(O983&lt;=cota_s*100+fi_s/20,0,(OFFSET('Base de dados'!$A$4,IF(O983&lt;20,1,IF(O983&gt;1000,10,MATCH(O983,Cargas,1))),Coluna_fis,1,1))*(PI()*(fi_s/1000)^2/4)*(2*9.81*(O983/100-cota_s-fi_s/2/1000))^0.5*1000)))</f>
        <v>2.9824292525049629</v>
      </c>
      <c r="R983" s="38">
        <f t="shared" ca="1" si="163"/>
        <v>7.1614999041674832</v>
      </c>
      <c r="S983" s="38">
        <f t="shared" ca="1" si="160"/>
        <v>306.875</v>
      </c>
    </row>
    <row r="984" spans="13:19">
      <c r="M984" s="132">
        <f t="shared" ca="1" si="159"/>
        <v>314.35415383402477</v>
      </c>
      <c r="N984" s="38">
        <f t="shared" si="161"/>
        <v>9.2156249999999993</v>
      </c>
      <c r="O984" s="36">
        <f t="shared" si="162"/>
        <v>245.75</v>
      </c>
      <c r="P984" s="38">
        <f ca="1">IF(ISERROR(IF(O984&lt;fi_h/20,0,(OFFSET('Base de dados'!$A$5,IF(O984&lt;20,1,IF(O984&gt;1000,10,MATCH(O984,Cargas,1))),Coluna_fih,1,1))*(1+0.13*0.25)*(PI()*(fi_h/1000)^2/4)*SQRT(2*9.81*(O984/100-fi_h/2/1000))*1000)),"",IF(O984&lt;fi_h/20,0,(OFFSET('Base de dados'!$A$5,IF(O984&lt;20,1,IF(O984&gt;1000,10,MATCH(O984,Cargas,1))),Coluna_fih,1,1))*(PI()*(fi_h/1000)^2/4)*SQRT(2*9.81*(O984/100-fi_h/2/1000))*1000))</f>
        <v>4.1812133034637897</v>
      </c>
      <c r="Q984" s="38">
        <f ca="1">IF(O984="","",IF(Tipo_Vertedor="Retangular",IF(O984&lt;=cota_s*100,0,IF(Tipo_Vertedor="Retangular",Cd_sr*Lef_sr*((O984/100-cota_s)^(3/2))*1000)),IF(O984&lt;=cota_s*100+fi_s/20,0,(OFFSET('Base de dados'!$A$4,IF(O984&lt;20,1,IF(O984&gt;1000,10,MATCH(O984,Cargas,1))),Coluna_fis,1,1))*(PI()*(fi_s/1000)^2/4)*(2*9.81*(O984/100-cota_s-fi_s/2/1000))^0.5*1000)))</f>
        <v>2.9854405305609619</v>
      </c>
      <c r="R984" s="38">
        <f t="shared" ca="1" si="163"/>
        <v>7.1666538340247516</v>
      </c>
      <c r="S984" s="38">
        <f t="shared" ca="1" si="160"/>
        <v>307.1875</v>
      </c>
    </row>
    <row r="985" spans="13:19">
      <c r="M985" s="132">
        <f t="shared" ca="1" si="159"/>
        <v>314.67180363216778</v>
      </c>
      <c r="N985" s="38">
        <f t="shared" si="161"/>
        <v>9.2249999999999996</v>
      </c>
      <c r="O985" s="36">
        <f t="shared" si="162"/>
        <v>246</v>
      </c>
      <c r="P985" s="38">
        <f ca="1">IF(ISERROR(IF(O985&lt;fi_h/20,0,(OFFSET('Base de dados'!$A$5,IF(O985&lt;20,1,IF(O985&gt;1000,10,MATCH(O985,Cargas,1))),Coluna_fih,1,1))*(1+0.13*0.25)*(PI()*(fi_h/1000)^2/4)*SQRT(2*9.81*(O985/100-fi_h/2/1000))*1000)),"",IF(O985&lt;fi_h/20,0,(OFFSET('Base de dados'!$A$5,IF(O985&lt;20,1,IF(O985&gt;1000,10,MATCH(O985,Cargas,1))),Coluna_fih,1,1))*(PI()*(fi_h/1000)^2/4)*SQRT(2*9.81*(O985/100-fi_h/2/1000))*1000))</f>
        <v>4.1833548578309916</v>
      </c>
      <c r="Q985" s="38">
        <f ca="1">IF(O985="","",IF(Tipo_Vertedor="Retangular",IF(O985&lt;=cota_s*100,0,IF(Tipo_Vertedor="Retangular",Cd_sr*Lef_sr*((O985/100-cota_s)^(3/2))*1000)),IF(O985&lt;=cota_s*100+fi_s/20,0,(OFFSET('Base de dados'!$A$4,IF(O985&lt;20,1,IF(O985&gt;1000,10,MATCH(O985,Cargas,1))),Coluna_fis,1,1))*(PI()*(fi_s/1000)^2/4)*(2*9.81*(O985/100-cota_s-fi_s/2/1000))^0.5*1000)))</f>
        <v>2.9884487743367671</v>
      </c>
      <c r="R985" s="38">
        <f t="shared" ca="1" si="163"/>
        <v>7.1718036321677587</v>
      </c>
      <c r="S985" s="38">
        <f t="shared" ca="1" si="160"/>
        <v>307.5</v>
      </c>
    </row>
    <row r="986" spans="13:19">
      <c r="M986" s="132">
        <f t="shared" ca="1" si="159"/>
        <v>314.98944930943497</v>
      </c>
      <c r="N986" s="38">
        <f t="shared" si="161"/>
        <v>9.234375</v>
      </c>
      <c r="O986" s="36">
        <f t="shared" si="162"/>
        <v>246.25</v>
      </c>
      <c r="P986" s="38">
        <f ca="1">IF(ISERROR(IF(O986&lt;fi_h/20,0,(OFFSET('Base de dados'!$A$5,IF(O986&lt;20,1,IF(O986&gt;1000,10,MATCH(O986,Cargas,1))),Coluna_fih,1,1))*(1+0.13*0.25)*(PI()*(fi_h/1000)^2/4)*SQRT(2*9.81*(O986/100-fi_h/2/1000))*1000)),"",IF(O986&lt;fi_h/20,0,(OFFSET('Base de dados'!$A$5,IF(O986&lt;20,1,IF(O986&gt;1000,10,MATCH(O986,Cargas,1))),Coluna_fih,1,1))*(PI()*(fi_h/1000)^2/4)*SQRT(2*9.81*(O986/100-fi_h/2/1000))*1000))</f>
        <v>4.1854953164486668</v>
      </c>
      <c r="Q986" s="38">
        <f ca="1">IF(O986="","",IF(Tipo_Vertedor="Retangular",IF(O986&lt;=cota_s*100,0,IF(Tipo_Vertedor="Retangular",Cd_sr*Lef_sr*((O986/100-cota_s)^(3/2))*1000)),IF(O986&lt;=cota_s*100+fi_s/20,0,(OFFSET('Base de dados'!$A$4,IF(O986&lt;20,1,IF(O986&gt;1000,10,MATCH(O986,Cargas,1))),Coluna_fis,1,1))*(PI()*(fi_s/1000)^2/4)*(2*9.81*(O986/100-cota_s-fi_s/2/1000))^0.5*1000)))</f>
        <v>2.9914539929863095</v>
      </c>
      <c r="R986" s="38">
        <f t="shared" ca="1" si="163"/>
        <v>7.1769493094349759</v>
      </c>
      <c r="S986" s="38">
        <f t="shared" ca="1" si="160"/>
        <v>307.8125</v>
      </c>
    </row>
    <row r="987" spans="13:19">
      <c r="M987" s="132">
        <f t="shared" ca="1" si="159"/>
        <v>315.30709087661461</v>
      </c>
      <c r="N987" s="38">
        <f t="shared" si="161"/>
        <v>9.2437499999999986</v>
      </c>
      <c r="O987" s="36">
        <f t="shared" si="162"/>
        <v>246.5</v>
      </c>
      <c r="P987" s="38">
        <f ca="1">IF(ISERROR(IF(O987&lt;fi_h/20,0,(OFFSET('Base de dados'!$A$5,IF(O987&lt;20,1,IF(O987&gt;1000,10,MATCH(O987,Cargas,1))),Coluna_fih,1,1))*(1+0.13*0.25)*(PI()*(fi_h/1000)^2/4)*SQRT(2*9.81*(O987/100-fi_h/2/1000))*1000)),"",IF(O987&lt;fi_h/20,0,(OFFSET('Base de dados'!$A$5,IF(O987&lt;20,1,IF(O987&gt;1000,10,MATCH(O987,Cargas,1))),Coluna_fih,1,1))*(PI()*(fi_h/1000)^2/4)*SQRT(2*9.81*(O987/100-fi_h/2/1000))*1000))</f>
        <v>4.1876346809970535</v>
      </c>
      <c r="Q987" s="38">
        <f ca="1">IF(O987="","",IF(Tipo_Vertedor="Retangular",IF(O987&lt;=cota_s*100,0,IF(Tipo_Vertedor="Retangular",Cd_sr*Lef_sr*((O987/100-cota_s)^(3/2))*1000)),IF(O987&lt;=cota_s*100+fi_s/20,0,(OFFSET('Base de dados'!$A$4,IF(O987&lt;20,1,IF(O987&gt;1000,10,MATCH(O987,Cargas,1))),Coluna_fis,1,1))*(PI()*(fi_s/1000)^2/4)*(2*9.81*(O987/100-cota_s-fi_s/2/1000))^0.5*1000)))</f>
        <v>2.9944561956175852</v>
      </c>
      <c r="R987" s="38">
        <f t="shared" ca="1" si="163"/>
        <v>7.1820908766146392</v>
      </c>
      <c r="S987" s="38">
        <f t="shared" ca="1" si="160"/>
        <v>308.12499999999994</v>
      </c>
    </row>
    <row r="988" spans="13:19">
      <c r="M988" s="132">
        <f t="shared" ca="1" si="159"/>
        <v>315.62472834444503</v>
      </c>
      <c r="N988" s="38">
        <f t="shared" si="161"/>
        <v>9.2531249999999989</v>
      </c>
      <c r="O988" s="36">
        <f t="shared" si="162"/>
        <v>246.75</v>
      </c>
      <c r="P988" s="38">
        <f ca="1">IF(ISERROR(IF(O988&lt;fi_h/20,0,(OFFSET('Base de dados'!$A$5,IF(O988&lt;20,1,IF(O988&gt;1000,10,MATCH(O988,Cargas,1))),Coluna_fih,1,1))*(1+0.13*0.25)*(PI()*(fi_h/1000)^2/4)*SQRT(2*9.81*(O988/100-fi_h/2/1000))*1000)),"",IF(O988&lt;fi_h/20,0,(OFFSET('Base de dados'!$A$5,IF(O988&lt;20,1,IF(O988&gt;1000,10,MATCH(O988,Cargas,1))),Coluna_fih,1,1))*(PI()*(fi_h/1000)^2/4)*SQRT(2*9.81*(O988/100-fi_h/2/1000))*1000))</f>
        <v>4.1897729531521</v>
      </c>
      <c r="Q988" s="38">
        <f ca="1">IF(O988="","",IF(Tipo_Vertedor="Retangular",IF(O988&lt;=cota_s*100,0,IF(Tipo_Vertedor="Retangular",Cd_sr*Lef_sr*((O988/100-cota_s)^(3/2))*1000)),IF(O988&lt;=cota_s*100+fi_s/20,0,(OFFSET('Base de dados'!$A$4,IF(O988&lt;20,1,IF(O988&gt;1000,10,MATCH(O988,Cargas,1))),Coluna_fis,1,1))*(PI()*(fi_s/1000)^2/4)*(2*9.81*(O988/100-cota_s-fi_s/2/1000))^0.5*1000)))</f>
        <v>2.9974553912929793</v>
      </c>
      <c r="R988" s="38">
        <f t="shared" ca="1" si="163"/>
        <v>7.1872283444450797</v>
      </c>
      <c r="S988" s="38">
        <f t="shared" ca="1" si="160"/>
        <v>308.43749999999994</v>
      </c>
    </row>
    <row r="989" spans="13:19">
      <c r="M989" s="132">
        <f t="shared" ca="1" si="159"/>
        <v>315.94236172361514</v>
      </c>
      <c r="N989" s="38">
        <f t="shared" si="161"/>
        <v>9.2625000000000011</v>
      </c>
      <c r="O989" s="36">
        <f t="shared" si="162"/>
        <v>247</v>
      </c>
      <c r="P989" s="38">
        <f ca="1">IF(ISERROR(IF(O989&lt;fi_h/20,0,(OFFSET('Base de dados'!$A$5,IF(O989&lt;20,1,IF(O989&gt;1000,10,MATCH(O989,Cargas,1))),Coluna_fih,1,1))*(1+0.13*0.25)*(PI()*(fi_h/1000)^2/4)*SQRT(2*9.81*(O989/100-fi_h/2/1000))*1000)),"",IF(O989&lt;fi_h/20,0,(OFFSET('Base de dados'!$A$5,IF(O989&lt;20,1,IF(O989&gt;1000,10,MATCH(O989,Cargas,1))),Coluna_fih,1,1))*(PI()*(fi_h/1000)^2/4)*SQRT(2*9.81*(O989/100-fi_h/2/1000))*1000))</f>
        <v>4.1919101345854788</v>
      </c>
      <c r="Q989" s="38">
        <f ca="1">IF(O989="","",IF(Tipo_Vertedor="Retangular",IF(O989&lt;=cota_s*100,0,IF(Tipo_Vertedor="Retangular",Cd_sr*Lef_sr*((O989/100-cota_s)^(3/2))*1000)),IF(O989&lt;=cota_s*100+fi_s/20,0,(OFFSET('Base de dados'!$A$4,IF(O989&lt;20,1,IF(O989&gt;1000,10,MATCH(O989,Cargas,1))),Coluna_fis,1,1))*(PI()*(fi_s/1000)^2/4)*(2*9.81*(O989/100-cota_s-fi_s/2/1000))^0.5*1000)))</f>
        <v>3.0004515890295851</v>
      </c>
      <c r="R989" s="38">
        <f t="shared" ca="1" si="163"/>
        <v>7.1923617236150639</v>
      </c>
      <c r="S989" s="38">
        <f t="shared" ca="1" si="160"/>
        <v>308.75000000000006</v>
      </c>
    </row>
    <row r="990" spans="13:19">
      <c r="M990" s="132">
        <f t="shared" ca="1" si="159"/>
        <v>316.25999102476419</v>
      </c>
      <c r="N990" s="38">
        <f t="shared" si="161"/>
        <v>9.2718750000000014</v>
      </c>
      <c r="O990" s="36">
        <f t="shared" si="162"/>
        <v>247.25</v>
      </c>
      <c r="P990" s="38">
        <f ca="1">IF(ISERROR(IF(O990&lt;fi_h/20,0,(OFFSET('Base de dados'!$A$5,IF(O990&lt;20,1,IF(O990&gt;1000,10,MATCH(O990,Cargas,1))),Coluna_fih,1,1))*(1+0.13*0.25)*(PI()*(fi_h/1000)^2/4)*SQRT(2*9.81*(O990/100-fi_h/2/1000))*1000)),"",IF(O990&lt;fi_h/20,0,(OFFSET('Base de dados'!$A$5,IF(O990&lt;20,1,IF(O990&gt;1000,10,MATCH(O990,Cargas,1))),Coluna_fih,1,1))*(PI()*(fi_h/1000)^2/4)*SQRT(2*9.81*(O990/100-fi_h/2/1000))*1000))</f>
        <v>4.1940462269646028</v>
      </c>
      <c r="Q990" s="38">
        <f ca="1">IF(O990="","",IF(Tipo_Vertedor="Retangular",IF(O990&lt;=cota_s*100,0,IF(Tipo_Vertedor="Retangular",Cd_sr*Lef_sr*((O990/100-cota_s)^(3/2))*1000)),IF(O990&lt;=cota_s*100+fi_s/20,0,(OFFSET('Base de dados'!$A$4,IF(O990&lt;20,1,IF(O990&gt;1000,10,MATCH(O990,Cargas,1))),Coluna_fis,1,1))*(PI()*(fi_s/1000)^2/4)*(2*9.81*(O990/100-cota_s-fi_s/2/1000))^0.5*1000)))</f>
        <v>3.0034447977995145</v>
      </c>
      <c r="R990" s="38">
        <f t="shared" ca="1" si="163"/>
        <v>7.1974910247641173</v>
      </c>
      <c r="S990" s="38">
        <f t="shared" ca="1" si="160"/>
        <v>309.06250000000006</v>
      </c>
    </row>
    <row r="991" spans="13:19">
      <c r="M991" s="132">
        <f t="shared" ca="1" si="159"/>
        <v>316.57761625848286</v>
      </c>
      <c r="N991" s="38">
        <f t="shared" si="161"/>
        <v>9.28125</v>
      </c>
      <c r="O991" s="36">
        <f t="shared" si="162"/>
        <v>247.5</v>
      </c>
      <c r="P991" s="38">
        <f ca="1">IF(ISERROR(IF(O991&lt;fi_h/20,0,(OFFSET('Base de dados'!$A$5,IF(O991&lt;20,1,IF(O991&gt;1000,10,MATCH(O991,Cargas,1))),Coluna_fih,1,1))*(1+0.13*0.25)*(PI()*(fi_h/1000)^2/4)*SQRT(2*9.81*(O991/100-fi_h/2/1000))*1000)),"",IF(O991&lt;fi_h/20,0,(OFFSET('Base de dados'!$A$5,IF(O991&lt;20,1,IF(O991&gt;1000,10,MATCH(O991,Cargas,1))),Coluna_fih,1,1))*(PI()*(fi_h/1000)^2/4)*SQRT(2*9.81*(O991/100-fi_h/2/1000))*1000))</f>
        <v>4.196181231952643</v>
      </c>
      <c r="Q991" s="38">
        <f ca="1">IF(O991="","",IF(Tipo_Vertedor="Retangular",IF(O991&lt;=cota_s*100,0,IF(Tipo_Vertedor="Retangular",Cd_sr*Lef_sr*((O991/100-cota_s)^(3/2))*1000)),IF(O991&lt;=cota_s*100+fi_s/20,0,(OFFSET('Base de dados'!$A$4,IF(O991&lt;20,1,IF(O991&gt;1000,10,MATCH(O991,Cargas,1))),Coluna_fis,1,1))*(PI()*(fi_s/1000)^2/4)*(2*9.81*(O991/100-cota_s-fi_s/2/1000))^0.5*1000)))</f>
        <v>3.0064350265302222</v>
      </c>
      <c r="R991" s="38">
        <f t="shared" ca="1" si="163"/>
        <v>7.2026162584828652</v>
      </c>
      <c r="S991" s="38">
        <f t="shared" ca="1" si="160"/>
        <v>309.375</v>
      </c>
    </row>
    <row r="992" spans="13:19">
      <c r="M992" s="132">
        <f t="shared" ca="1" si="159"/>
        <v>316.89523743531333</v>
      </c>
      <c r="N992" s="38">
        <f t="shared" si="161"/>
        <v>9.2906250000000004</v>
      </c>
      <c r="O992" s="36">
        <f t="shared" si="162"/>
        <v>247.75</v>
      </c>
      <c r="P992" s="38">
        <f ca="1">IF(ISERROR(IF(O992&lt;fi_h/20,0,(OFFSET('Base de dados'!$A$5,IF(O992&lt;20,1,IF(O992&gt;1000,10,MATCH(O992,Cargas,1))),Coluna_fih,1,1))*(1+0.13*0.25)*(PI()*(fi_h/1000)^2/4)*SQRT(2*9.81*(O992/100-fi_h/2/1000))*1000)),"",IF(O992&lt;fi_h/20,0,(OFFSET('Base de dados'!$A$5,IF(O992&lt;20,1,IF(O992&gt;1000,10,MATCH(O992,Cargas,1))),Coluna_fih,1,1))*(PI()*(fi_h/1000)^2/4)*SQRT(2*9.81*(O992/100-fi_h/2/1000))*1000))</f>
        <v>4.198315151208539</v>
      </c>
      <c r="Q992" s="38">
        <f ca="1">IF(O992="","",IF(Tipo_Vertedor="Retangular",IF(O992&lt;=cota_s*100,0,IF(Tipo_Vertedor="Retangular",Cd_sr*Lef_sr*((O992/100-cota_s)^(3/2))*1000)),IF(O992&lt;=cota_s*100+fi_s/20,0,(OFFSET('Base de dados'!$A$4,IF(O992&lt;20,1,IF(O992&gt;1000,10,MATCH(O992,Cargas,1))),Coluna_fis,1,1))*(PI()*(fi_s/1000)^2/4)*(2*9.81*(O992/100-cota_s-fi_s/2/1000))^0.5*1000)))</f>
        <v>3.0094222841048053</v>
      </c>
      <c r="R992" s="38">
        <f t="shared" ca="1" si="163"/>
        <v>7.2077374353133443</v>
      </c>
      <c r="S992" s="38">
        <f t="shared" ca="1" si="160"/>
        <v>309.6875</v>
      </c>
    </row>
    <row r="993" spans="13:19">
      <c r="M993" s="132">
        <f t="shared" ca="1" si="159"/>
        <v>317.21285456574935</v>
      </c>
      <c r="N993" s="38">
        <f t="shared" si="161"/>
        <v>9.3000000000000007</v>
      </c>
      <c r="O993" s="36">
        <f t="shared" si="162"/>
        <v>248</v>
      </c>
      <c r="P993" s="38">
        <f ca="1">IF(ISERROR(IF(O993&lt;fi_h/20,0,(OFFSET('Base de dados'!$A$5,IF(O993&lt;20,1,IF(O993&gt;1000,10,MATCH(O993,Cargas,1))),Coluna_fih,1,1))*(1+0.13*0.25)*(PI()*(fi_h/1000)^2/4)*SQRT(2*9.81*(O993/100-fi_h/2/1000))*1000)),"",IF(O993&lt;fi_h/20,0,(OFFSET('Base de dados'!$A$5,IF(O993&lt;20,1,IF(O993&gt;1000,10,MATCH(O993,Cargas,1))),Coluna_fih,1,1))*(PI()*(fi_h/1000)^2/4)*SQRT(2*9.81*(O993/100-fi_h/2/1000))*1000))</f>
        <v>4.2004479863870179</v>
      </c>
      <c r="Q993" s="38">
        <f ca="1">IF(O993="","",IF(Tipo_Vertedor="Retangular",IF(O993&lt;=cota_s*100,0,IF(Tipo_Vertedor="Retangular",Cd_sr*Lef_sr*((O993/100-cota_s)^(3/2))*1000)),IF(O993&lt;=cota_s*100+fi_s/20,0,(OFFSET('Base de dados'!$A$4,IF(O993&lt;20,1,IF(O993&gt;1000,10,MATCH(O993,Cargas,1))),Coluna_fis,1,1))*(PI()*(fi_s/1000)^2/4)*(2*9.81*(O993/100-cota_s-fi_s/2/1000))^0.5*1000)))</f>
        <v>3.0124065793623194</v>
      </c>
      <c r="R993" s="38">
        <f t="shared" ca="1" si="163"/>
        <v>7.2128545657493373</v>
      </c>
      <c r="S993" s="38">
        <f t="shared" ca="1" si="160"/>
        <v>310</v>
      </c>
    </row>
    <row r="994" spans="13:19">
      <c r="M994" s="132">
        <f t="shared" ca="1" si="159"/>
        <v>317.5304676602367</v>
      </c>
      <c r="N994" s="38">
        <f t="shared" si="161"/>
        <v>9.3093749999999993</v>
      </c>
      <c r="O994" s="36">
        <f t="shared" si="162"/>
        <v>248.25</v>
      </c>
      <c r="P994" s="38">
        <f ca="1">IF(ISERROR(IF(O994&lt;fi_h/20,0,(OFFSET('Base de dados'!$A$5,IF(O994&lt;20,1,IF(O994&gt;1000,10,MATCH(O994,Cargas,1))),Coluna_fih,1,1))*(1+0.13*0.25)*(PI()*(fi_h/1000)^2/4)*SQRT(2*9.81*(O994/100-fi_h/2/1000))*1000)),"",IF(O994&lt;fi_h/20,0,(OFFSET('Base de dados'!$A$5,IF(O994&lt;20,1,IF(O994&gt;1000,10,MATCH(O994,Cargas,1))),Coluna_fih,1,1))*(PI()*(fi_h/1000)^2/4)*SQRT(2*9.81*(O994/100-fi_h/2/1000))*1000))</f>
        <v>4.2025797391386073</v>
      </c>
      <c r="Q994" s="38">
        <f ca="1">IF(O994="","",IF(Tipo_Vertedor="Retangular",IF(O994&lt;=cota_s*100,0,IF(Tipo_Vertedor="Retangular",Cd_sr*Lef_sr*((O994/100-cota_s)^(3/2))*1000)),IF(O994&lt;=cota_s*100+fi_s/20,0,(OFFSET('Base de dados'!$A$4,IF(O994&lt;20,1,IF(O994&gt;1000,10,MATCH(O994,Cargas,1))),Coluna_fis,1,1))*(PI()*(fi_s/1000)^2/4)*(2*9.81*(O994/100-cota_s-fi_s/2/1000))^0.5*1000)))</f>
        <v>3.0153879210980801</v>
      </c>
      <c r="R994" s="38">
        <f t="shared" ca="1" si="163"/>
        <v>7.2179676602366873</v>
      </c>
      <c r="S994" s="38">
        <f t="shared" ca="1" si="160"/>
        <v>310.3125</v>
      </c>
    </row>
    <row r="995" spans="13:19">
      <c r="M995" s="132">
        <f t="shared" ca="1" si="159"/>
        <v>317.84807672917361</v>
      </c>
      <c r="N995" s="38">
        <f t="shared" si="161"/>
        <v>9.3187499999999996</v>
      </c>
      <c r="O995" s="36">
        <f t="shared" si="162"/>
        <v>248.5</v>
      </c>
      <c r="P995" s="38">
        <f ca="1">IF(ISERROR(IF(O995&lt;fi_h/20,0,(OFFSET('Base de dados'!$A$5,IF(O995&lt;20,1,IF(O995&gt;1000,10,MATCH(O995,Cargas,1))),Coluna_fih,1,1))*(1+0.13*0.25)*(PI()*(fi_h/1000)^2/4)*SQRT(2*9.81*(O995/100-fi_h/2/1000))*1000)),"",IF(O995&lt;fi_h/20,0,(OFFSET('Base de dados'!$A$5,IF(O995&lt;20,1,IF(O995&gt;1000,10,MATCH(O995,Cargas,1))),Coluna_fih,1,1))*(PI()*(fi_h/1000)^2/4)*SQRT(2*9.81*(O995/100-fi_h/2/1000))*1000))</f>
        <v>4.2047104111096525</v>
      </c>
      <c r="Q995" s="38">
        <f ca="1">IF(O995="","",IF(Tipo_Vertedor="Retangular",IF(O995&lt;=cota_s*100,0,IF(Tipo_Vertedor="Retangular",Cd_sr*Lef_sr*((O995/100-cota_s)^(3/2))*1000)),IF(O995&lt;=cota_s*100+fi_s/20,0,(OFFSET('Base de dados'!$A$4,IF(O995&lt;20,1,IF(O995&gt;1000,10,MATCH(O995,Cargas,1))),Coluna_fis,1,1))*(PI()*(fi_s/1000)^2/4)*(2*9.81*(O995/100-cota_s-fi_s/2/1000))^0.5*1000)))</f>
        <v>3.0183663180639635</v>
      </c>
      <c r="R995" s="38">
        <f t="shared" ca="1" si="163"/>
        <v>7.2230767291736164</v>
      </c>
      <c r="S995" s="38">
        <f t="shared" ca="1" si="160"/>
        <v>310.625</v>
      </c>
    </row>
    <row r="996" spans="13:19">
      <c r="M996" s="132">
        <f t="shared" ca="1" si="159"/>
        <v>318.16568178291107</v>
      </c>
      <c r="N996" s="38">
        <f t="shared" si="161"/>
        <v>9.328125</v>
      </c>
      <c r="O996" s="36">
        <f t="shared" si="162"/>
        <v>248.75</v>
      </c>
      <c r="P996" s="38">
        <f ca="1">IF(ISERROR(IF(O996&lt;fi_h/20,0,(OFFSET('Base de dados'!$A$5,IF(O996&lt;20,1,IF(O996&gt;1000,10,MATCH(O996,Cargas,1))),Coluna_fih,1,1))*(1+0.13*0.25)*(PI()*(fi_h/1000)^2/4)*SQRT(2*9.81*(O996/100-fi_h/2/1000))*1000)),"",IF(O996&lt;fi_h/20,0,(OFFSET('Base de dados'!$A$5,IF(O996&lt;20,1,IF(O996&gt;1000,10,MATCH(O996,Cargas,1))),Coluna_fih,1,1))*(PI()*(fi_h/1000)^2/4)*SQRT(2*9.81*(O996/100-fi_h/2/1000))*1000))</f>
        <v>4.206840003942327</v>
      </c>
      <c r="Q996" s="38">
        <f ca="1">IF(O996="","",IF(Tipo_Vertedor="Retangular",IF(O996&lt;=cota_s*100,0,IF(Tipo_Vertedor="Retangular",Cd_sr*Lef_sr*((O996/100-cota_s)^(3/2))*1000)),IF(O996&lt;=cota_s*100+fi_s/20,0,(OFFSET('Base de dados'!$A$4,IF(O996&lt;20,1,IF(O996&gt;1000,10,MATCH(O996,Cargas,1))),Coluna_fis,1,1))*(PI()*(fi_s/1000)^2/4)*(2*9.81*(O996/100-cota_s-fi_s/2/1000))^0.5*1000)))</f>
        <v>3.0213417789687109</v>
      </c>
      <c r="R996" s="38">
        <f t="shared" ca="1" si="163"/>
        <v>7.2281817829110384</v>
      </c>
      <c r="S996" s="38">
        <f t="shared" ca="1" si="160"/>
        <v>310.9375</v>
      </c>
    </row>
    <row r="997" spans="13:19">
      <c r="M997" s="132">
        <f t="shared" ca="1" si="159"/>
        <v>318.48328283175289</v>
      </c>
      <c r="N997" s="38">
        <f t="shared" si="161"/>
        <v>9.3375000000000004</v>
      </c>
      <c r="O997" s="36">
        <f t="shared" si="162"/>
        <v>249</v>
      </c>
      <c r="P997" s="38">
        <f ca="1">IF(ISERROR(IF(O997&lt;fi_h/20,0,(OFFSET('Base de dados'!$A$5,IF(O997&lt;20,1,IF(O997&gt;1000,10,MATCH(O997,Cargas,1))),Coluna_fih,1,1))*(1+0.13*0.25)*(PI()*(fi_h/1000)^2/4)*SQRT(2*9.81*(O997/100-fi_h/2/1000))*1000)),"",IF(O997&lt;fi_h/20,0,(OFFSET('Base de dados'!$A$5,IF(O997&lt;20,1,IF(O997&gt;1000,10,MATCH(O997,Cargas,1))),Coluna_fih,1,1))*(PI()*(fi_h/1000)^2/4)*SQRT(2*9.81*(O997/100-fi_h/2/1000))*1000))</f>
        <v>4.2089685192746513</v>
      </c>
      <c r="Q997" s="38">
        <f ca="1">IF(O997="","",IF(Tipo_Vertedor="Retangular",IF(O997&lt;=cota_s*100,0,IF(Tipo_Vertedor="Retangular",Cd_sr*Lef_sr*((O997/100-cota_s)^(3/2))*1000)),IF(O997&lt;=cota_s*100+fi_s/20,0,(OFFSET('Base de dados'!$A$4,IF(O997&lt;20,1,IF(O997&gt;1000,10,MATCH(O997,Cargas,1))),Coluna_fis,1,1))*(PI()*(fi_s/1000)^2/4)*(2*9.81*(O997/100-cota_s-fi_s/2/1000))^0.5*1000)))</f>
        <v>3.0243143124782232</v>
      </c>
      <c r="R997" s="38">
        <f t="shared" ca="1" si="163"/>
        <v>7.2332828317528746</v>
      </c>
      <c r="S997" s="38">
        <f t="shared" ca="1" si="160"/>
        <v>311.25</v>
      </c>
    </row>
    <row r="998" spans="13:19">
      <c r="M998" s="132">
        <f t="shared" ca="1" si="159"/>
        <v>318.80087988595636</v>
      </c>
      <c r="N998" s="38">
        <f t="shared" si="161"/>
        <v>9.3468750000000007</v>
      </c>
      <c r="O998" s="36">
        <f t="shared" si="162"/>
        <v>249.25</v>
      </c>
      <c r="P998" s="38">
        <f ca="1">IF(ISERROR(IF(O998&lt;fi_h/20,0,(OFFSET('Base de dados'!$A$5,IF(O998&lt;20,1,IF(O998&gt;1000,10,MATCH(O998,Cargas,1))),Coluna_fih,1,1))*(1+0.13*0.25)*(PI()*(fi_h/1000)^2/4)*SQRT(2*9.81*(O998/100-fi_h/2/1000))*1000)),"",IF(O998&lt;fi_h/20,0,(OFFSET('Base de dados'!$A$5,IF(O998&lt;20,1,IF(O998&gt;1000,10,MATCH(O998,Cargas,1))),Coluna_fih,1,1))*(PI()*(fi_h/1000)^2/4)*SQRT(2*9.81*(O998/100-fi_h/2/1000))*1000))</f>
        <v>4.2110959587405068</v>
      </c>
      <c r="Q998" s="38">
        <f ca="1">IF(O998="","",IF(Tipo_Vertedor="Retangular",IF(O998&lt;=cota_s*100,0,IF(Tipo_Vertedor="Retangular",Cd_sr*Lef_sr*((O998/100-cota_s)^(3/2))*1000)),IF(O998&lt;=cota_s*100+fi_s/20,0,(OFFSET('Base de dados'!$A$4,IF(O998&lt;20,1,IF(O998&gt;1000,10,MATCH(O998,Cargas,1))),Coluna_fis,1,1))*(PI()*(fi_s/1000)^2/4)*(2*9.81*(O998/100-cota_s-fi_s/2/1000))^0.5*1000)))</f>
        <v>3.0272839272158527</v>
      </c>
      <c r="R998" s="38">
        <f t="shared" ca="1" si="163"/>
        <v>7.2383798859563591</v>
      </c>
      <c r="S998" s="38">
        <f t="shared" ca="1" si="160"/>
        <v>311.5625</v>
      </c>
    </row>
    <row r="999" spans="13:19">
      <c r="M999" s="132">
        <f t="shared" ca="1" si="159"/>
        <v>319.11847295573239</v>
      </c>
      <c r="N999" s="38">
        <f t="shared" si="161"/>
        <v>9.3562500000000011</v>
      </c>
      <c r="O999" s="36">
        <f t="shared" si="162"/>
        <v>249.5</v>
      </c>
      <c r="P999" s="38">
        <f ca="1">IF(ISERROR(IF(O999&lt;fi_h/20,0,(OFFSET('Base de dados'!$A$5,IF(O999&lt;20,1,IF(O999&gt;1000,10,MATCH(O999,Cargas,1))),Coluna_fih,1,1))*(1+0.13*0.25)*(PI()*(fi_h/1000)^2/4)*SQRT(2*9.81*(O999/100-fi_h/2/1000))*1000)),"",IF(O999&lt;fi_h/20,0,(OFFSET('Base de dados'!$A$5,IF(O999&lt;20,1,IF(O999&gt;1000,10,MATCH(O999,Cargas,1))),Coluna_fih,1,1))*(PI()*(fi_h/1000)^2/4)*SQRT(2*9.81*(O999/100-fi_h/2/1000))*1000))</f>
        <v>4.2132223239696485</v>
      </c>
      <c r="Q999" s="38">
        <f ca="1">IF(O999="","",IF(Tipo_Vertedor="Retangular",IF(O999&lt;=cota_s*100,0,IF(Tipo_Vertedor="Retangular",Cd_sr*Lef_sr*((O999/100-cota_s)^(3/2))*1000)),IF(O999&lt;=cota_s*100+fi_s/20,0,(OFFSET('Base de dados'!$A$4,IF(O999&lt;20,1,IF(O999&gt;1000,10,MATCH(O999,Cargas,1))),Coluna_fis,1,1))*(PI()*(fi_s/1000)^2/4)*(2*9.81*(O999/100-cota_s-fi_s/2/1000))^0.5*1000)))</f>
        <v>3.0302506317627</v>
      </c>
      <c r="R999" s="38">
        <f t="shared" ca="1" si="163"/>
        <v>7.243472955732349</v>
      </c>
      <c r="S999" s="38">
        <f t="shared" ca="1" si="160"/>
        <v>311.87500000000006</v>
      </c>
    </row>
    <row r="1000" spans="13:19">
      <c r="M1000" s="132">
        <f t="shared" ca="1" si="159"/>
        <v>319.43606205124564</v>
      </c>
      <c r="N1000" s="38">
        <f t="shared" si="161"/>
        <v>9.3656249999999996</v>
      </c>
      <c r="O1000" s="36">
        <f t="shared" si="162"/>
        <v>249.75</v>
      </c>
      <c r="P1000" s="38">
        <f ca="1">IF(ISERROR(IF(O1000&lt;fi_h/20,0,(OFFSET('Base de dados'!$A$5,IF(O1000&lt;20,1,IF(O1000&gt;1000,10,MATCH(O1000,Cargas,1))),Coluna_fih,1,1))*(1+0.13*0.25)*(PI()*(fi_h/1000)^2/4)*SQRT(2*9.81*(O1000/100-fi_h/2/1000))*1000)),"",IF(O1000&lt;fi_h/20,0,(OFFSET('Base de dados'!$A$5,IF(O1000&lt;20,1,IF(O1000&gt;1000,10,MATCH(O1000,Cargas,1))),Coluna_fih,1,1))*(PI()*(fi_h/1000)^2/4)*SQRT(2*9.81*(O1000/100-fi_h/2/1000))*1000))</f>
        <v>4.2153476165877208</v>
      </c>
      <c r="Q1000" s="38">
        <f ca="1">IF(O1000="","",IF(Tipo_Vertedor="Retangular",IF(O1000&lt;=cota_s*100,0,IF(Tipo_Vertedor="Retangular",Cd_sr*Lef_sr*((O1000/100-cota_s)^(3/2))*1000)),IF(O1000&lt;=cota_s*100+fi_s/20,0,(OFFSET('Base de dados'!$A$4,IF(O1000&lt;20,1,IF(O1000&gt;1000,10,MATCH(O1000,Cargas,1))),Coluna_fis,1,1))*(PI()*(fi_s/1000)^2/4)*(2*9.81*(O1000/100-cota_s-fi_s/2/1000))^0.5*1000)))</f>
        <v>3.0332144346579009</v>
      </c>
      <c r="R1000" s="38">
        <f t="shared" ca="1" si="163"/>
        <v>7.2485620512456217</v>
      </c>
      <c r="S1000" s="38">
        <f t="shared" ca="1" si="160"/>
        <v>312.1875</v>
      </c>
    </row>
    <row r="1001" spans="13:19">
      <c r="M1001" s="132">
        <f t="shared" ca="1" si="159"/>
        <v>319.75364718261517</v>
      </c>
      <c r="N1001" s="38">
        <f t="shared" si="161"/>
        <v>9.375</v>
      </c>
      <c r="O1001" s="36">
        <f t="shared" si="162"/>
        <v>250</v>
      </c>
      <c r="P1001" s="38">
        <f ca="1">IF(ISERROR(IF(O1001&lt;fi_h/20,0,(OFFSET('Base de dados'!$A$5,IF(O1001&lt;20,1,IF(O1001&gt;1000,10,MATCH(O1001,Cargas,1))),Coluna_fih,1,1))*(1+0.13*0.25)*(PI()*(fi_h/1000)^2/4)*SQRT(2*9.81*(O1001/100-fi_h/2/1000))*1000)),"",IF(O1001&lt;fi_h/20,0,(OFFSET('Base de dados'!$A$5,IF(O1001&lt;20,1,IF(O1001&gt;1000,10,MATCH(O1001,Cargas,1))),Coluna_fih,1,1))*(PI()*(fi_h/1000)^2/4)*SQRT(2*9.81*(O1001/100-fi_h/2/1000))*1000))</f>
        <v>4.2174718382162739</v>
      </c>
      <c r="Q1001" s="38">
        <f ca="1">IF(O1001="","",IF(Tipo_Vertedor="Retangular",IF(O1001&lt;=cota_s*100,0,IF(Tipo_Vertedor="Retangular",Cd_sr*Lef_sr*((O1001/100-cota_s)^(3/2))*1000)),IF(O1001&lt;=cota_s*100+fi_s/20,0,(OFFSET('Base de dados'!$A$4,IF(O1001&lt;20,1,IF(O1001&gt;1000,10,MATCH(O1001,Cargas,1))),Coluna_fis,1,1))*(PI()*(fi_s/1000)^2/4)*(2*9.81*(O1001/100-cota_s-fi_s/2/1000))^0.5*1000)))</f>
        <v>3.036175344398913</v>
      </c>
      <c r="R1001" s="38">
        <f t="shared" ca="1" si="163"/>
        <v>7.2536471826151869</v>
      </c>
      <c r="S1001" s="38">
        <f t="shared" ca="1" si="160"/>
        <v>312.5</v>
      </c>
    </row>
    <row r="1002" spans="13:19">
      <c r="M1002" s="132">
        <f t="shared" ca="1" si="159"/>
        <v>320.07122835991458</v>
      </c>
      <c r="N1002" s="38">
        <f t="shared" si="161"/>
        <v>9.3843750000000004</v>
      </c>
      <c r="O1002" s="36">
        <f t="shared" si="162"/>
        <v>250.25</v>
      </c>
      <c r="P1002" s="38">
        <f ca="1">IF(ISERROR(IF(O1002&lt;fi_h/20,0,(OFFSET('Base de dados'!$A$5,IF(O1002&lt;20,1,IF(O1002&gt;1000,10,MATCH(O1002,Cargas,1))),Coluna_fih,1,1))*(1+0.13*0.25)*(PI()*(fi_h/1000)^2/4)*SQRT(2*9.81*(O1002/100-fi_h/2/1000))*1000)),"",IF(O1002&lt;fi_h/20,0,(OFFSET('Base de dados'!$A$5,IF(O1002&lt;20,1,IF(O1002&gt;1000,10,MATCH(O1002,Cargas,1))),Coluna_fih,1,1))*(PI()*(fi_h/1000)^2/4)*SQRT(2*9.81*(O1002/100-fi_h/2/1000))*1000))</f>
        <v>4.2195949904727739</v>
      </c>
      <c r="Q1002" s="38">
        <f ca="1">IF(O1002="","",IF(Tipo_Vertedor="Retangular",IF(O1002&lt;=cota_s*100,0,IF(Tipo_Vertedor="Retangular",Cd_sr*Lef_sr*((O1002/100-cota_s)^(3/2))*1000)),IF(O1002&lt;=cota_s*100+fi_s/20,0,(OFFSET('Base de dados'!$A$4,IF(O1002&lt;20,1,IF(O1002&gt;1000,10,MATCH(O1002,Cargas,1))),Coluna_fis,1,1))*(PI()*(fi_s/1000)^2/4)*(2*9.81*(O1002/100-cota_s-fi_s/2/1000))^0.5*1000)))</f>
        <v>3.0391333694417999</v>
      </c>
      <c r="R1002" s="38">
        <f t="shared" ca="1" si="163"/>
        <v>7.2587283599145742</v>
      </c>
      <c r="S1002" s="38">
        <f t="shared" ca="1" si="160"/>
        <v>312.8125</v>
      </c>
    </row>
    <row r="1003" spans="13:19">
      <c r="M1003" s="132">
        <f t="shared" ca="1" si="159"/>
        <v>320.38880559317209</v>
      </c>
      <c r="N1003" s="38">
        <f t="shared" si="161"/>
        <v>9.3937499999999989</v>
      </c>
      <c r="O1003" s="36">
        <f t="shared" si="162"/>
        <v>250.5</v>
      </c>
      <c r="P1003" s="38">
        <f ca="1">IF(ISERROR(IF(O1003&lt;fi_h/20,0,(OFFSET('Base de dados'!$A$5,IF(O1003&lt;20,1,IF(O1003&gt;1000,10,MATCH(O1003,Cargas,1))),Coluna_fih,1,1))*(1+0.13*0.25)*(PI()*(fi_h/1000)^2/4)*SQRT(2*9.81*(O1003/100-fi_h/2/1000))*1000)),"",IF(O1003&lt;fi_h/20,0,(OFFSET('Base de dados'!$A$5,IF(O1003&lt;20,1,IF(O1003&gt;1000,10,MATCH(O1003,Cargas,1))),Coluna_fih,1,1))*(PI()*(fi_h/1000)^2/4)*SQRT(2*9.81*(O1003/100-fi_h/2/1000))*1000))</f>
        <v>4.2217170749706225</v>
      </c>
      <c r="Q1003" s="38">
        <f ca="1">IF(O1003="","",IF(Tipo_Vertedor="Retangular",IF(O1003&lt;=cota_s*100,0,IF(Tipo_Vertedor="Retangular",Cd_sr*Lef_sr*((O1003/100-cota_s)^(3/2))*1000)),IF(O1003&lt;=cota_s*100+fi_s/20,0,(OFFSET('Base de dados'!$A$4,IF(O1003&lt;20,1,IF(O1003&gt;1000,10,MATCH(O1003,Cargas,1))),Coluna_fis,1,1))*(PI()*(fi_s/1000)^2/4)*(2*9.81*(O1003/100-cota_s-fi_s/2/1000))^0.5*1000)))</f>
        <v>3.0420885182015125</v>
      </c>
      <c r="R1003" s="38">
        <f t="shared" ca="1" si="163"/>
        <v>7.263805593172135</v>
      </c>
      <c r="S1003" s="38">
        <f t="shared" ca="1" si="160"/>
        <v>313.12499999999994</v>
      </c>
    </row>
    <row r="1004" spans="13:19">
      <c r="M1004" s="132">
        <f t="shared" ca="1" si="159"/>
        <v>320.70637889237133</v>
      </c>
      <c r="N1004" s="38">
        <f t="shared" si="161"/>
        <v>9.4031249999999993</v>
      </c>
      <c r="O1004" s="36">
        <f t="shared" si="162"/>
        <v>250.75</v>
      </c>
      <c r="P1004" s="38">
        <f ca="1">IF(ISERROR(IF(O1004&lt;fi_h/20,0,(OFFSET('Base de dados'!$A$5,IF(O1004&lt;20,1,IF(O1004&gt;1000,10,MATCH(O1004,Cargas,1))),Coluna_fih,1,1))*(1+0.13*0.25)*(PI()*(fi_h/1000)^2/4)*SQRT(2*9.81*(O1004/100-fi_h/2/1000))*1000)),"",IF(O1004&lt;fi_h/20,0,(OFFSET('Base de dados'!$A$5,IF(O1004&lt;20,1,IF(O1004&gt;1000,10,MATCH(O1004,Cargas,1))),Coluna_fih,1,1))*(PI()*(fi_h/1000)^2/4)*SQRT(2*9.81*(O1004/100-fi_h/2/1000))*1000))</f>
        <v>4.2238380933191655</v>
      </c>
      <c r="Q1004" s="38">
        <f ca="1">IF(O1004="","",IF(Tipo_Vertedor="Retangular",IF(O1004&lt;=cota_s*100,0,IF(Tipo_Vertedor="Retangular",Cd_sr*Lef_sr*((O1004/100-cota_s)^(3/2))*1000)),IF(O1004&lt;=cota_s*100+fi_s/20,0,(OFFSET('Base de dados'!$A$4,IF(O1004&lt;20,1,IF(O1004&gt;1000,10,MATCH(O1004,Cargas,1))),Coluna_fis,1,1))*(PI()*(fi_s/1000)^2/4)*(2*9.81*(O1004/100-cota_s-fi_s/2/1000))^0.5*1000)))</f>
        <v>3.0450407990521704</v>
      </c>
      <c r="R1004" s="38">
        <f t="shared" ca="1" si="163"/>
        <v>7.2688788923713359</v>
      </c>
      <c r="S1004" s="38">
        <f t="shared" ca="1" si="160"/>
        <v>313.4375</v>
      </c>
    </row>
    <row r="1005" spans="13:19">
      <c r="M1005" s="132">
        <f t="shared" ca="1" si="159"/>
        <v>321.02394826745103</v>
      </c>
      <c r="N1005" s="38">
        <f t="shared" si="161"/>
        <v>9.4124999999999996</v>
      </c>
      <c r="O1005" s="36">
        <f t="shared" si="162"/>
        <v>251</v>
      </c>
      <c r="P1005" s="38">
        <f ca="1">IF(ISERROR(IF(O1005&lt;fi_h/20,0,(OFFSET('Base de dados'!$A$5,IF(O1005&lt;20,1,IF(O1005&gt;1000,10,MATCH(O1005,Cargas,1))),Coluna_fih,1,1))*(1+0.13*0.25)*(PI()*(fi_h/1000)^2/4)*SQRT(2*9.81*(O1005/100-fi_h/2/1000))*1000)),"",IF(O1005&lt;fi_h/20,0,(OFFSET('Base de dados'!$A$5,IF(O1005&lt;20,1,IF(O1005&gt;1000,10,MATCH(O1005,Cargas,1))),Coluna_fih,1,1))*(PI()*(fi_h/1000)^2/4)*SQRT(2*9.81*(O1005/100-fi_h/2/1000))*1000))</f>
        <v>4.2259580471237124</v>
      </c>
      <c r="Q1005" s="38">
        <f ca="1">IF(O1005="","",IF(Tipo_Vertedor="Retangular",IF(O1005&lt;=cota_s*100,0,IF(Tipo_Vertedor="Retangular",Cd_sr*Lef_sr*((O1005/100-cota_s)^(3/2))*1000)),IF(O1005&lt;=cota_s*100+fi_s/20,0,(OFFSET('Base de dados'!$A$4,IF(O1005&lt;20,1,IF(O1005&gt;1000,10,MATCH(O1005,Cargas,1))),Coluna_fis,1,1))*(PI()*(fi_s/1000)^2/4)*(2*9.81*(O1005/100-cota_s-fi_s/2/1000))^0.5*1000)))</f>
        <v>3.0479902203273377</v>
      </c>
      <c r="R1005" s="38">
        <f t="shared" ca="1" si="163"/>
        <v>7.2739482674510505</v>
      </c>
      <c r="S1005" s="38">
        <f t="shared" ca="1" si="160"/>
        <v>313.75</v>
      </c>
    </row>
    <row r="1006" spans="13:19">
      <c r="M1006" s="132">
        <f t="shared" ca="1" si="159"/>
        <v>321.34151372830581</v>
      </c>
      <c r="N1006" s="38">
        <f t="shared" si="161"/>
        <v>9.421875</v>
      </c>
      <c r="O1006" s="36">
        <f t="shared" si="162"/>
        <v>251.25</v>
      </c>
      <c r="P1006" s="38">
        <f ca="1">IF(ISERROR(IF(O1006&lt;fi_h/20,0,(OFFSET('Base de dados'!$A$5,IF(O1006&lt;20,1,IF(O1006&gt;1000,10,MATCH(O1006,Cargas,1))),Coluna_fih,1,1))*(1+0.13*0.25)*(PI()*(fi_h/1000)^2/4)*SQRT(2*9.81*(O1006/100-fi_h/2/1000))*1000)),"",IF(O1006&lt;fi_h/20,0,(OFFSET('Base de dados'!$A$5,IF(O1006&lt;20,1,IF(O1006&gt;1000,10,MATCH(O1006,Cargas,1))),Coluna_fih,1,1))*(PI()*(fi_h/1000)^2/4)*SQRT(2*9.81*(O1006/100-fi_h/2/1000))*1000))</f>
        <v>4.2280769379855467</v>
      </c>
      <c r="Q1006" s="38">
        <f ca="1">IF(O1006="","",IF(Tipo_Vertedor="Retangular",IF(O1006&lt;=cota_s*100,0,IF(Tipo_Vertedor="Retangular",Cd_sr*Lef_sr*((O1006/100-cota_s)^(3/2))*1000)),IF(O1006&lt;=cota_s*100+fi_s/20,0,(OFFSET('Base de dados'!$A$4,IF(O1006&lt;20,1,IF(O1006&gt;1000,10,MATCH(O1006,Cargas,1))),Coluna_fis,1,1))*(PI()*(fi_s/1000)^2/4)*(2*9.81*(O1006/100-cota_s-fi_s/2/1000))^0.5*1000)))</f>
        <v>3.0509367903202946</v>
      </c>
      <c r="R1006" s="38">
        <f t="shared" ca="1" si="163"/>
        <v>7.2790137283058414</v>
      </c>
      <c r="S1006" s="38">
        <f t="shared" ca="1" si="160"/>
        <v>314.0625</v>
      </c>
    </row>
    <row r="1007" spans="13:19">
      <c r="M1007" s="132">
        <f t="shared" ca="1" si="159"/>
        <v>321.65907528478624</v>
      </c>
      <c r="N1007" s="38">
        <f t="shared" si="161"/>
        <v>9.4312500000000004</v>
      </c>
      <c r="O1007" s="36">
        <f t="shared" si="162"/>
        <v>251.5</v>
      </c>
      <c r="P1007" s="38">
        <f ca="1">IF(ISERROR(IF(O1007&lt;fi_h/20,0,(OFFSET('Base de dados'!$A$5,IF(O1007&lt;20,1,IF(O1007&gt;1000,10,MATCH(O1007,Cargas,1))),Coluna_fih,1,1))*(1+0.13*0.25)*(PI()*(fi_h/1000)^2/4)*SQRT(2*9.81*(O1007/100-fi_h/2/1000))*1000)),"",IF(O1007&lt;fi_h/20,0,(OFFSET('Base de dados'!$A$5,IF(O1007&lt;20,1,IF(O1007&gt;1000,10,MATCH(O1007,Cargas,1))),Coluna_fih,1,1))*(PI()*(fi_h/1000)^2/4)*SQRT(2*9.81*(O1007/100-fi_h/2/1000))*1000))</f>
        <v>4.230194767501942</v>
      </c>
      <c r="Q1007" s="38">
        <f ca="1">IF(O1007="","",IF(Tipo_Vertedor="Retangular",IF(O1007&lt;=cota_s*100,0,IF(Tipo_Vertedor="Retangular",Cd_sr*Lef_sr*((O1007/100-cota_s)^(3/2))*1000)),IF(O1007&lt;=cota_s*100+fi_s/20,0,(OFFSET('Base de dados'!$A$4,IF(O1007&lt;20,1,IF(O1007&gt;1000,10,MATCH(O1007,Cargas,1))),Coluna_fis,1,1))*(PI()*(fi_s/1000)^2/4)*(2*9.81*(O1007/100-cota_s-fi_s/2/1000))^0.5*1000)))</f>
        <v>3.053880517284314</v>
      </c>
      <c r="R1007" s="38">
        <f t="shared" ca="1" si="163"/>
        <v>7.2840752847862564</v>
      </c>
      <c r="S1007" s="38">
        <f t="shared" ca="1" si="160"/>
        <v>314.375</v>
      </c>
    </row>
    <row r="1008" spans="13:19">
      <c r="M1008" s="132">
        <f t="shared" ca="1" si="159"/>
        <v>321.97663294669911</v>
      </c>
      <c r="N1008" s="38">
        <f t="shared" si="161"/>
        <v>9.4406250000000007</v>
      </c>
      <c r="O1008" s="36">
        <f t="shared" si="162"/>
        <v>251.75</v>
      </c>
      <c r="P1008" s="38">
        <f ca="1">IF(ISERROR(IF(O1008&lt;fi_h/20,0,(OFFSET('Base de dados'!$A$5,IF(O1008&lt;20,1,IF(O1008&gt;1000,10,MATCH(O1008,Cargas,1))),Coluna_fih,1,1))*(1+0.13*0.25)*(PI()*(fi_h/1000)^2/4)*SQRT(2*9.81*(O1008/100-fi_h/2/1000))*1000)),"",IF(O1008&lt;fi_h/20,0,(OFFSET('Base de dados'!$A$5,IF(O1008&lt;20,1,IF(O1008&gt;1000,10,MATCH(O1008,Cargas,1))),Coluna_fih,1,1))*(PI()*(fi_h/1000)^2/4)*SQRT(2*9.81*(O1008/100-fi_h/2/1000))*1000))</f>
        <v>4.2323115372661757</v>
      </c>
      <c r="Q1008" s="38">
        <f ca="1">IF(O1008="","",IF(Tipo_Vertedor="Retangular",IF(O1008&lt;=cota_s*100,0,IF(Tipo_Vertedor="Retangular",Cd_sr*Lef_sr*((O1008/100-cota_s)^(3/2))*1000)),IF(O1008&lt;=cota_s*100+fi_s/20,0,(OFFSET('Base de dados'!$A$4,IF(O1008&lt;20,1,IF(O1008&gt;1000,10,MATCH(O1008,Cargas,1))),Coluna_fis,1,1))*(PI()*(fi_s/1000)^2/4)*(2*9.81*(O1008/100-cota_s-fi_s/2/1000))^0.5*1000)))</f>
        <v>3.0568214094329287</v>
      </c>
      <c r="R1008" s="38">
        <f t="shared" ca="1" si="163"/>
        <v>7.2891329466991044</v>
      </c>
      <c r="S1008" s="38">
        <f t="shared" ca="1" si="160"/>
        <v>314.6875</v>
      </c>
    </row>
    <row r="1009" spans="13:19">
      <c r="M1009" s="132">
        <f t="shared" ca="1" si="159"/>
        <v>322.29418672380774</v>
      </c>
      <c r="N1009" s="38">
        <f t="shared" si="161"/>
        <v>9.4499999999999993</v>
      </c>
      <c r="O1009" s="36">
        <f t="shared" si="162"/>
        <v>252</v>
      </c>
      <c r="P1009" s="38">
        <f ca="1">IF(ISERROR(IF(O1009&lt;fi_h/20,0,(OFFSET('Base de dados'!$A$5,IF(O1009&lt;20,1,IF(O1009&gt;1000,10,MATCH(O1009,Cargas,1))),Coluna_fih,1,1))*(1+0.13*0.25)*(PI()*(fi_h/1000)^2/4)*SQRT(2*9.81*(O1009/100-fi_h/2/1000))*1000)),"",IF(O1009&lt;fi_h/20,0,(OFFSET('Base de dados'!$A$5,IF(O1009&lt;20,1,IF(O1009&gt;1000,10,MATCH(O1009,Cargas,1))),Coluna_fih,1,1))*(PI()*(fi_h/1000)^2/4)*SQRT(2*9.81*(O1009/100-fi_h/2/1000))*1000))</f>
        <v>4.2344272488675445</v>
      </c>
      <c r="Q1009" s="38">
        <f ca="1">IF(O1009="","",IF(Tipo_Vertedor="Retangular",IF(O1009&lt;=cota_s*100,0,IF(Tipo_Vertedor="Retangular",Cd_sr*Lef_sr*((O1009/100-cota_s)^(3/2))*1000)),IF(O1009&lt;=cota_s*100+fi_s/20,0,(OFFSET('Base de dados'!$A$4,IF(O1009&lt;20,1,IF(O1009&gt;1000,10,MATCH(O1009,Cargas,1))),Coluna_fis,1,1))*(PI()*(fi_s/1000)^2/4)*(2*9.81*(O1009/100-cota_s-fi_s/2/1000))^0.5*1000)))</f>
        <v>3.0597594749401993</v>
      </c>
      <c r="R1009" s="38">
        <f t="shared" ca="1" si="163"/>
        <v>7.2941867238077442</v>
      </c>
      <c r="S1009" s="38">
        <f t="shared" ca="1" si="160"/>
        <v>315</v>
      </c>
    </row>
    <row r="1010" spans="13:19">
      <c r="M1010" s="132">
        <f t="shared" ca="1" si="159"/>
        <v>322.61173662583235</v>
      </c>
      <c r="N1010" s="38">
        <f t="shared" si="161"/>
        <v>9.4593749999999996</v>
      </c>
      <c r="O1010" s="36">
        <f t="shared" si="162"/>
        <v>252.25</v>
      </c>
      <c r="P1010" s="38">
        <f ca="1">IF(ISERROR(IF(O1010&lt;fi_h/20,0,(OFFSET('Base de dados'!$A$5,IF(O1010&lt;20,1,IF(O1010&gt;1000,10,MATCH(O1010,Cargas,1))),Coluna_fih,1,1))*(1+0.13*0.25)*(PI()*(fi_h/1000)^2/4)*SQRT(2*9.81*(O1010/100-fi_h/2/1000))*1000)),"",IF(O1010&lt;fi_h/20,0,(OFFSET('Base de dados'!$A$5,IF(O1010&lt;20,1,IF(O1010&gt;1000,10,MATCH(O1010,Cargas,1))),Coluna_fih,1,1))*(PI()*(fi_h/1000)^2/4)*SQRT(2*9.81*(O1010/100-fi_h/2/1000))*1000))</f>
        <v>4.2365419038913723</v>
      </c>
      <c r="Q1010" s="38">
        <f ca="1">IF(O1010="","",IF(Tipo_Vertedor="Retangular",IF(O1010&lt;=cota_s*100,0,IF(Tipo_Vertedor="Retangular",Cd_sr*Lef_sr*((O1010/100-cota_s)^(3/2))*1000)),IF(O1010&lt;=cota_s*100+fi_s/20,0,(OFFSET('Base de dados'!$A$4,IF(O1010&lt;20,1,IF(O1010&gt;1000,10,MATCH(O1010,Cargas,1))),Coluna_fis,1,1))*(PI()*(fi_s/1000)^2/4)*(2*9.81*(O1010/100-cota_s-fi_s/2/1000))^0.5*1000)))</f>
        <v>3.0626947219409786</v>
      </c>
      <c r="R1010" s="38">
        <f t="shared" ca="1" si="163"/>
        <v>7.2992366258323509</v>
      </c>
      <c r="S1010" s="38">
        <f t="shared" ca="1" si="160"/>
        <v>315.3125</v>
      </c>
    </row>
    <row r="1011" spans="13:19">
      <c r="M1011" s="132">
        <f t="shared" ca="1" si="159"/>
        <v>322.92928266245019</v>
      </c>
      <c r="N1011" s="38">
        <f t="shared" si="161"/>
        <v>9.46875</v>
      </c>
      <c r="O1011" s="36">
        <f t="shared" si="162"/>
        <v>252.5</v>
      </c>
      <c r="P1011" s="38">
        <f ca="1">IF(ISERROR(IF(O1011&lt;fi_h/20,0,(OFFSET('Base de dados'!$A$5,IF(O1011&lt;20,1,IF(O1011&gt;1000,10,MATCH(O1011,Cargas,1))),Coluna_fih,1,1))*(1+0.13*0.25)*(PI()*(fi_h/1000)^2/4)*SQRT(2*9.81*(O1011/100-fi_h/2/1000))*1000)),"",IF(O1011&lt;fi_h/20,0,(OFFSET('Base de dados'!$A$5,IF(O1011&lt;20,1,IF(O1011&gt;1000,10,MATCH(O1011,Cargas,1))),Coluna_fih,1,1))*(PI()*(fi_h/1000)^2/4)*SQRT(2*9.81*(O1011/100-fi_h/2/1000))*1000))</f>
        <v>4.2386555039190323</v>
      </c>
      <c r="Q1011" s="38">
        <f ca="1">IF(O1011="","",IF(Tipo_Vertedor="Retangular",IF(O1011&lt;=cota_s*100,0,IF(Tipo_Vertedor="Retangular",Cd_sr*Lef_sr*((O1011/100-cota_s)^(3/2))*1000)),IF(O1011&lt;=cota_s*100+fi_s/20,0,(OFFSET('Base de dados'!$A$4,IF(O1011&lt;20,1,IF(O1011&gt;1000,10,MATCH(O1011,Cargas,1))),Coluna_fis,1,1))*(PI()*(fi_s/1000)^2/4)*(2*9.81*(O1011/100-cota_s-fi_s/2/1000))^0.5*1000)))</f>
        <v>3.0656271585311767</v>
      </c>
      <c r="R1011" s="38">
        <f t="shared" ca="1" si="163"/>
        <v>7.3042826624502091</v>
      </c>
      <c r="S1011" s="38">
        <f t="shared" ca="1" si="160"/>
        <v>315.625</v>
      </c>
    </row>
    <row r="1012" spans="13:19">
      <c r="M1012" s="132">
        <f t="shared" ca="1" si="159"/>
        <v>323.24682484329594</v>
      </c>
      <c r="N1012" s="38">
        <f t="shared" si="161"/>
        <v>9.4781249999999986</v>
      </c>
      <c r="O1012" s="36">
        <f t="shared" si="162"/>
        <v>252.75</v>
      </c>
      <c r="P1012" s="38">
        <f ca="1">IF(ISERROR(IF(O1012&lt;fi_h/20,0,(OFFSET('Base de dados'!$A$5,IF(O1012&lt;20,1,IF(O1012&gt;1000,10,MATCH(O1012,Cargas,1))),Coluna_fih,1,1))*(1+0.13*0.25)*(PI()*(fi_h/1000)^2/4)*SQRT(2*9.81*(O1012/100-fi_h/2/1000))*1000)),"",IF(O1012&lt;fi_h/20,0,(OFFSET('Base de dados'!$A$5,IF(O1012&lt;20,1,IF(O1012&gt;1000,10,MATCH(O1012,Cargas,1))),Coluna_fih,1,1))*(PI()*(fi_h/1000)^2/4)*SQRT(2*9.81*(O1012/100-fi_h/2/1000))*1000))</f>
        <v>4.240768050527957</v>
      </c>
      <c r="Q1012" s="38">
        <f ca="1">IF(O1012="","",IF(Tipo_Vertedor="Retangular",IF(O1012&lt;=cota_s*100,0,IF(Tipo_Vertedor="Retangular",Cd_sr*Lef_sr*((O1012/100-cota_s)^(3/2))*1000)),IF(O1012&lt;=cota_s*100+fi_s/20,0,(OFFSET('Base de dados'!$A$4,IF(O1012&lt;20,1,IF(O1012&gt;1000,10,MATCH(O1012,Cargas,1))),Coluna_fis,1,1))*(PI()*(fi_s/1000)^2/4)*(2*9.81*(O1012/100-cota_s-fi_s/2/1000))^0.5*1000)))</f>
        <v>3.0685567927680184</v>
      </c>
      <c r="R1012" s="38">
        <f t="shared" ca="1" si="163"/>
        <v>7.3093248432959754</v>
      </c>
      <c r="S1012" s="38">
        <f t="shared" ca="1" si="160"/>
        <v>315.93749999999994</v>
      </c>
    </row>
    <row r="1013" spans="13:19">
      <c r="M1013" s="132">
        <f t="shared" ca="1" si="159"/>
        <v>323.56436317796187</v>
      </c>
      <c r="N1013" s="38">
        <f t="shared" si="161"/>
        <v>9.4874999999999989</v>
      </c>
      <c r="O1013" s="36">
        <f t="shared" si="162"/>
        <v>253</v>
      </c>
      <c r="P1013" s="38">
        <f ca="1">IF(ISERROR(IF(O1013&lt;fi_h/20,0,(OFFSET('Base de dados'!$A$5,IF(O1013&lt;20,1,IF(O1013&gt;1000,10,MATCH(O1013,Cargas,1))),Coluna_fih,1,1))*(1+0.13*0.25)*(PI()*(fi_h/1000)^2/4)*SQRT(2*9.81*(O1013/100-fi_h/2/1000))*1000)),"",IF(O1013&lt;fi_h/20,0,(OFFSET('Base de dados'!$A$5,IF(O1013&lt;20,1,IF(O1013&gt;1000,10,MATCH(O1013,Cargas,1))),Coluna_fih,1,1))*(PI()*(fi_h/1000)^2/4)*SQRT(2*9.81*(O1013/100-fi_h/2/1000))*1000))</f>
        <v>4.2428795452916486</v>
      </c>
      <c r="Q1013" s="38">
        <f ca="1">IF(O1013="","",IF(Tipo_Vertedor="Retangular",IF(O1013&lt;=cota_s*100,0,IF(Tipo_Vertedor="Retangular",Cd_sr*Lef_sr*((O1013/100-cota_s)^(3/2))*1000)),IF(O1013&lt;=cota_s*100+fi_s/20,0,(OFFSET('Base de dados'!$A$4,IF(O1013&lt;20,1,IF(O1013&gt;1000,10,MATCH(O1013,Cargas,1))),Coluna_fis,1,1))*(PI()*(fi_s/1000)^2/4)*(2*9.81*(O1013/100-cota_s-fi_s/2/1000))^0.5*1000)))</f>
        <v>3.0714836326703017</v>
      </c>
      <c r="R1013" s="38">
        <f t="shared" ca="1" si="163"/>
        <v>7.3143631779619502</v>
      </c>
      <c r="S1013" s="38">
        <f t="shared" ca="1" si="160"/>
        <v>316.24999999999994</v>
      </c>
    </row>
    <row r="1014" spans="13:19">
      <c r="M1014" s="132">
        <f t="shared" ca="1" si="159"/>
        <v>323.8818976759984</v>
      </c>
      <c r="N1014" s="38">
        <f t="shared" si="161"/>
        <v>9.4968750000000011</v>
      </c>
      <c r="O1014" s="36">
        <f t="shared" si="162"/>
        <v>253.25</v>
      </c>
      <c r="P1014" s="38">
        <f ca="1">IF(ISERROR(IF(O1014&lt;fi_h/20,0,(OFFSET('Base de dados'!$A$5,IF(O1014&lt;20,1,IF(O1014&gt;1000,10,MATCH(O1014,Cargas,1))),Coluna_fih,1,1))*(1+0.13*0.25)*(PI()*(fi_h/1000)^2/4)*SQRT(2*9.81*(O1014/100-fi_h/2/1000))*1000)),"",IF(O1014&lt;fi_h/20,0,(OFFSET('Base de dados'!$A$5,IF(O1014&lt;20,1,IF(O1014&gt;1000,10,MATCH(O1014,Cargas,1))),Coluna_fih,1,1))*(PI()*(fi_h/1000)^2/4)*SQRT(2*9.81*(O1014/100-fi_h/2/1000))*1000))</f>
        <v>4.2449899897796985</v>
      </c>
      <c r="Q1014" s="38">
        <f ca="1">IF(O1014="","",IF(Tipo_Vertedor="Retangular",IF(O1014&lt;=cota_s*100,0,IF(Tipo_Vertedor="Retangular",Cd_sr*Lef_sr*((O1014/100-cota_s)^(3/2))*1000)),IF(O1014&lt;=cota_s*100+fi_s/20,0,(OFFSET('Base de dados'!$A$4,IF(O1014&lt;20,1,IF(O1014&gt;1000,10,MATCH(O1014,Cargas,1))),Coluna_fis,1,1))*(PI()*(fi_s/1000)^2/4)*(2*9.81*(O1014/100-cota_s-fi_s/2/1000))^0.5*1000)))</f>
        <v>3.0744076862186587</v>
      </c>
      <c r="R1014" s="38">
        <f t="shared" ca="1" si="163"/>
        <v>7.3193976759983572</v>
      </c>
      <c r="S1014" s="38">
        <f t="shared" ca="1" si="160"/>
        <v>316.56250000000006</v>
      </c>
    </row>
    <row r="1015" spans="13:19">
      <c r="M1015" s="132">
        <f t="shared" ca="1" si="159"/>
        <v>324.19942834691363</v>
      </c>
      <c r="N1015" s="38">
        <f t="shared" si="161"/>
        <v>9.5062500000000014</v>
      </c>
      <c r="O1015" s="36">
        <f t="shared" si="162"/>
        <v>253.5</v>
      </c>
      <c r="P1015" s="38">
        <f ca="1">IF(ISERROR(IF(O1015&lt;fi_h/20,0,(OFFSET('Base de dados'!$A$5,IF(O1015&lt;20,1,IF(O1015&gt;1000,10,MATCH(O1015,Cargas,1))),Coluna_fih,1,1))*(1+0.13*0.25)*(PI()*(fi_h/1000)^2/4)*SQRT(2*9.81*(O1015/100-fi_h/2/1000))*1000)),"",IF(O1015&lt;fi_h/20,0,(OFFSET('Base de dados'!$A$5,IF(O1015&lt;20,1,IF(O1015&gt;1000,10,MATCH(O1015,Cargas,1))),Coluna_fih,1,1))*(PI()*(fi_h/1000)^2/4)*SQRT(2*9.81*(O1015/100-fi_h/2/1000))*1000))</f>
        <v>4.2470993855577968</v>
      </c>
      <c r="Q1015" s="38">
        <f ca="1">IF(O1015="","",IF(Tipo_Vertedor="Retangular",IF(O1015&lt;=cota_s*100,0,IF(Tipo_Vertedor="Retangular",Cd_sr*Lef_sr*((O1015/100-cota_s)^(3/2))*1000)),IF(O1015&lt;=cota_s*100+fi_s/20,0,(OFFSET('Base de dados'!$A$4,IF(O1015&lt;20,1,IF(O1015&gt;1000,10,MATCH(O1015,Cargas,1))),Coluna_fis,1,1))*(PI()*(fi_s/1000)^2/4)*(2*9.81*(O1015/100-cota_s-fi_s/2/1000))^0.5*1000)))</f>
        <v>3.0773289613558013</v>
      </c>
      <c r="R1015" s="38">
        <f t="shared" ca="1" si="163"/>
        <v>7.3244283469135976</v>
      </c>
      <c r="S1015" s="38">
        <f t="shared" ca="1" si="160"/>
        <v>316.87500000000006</v>
      </c>
    </row>
    <row r="1016" spans="13:19">
      <c r="M1016" s="132">
        <f t="shared" ca="1" si="159"/>
        <v>324.51695520017455</v>
      </c>
      <c r="N1016" s="38">
        <f t="shared" si="161"/>
        <v>9.515625</v>
      </c>
      <c r="O1016" s="36">
        <f t="shared" si="162"/>
        <v>253.75</v>
      </c>
      <c r="P1016" s="38">
        <f ca="1">IF(ISERROR(IF(O1016&lt;fi_h/20,0,(OFFSET('Base de dados'!$A$5,IF(O1016&lt;20,1,IF(O1016&gt;1000,10,MATCH(O1016,Cargas,1))),Coluna_fih,1,1))*(1+0.13*0.25)*(PI()*(fi_h/1000)^2/4)*SQRT(2*9.81*(O1016/100-fi_h/2/1000))*1000)),"",IF(O1016&lt;fi_h/20,0,(OFFSET('Base de dados'!$A$5,IF(O1016&lt;20,1,IF(O1016&gt;1000,10,MATCH(O1016,Cargas,1))),Coluna_fih,1,1))*(PI()*(fi_h/1000)^2/4)*SQRT(2*9.81*(O1016/100-fi_h/2/1000))*1000))</f>
        <v>4.249207734187749</v>
      </c>
      <c r="Q1016" s="38">
        <f ca="1">IF(O1016="","",IF(Tipo_Vertedor="Retangular",IF(O1016&lt;=cota_s*100,0,IF(Tipo_Vertedor="Retangular",Cd_sr*Lef_sr*((O1016/100-cota_s)^(3/2))*1000)),IF(O1016&lt;=cota_s*100+fi_s/20,0,(OFFSET('Base de dados'!$A$4,IF(O1016&lt;20,1,IF(O1016&gt;1000,10,MATCH(O1016,Cargas,1))),Coluna_fis,1,1))*(PI()*(fi_s/1000)^2/4)*(2*9.81*(O1016/100-cota_s-fi_s/2/1000))^0.5*1000)))</f>
        <v>3.0802474659867802</v>
      </c>
      <c r="R1016" s="38">
        <f t="shared" ca="1" si="163"/>
        <v>7.3294552001745288</v>
      </c>
      <c r="S1016" s="38">
        <f t="shared" ca="1" si="160"/>
        <v>317.1875</v>
      </c>
    </row>
    <row r="1017" spans="13:19">
      <c r="M1017" s="132">
        <f t="shared" ca="1" si="159"/>
        <v>324.8344782452067</v>
      </c>
      <c r="N1017" s="38">
        <f t="shared" si="161"/>
        <v>9.5250000000000004</v>
      </c>
      <c r="O1017" s="36">
        <f t="shared" si="162"/>
        <v>254</v>
      </c>
      <c r="P1017" s="38">
        <f ca="1">IF(ISERROR(IF(O1017&lt;fi_h/20,0,(OFFSET('Base de dados'!$A$5,IF(O1017&lt;20,1,IF(O1017&gt;1000,10,MATCH(O1017,Cargas,1))),Coluna_fih,1,1))*(1+0.13*0.25)*(PI()*(fi_h/1000)^2/4)*SQRT(2*9.81*(O1017/100-fi_h/2/1000))*1000)),"",IF(O1017&lt;fi_h/20,0,(OFFSET('Base de dados'!$A$5,IF(O1017&lt;20,1,IF(O1017&gt;1000,10,MATCH(O1017,Cargas,1))),Coluna_fih,1,1))*(PI()*(fi_h/1000)^2/4)*SQRT(2*9.81*(O1017/100-fi_h/2/1000))*1000))</f>
        <v>4.2513150372274886</v>
      </c>
      <c r="Q1017" s="38">
        <f ca="1">IF(O1017="","",IF(Tipo_Vertedor="Retangular",IF(O1017&lt;=cota_s*100,0,IF(Tipo_Vertedor="Retangular",Cd_sr*Lef_sr*((O1017/100-cota_s)^(3/2))*1000)),IF(O1017&lt;=cota_s*100+fi_s/20,0,(OFFSET('Base de dados'!$A$4,IF(O1017&lt;20,1,IF(O1017&gt;1000,10,MATCH(O1017,Cargas,1))),Coluna_fis,1,1))*(PI()*(fi_s/1000)^2/4)*(2*9.81*(O1017/100-cota_s-fi_s/2/1000))^0.5*1000)))</f>
        <v>3.0831632079792324</v>
      </c>
      <c r="R1017" s="38">
        <f t="shared" ca="1" si="163"/>
        <v>7.3344782452067214</v>
      </c>
      <c r="S1017" s="38">
        <f t="shared" ca="1" si="160"/>
        <v>317.5</v>
      </c>
    </row>
    <row r="1018" spans="13:19">
      <c r="M1018" s="132">
        <f t="shared" ca="1" si="159"/>
        <v>325.1519974913947</v>
      </c>
      <c r="N1018" s="38">
        <f t="shared" si="161"/>
        <v>9.5343750000000007</v>
      </c>
      <c r="O1018" s="36">
        <f t="shared" si="162"/>
        <v>254.25</v>
      </c>
      <c r="P1018" s="38">
        <f ca="1">IF(ISERROR(IF(O1018&lt;fi_h/20,0,(OFFSET('Base de dados'!$A$5,IF(O1018&lt;20,1,IF(O1018&gt;1000,10,MATCH(O1018,Cargas,1))),Coluna_fih,1,1))*(1+0.13*0.25)*(PI()*(fi_h/1000)^2/4)*SQRT(2*9.81*(O1018/100-fi_h/2/1000))*1000)),"",IF(O1018&lt;fi_h/20,0,(OFFSET('Base de dados'!$A$5,IF(O1018&lt;20,1,IF(O1018&gt;1000,10,MATCH(O1018,Cargas,1))),Coluna_fih,1,1))*(PI()*(fi_h/1000)^2/4)*SQRT(2*9.81*(O1018/100-fi_h/2/1000))*1000))</f>
        <v>4.2534212962310871</v>
      </c>
      <c r="Q1018" s="38">
        <f ca="1">IF(O1018="","",IF(Tipo_Vertedor="Retangular",IF(O1018&lt;=cota_s*100,0,IF(Tipo_Vertedor="Retangular",Cd_sr*Lef_sr*((O1018/100-cota_s)^(3/2))*1000)),IF(O1018&lt;=cota_s*100+fi_s/20,0,(OFFSET('Base de dados'!$A$4,IF(O1018&lt;20,1,IF(O1018&gt;1000,10,MATCH(O1018,Cargas,1))),Coluna_fis,1,1))*(PI()*(fi_s/1000)^2/4)*(2*9.81*(O1018/100-cota_s-fi_s/2/1000))^0.5*1000)))</f>
        <v>3.0860761951636251</v>
      </c>
      <c r="R1018" s="38">
        <f t="shared" ca="1" si="163"/>
        <v>7.3394974913947122</v>
      </c>
      <c r="S1018" s="38">
        <f t="shared" ca="1" si="160"/>
        <v>317.8125</v>
      </c>
    </row>
    <row r="1019" spans="13:19">
      <c r="M1019" s="132">
        <f t="shared" ca="1" si="159"/>
        <v>325.4695129480823</v>
      </c>
      <c r="N1019" s="38">
        <f t="shared" si="161"/>
        <v>9.5437499999999993</v>
      </c>
      <c r="O1019" s="36">
        <f t="shared" si="162"/>
        <v>254.5</v>
      </c>
      <c r="P1019" s="38">
        <f ca="1">IF(ISERROR(IF(O1019&lt;fi_h/20,0,(OFFSET('Base de dados'!$A$5,IF(O1019&lt;20,1,IF(O1019&gt;1000,10,MATCH(O1019,Cargas,1))),Coluna_fih,1,1))*(1+0.13*0.25)*(PI()*(fi_h/1000)^2/4)*SQRT(2*9.81*(O1019/100-fi_h/2/1000))*1000)),"",IF(O1019&lt;fi_h/20,0,(OFFSET('Base de dados'!$A$5,IF(O1019&lt;20,1,IF(O1019&gt;1000,10,MATCH(O1019,Cargas,1))),Coluna_fih,1,1))*(PI()*(fi_h/1000)^2/4)*SQRT(2*9.81*(O1019/100-fi_h/2/1000))*1000))</f>
        <v>4.2555265127487703</v>
      </c>
      <c r="Q1019" s="38">
        <f ca="1">IF(O1019="","",IF(Tipo_Vertedor="Retangular",IF(O1019&lt;=cota_s*100,0,IF(Tipo_Vertedor="Retangular",Cd_sr*Lef_sr*((O1019/100-cota_s)^(3/2))*1000)),IF(O1019&lt;=cota_s*100+fi_s/20,0,(OFFSET('Base de dados'!$A$4,IF(O1019&lt;20,1,IF(O1019&gt;1000,10,MATCH(O1019,Cargas,1))),Coluna_fis,1,1))*(PI()*(fi_s/1000)^2/4)*(2*9.81*(O1019/100-cota_s-fi_s/2/1000))^0.5*1000)))</f>
        <v>3.0889864353335073</v>
      </c>
      <c r="R1019" s="38">
        <f t="shared" ca="1" si="163"/>
        <v>7.3445129480822775</v>
      </c>
      <c r="S1019" s="38">
        <f t="shared" ca="1" si="160"/>
        <v>318.125</v>
      </c>
    </row>
    <row r="1020" spans="13:19">
      <c r="M1020" s="132">
        <f t="shared" ca="1" si="159"/>
        <v>325.78702462457267</v>
      </c>
      <c r="N1020" s="38">
        <f t="shared" si="161"/>
        <v>9.5531249999999996</v>
      </c>
      <c r="O1020" s="36">
        <f t="shared" si="162"/>
        <v>254.75</v>
      </c>
      <c r="P1020" s="38">
        <f ca="1">IF(ISERROR(IF(O1020&lt;fi_h/20,0,(OFFSET('Base de dados'!$A$5,IF(O1020&lt;20,1,IF(O1020&gt;1000,10,MATCH(O1020,Cargas,1))),Coluna_fih,1,1))*(1+0.13*0.25)*(PI()*(fi_h/1000)^2/4)*SQRT(2*9.81*(O1020/100-fi_h/2/1000))*1000)),"",IF(O1020&lt;fi_h/20,0,(OFFSET('Base de dados'!$A$5,IF(O1020&lt;20,1,IF(O1020&gt;1000,10,MATCH(O1020,Cargas,1))),Coluna_fih,1,1))*(PI()*(fi_h/1000)^2/4)*SQRT(2*9.81*(O1020/100-fi_h/2/1000))*1000))</f>
        <v>4.2576306883269348</v>
      </c>
      <c r="Q1020" s="38">
        <f ca="1">IF(O1020="","",IF(Tipo_Vertedor="Retangular",IF(O1020&lt;=cota_s*100,0,IF(Tipo_Vertedor="Retangular",Cd_sr*Lef_sr*((O1020/100-cota_s)^(3/2))*1000)),IF(O1020&lt;=cota_s*100+fi_s/20,0,(OFFSET('Base de dados'!$A$4,IF(O1020&lt;20,1,IF(O1020&gt;1000,10,MATCH(O1020,Cargas,1))),Coluna_fis,1,1))*(PI()*(fi_s/1000)^2/4)*(2*9.81*(O1020/100-cota_s-fi_s/2/1000))^0.5*1000)))</f>
        <v>3.091893936245746</v>
      </c>
      <c r="R1020" s="38">
        <f t="shared" ca="1" si="163"/>
        <v>7.3495246245726804</v>
      </c>
      <c r="S1020" s="38">
        <f t="shared" ca="1" si="160"/>
        <v>318.4375</v>
      </c>
    </row>
    <row r="1021" spans="13:19">
      <c r="M1021" s="132">
        <f t="shared" ca="1" si="159"/>
        <v>326.10453253012895</v>
      </c>
      <c r="N1021" s="38">
        <f t="shared" si="161"/>
        <v>9.5625</v>
      </c>
      <c r="O1021" s="36">
        <f t="shared" si="162"/>
        <v>255</v>
      </c>
      <c r="P1021" s="38">
        <f ca="1">IF(ISERROR(IF(O1021&lt;fi_h/20,0,(OFFSET('Base de dados'!$A$5,IF(O1021&lt;20,1,IF(O1021&gt;1000,10,MATCH(O1021,Cargas,1))),Coluna_fih,1,1))*(1+0.13*0.25)*(PI()*(fi_h/1000)^2/4)*SQRT(2*9.81*(O1021/100-fi_h/2/1000))*1000)),"",IF(O1021&lt;fi_h/20,0,(OFFSET('Base de dados'!$A$5,IF(O1021&lt;20,1,IF(O1021&gt;1000,10,MATCH(O1021,Cargas,1))),Coluna_fih,1,1))*(PI()*(fi_h/1000)^2/4)*SQRT(2*9.81*(O1021/100-fi_h/2/1000))*1000))</f>
        <v>4.2597338245081531</v>
      </c>
      <c r="Q1021" s="38">
        <f ca="1">IF(O1021="","",IF(Tipo_Vertedor="Retangular",IF(O1021&lt;=cota_s*100,0,IF(Tipo_Vertedor="Retangular",Cd_sr*Lef_sr*((O1021/100-cota_s)^(3/2))*1000)),IF(O1021&lt;=cota_s*100+fi_s/20,0,(OFFSET('Base de dados'!$A$4,IF(O1021&lt;20,1,IF(O1021&gt;1000,10,MATCH(O1021,Cargas,1))),Coluna_fis,1,1))*(PI()*(fi_s/1000)^2/4)*(2*9.81*(O1021/100-cota_s-fi_s/2/1000))^0.5*1000)))</f>
        <v>3.0947987056207746</v>
      </c>
      <c r="R1021" s="38">
        <f t="shared" ca="1" si="163"/>
        <v>7.3545325301289282</v>
      </c>
      <c r="S1021" s="38">
        <f t="shared" ca="1" si="160"/>
        <v>318.75</v>
      </c>
    </row>
    <row r="1022" spans="13:19">
      <c r="M1022" s="132">
        <f t="shared" ca="1" si="159"/>
        <v>326.42203667397405</v>
      </c>
      <c r="N1022" s="38">
        <f t="shared" si="161"/>
        <v>9.5718750000000004</v>
      </c>
      <c r="O1022" s="36">
        <f t="shared" si="162"/>
        <v>255.25</v>
      </c>
      <c r="P1022" s="38">
        <f ca="1">IF(ISERROR(IF(O1022&lt;fi_h/20,0,(OFFSET('Base de dados'!$A$5,IF(O1022&lt;20,1,IF(O1022&gt;1000,10,MATCH(O1022,Cargas,1))),Coluna_fih,1,1))*(1+0.13*0.25)*(PI()*(fi_h/1000)^2/4)*SQRT(2*9.81*(O1022/100-fi_h/2/1000))*1000)),"",IF(O1022&lt;fi_h/20,0,(OFFSET('Base de dados'!$A$5,IF(O1022&lt;20,1,IF(O1022&gt;1000,10,MATCH(O1022,Cargas,1))),Coluna_fih,1,1))*(PI()*(fi_h/1000)^2/4)*SQRT(2*9.81*(O1022/100-fi_h/2/1000))*1000))</f>
        <v>4.2618359228311968</v>
      </c>
      <c r="Q1022" s="38">
        <f ca="1">IF(O1022="","",IF(Tipo_Vertedor="Retangular",IF(O1022&lt;=cota_s*100,0,IF(Tipo_Vertedor="Retangular",Cd_sr*Lef_sr*((O1022/100-cota_s)^(3/2))*1000)),IF(O1022&lt;=cota_s*100+fi_s/20,0,(OFFSET('Base de dados'!$A$4,IF(O1022&lt;20,1,IF(O1022&gt;1000,10,MATCH(O1022,Cargas,1))),Coluna_fis,1,1))*(PI()*(fi_s/1000)^2/4)*(2*9.81*(O1022/100-cota_s-fi_s/2/1000))^0.5*1000)))</f>
        <v>3.0977007511428267</v>
      </c>
      <c r="R1022" s="38">
        <f t="shared" ca="1" si="163"/>
        <v>7.3595366739740236</v>
      </c>
      <c r="S1022" s="38">
        <f t="shared" ca="1" si="160"/>
        <v>319.0625</v>
      </c>
    </row>
    <row r="1023" spans="13:19">
      <c r="M1023" s="132">
        <f t="shared" ca="1" si="159"/>
        <v>326.73953706529119</v>
      </c>
      <c r="N1023" s="38">
        <f t="shared" si="161"/>
        <v>9.5812500000000007</v>
      </c>
      <c r="O1023" s="36">
        <f t="shared" si="162"/>
        <v>255.5</v>
      </c>
      <c r="P1023" s="38">
        <f ca="1">IF(ISERROR(IF(O1023&lt;fi_h/20,0,(OFFSET('Base de dados'!$A$5,IF(O1023&lt;20,1,IF(O1023&gt;1000,10,MATCH(O1023,Cargas,1))),Coluna_fih,1,1))*(1+0.13*0.25)*(PI()*(fi_h/1000)^2/4)*SQRT(2*9.81*(O1023/100-fi_h/2/1000))*1000)),"",IF(O1023&lt;fi_h/20,0,(OFFSET('Base de dados'!$A$5,IF(O1023&lt;20,1,IF(O1023&gt;1000,10,MATCH(O1023,Cargas,1))),Coluna_fih,1,1))*(PI()*(fi_h/1000)^2/4)*SQRT(2*9.81*(O1023/100-fi_h/2/1000))*1000))</f>
        <v>4.2639369848310391</v>
      </c>
      <c r="Q1023" s="38">
        <f ca="1">IF(O1023="","",IF(Tipo_Vertedor="Retangular",IF(O1023&lt;=cota_s*100,0,IF(Tipo_Vertedor="Retangular",Cd_sr*Lef_sr*((O1023/100-cota_s)^(3/2))*1000)),IF(O1023&lt;=cota_s*100+fi_s/20,0,(OFFSET('Base de dados'!$A$4,IF(O1023&lt;20,1,IF(O1023&gt;1000,10,MATCH(O1023,Cargas,1))),Coluna_fis,1,1))*(PI()*(fi_s/1000)^2/4)*(2*9.81*(O1023/100-cota_s-fi_s/2/1000))^0.5*1000)))</f>
        <v>3.1006000804601745</v>
      </c>
      <c r="R1023" s="38">
        <f t="shared" ca="1" si="163"/>
        <v>7.3645370652912137</v>
      </c>
      <c r="S1023" s="38">
        <f t="shared" ca="1" si="160"/>
        <v>319.375</v>
      </c>
    </row>
    <row r="1024" spans="13:19">
      <c r="M1024" s="132">
        <f t="shared" ca="1" si="159"/>
        <v>327.05703371322431</v>
      </c>
      <c r="N1024" s="38">
        <f t="shared" si="161"/>
        <v>9.5906250000000011</v>
      </c>
      <c r="O1024" s="36">
        <f t="shared" si="162"/>
        <v>255.75</v>
      </c>
      <c r="P1024" s="38">
        <f ca="1">IF(ISERROR(IF(O1024&lt;fi_h/20,0,(OFFSET('Base de dados'!$A$5,IF(O1024&lt;20,1,IF(O1024&gt;1000,10,MATCH(O1024,Cargas,1))),Coluna_fih,1,1))*(1+0.13*0.25)*(PI()*(fi_h/1000)^2/4)*SQRT(2*9.81*(O1024/100-fi_h/2/1000))*1000)),"",IF(O1024&lt;fi_h/20,0,(OFFSET('Base de dados'!$A$5,IF(O1024&lt;20,1,IF(O1024&gt;1000,10,MATCH(O1024,Cargas,1))),Coluna_fih,1,1))*(PI()*(fi_h/1000)^2/4)*SQRT(2*9.81*(O1024/100-fi_h/2/1000))*1000))</f>
        <v>4.2660370120388773</v>
      </c>
      <c r="Q1024" s="38">
        <f ca="1">IF(O1024="","",IF(Tipo_Vertedor="Retangular",IF(O1024&lt;=cota_s*100,0,IF(Tipo_Vertedor="Retangular",Cd_sr*Lef_sr*((O1024/100-cota_s)^(3/2))*1000)),IF(O1024&lt;=cota_s*100+fi_s/20,0,(OFFSET('Base de dados'!$A$4,IF(O1024&lt;20,1,IF(O1024&gt;1000,10,MATCH(O1024,Cargas,1))),Coluna_fis,1,1))*(PI()*(fi_s/1000)^2/4)*(2*9.81*(O1024/100-cota_s-fi_s/2/1000))^0.5*1000)))</f>
        <v>3.1034967011853656</v>
      </c>
      <c r="R1024" s="38">
        <f t="shared" ca="1" si="163"/>
        <v>7.3695337132242429</v>
      </c>
      <c r="S1024" s="38">
        <f t="shared" ca="1" si="160"/>
        <v>319.68750000000006</v>
      </c>
    </row>
    <row r="1025" spans="13:19">
      <c r="M1025" s="132">
        <f t="shared" ca="1" si="159"/>
        <v>327.37452662687758</v>
      </c>
      <c r="N1025" s="38">
        <f t="shared" si="161"/>
        <v>9.6</v>
      </c>
      <c r="O1025" s="36">
        <f t="shared" si="162"/>
        <v>256</v>
      </c>
      <c r="P1025" s="38">
        <f ca="1">IF(ISERROR(IF(O1025&lt;fi_h/20,0,(OFFSET('Base de dados'!$A$5,IF(O1025&lt;20,1,IF(O1025&gt;1000,10,MATCH(O1025,Cargas,1))),Coluna_fih,1,1))*(1+0.13*0.25)*(PI()*(fi_h/1000)^2/4)*SQRT(2*9.81*(O1025/100-fi_h/2/1000))*1000)),"",IF(O1025&lt;fi_h/20,0,(OFFSET('Base de dados'!$A$5,IF(O1025&lt;20,1,IF(O1025&gt;1000,10,MATCH(O1025,Cargas,1))),Coluna_fih,1,1))*(PI()*(fi_h/1000)^2/4)*SQRT(2*9.81*(O1025/100-fi_h/2/1000))*1000))</f>
        <v>4.2681360059821385</v>
      </c>
      <c r="Q1025" s="38">
        <f ca="1">IF(O1025="","",IF(Tipo_Vertedor="Retangular",IF(O1025&lt;=cota_s*100,0,IF(Tipo_Vertedor="Retangular",Cd_sr*Lef_sr*((O1025/100-cota_s)^(3/2))*1000)),IF(O1025&lt;=cota_s*100+fi_s/20,0,(OFFSET('Base de dados'!$A$4,IF(O1025&lt;20,1,IF(O1025&gt;1000,10,MATCH(O1025,Cargas,1))),Coluna_fis,1,1))*(PI()*(fi_s/1000)^2/4)*(2*9.81*(O1025/100-cota_s-fi_s/2/1000))^0.5*1000)))</f>
        <v>3.1063906208954557</v>
      </c>
      <c r="R1025" s="38">
        <f t="shared" ca="1" si="163"/>
        <v>7.3745266268775946</v>
      </c>
      <c r="S1025" s="38">
        <f t="shared" ca="1" si="160"/>
        <v>320</v>
      </c>
    </row>
    <row r="1026" spans="13:19">
      <c r="M1026" s="132">
        <f t="shared" ca="1" si="159"/>
        <v>327.69201581531672</v>
      </c>
      <c r="N1026" s="38">
        <f t="shared" si="161"/>
        <v>9.609375</v>
      </c>
      <c r="O1026" s="36">
        <f t="shared" si="162"/>
        <v>256.25</v>
      </c>
      <c r="P1026" s="38">
        <f ca="1">IF(ISERROR(IF(O1026&lt;fi_h/20,0,(OFFSET('Base de dados'!$A$5,IF(O1026&lt;20,1,IF(O1026&gt;1000,10,MATCH(O1026,Cargas,1))),Coluna_fih,1,1))*(1+0.13*0.25)*(PI()*(fi_h/1000)^2/4)*SQRT(2*9.81*(O1026/100-fi_h/2/1000))*1000)),"",IF(O1026&lt;fi_h/20,0,(OFFSET('Base de dados'!$A$5,IF(O1026&lt;20,1,IF(O1026&gt;1000,10,MATCH(O1026,Cargas,1))),Coluna_fih,1,1))*(PI()*(fi_h/1000)^2/4)*SQRT(2*9.81*(O1026/100-fi_h/2/1000))*1000))</f>
        <v>4.2702339681845007</v>
      </c>
      <c r="Q1026" s="38">
        <f ca="1">IF(O1026="","",IF(Tipo_Vertedor="Retangular",IF(O1026&lt;=cota_s*100,0,IF(Tipo_Vertedor="Retangular",Cd_sr*Lef_sr*((O1026/100-cota_s)^(3/2))*1000)),IF(O1026&lt;=cota_s*100+fi_s/20,0,(OFFSET('Base de dados'!$A$4,IF(O1026&lt;20,1,IF(O1026&gt;1000,10,MATCH(O1026,Cargas,1))),Coluna_fis,1,1))*(PI()*(fi_s/1000)^2/4)*(2*9.81*(O1026/100-cota_s-fi_s/2/1000))^0.5*1000)))</f>
        <v>3.1092818471322383</v>
      </c>
      <c r="R1026" s="38">
        <f t="shared" ca="1" si="163"/>
        <v>7.3795158153167391</v>
      </c>
      <c r="S1026" s="38">
        <f t="shared" ca="1" si="160"/>
        <v>320.3125</v>
      </c>
    </row>
    <row r="1027" spans="13:19">
      <c r="M1027" s="132">
        <f t="shared" ca="1" si="159"/>
        <v>328.00950128756836</v>
      </c>
      <c r="N1027" s="38">
        <f t="shared" si="161"/>
        <v>9.6187500000000004</v>
      </c>
      <c r="O1027" s="36">
        <f t="shared" si="162"/>
        <v>256.5</v>
      </c>
      <c r="P1027" s="38">
        <f ca="1">IF(ISERROR(IF(O1027&lt;fi_h/20,0,(OFFSET('Base de dados'!$A$5,IF(O1027&lt;20,1,IF(O1027&gt;1000,10,MATCH(O1027,Cargas,1))),Coluna_fih,1,1))*(1+0.13*0.25)*(PI()*(fi_h/1000)^2/4)*SQRT(2*9.81*(O1027/100-fi_h/2/1000))*1000)),"",IF(O1027&lt;fi_h/20,0,(OFFSET('Base de dados'!$A$5,IF(O1027&lt;20,1,IF(O1027&gt;1000,10,MATCH(O1027,Cargas,1))),Coluna_fih,1,1))*(PI()*(fi_h/1000)^2/4)*SQRT(2*9.81*(O1027/100-fi_h/2/1000))*1000))</f>
        <v>4.2723309001658949</v>
      </c>
      <c r="Q1027" s="38">
        <f ca="1">IF(O1027="","",IF(Tipo_Vertedor="Retangular",IF(O1027&lt;=cota_s*100,0,IF(Tipo_Vertedor="Retangular",Cd_sr*Lef_sr*((O1027/100-cota_s)^(3/2))*1000)),IF(O1027&lt;=cota_s*100+fi_s/20,0,(OFFSET('Base de dados'!$A$4,IF(O1027&lt;20,1,IF(O1027&gt;1000,10,MATCH(O1027,Cargas,1))),Coluna_fis,1,1))*(PI()*(fi_s/1000)^2/4)*(2*9.81*(O1027/100-cota_s-fi_s/2/1000))^0.5*1000)))</f>
        <v>3.1121703874024749</v>
      </c>
      <c r="R1027" s="38">
        <f t="shared" ca="1" si="163"/>
        <v>7.3845012875683693</v>
      </c>
      <c r="S1027" s="38">
        <f t="shared" ca="1" si="160"/>
        <v>320.625</v>
      </c>
    </row>
    <row r="1028" spans="13:19">
      <c r="M1028" s="132">
        <f t="shared" ca="1" si="159"/>
        <v>328.32698305262062</v>
      </c>
      <c r="N1028" s="38">
        <f t="shared" si="161"/>
        <v>9.6281249999999989</v>
      </c>
      <c r="O1028" s="36">
        <f t="shared" si="162"/>
        <v>256.75</v>
      </c>
      <c r="P1028" s="38">
        <f ca="1">IF(ISERROR(IF(O1028&lt;fi_h/20,0,(OFFSET('Base de dados'!$A$5,IF(O1028&lt;20,1,IF(O1028&gt;1000,10,MATCH(O1028,Cargas,1))),Coluna_fih,1,1))*(1+0.13*0.25)*(PI()*(fi_h/1000)^2/4)*SQRT(2*9.81*(O1028/100-fi_h/2/1000))*1000)),"",IF(O1028&lt;fi_h/20,0,(OFFSET('Base de dados'!$A$5,IF(O1028&lt;20,1,IF(O1028&gt;1000,10,MATCH(O1028,Cargas,1))),Coluna_fih,1,1))*(PI()*(fi_h/1000)^2/4)*SQRT(2*9.81*(O1028/100-fi_h/2/1000))*1000))</f>
        <v>4.2744268034425268</v>
      </c>
      <c r="Q1028" s="38">
        <f ca="1">IF(O1028="","",IF(Tipo_Vertedor="Retangular",IF(O1028&lt;=cota_s*100,0,IF(Tipo_Vertedor="Retangular",Cd_sr*Lef_sr*((O1028/100-cota_s)^(3/2))*1000)),IF(O1028&lt;=cota_s*100+fi_s/20,0,(OFFSET('Base de dados'!$A$4,IF(O1028&lt;20,1,IF(O1028&gt;1000,10,MATCH(O1028,Cargas,1))),Coluna_fis,1,1))*(PI()*(fi_s/1000)^2/4)*(2*9.81*(O1028/100-cota_s-fi_s/2/1000))^0.5*1000)))</f>
        <v>3.1150562491781231</v>
      </c>
      <c r="R1028" s="38">
        <f t="shared" ca="1" si="163"/>
        <v>7.3894830526206494</v>
      </c>
      <c r="S1028" s="38">
        <f t="shared" ca="1" si="160"/>
        <v>320.93749999999994</v>
      </c>
    </row>
    <row r="1029" spans="13:19">
      <c r="M1029" s="132">
        <f t="shared" ref="M1029:M1092" ca="1" si="164">IF(O1029="","",2*N1029*1000/(Passo*60)+R1029)</f>
        <v>328.64446111942345</v>
      </c>
      <c r="N1029" s="38">
        <f t="shared" si="161"/>
        <v>9.6374999999999993</v>
      </c>
      <c r="O1029" s="36">
        <f t="shared" si="162"/>
        <v>257</v>
      </c>
      <c r="P1029" s="38">
        <f ca="1">IF(ISERROR(IF(O1029&lt;fi_h/20,0,(OFFSET('Base de dados'!$A$5,IF(O1029&lt;20,1,IF(O1029&gt;1000,10,MATCH(O1029,Cargas,1))),Coluna_fih,1,1))*(1+0.13*0.25)*(PI()*(fi_h/1000)^2/4)*SQRT(2*9.81*(O1029/100-fi_h/2/1000))*1000)),"",IF(O1029&lt;fi_h/20,0,(OFFSET('Base de dados'!$A$5,IF(O1029&lt;20,1,IF(O1029&gt;1000,10,MATCH(O1029,Cargas,1))),Coluna_fih,1,1))*(PI()*(fi_h/1000)^2/4)*SQRT(2*9.81*(O1029/100-fi_h/2/1000))*1000))</f>
        <v>4.276521679526887</v>
      </c>
      <c r="Q1029" s="38">
        <f ca="1">IF(O1029="","",IF(Tipo_Vertedor="Retangular",IF(O1029&lt;=cota_s*100,0,IF(Tipo_Vertedor="Retangular",Cd_sr*Lef_sr*((O1029/100-cota_s)^(3/2))*1000)),IF(O1029&lt;=cota_s*100+fi_s/20,0,(OFFSET('Base de dados'!$A$4,IF(O1029&lt;20,1,IF(O1029&gt;1000,10,MATCH(O1029,Cargas,1))),Coluna_fis,1,1))*(PI()*(fi_s/1000)^2/4)*(2*9.81*(O1029/100-cota_s-fi_s/2/1000))^0.5*1000)))</f>
        <v>3.1179394398965616</v>
      </c>
      <c r="R1029" s="38">
        <f t="shared" ca="1" si="163"/>
        <v>7.3944611194234486</v>
      </c>
      <c r="S1029" s="38">
        <f t="shared" ref="S1029:S1092" ca="1" si="165">IF(M1029="","",2*N1029*1000/(Passo*60))</f>
        <v>321.25</v>
      </c>
    </row>
    <row r="1030" spans="13:19">
      <c r="M1030" s="132">
        <f t="shared" ca="1" si="164"/>
        <v>328.9619354968886</v>
      </c>
      <c r="N1030" s="38">
        <f t="shared" ref="N1030:N1093" si="166">IF(O1030="","",b_0*(O1030/100)^c_0)</f>
        <v>9.6468749999999996</v>
      </c>
      <c r="O1030" s="36">
        <f t="shared" si="162"/>
        <v>257.25</v>
      </c>
      <c r="P1030" s="38">
        <f ca="1">IF(ISERROR(IF(O1030&lt;fi_h/20,0,(OFFSET('Base de dados'!$A$5,IF(O1030&lt;20,1,IF(O1030&gt;1000,10,MATCH(O1030,Cargas,1))),Coluna_fih,1,1))*(1+0.13*0.25)*(PI()*(fi_h/1000)^2/4)*SQRT(2*9.81*(O1030/100-fi_h/2/1000))*1000)),"",IF(O1030&lt;fi_h/20,0,(OFFSET('Base de dados'!$A$5,IF(O1030&lt;20,1,IF(O1030&gt;1000,10,MATCH(O1030,Cargas,1))),Coluna_fih,1,1))*(PI()*(fi_h/1000)^2/4)*SQRT(2*9.81*(O1030/100-fi_h/2/1000))*1000))</f>
        <v>4.2786155299277642</v>
      </c>
      <c r="Q1030" s="38">
        <f ca="1">IF(O1030="","",IF(Tipo_Vertedor="Retangular",IF(O1030&lt;=cota_s*100,0,IF(Tipo_Vertedor="Retangular",Cd_sr*Lef_sr*((O1030/100-cota_s)^(3/2))*1000)),IF(O1030&lt;=cota_s*100+fi_s/20,0,(OFFSET('Base de dados'!$A$4,IF(O1030&lt;20,1,IF(O1030&gt;1000,10,MATCH(O1030,Cargas,1))),Coluna_fis,1,1))*(PI()*(fi_s/1000)^2/4)*(2*9.81*(O1030/100-cota_s-fi_s/2/1000))^0.5*1000)))</f>
        <v>3.1208199669608137</v>
      </c>
      <c r="R1030" s="38">
        <f t="shared" ca="1" si="163"/>
        <v>7.3994354968885778</v>
      </c>
      <c r="S1030" s="38">
        <f t="shared" ca="1" si="165"/>
        <v>321.5625</v>
      </c>
    </row>
    <row r="1031" spans="13:19">
      <c r="M1031" s="132">
        <f t="shared" ca="1" si="164"/>
        <v>329.27940619389</v>
      </c>
      <c r="N1031" s="38">
        <f t="shared" si="166"/>
        <v>9.65625</v>
      </c>
      <c r="O1031" s="36">
        <f t="shared" si="162"/>
        <v>257.5</v>
      </c>
      <c r="P1031" s="38">
        <f ca="1">IF(ISERROR(IF(O1031&lt;fi_h/20,0,(OFFSET('Base de dados'!$A$5,IF(O1031&lt;20,1,IF(O1031&gt;1000,10,MATCH(O1031,Cargas,1))),Coluna_fih,1,1))*(1+0.13*0.25)*(PI()*(fi_h/1000)^2/4)*SQRT(2*9.81*(O1031/100-fi_h/2/1000))*1000)),"",IF(O1031&lt;fi_h/20,0,(OFFSET('Base de dados'!$A$5,IF(O1031&lt;20,1,IF(O1031&gt;1000,10,MATCH(O1031,Cargas,1))),Coluna_fih,1,1))*(PI()*(fi_h/1000)^2/4)*SQRT(2*9.81*(O1031/100-fi_h/2/1000))*1000))</f>
        <v>4.2807083561502557</v>
      </c>
      <c r="Q1031" s="38">
        <f ca="1">IF(O1031="","",IF(Tipo_Vertedor="Retangular",IF(O1031&lt;=cota_s*100,0,IF(Tipo_Vertedor="Retangular",Cd_sr*Lef_sr*((O1031/100-cota_s)^(3/2))*1000)),IF(O1031&lt;=cota_s*100+fi_s/20,0,(OFFSET('Base de dados'!$A$4,IF(O1031&lt;20,1,IF(O1031&gt;1000,10,MATCH(O1031,Cargas,1))),Coluna_fis,1,1))*(PI()*(fi_s/1000)^2/4)*(2*9.81*(O1031/100-cota_s-fi_s/2/1000))^0.5*1000)))</f>
        <v>3.1236978377397686</v>
      </c>
      <c r="R1031" s="38">
        <f t="shared" ca="1" si="163"/>
        <v>7.4044061938900239</v>
      </c>
      <c r="S1031" s="38">
        <f t="shared" ca="1" si="165"/>
        <v>321.875</v>
      </c>
    </row>
    <row r="1032" spans="13:19">
      <c r="M1032" s="132">
        <f t="shared" ca="1" si="164"/>
        <v>329.59687321926418</v>
      </c>
      <c r="N1032" s="38">
        <f t="shared" si="166"/>
        <v>9.6656250000000004</v>
      </c>
      <c r="O1032" s="36">
        <f t="shared" si="162"/>
        <v>257.75</v>
      </c>
      <c r="P1032" s="38">
        <f ca="1">IF(ISERROR(IF(O1032&lt;fi_h/20,0,(OFFSET('Base de dados'!$A$5,IF(O1032&lt;20,1,IF(O1032&gt;1000,10,MATCH(O1032,Cargas,1))),Coluna_fih,1,1))*(1+0.13*0.25)*(PI()*(fi_h/1000)^2/4)*SQRT(2*9.81*(O1032/100-fi_h/2/1000))*1000)),"",IF(O1032&lt;fi_h/20,0,(OFFSET('Base de dados'!$A$5,IF(O1032&lt;20,1,IF(O1032&gt;1000,10,MATCH(O1032,Cargas,1))),Coluna_fih,1,1))*(PI()*(fi_h/1000)^2/4)*SQRT(2*9.81*(O1032/100-fi_h/2/1000))*1000))</f>
        <v>4.2828001596957801</v>
      </c>
      <c r="Q1032" s="38">
        <f ca="1">IF(O1032="","",IF(Tipo_Vertedor="Retangular",IF(O1032&lt;=cota_s*100,0,IF(Tipo_Vertedor="Retangular",Cd_sr*Lef_sr*((O1032/100-cota_s)^(3/2))*1000)),IF(O1032&lt;=cota_s*100+fi_s/20,0,(OFFSET('Base de dados'!$A$4,IF(O1032&lt;20,1,IF(O1032&gt;1000,10,MATCH(O1032,Cargas,1))),Coluna_fis,1,1))*(PI()*(fi_s/1000)^2/4)*(2*9.81*(O1032/100-cota_s-fi_s/2/1000))^0.5*1000)))</f>
        <v>3.1265730595684009</v>
      </c>
      <c r="R1032" s="38">
        <f t="shared" ca="1" si="163"/>
        <v>7.4093732192641806</v>
      </c>
      <c r="S1032" s="38">
        <f t="shared" ca="1" si="165"/>
        <v>322.1875</v>
      </c>
    </row>
    <row r="1033" spans="13:19">
      <c r="M1033" s="132">
        <f t="shared" ca="1" si="164"/>
        <v>329.91433658181006</v>
      </c>
      <c r="N1033" s="38">
        <f t="shared" si="166"/>
        <v>9.6750000000000007</v>
      </c>
      <c r="O1033" s="36">
        <f t="shared" si="162"/>
        <v>258</v>
      </c>
      <c r="P1033" s="38">
        <f ca="1">IF(ISERROR(IF(O1033&lt;fi_h/20,0,(OFFSET('Base de dados'!$A$5,IF(O1033&lt;20,1,IF(O1033&gt;1000,10,MATCH(O1033,Cargas,1))),Coluna_fih,1,1))*(1+0.13*0.25)*(PI()*(fi_h/1000)^2/4)*SQRT(2*9.81*(O1033/100-fi_h/2/1000))*1000)),"",IF(O1033&lt;fi_h/20,0,(OFFSET('Base de dados'!$A$5,IF(O1033&lt;20,1,IF(O1033&gt;1000,10,MATCH(O1033,Cargas,1))),Coluna_fih,1,1))*(PI()*(fi_h/1000)^2/4)*SQRT(2*9.81*(O1033/100-fi_h/2/1000))*1000))</f>
        <v>4.2848909420620931</v>
      </c>
      <c r="Q1033" s="38">
        <f ca="1">IF(O1033="","",IF(Tipo_Vertedor="Retangular",IF(O1033&lt;=cota_s*100,0,IF(Tipo_Vertedor="Retangular",Cd_sr*Lef_sr*((O1033/100-cota_s)^(3/2))*1000)),IF(O1033&lt;=cota_s*100+fi_s/20,0,(OFFSET('Base de dados'!$A$4,IF(O1033&lt;20,1,IF(O1033&gt;1000,10,MATCH(O1033,Cargas,1))),Coluna_fis,1,1))*(PI()*(fi_s/1000)^2/4)*(2*9.81*(O1033/100-cota_s-fi_s/2/1000))^0.5*1000)))</f>
        <v>3.1294456397479924</v>
      </c>
      <c r="R1033" s="38">
        <f t="shared" ca="1" si="163"/>
        <v>7.414336581810085</v>
      </c>
      <c r="S1033" s="38">
        <f t="shared" ca="1" si="165"/>
        <v>322.5</v>
      </c>
    </row>
    <row r="1034" spans="13:19">
      <c r="M1034" s="132">
        <f t="shared" ca="1" si="164"/>
        <v>330.23179629028965</v>
      </c>
      <c r="N1034" s="38">
        <f t="shared" si="166"/>
        <v>9.6843749999999993</v>
      </c>
      <c r="O1034" s="36">
        <f t="shared" si="162"/>
        <v>258.25</v>
      </c>
      <c r="P1034" s="38">
        <f ca="1">IF(ISERROR(IF(O1034&lt;fi_h/20,0,(OFFSET('Base de dados'!$A$5,IF(O1034&lt;20,1,IF(O1034&gt;1000,10,MATCH(O1034,Cargas,1))),Coluna_fih,1,1))*(1+0.13*0.25)*(PI()*(fi_h/1000)^2/4)*SQRT(2*9.81*(O1034/100-fi_h/2/1000))*1000)),"",IF(O1034&lt;fi_h/20,0,(OFFSET('Base de dados'!$A$5,IF(O1034&lt;20,1,IF(O1034&gt;1000,10,MATCH(O1034,Cargas,1))),Coluna_fih,1,1))*(PI()*(fi_h/1000)^2/4)*SQRT(2*9.81*(O1034/100-fi_h/2/1000))*1000))</f>
        <v>4.2869807047432982</v>
      </c>
      <c r="Q1034" s="38">
        <f ca="1">IF(O1034="","",IF(Tipo_Vertedor="Retangular",IF(O1034&lt;=cota_s*100,0,IF(Tipo_Vertedor="Retangular",Cd_sr*Lef_sr*((O1034/100-cota_s)^(3/2))*1000)),IF(O1034&lt;=cota_s*100+fi_s/20,0,(OFFSET('Base de dados'!$A$4,IF(O1034&lt;20,1,IF(O1034&gt;1000,10,MATCH(O1034,Cargas,1))),Coluna_fis,1,1))*(PI()*(fi_s/1000)^2/4)*(2*9.81*(O1034/100-cota_s-fi_s/2/1000))^0.5*1000)))</f>
        <v>3.1323155855463432</v>
      </c>
      <c r="R1034" s="38">
        <f t="shared" ca="1" si="163"/>
        <v>7.4192962902896413</v>
      </c>
      <c r="S1034" s="38">
        <f t="shared" ca="1" si="165"/>
        <v>322.8125</v>
      </c>
    </row>
    <row r="1035" spans="13:19">
      <c r="M1035" s="132">
        <f t="shared" ca="1" si="164"/>
        <v>330.54925235342785</v>
      </c>
      <c r="N1035" s="38">
        <f t="shared" si="166"/>
        <v>9.6937499999999996</v>
      </c>
      <c r="O1035" s="36">
        <f t="shared" si="162"/>
        <v>258.5</v>
      </c>
      <c r="P1035" s="38">
        <f ca="1">IF(ISERROR(IF(O1035&lt;fi_h/20,0,(OFFSET('Base de dados'!$A$5,IF(O1035&lt;20,1,IF(O1035&gt;1000,10,MATCH(O1035,Cargas,1))),Coluna_fih,1,1))*(1+0.13*0.25)*(PI()*(fi_h/1000)^2/4)*SQRT(2*9.81*(O1035/100-fi_h/2/1000))*1000)),"",IF(O1035&lt;fi_h/20,0,(OFFSET('Base de dados'!$A$5,IF(O1035&lt;20,1,IF(O1035&gt;1000,10,MATCH(O1035,Cargas,1))),Coluna_fih,1,1))*(PI()*(fi_h/1000)^2/4)*SQRT(2*9.81*(O1035/100-fi_h/2/1000))*1000))</f>
        <v>4.2890694492298582</v>
      </c>
      <c r="Q1035" s="38">
        <f ca="1">IF(O1035="","",IF(Tipo_Vertedor="Retangular",IF(O1035&lt;=cota_s*100,0,IF(Tipo_Vertedor="Retangular",Cd_sr*Lef_sr*((O1035/100-cota_s)^(3/2))*1000)),IF(O1035&lt;=cota_s*100+fi_s/20,0,(OFFSET('Base de dados'!$A$4,IF(O1035&lt;20,1,IF(O1035&gt;1000,10,MATCH(O1035,Cargas,1))),Coluna_fis,1,1))*(PI()*(fi_s/1000)^2/4)*(2*9.81*(O1035/100-cota_s-fi_s/2/1000))^0.5*1000)))</f>
        <v>3.1351829041979888</v>
      </c>
      <c r="R1035" s="38">
        <f t="shared" ca="1" si="163"/>
        <v>7.4242523534278471</v>
      </c>
      <c r="S1035" s="38">
        <f t="shared" ca="1" si="165"/>
        <v>323.125</v>
      </c>
    </row>
    <row r="1036" spans="13:19">
      <c r="M1036" s="132">
        <f t="shared" ca="1" si="164"/>
        <v>330.86670477991305</v>
      </c>
      <c r="N1036" s="38">
        <f t="shared" si="166"/>
        <v>9.703125</v>
      </c>
      <c r="O1036" s="36">
        <f t="shared" si="162"/>
        <v>258.75</v>
      </c>
      <c r="P1036" s="38">
        <f ca="1">IF(ISERROR(IF(O1036&lt;fi_h/20,0,(OFFSET('Base de dados'!$A$5,IF(O1036&lt;20,1,IF(O1036&gt;1000,10,MATCH(O1036,Cargas,1))),Coluna_fih,1,1))*(1+0.13*0.25)*(PI()*(fi_h/1000)^2/4)*SQRT(2*9.81*(O1036/100-fi_h/2/1000))*1000)),"",IF(O1036&lt;fi_h/20,0,(OFFSET('Base de dados'!$A$5,IF(O1036&lt;20,1,IF(O1036&gt;1000,10,MATCH(O1036,Cargas,1))),Coluna_fih,1,1))*(PI()*(fi_h/1000)^2/4)*SQRT(2*9.81*(O1036/100-fi_h/2/1000))*1000))</f>
        <v>4.2911571770086097</v>
      </c>
      <c r="Q1036" s="38">
        <f ca="1">IF(O1036="","",IF(Tipo_Vertedor="Retangular",IF(O1036&lt;=cota_s*100,0,IF(Tipo_Vertedor="Retangular",Cd_sr*Lef_sr*((O1036/100-cota_s)^(3/2))*1000)),IF(O1036&lt;=cota_s*100+fi_s/20,0,(OFFSET('Base de dados'!$A$4,IF(O1036&lt;20,1,IF(O1036&gt;1000,10,MATCH(O1036,Cargas,1))),Coluna_fis,1,1))*(PI()*(fi_s/1000)^2/4)*(2*9.81*(O1036/100-cota_s-fi_s/2/1000))^0.5*1000)))</f>
        <v>3.1380476029044151</v>
      </c>
      <c r="R1036" s="38">
        <f t="shared" ca="1" si="163"/>
        <v>7.4292047799130252</v>
      </c>
      <c r="S1036" s="38">
        <f t="shared" ca="1" si="165"/>
        <v>323.4375</v>
      </c>
    </row>
    <row r="1037" spans="13:19">
      <c r="M1037" s="132">
        <f t="shared" ca="1" si="164"/>
        <v>331.184153578397</v>
      </c>
      <c r="N1037" s="38">
        <f t="shared" si="166"/>
        <v>9.7124999999999986</v>
      </c>
      <c r="O1037" s="36">
        <f t="shared" si="162"/>
        <v>259</v>
      </c>
      <c r="P1037" s="38">
        <f ca="1">IF(ISERROR(IF(O1037&lt;fi_h/20,0,(OFFSET('Base de dados'!$A$5,IF(O1037&lt;20,1,IF(O1037&gt;1000,10,MATCH(O1037,Cargas,1))),Coluna_fih,1,1))*(1+0.13*0.25)*(PI()*(fi_h/1000)^2/4)*SQRT(2*9.81*(O1037/100-fi_h/2/1000))*1000)),"",IF(O1037&lt;fi_h/20,0,(OFFSET('Base de dados'!$A$5,IF(O1037&lt;20,1,IF(O1037&gt;1000,10,MATCH(O1037,Cargas,1))),Coluna_fih,1,1))*(PI()*(fi_h/1000)^2/4)*SQRT(2*9.81*(O1037/100-fi_h/2/1000))*1000))</f>
        <v>4.2932438895627714</v>
      </c>
      <c r="Q1037" s="38">
        <f ca="1">IF(O1037="","",IF(Tipo_Vertedor="Retangular",IF(O1037&lt;=cota_s*100,0,IF(Tipo_Vertedor="Retangular",Cd_sr*Lef_sr*((O1037/100-cota_s)^(3/2))*1000)),IF(O1037&lt;=cota_s*100+fi_s/20,0,(OFFSET('Base de dados'!$A$4,IF(O1037&lt;20,1,IF(O1037&gt;1000,10,MATCH(O1037,Cargas,1))),Coluna_fis,1,1))*(PI()*(fi_s/1000)^2/4)*(2*9.81*(O1037/100-cota_s-fi_s/2/1000))^0.5*1000)))</f>
        <v>3.140909688834264</v>
      </c>
      <c r="R1037" s="38">
        <f t="shared" ca="1" si="163"/>
        <v>7.4341535783970354</v>
      </c>
      <c r="S1037" s="38">
        <f t="shared" ca="1" si="165"/>
        <v>323.74999999999994</v>
      </c>
    </row>
    <row r="1038" spans="13:19">
      <c r="M1038" s="132">
        <f t="shared" ca="1" si="164"/>
        <v>331.50159875749546</v>
      </c>
      <c r="N1038" s="38">
        <f t="shared" si="166"/>
        <v>9.7218749999999989</v>
      </c>
      <c r="O1038" s="36">
        <f t="shared" si="162"/>
        <v>259.25</v>
      </c>
      <c r="P1038" s="38">
        <f ca="1">IF(ISERROR(IF(O1038&lt;fi_h/20,0,(OFFSET('Base de dados'!$A$5,IF(O1038&lt;20,1,IF(O1038&gt;1000,10,MATCH(O1038,Cargas,1))),Coluna_fih,1,1))*(1+0.13*0.25)*(PI()*(fi_h/1000)^2/4)*SQRT(2*9.81*(O1038/100-fi_h/2/1000))*1000)),"",IF(O1038&lt;fi_h/20,0,(OFFSET('Base de dados'!$A$5,IF(O1038&lt;20,1,IF(O1038&gt;1000,10,MATCH(O1038,Cargas,1))),Coluna_fih,1,1))*(PI()*(fi_h/1000)^2/4)*SQRT(2*9.81*(O1038/100-fi_h/2/1000))*1000))</f>
        <v>4.2953295883719615</v>
      </c>
      <c r="Q1038" s="38">
        <f ca="1">IF(O1038="","",IF(Tipo_Vertedor="Retangular",IF(O1038&lt;=cota_s*100,0,IF(Tipo_Vertedor="Retangular",Cd_sr*Lef_sr*((O1038/100-cota_s)^(3/2))*1000)),IF(O1038&lt;=cota_s*100+fi_s/20,0,(OFFSET('Base de dados'!$A$4,IF(O1038&lt;20,1,IF(O1038&gt;1000,10,MATCH(O1038,Cargas,1))),Coluna_fis,1,1))*(PI()*(fi_s/1000)^2/4)*(2*9.81*(O1038/100-cota_s-fi_s/2/1000))^0.5*1000)))</f>
        <v>3.1437691691235474</v>
      </c>
      <c r="R1038" s="38">
        <f t="shared" ca="1" si="163"/>
        <v>7.4390987574955094</v>
      </c>
      <c r="S1038" s="38">
        <f t="shared" ca="1" si="165"/>
        <v>324.06249999999994</v>
      </c>
    </row>
    <row r="1039" spans="13:19">
      <c r="M1039" s="132">
        <f t="shared" ca="1" si="164"/>
        <v>331.81904032578814</v>
      </c>
      <c r="N1039" s="38">
        <f t="shared" si="166"/>
        <v>9.7312500000000011</v>
      </c>
      <c r="O1039" s="36">
        <f t="shared" si="162"/>
        <v>259.5</v>
      </c>
      <c r="P1039" s="38">
        <f ca="1">IF(ISERROR(IF(O1039&lt;fi_h/20,0,(OFFSET('Base de dados'!$A$5,IF(O1039&lt;20,1,IF(O1039&gt;1000,10,MATCH(O1039,Cargas,1))),Coluna_fih,1,1))*(1+0.13*0.25)*(PI()*(fi_h/1000)^2/4)*SQRT(2*9.81*(O1039/100-fi_h/2/1000))*1000)),"",IF(O1039&lt;fi_h/20,0,(OFFSET('Base de dados'!$A$5,IF(O1039&lt;20,1,IF(O1039&gt;1000,10,MATCH(O1039,Cargas,1))),Coluna_fih,1,1))*(PI()*(fi_h/1000)^2/4)*SQRT(2*9.81*(O1039/100-fi_h/2/1000))*1000))</f>
        <v>4.2974142749122084</v>
      </c>
      <c r="Q1039" s="38">
        <f ca="1">IF(O1039="","",IF(Tipo_Vertedor="Retangular",IF(O1039&lt;=cota_s*100,0,IF(Tipo_Vertedor="Retangular",Cd_sr*Lef_sr*((O1039/100-cota_s)^(3/2))*1000)),IF(O1039&lt;=cota_s*100+fi_s/20,0,(OFFSET('Base de dados'!$A$4,IF(O1039&lt;20,1,IF(O1039&gt;1000,10,MATCH(O1039,Cargas,1))),Coluna_fis,1,1))*(PI()*(fi_s/1000)^2/4)*(2*9.81*(O1039/100-cota_s-fi_s/2/1000))^0.5*1000)))</f>
        <v>3.1466260508758537</v>
      </c>
      <c r="R1039" s="38">
        <f t="shared" ca="1" si="163"/>
        <v>7.4440403257880625</v>
      </c>
      <c r="S1039" s="38">
        <f t="shared" ca="1" si="165"/>
        <v>324.37500000000006</v>
      </c>
    </row>
    <row r="1040" spans="13:19">
      <c r="M1040" s="132">
        <f t="shared" ca="1" si="164"/>
        <v>332.13647829181855</v>
      </c>
      <c r="N1040" s="38">
        <f t="shared" si="166"/>
        <v>9.7406250000000014</v>
      </c>
      <c r="O1040" s="36">
        <f t="shared" si="162"/>
        <v>259.75</v>
      </c>
      <c r="P1040" s="38">
        <f ca="1">IF(ISERROR(IF(O1040&lt;fi_h/20,0,(OFFSET('Base de dados'!$A$5,IF(O1040&lt;20,1,IF(O1040&gt;1000,10,MATCH(O1040,Cargas,1))),Coluna_fih,1,1))*(1+0.13*0.25)*(PI()*(fi_h/1000)^2/4)*SQRT(2*9.81*(O1040/100-fi_h/2/1000))*1000)),"",IF(O1040&lt;fi_h/20,0,(OFFSET('Base de dados'!$A$5,IF(O1040&lt;20,1,IF(O1040&gt;1000,10,MATCH(O1040,Cargas,1))),Coluna_fih,1,1))*(PI()*(fi_h/1000)^2/4)*SQRT(2*9.81*(O1040/100-fi_h/2/1000))*1000))</f>
        <v>4.2994979506559599</v>
      </c>
      <c r="Q1040" s="38">
        <f ca="1">IF(O1040="","",IF(Tipo_Vertedor="Retangular",IF(O1040&lt;=cota_s*100,0,IF(Tipo_Vertedor="Retangular",Cd_sr*Lef_sr*((O1040/100-cota_s)^(3/2))*1000)),IF(O1040&lt;=cota_s*100+fi_s/20,0,(OFFSET('Base de dados'!$A$4,IF(O1040&lt;20,1,IF(O1040&gt;1000,10,MATCH(O1040,Cargas,1))),Coluna_fis,1,1))*(PI()*(fi_s/1000)^2/4)*(2*9.81*(O1040/100-cota_s-fi_s/2/1000))^0.5*1000)))</f>
        <v>3.1494803411625512</v>
      </c>
      <c r="R1040" s="38">
        <f t="shared" ca="1" si="163"/>
        <v>7.448978291818511</v>
      </c>
      <c r="S1040" s="38">
        <f t="shared" ca="1" si="165"/>
        <v>324.68750000000006</v>
      </c>
    </row>
    <row r="1041" spans="13:19">
      <c r="M1041" s="132">
        <f t="shared" ca="1" si="164"/>
        <v>332.45391266409507</v>
      </c>
      <c r="N1041" s="38">
        <f t="shared" si="166"/>
        <v>9.75</v>
      </c>
      <c r="O1041" s="36">
        <f t="shared" si="162"/>
        <v>260</v>
      </c>
      <c r="P1041" s="38">
        <f ca="1">IF(ISERROR(IF(O1041&lt;fi_h/20,0,(OFFSET('Base de dados'!$A$5,IF(O1041&lt;20,1,IF(O1041&gt;1000,10,MATCH(O1041,Cargas,1))),Coluna_fih,1,1))*(1+0.13*0.25)*(PI()*(fi_h/1000)^2/4)*SQRT(2*9.81*(O1041/100-fi_h/2/1000))*1000)),"",IF(O1041&lt;fi_h/20,0,(OFFSET('Base de dados'!$A$5,IF(O1041&lt;20,1,IF(O1041&gt;1000,10,MATCH(O1041,Cargas,1))),Coluna_fih,1,1))*(PI()*(fi_h/1000)^2/4)*SQRT(2*9.81*(O1041/100-fi_h/2/1000))*1000))</f>
        <v>4.3015806170720987</v>
      </c>
      <c r="Q1041" s="38">
        <f ca="1">IF(O1041="","",IF(Tipo_Vertedor="Retangular",IF(O1041&lt;=cota_s*100,0,IF(Tipo_Vertedor="Retangular",Cd_sr*Lef_sr*((O1041/100-cota_s)^(3/2))*1000)),IF(O1041&lt;=cota_s*100+fi_s/20,0,(OFFSET('Base de dados'!$A$4,IF(O1041&lt;20,1,IF(O1041&gt;1000,10,MATCH(O1041,Cargas,1))),Coluna_fis,1,1))*(PI()*(fi_s/1000)^2/4)*(2*9.81*(O1041/100-cota_s-fi_s/2/1000))^0.5*1000)))</f>
        <v>3.1523320470229956</v>
      </c>
      <c r="R1041" s="38">
        <f t="shared" ca="1" si="163"/>
        <v>7.4539126640950943</v>
      </c>
      <c r="S1041" s="38">
        <f t="shared" ca="1" si="165"/>
        <v>325</v>
      </c>
    </row>
    <row r="1042" spans="13:19">
      <c r="M1042" s="132">
        <f t="shared" ca="1" si="164"/>
        <v>332.77134345109067</v>
      </c>
      <c r="N1042" s="38">
        <f t="shared" si="166"/>
        <v>9.7593750000000004</v>
      </c>
      <c r="O1042" s="36">
        <f t="shared" si="162"/>
        <v>260.25</v>
      </c>
      <c r="P1042" s="38">
        <f ca="1">IF(ISERROR(IF(O1042&lt;fi_h/20,0,(OFFSET('Base de dados'!$A$5,IF(O1042&lt;20,1,IF(O1042&gt;1000,10,MATCH(O1042,Cargas,1))),Coluna_fih,1,1))*(1+0.13*0.25)*(PI()*(fi_h/1000)^2/4)*SQRT(2*9.81*(O1042/100-fi_h/2/1000))*1000)),"",IF(O1042&lt;fi_h/20,0,(OFFSET('Base de dados'!$A$5,IF(O1042&lt;20,1,IF(O1042&gt;1000,10,MATCH(O1042,Cargas,1))),Coluna_fih,1,1))*(PI()*(fi_h/1000)^2/4)*SQRT(2*9.81*(O1042/100-fi_h/2/1000))*1000))</f>
        <v>4.3036622756259524</v>
      </c>
      <c r="Q1042" s="38">
        <f ca="1">IF(O1042="","",IF(Tipo_Vertedor="Retangular",IF(O1042&lt;=cota_s*100,0,IF(Tipo_Vertedor="Retangular",Cd_sr*Lef_sr*((O1042/100-cota_s)^(3/2))*1000)),IF(O1042&lt;=cota_s*100+fi_s/20,0,(OFFSET('Base de dados'!$A$4,IF(O1042&lt;20,1,IF(O1042&gt;1000,10,MATCH(O1042,Cargas,1))),Coluna_fis,1,1))*(PI()*(fi_s/1000)^2/4)*(2*9.81*(O1042/100-cota_s-fi_s/2/1000))^0.5*1000)))</f>
        <v>3.1551811754647296</v>
      </c>
      <c r="R1042" s="38">
        <f t="shared" ca="1" si="163"/>
        <v>7.458843451090682</v>
      </c>
      <c r="S1042" s="38">
        <f t="shared" ca="1" si="165"/>
        <v>325.3125</v>
      </c>
    </row>
    <row r="1043" spans="13:19">
      <c r="M1043" s="132">
        <f t="shared" ca="1" si="164"/>
        <v>333.08877066124302</v>
      </c>
      <c r="N1043" s="38">
        <f t="shared" si="166"/>
        <v>9.7687500000000007</v>
      </c>
      <c r="O1043" s="36">
        <f t="shared" ref="O1043:O1106" si="167">IF(ISERROR(IF(O1042+passo_altura&gt;h_max_puls*100,"",O1042+passo_altura)),"",IF(O1042+passo_altura&gt;h_max_puls*100,"",O1042+passo_altura))</f>
        <v>260.5</v>
      </c>
      <c r="P1043" s="38">
        <f ca="1">IF(ISERROR(IF(O1043&lt;fi_h/20,0,(OFFSET('Base de dados'!$A$5,IF(O1043&lt;20,1,IF(O1043&gt;1000,10,MATCH(O1043,Cargas,1))),Coluna_fih,1,1))*(1+0.13*0.25)*(PI()*(fi_h/1000)^2/4)*SQRT(2*9.81*(O1043/100-fi_h/2/1000))*1000)),"",IF(O1043&lt;fi_h/20,0,(OFFSET('Base de dados'!$A$5,IF(O1043&lt;20,1,IF(O1043&gt;1000,10,MATCH(O1043,Cargas,1))),Coluna_fih,1,1))*(PI()*(fi_h/1000)^2/4)*SQRT(2*9.81*(O1043/100-fi_h/2/1000))*1000))</f>
        <v>4.305742927779308</v>
      </c>
      <c r="Q1043" s="38">
        <f ca="1">IF(O1043="","",IF(Tipo_Vertedor="Retangular",IF(O1043&lt;=cota_s*100,0,IF(Tipo_Vertedor="Retangular",Cd_sr*Lef_sr*((O1043/100-cota_s)^(3/2))*1000)),IF(O1043&lt;=cota_s*100+fi_s/20,0,(OFFSET('Base de dados'!$A$4,IF(O1043&lt;20,1,IF(O1043&gt;1000,10,MATCH(O1043,Cargas,1))),Coluna_fis,1,1))*(PI()*(fi_s/1000)^2/4)*(2*9.81*(O1043/100-cota_s-fi_s/2/1000))^0.5*1000)))</f>
        <v>3.158027733463689</v>
      </c>
      <c r="R1043" s="38">
        <f t="shared" ref="R1043:R1106" ca="1" si="168">IF(O1043="","",Q1043+P1043)</f>
        <v>7.4637706612429966</v>
      </c>
      <c r="S1043" s="38">
        <f t="shared" ca="1" si="165"/>
        <v>325.625</v>
      </c>
    </row>
    <row r="1044" spans="13:19">
      <c r="M1044" s="132">
        <f t="shared" ca="1" si="164"/>
        <v>333.40619430295482</v>
      </c>
      <c r="N1044" s="38">
        <f t="shared" si="166"/>
        <v>9.7781249999999993</v>
      </c>
      <c r="O1044" s="36">
        <f t="shared" si="167"/>
        <v>260.75</v>
      </c>
      <c r="P1044" s="38">
        <f ca="1">IF(ISERROR(IF(O1044&lt;fi_h/20,0,(OFFSET('Base de dados'!$A$5,IF(O1044&lt;20,1,IF(O1044&gt;1000,10,MATCH(O1044,Cargas,1))),Coluna_fih,1,1))*(1+0.13*0.25)*(PI()*(fi_h/1000)^2/4)*SQRT(2*9.81*(O1044/100-fi_h/2/1000))*1000)),"",IF(O1044&lt;fi_h/20,0,(OFFSET('Base de dados'!$A$5,IF(O1044&lt;20,1,IF(O1044&gt;1000,10,MATCH(O1044,Cargas,1))),Coluna_fih,1,1))*(PI()*(fi_h/1000)^2/4)*SQRT(2*9.81*(O1044/100-fi_h/2/1000))*1000))</f>
        <v>4.3078225749904213</v>
      </c>
      <c r="Q1044" s="38">
        <f ca="1">IF(O1044="","",IF(Tipo_Vertedor="Retangular",IF(O1044&lt;=cota_s*100,0,IF(Tipo_Vertedor="Retangular",Cd_sr*Lef_sr*((O1044/100-cota_s)^(3/2))*1000)),IF(O1044&lt;=cota_s*100+fi_s/20,0,(OFFSET('Base de dados'!$A$4,IF(O1044&lt;20,1,IF(O1044&gt;1000,10,MATCH(O1044,Cargas,1))),Coluna_fis,1,1))*(PI()*(fi_s/1000)^2/4)*(2*9.81*(O1044/100-cota_s-fi_s/2/1000))^0.5*1000)))</f>
        <v>3.1608717279643934</v>
      </c>
      <c r="R1044" s="38">
        <f t="shared" ca="1" si="168"/>
        <v>7.4686943029548143</v>
      </c>
      <c r="S1044" s="38">
        <f t="shared" ca="1" si="165"/>
        <v>325.9375</v>
      </c>
    </row>
    <row r="1045" spans="13:19">
      <c r="M1045" s="132">
        <f t="shared" ca="1" si="164"/>
        <v>333.72361438459416</v>
      </c>
      <c r="N1045" s="38">
        <f t="shared" si="166"/>
        <v>9.7874999999999996</v>
      </c>
      <c r="O1045" s="36">
        <f t="shared" si="167"/>
        <v>261</v>
      </c>
      <c r="P1045" s="38">
        <f ca="1">IF(ISERROR(IF(O1045&lt;fi_h/20,0,(OFFSET('Base de dados'!$A$5,IF(O1045&lt;20,1,IF(O1045&gt;1000,10,MATCH(O1045,Cargas,1))),Coluna_fih,1,1))*(1+0.13*0.25)*(PI()*(fi_h/1000)^2/4)*SQRT(2*9.81*(O1045/100-fi_h/2/1000))*1000)),"",IF(O1045&lt;fi_h/20,0,(OFFSET('Base de dados'!$A$5,IF(O1045&lt;20,1,IF(O1045&gt;1000,10,MATCH(O1045,Cargas,1))),Coluna_fih,1,1))*(PI()*(fi_h/1000)^2/4)*SQRT(2*9.81*(O1045/100-fi_h/2/1000))*1000))</f>
        <v>4.3099012187140291</v>
      </c>
      <c r="Q1045" s="38">
        <f ca="1">IF(O1045="","",IF(Tipo_Vertedor="Retangular",IF(O1045&lt;=cota_s*100,0,IF(Tipo_Vertedor="Retangular",Cd_sr*Lef_sr*((O1045/100-cota_s)^(3/2))*1000)),IF(O1045&lt;=cota_s*100+fi_s/20,0,(OFFSET('Base de dados'!$A$4,IF(O1045&lt;20,1,IF(O1045&gt;1000,10,MATCH(O1045,Cargas,1))),Coluna_fis,1,1))*(PI()*(fi_s/1000)^2/4)*(2*9.81*(O1045/100-cota_s-fi_s/2/1000))^0.5*1000)))</f>
        <v>3.1637131658801527</v>
      </c>
      <c r="R1045" s="38">
        <f t="shared" ca="1" si="168"/>
        <v>7.4736143845941818</v>
      </c>
      <c r="S1045" s="38">
        <f t="shared" ca="1" si="165"/>
        <v>326.25</v>
      </c>
    </row>
    <row r="1046" spans="13:19">
      <c r="M1046" s="132">
        <f t="shared" ca="1" si="164"/>
        <v>334.04103091449463</v>
      </c>
      <c r="N1046" s="38">
        <f t="shared" si="166"/>
        <v>9.796875</v>
      </c>
      <c r="O1046" s="36">
        <f t="shared" si="167"/>
        <v>261.25</v>
      </c>
      <c r="P1046" s="38">
        <f ca="1">IF(ISERROR(IF(O1046&lt;fi_h/20,0,(OFFSET('Base de dados'!$A$5,IF(O1046&lt;20,1,IF(O1046&gt;1000,10,MATCH(O1046,Cargas,1))),Coluna_fih,1,1))*(1+0.13*0.25)*(PI()*(fi_h/1000)^2/4)*SQRT(2*9.81*(O1046/100-fi_h/2/1000))*1000)),"",IF(O1046&lt;fi_h/20,0,(OFFSET('Base de dados'!$A$5,IF(O1046&lt;20,1,IF(O1046&gt;1000,10,MATCH(O1046,Cargas,1))),Coluna_fih,1,1))*(PI()*(fi_h/1000)^2/4)*SQRT(2*9.81*(O1046/100-fi_h/2/1000))*1000))</f>
        <v>4.3119788604013642</v>
      </c>
      <c r="Q1046" s="38">
        <f ca="1">IF(O1046="","",IF(Tipo_Vertedor="Retangular",IF(O1046&lt;=cota_s*100,0,IF(Tipo_Vertedor="Retangular",Cd_sr*Lef_sr*((O1046/100-cota_s)^(3/2))*1000)),IF(O1046&lt;=cota_s*100+fi_s/20,0,(OFFSET('Base de dados'!$A$4,IF(O1046&lt;20,1,IF(O1046&gt;1000,10,MATCH(O1046,Cargas,1))),Coluna_fis,1,1))*(PI()*(fi_s/1000)^2/4)*(2*9.81*(O1046/100-cota_s-fi_s/2/1000))^0.5*1000)))</f>
        <v>3.1665520540932572</v>
      </c>
      <c r="R1046" s="38">
        <f t="shared" ca="1" si="168"/>
        <v>7.4785309144946215</v>
      </c>
      <c r="S1046" s="38">
        <f t="shared" ca="1" si="165"/>
        <v>326.5625</v>
      </c>
    </row>
    <row r="1047" spans="13:19">
      <c r="M1047" s="132">
        <f t="shared" ca="1" si="164"/>
        <v>334.35844390095536</v>
      </c>
      <c r="N1047" s="38">
        <f t="shared" si="166"/>
        <v>9.8062500000000004</v>
      </c>
      <c r="O1047" s="36">
        <f t="shared" si="167"/>
        <v>261.5</v>
      </c>
      <c r="P1047" s="38">
        <f ca="1">IF(ISERROR(IF(O1047&lt;fi_h/20,0,(OFFSET('Base de dados'!$A$5,IF(O1047&lt;20,1,IF(O1047&gt;1000,10,MATCH(O1047,Cargas,1))),Coluna_fih,1,1))*(1+0.13*0.25)*(PI()*(fi_h/1000)^2/4)*SQRT(2*9.81*(O1047/100-fi_h/2/1000))*1000)),"",IF(O1047&lt;fi_h/20,0,(OFFSET('Base de dados'!$A$5,IF(O1047&lt;20,1,IF(O1047&gt;1000,10,MATCH(O1047,Cargas,1))),Coluna_fih,1,1))*(PI()*(fi_h/1000)^2/4)*SQRT(2*9.81*(O1047/100-fi_h/2/1000))*1000))</f>
        <v>4.3140555015001629</v>
      </c>
      <c r="Q1047" s="38">
        <f ca="1">IF(O1047="","",IF(Tipo_Vertedor="Retangular",IF(O1047&lt;=cota_s*100,0,IF(Tipo_Vertedor="Retangular",Cd_sr*Lef_sr*((O1047/100-cota_s)^(3/2))*1000)),IF(O1047&lt;=cota_s*100+fi_s/20,0,(OFFSET('Base de dados'!$A$4,IF(O1047&lt;20,1,IF(O1047&gt;1000,10,MATCH(O1047,Cargas,1))),Coluna_fis,1,1))*(PI()*(fi_s/1000)^2/4)*(2*9.81*(O1047/100-cota_s-fi_s/2/1000))^0.5*1000)))</f>
        <v>3.1693883994551757</v>
      </c>
      <c r="R1047" s="38">
        <f t="shared" ca="1" si="168"/>
        <v>7.4834439009553382</v>
      </c>
      <c r="S1047" s="38">
        <f t="shared" ca="1" si="165"/>
        <v>326.875</v>
      </c>
    </row>
    <row r="1048" spans="13:19">
      <c r="M1048" s="132">
        <f t="shared" ca="1" si="164"/>
        <v>334.6758533522414</v>
      </c>
      <c r="N1048" s="38">
        <f t="shared" si="166"/>
        <v>9.8156250000000007</v>
      </c>
      <c r="O1048" s="36">
        <f t="shared" si="167"/>
        <v>261.75</v>
      </c>
      <c r="P1048" s="38">
        <f ca="1">IF(ISERROR(IF(O1048&lt;fi_h/20,0,(OFFSET('Base de dados'!$A$5,IF(O1048&lt;20,1,IF(O1048&gt;1000,10,MATCH(O1048,Cargas,1))),Coluna_fih,1,1))*(1+0.13*0.25)*(PI()*(fi_h/1000)^2/4)*SQRT(2*9.81*(O1048/100-fi_h/2/1000))*1000)),"",IF(O1048&lt;fi_h/20,0,(OFFSET('Base de dados'!$A$5,IF(O1048&lt;20,1,IF(O1048&gt;1000,10,MATCH(O1048,Cargas,1))),Coluna_fih,1,1))*(PI()*(fi_h/1000)^2/4)*SQRT(2*9.81*(O1048/100-fi_h/2/1000))*1000))</f>
        <v>4.3161311434546796</v>
      </c>
      <c r="Q1048" s="38">
        <f ca="1">IF(O1048="","",IF(Tipo_Vertedor="Retangular",IF(O1048&lt;=cota_s*100,0,IF(Tipo_Vertedor="Retangular",Cd_sr*Lef_sr*((O1048/100-cota_s)^(3/2))*1000)),IF(O1048&lt;=cota_s*100+fi_s/20,0,(OFFSET('Base de dados'!$A$4,IF(O1048&lt;20,1,IF(O1048&gt;1000,10,MATCH(O1048,Cargas,1))),Coluna_fis,1,1))*(PI()*(fi_s/1000)^2/4)*(2*9.81*(O1048/100-cota_s-fi_s/2/1000))^0.5*1000)))</f>
        <v>3.1722222087867431</v>
      </c>
      <c r="R1048" s="38">
        <f t="shared" ca="1" si="168"/>
        <v>7.4883533522414227</v>
      </c>
      <c r="S1048" s="38">
        <f t="shared" ca="1" si="165"/>
        <v>327.1875</v>
      </c>
    </row>
    <row r="1049" spans="13:19">
      <c r="M1049" s="132">
        <f t="shared" ca="1" si="164"/>
        <v>334.99325927658413</v>
      </c>
      <c r="N1049" s="38">
        <f t="shared" si="166"/>
        <v>9.8250000000000011</v>
      </c>
      <c r="O1049" s="36">
        <f t="shared" si="167"/>
        <v>262</v>
      </c>
      <c r="P1049" s="38">
        <f ca="1">IF(ISERROR(IF(O1049&lt;fi_h/20,0,(OFFSET('Base de dados'!$A$5,IF(O1049&lt;20,1,IF(O1049&gt;1000,10,MATCH(O1049,Cargas,1))),Coluna_fih,1,1))*(1+0.13*0.25)*(PI()*(fi_h/1000)^2/4)*SQRT(2*9.81*(O1049/100-fi_h/2/1000))*1000)),"",IF(O1049&lt;fi_h/20,0,(OFFSET('Base de dados'!$A$5,IF(O1049&lt;20,1,IF(O1049&gt;1000,10,MATCH(O1049,Cargas,1))),Coluna_fih,1,1))*(PI()*(fi_h/1000)^2/4)*SQRT(2*9.81*(O1049/100-fi_h/2/1000))*1000))</f>
        <v>4.318205787705697</v>
      </c>
      <c r="Q1049" s="38">
        <f ca="1">IF(O1049="","",IF(Tipo_Vertedor="Retangular",IF(O1049&lt;=cota_s*100,0,IF(Tipo_Vertedor="Retangular",Cd_sr*Lef_sr*((O1049/100-cota_s)^(3/2))*1000)),IF(O1049&lt;=cota_s*100+fi_s/20,0,(OFFSET('Base de dados'!$A$4,IF(O1049&lt;20,1,IF(O1049&gt;1000,10,MATCH(O1049,Cargas,1))),Coluna_fis,1,1))*(PI()*(fi_s/1000)^2/4)*(2*9.81*(O1049/100-cota_s-fi_s/2/1000))^0.5*1000)))</f>
        <v>3.175053488878361</v>
      </c>
      <c r="R1049" s="38">
        <f t="shared" ca="1" si="168"/>
        <v>7.493259276584058</v>
      </c>
      <c r="S1049" s="38">
        <f t="shared" ca="1" si="165"/>
        <v>327.50000000000006</v>
      </c>
    </row>
    <row r="1050" spans="13:19">
      <c r="M1050" s="132">
        <f t="shared" ca="1" si="164"/>
        <v>335.31066168218069</v>
      </c>
      <c r="N1050" s="38">
        <f t="shared" si="166"/>
        <v>9.8343749999999996</v>
      </c>
      <c r="O1050" s="36">
        <f t="shared" si="167"/>
        <v>262.25</v>
      </c>
      <c r="P1050" s="38">
        <f ca="1">IF(ISERROR(IF(O1050&lt;fi_h/20,0,(OFFSET('Base de dados'!$A$5,IF(O1050&lt;20,1,IF(O1050&gt;1000,10,MATCH(O1050,Cargas,1))),Coluna_fih,1,1))*(1+0.13*0.25)*(PI()*(fi_h/1000)^2/4)*SQRT(2*9.81*(O1050/100-fi_h/2/1000))*1000)),"",IF(O1050&lt;fi_h/20,0,(OFFSET('Base de dados'!$A$5,IF(O1050&lt;20,1,IF(O1050&gt;1000,10,MATCH(O1050,Cargas,1))),Coluna_fih,1,1))*(PI()*(fi_h/1000)^2/4)*SQRT(2*9.81*(O1050/100-fi_h/2/1000))*1000))</f>
        <v>4.3202794356905372</v>
      </c>
      <c r="Q1050" s="38">
        <f ca="1">IF(O1050="","",IF(Tipo_Vertedor="Retangular",IF(O1050&lt;=cota_s*100,0,IF(Tipo_Vertedor="Retangular",Cd_sr*Lef_sr*((O1050/100-cota_s)^(3/2))*1000)),IF(O1050&lt;=cota_s*100+fi_s/20,0,(OFFSET('Base de dados'!$A$4,IF(O1050&lt;20,1,IF(O1050&gt;1000,10,MATCH(O1050,Cargas,1))),Coluna_fis,1,1))*(PI()*(fi_s/1000)^2/4)*(2*9.81*(O1050/100-cota_s-fi_s/2/1000))^0.5*1000)))</f>
        <v>3.1778822464901779</v>
      </c>
      <c r="R1050" s="38">
        <f t="shared" ca="1" si="168"/>
        <v>7.4981616821807151</v>
      </c>
      <c r="S1050" s="38">
        <f t="shared" ca="1" si="165"/>
        <v>327.8125</v>
      </c>
    </row>
    <row r="1051" spans="13:19">
      <c r="M1051" s="132">
        <f t="shared" ca="1" si="164"/>
        <v>335.62806057719536</v>
      </c>
      <c r="N1051" s="38">
        <f t="shared" si="166"/>
        <v>9.84375</v>
      </c>
      <c r="O1051" s="36">
        <f t="shared" si="167"/>
        <v>262.5</v>
      </c>
      <c r="P1051" s="38">
        <f ca="1">IF(ISERROR(IF(O1051&lt;fi_h/20,0,(OFFSET('Base de dados'!$A$5,IF(O1051&lt;20,1,IF(O1051&gt;1000,10,MATCH(O1051,Cargas,1))),Coluna_fih,1,1))*(1+0.13*0.25)*(PI()*(fi_h/1000)^2/4)*SQRT(2*9.81*(O1051/100-fi_h/2/1000))*1000)),"",IF(O1051&lt;fi_h/20,0,(OFFSET('Base de dados'!$A$5,IF(O1051&lt;20,1,IF(O1051&gt;1000,10,MATCH(O1051,Cargas,1))),Coluna_fih,1,1))*(PI()*(fi_h/1000)^2/4)*SQRT(2*9.81*(O1051/100-fi_h/2/1000))*1000))</f>
        <v>4.3223520888430782</v>
      </c>
      <c r="Q1051" s="38">
        <f ca="1">IF(O1051="","",IF(Tipo_Vertedor="Retangular",IF(O1051&lt;=cota_s*100,0,IF(Tipo_Vertedor="Retangular",Cd_sr*Lef_sr*((O1051/100-cota_s)^(3/2))*1000)),IF(O1051&lt;=cota_s*100+fi_s/20,0,(OFFSET('Base de dados'!$A$4,IF(O1051&lt;20,1,IF(O1051&gt;1000,10,MATCH(O1051,Cargas,1))),Coluna_fis,1,1))*(PI()*(fi_s/1000)^2/4)*(2*9.81*(O1051/100-cota_s-fi_s/2/1000))^0.5*1000)))</f>
        <v>3.180708488352284</v>
      </c>
      <c r="R1051" s="38">
        <f t="shared" ca="1" si="168"/>
        <v>7.5030605771953622</v>
      </c>
      <c r="S1051" s="38">
        <f t="shared" ca="1" si="165"/>
        <v>328.125</v>
      </c>
    </row>
    <row r="1052" spans="13:19">
      <c r="M1052" s="132">
        <f t="shared" ca="1" si="164"/>
        <v>335.94545596975865</v>
      </c>
      <c r="N1052" s="38">
        <f t="shared" si="166"/>
        <v>9.8531250000000004</v>
      </c>
      <c r="O1052" s="36">
        <f t="shared" si="167"/>
        <v>262.75</v>
      </c>
      <c r="P1052" s="38">
        <f ca="1">IF(ISERROR(IF(O1052&lt;fi_h/20,0,(OFFSET('Base de dados'!$A$5,IF(O1052&lt;20,1,IF(O1052&gt;1000,10,MATCH(O1052,Cargas,1))),Coluna_fih,1,1))*(1+0.13*0.25)*(PI()*(fi_h/1000)^2/4)*SQRT(2*9.81*(O1052/100-fi_h/2/1000))*1000)),"",IF(O1052&lt;fi_h/20,0,(OFFSET('Base de dados'!$A$5,IF(O1052&lt;20,1,IF(O1052&gt;1000,10,MATCH(O1052,Cargas,1))),Coluna_fih,1,1))*(PI()*(fi_h/1000)^2/4)*SQRT(2*9.81*(O1052/100-fi_h/2/1000))*1000))</f>
        <v>4.3244237485937598</v>
      </c>
      <c r="Q1052" s="38">
        <f ca="1">IF(O1052="","",IF(Tipo_Vertedor="Retangular",IF(O1052&lt;=cota_s*100,0,IF(Tipo_Vertedor="Retangular",Cd_sr*Lef_sr*((O1052/100-cota_s)^(3/2))*1000)),IF(O1052&lt;=cota_s*100+fi_s/20,0,(OFFSET('Base de dados'!$A$4,IF(O1052&lt;20,1,IF(O1052&gt;1000,10,MATCH(O1052,Cargas,1))),Coluna_fis,1,1))*(PI()*(fi_s/1000)^2/4)*(2*9.81*(O1052/100-cota_s-fi_s/2/1000))^0.5*1000)))</f>
        <v>3.1835322211648927</v>
      </c>
      <c r="R1052" s="38">
        <f t="shared" ca="1" si="168"/>
        <v>7.5079559697586529</v>
      </c>
      <c r="S1052" s="38">
        <f t="shared" ca="1" si="165"/>
        <v>328.4375</v>
      </c>
    </row>
    <row r="1053" spans="13:19">
      <c r="M1053" s="132">
        <f t="shared" ca="1" si="164"/>
        <v>336.26284786796805</v>
      </c>
      <c r="N1053" s="38">
        <f t="shared" si="166"/>
        <v>9.8624999999999989</v>
      </c>
      <c r="O1053" s="36">
        <f t="shared" si="167"/>
        <v>263</v>
      </c>
      <c r="P1053" s="38">
        <f ca="1">IF(ISERROR(IF(O1053&lt;fi_h/20,0,(OFFSET('Base de dados'!$A$5,IF(O1053&lt;20,1,IF(O1053&gt;1000,10,MATCH(O1053,Cargas,1))),Coluna_fih,1,1))*(1+0.13*0.25)*(PI()*(fi_h/1000)^2/4)*SQRT(2*9.81*(O1053/100-fi_h/2/1000))*1000)),"",IF(O1053&lt;fi_h/20,0,(OFFSET('Base de dados'!$A$5,IF(O1053&lt;20,1,IF(O1053&gt;1000,10,MATCH(O1053,Cargas,1))),Coluna_fih,1,1))*(PI()*(fi_h/1000)^2/4)*SQRT(2*9.81*(O1053/100-fi_h/2/1000))*1000))</f>
        <v>4.3264944163695942</v>
      </c>
      <c r="Q1053" s="38">
        <f ca="1">IF(O1053="","",IF(Tipo_Vertedor="Retangular",IF(O1053&lt;=cota_s*100,0,IF(Tipo_Vertedor="Retangular",Cd_sr*Lef_sr*((O1053/100-cota_s)^(3/2))*1000)),IF(O1053&lt;=cota_s*100+fi_s/20,0,(OFFSET('Base de dados'!$A$4,IF(O1053&lt;20,1,IF(O1053&gt;1000,10,MATCH(O1053,Cargas,1))),Coluna_fis,1,1))*(PI()*(fi_s/1000)^2/4)*(2*9.81*(O1053/100-cota_s-fi_s/2/1000))^0.5*1000)))</f>
        <v>3.1863534515985328</v>
      </c>
      <c r="R1053" s="38">
        <f t="shared" ca="1" si="168"/>
        <v>7.5128478679681265</v>
      </c>
      <c r="S1053" s="38">
        <f t="shared" ca="1" si="165"/>
        <v>328.74999999999994</v>
      </c>
    </row>
    <row r="1054" spans="13:19">
      <c r="M1054" s="132">
        <f t="shared" ca="1" si="164"/>
        <v>336.58023627988842</v>
      </c>
      <c r="N1054" s="38">
        <f t="shared" si="166"/>
        <v>9.8718749999999993</v>
      </c>
      <c r="O1054" s="36">
        <f t="shared" si="167"/>
        <v>263.25</v>
      </c>
      <c r="P1054" s="38">
        <f ca="1">IF(ISERROR(IF(O1054&lt;fi_h/20,0,(OFFSET('Base de dados'!$A$5,IF(O1054&lt;20,1,IF(O1054&gt;1000,10,MATCH(O1054,Cargas,1))),Coluna_fih,1,1))*(1+0.13*0.25)*(PI()*(fi_h/1000)^2/4)*SQRT(2*9.81*(O1054/100-fi_h/2/1000))*1000)),"",IF(O1054&lt;fi_h/20,0,(OFFSET('Base de dados'!$A$5,IF(O1054&lt;20,1,IF(O1054&gt;1000,10,MATCH(O1054,Cargas,1))),Coluna_fih,1,1))*(PI()*(fi_h/1000)^2/4)*SQRT(2*9.81*(O1054/100-fi_h/2/1000))*1000))</f>
        <v>4.3285640935941858</v>
      </c>
      <c r="Q1054" s="38">
        <f ca="1">IF(O1054="","",IF(Tipo_Vertedor="Retangular",IF(O1054&lt;=cota_s*100,0,IF(Tipo_Vertedor="Retangular",Cd_sr*Lef_sr*((O1054/100-cota_s)^(3/2))*1000)),IF(O1054&lt;=cota_s*100+fi_s/20,0,(OFFSET('Base de dados'!$A$4,IF(O1054&lt;20,1,IF(O1054&gt;1000,10,MATCH(O1054,Cargas,1))),Coluna_fis,1,1))*(PI()*(fi_s/1000)^2/4)*(2*9.81*(O1054/100-cota_s-fi_s/2/1000))^0.5*1000)))</f>
        <v>3.1891721862942255</v>
      </c>
      <c r="R1054" s="38">
        <f t="shared" ca="1" si="168"/>
        <v>7.5177362798884113</v>
      </c>
      <c r="S1054" s="38">
        <f t="shared" ca="1" si="165"/>
        <v>329.0625</v>
      </c>
    </row>
    <row r="1055" spans="13:19">
      <c r="M1055" s="132">
        <f t="shared" ca="1" si="164"/>
        <v>336.89762121355142</v>
      </c>
      <c r="N1055" s="38">
        <f t="shared" si="166"/>
        <v>9.8812499999999996</v>
      </c>
      <c r="O1055" s="36">
        <f t="shared" si="167"/>
        <v>263.5</v>
      </c>
      <c r="P1055" s="38">
        <f ca="1">IF(ISERROR(IF(O1055&lt;fi_h/20,0,(OFFSET('Base de dados'!$A$5,IF(O1055&lt;20,1,IF(O1055&gt;1000,10,MATCH(O1055,Cargas,1))),Coluna_fih,1,1))*(1+0.13*0.25)*(PI()*(fi_h/1000)^2/4)*SQRT(2*9.81*(O1055/100-fi_h/2/1000))*1000)),"",IF(O1055&lt;fi_h/20,0,(OFFSET('Base de dados'!$A$5,IF(O1055&lt;20,1,IF(O1055&gt;1000,10,MATCH(O1055,Cargas,1))),Coluna_fih,1,1))*(PI()*(fi_h/1000)^2/4)*SQRT(2*9.81*(O1055/100-fi_h/2/1000))*1000))</f>
        <v>4.3306327816877319</v>
      </c>
      <c r="Q1055" s="38">
        <f ca="1">IF(O1055="","",IF(Tipo_Vertedor="Retangular",IF(O1055&lt;=cota_s*100,0,IF(Tipo_Vertedor="Retangular",Cd_sr*Lef_sr*((O1055/100-cota_s)^(3/2))*1000)),IF(O1055&lt;=cota_s*100+fi_s/20,0,(OFFSET('Base de dados'!$A$4,IF(O1055&lt;20,1,IF(O1055&gt;1000,10,MATCH(O1055,Cargas,1))),Coluna_fis,1,1))*(PI()*(fi_s/1000)^2/4)*(2*9.81*(O1055/100-cota_s-fi_s/2/1000))^0.5*1000)))</f>
        <v>3.1919884318636713</v>
      </c>
      <c r="R1055" s="38">
        <f t="shared" ca="1" si="168"/>
        <v>7.5226212135514032</v>
      </c>
      <c r="S1055" s="38">
        <f t="shared" ca="1" si="165"/>
        <v>329.375</v>
      </c>
    </row>
    <row r="1056" spans="13:19">
      <c r="M1056" s="132">
        <f t="shared" ca="1" si="164"/>
        <v>337.21500267695649</v>
      </c>
      <c r="N1056" s="38">
        <f t="shared" si="166"/>
        <v>9.890625</v>
      </c>
      <c r="O1056" s="36">
        <f t="shared" si="167"/>
        <v>263.75</v>
      </c>
      <c r="P1056" s="38">
        <f ca="1">IF(ISERROR(IF(O1056&lt;fi_h/20,0,(OFFSET('Base de dados'!$A$5,IF(O1056&lt;20,1,IF(O1056&gt;1000,10,MATCH(O1056,Cargas,1))),Coluna_fih,1,1))*(1+0.13*0.25)*(PI()*(fi_h/1000)^2/4)*SQRT(2*9.81*(O1056/100-fi_h/2/1000))*1000)),"",IF(O1056&lt;fi_h/20,0,(OFFSET('Base de dados'!$A$5,IF(O1056&lt;20,1,IF(O1056&gt;1000,10,MATCH(O1056,Cargas,1))),Coluna_fih,1,1))*(PI()*(fi_h/1000)^2/4)*SQRT(2*9.81*(O1056/100-fi_h/2/1000))*1000))</f>
        <v>4.3327004820670449</v>
      </c>
      <c r="Q1056" s="38">
        <f ca="1">IF(O1056="","",IF(Tipo_Vertedor="Retangular",IF(O1056&lt;=cota_s*100,0,IF(Tipo_Vertedor="Retangular",Cd_sr*Lef_sr*((O1056/100-cota_s)^(3/2))*1000)),IF(O1056&lt;=cota_s*100+fi_s/20,0,(OFFSET('Base de dados'!$A$4,IF(O1056&lt;20,1,IF(O1056&gt;1000,10,MATCH(O1056,Cargas,1))),Coluna_fis,1,1))*(PI()*(fi_s/1000)^2/4)*(2*9.81*(O1056/100-cota_s-fi_s/2/1000))^0.5*1000)))</f>
        <v>3.1948021948894283</v>
      </c>
      <c r="R1056" s="38">
        <f t="shared" ca="1" si="168"/>
        <v>7.5275026769564732</v>
      </c>
      <c r="S1056" s="38">
        <f t="shared" ca="1" si="165"/>
        <v>329.6875</v>
      </c>
    </row>
    <row r="1057" spans="13:19">
      <c r="M1057" s="132">
        <f t="shared" ca="1" si="164"/>
        <v>337.53238067807064</v>
      </c>
      <c r="N1057" s="38">
        <f t="shared" si="166"/>
        <v>9.9</v>
      </c>
      <c r="O1057" s="36">
        <f t="shared" si="167"/>
        <v>264</v>
      </c>
      <c r="P1057" s="38">
        <f ca="1">IF(ISERROR(IF(O1057&lt;fi_h/20,0,(OFFSET('Base de dados'!$A$5,IF(O1057&lt;20,1,IF(O1057&gt;1000,10,MATCH(O1057,Cargas,1))),Coluna_fih,1,1))*(1+0.13*0.25)*(PI()*(fi_h/1000)^2/4)*SQRT(2*9.81*(O1057/100-fi_h/2/1000))*1000)),"",IF(O1057&lt;fi_h/20,0,(OFFSET('Base de dados'!$A$5,IF(O1057&lt;20,1,IF(O1057&gt;1000,10,MATCH(O1057,Cargas,1))),Coluna_fih,1,1))*(PI()*(fi_h/1000)^2/4)*SQRT(2*9.81*(O1057/100-fi_h/2/1000))*1000))</f>
        <v>4.3347671961455525</v>
      </c>
      <c r="Q1057" s="38">
        <f ca="1">IF(O1057="","",IF(Tipo_Vertedor="Retangular",IF(O1057&lt;=cota_s*100,0,IF(Tipo_Vertedor="Retangular",Cd_sr*Lef_sr*((O1057/100-cota_s)^(3/2))*1000)),IF(O1057&lt;=cota_s*100+fi_s/20,0,(OFFSET('Base de dados'!$A$4,IF(O1057&lt;20,1,IF(O1057&gt;1000,10,MATCH(O1057,Cargas,1))),Coluna_fis,1,1))*(PI()*(fi_s/1000)^2/4)*(2*9.81*(O1057/100-cota_s-fi_s/2/1000))^0.5*1000)))</f>
        <v>3.1976134819250932</v>
      </c>
      <c r="R1057" s="38">
        <f t="shared" ca="1" si="168"/>
        <v>7.5323806780706457</v>
      </c>
      <c r="S1057" s="38">
        <f t="shared" ca="1" si="165"/>
        <v>330</v>
      </c>
    </row>
    <row r="1058" spans="13:19">
      <c r="M1058" s="132">
        <f t="shared" ca="1" si="164"/>
        <v>337.84975522482881</v>
      </c>
      <c r="N1058" s="38">
        <f t="shared" si="166"/>
        <v>9.9093750000000007</v>
      </c>
      <c r="O1058" s="36">
        <f t="shared" si="167"/>
        <v>264.25</v>
      </c>
      <c r="P1058" s="38">
        <f ca="1">IF(ISERROR(IF(O1058&lt;fi_h/20,0,(OFFSET('Base de dados'!$A$5,IF(O1058&lt;20,1,IF(O1058&gt;1000,10,MATCH(O1058,Cargas,1))),Coluna_fih,1,1))*(1+0.13*0.25)*(PI()*(fi_h/1000)^2/4)*SQRT(2*9.81*(O1058/100-fi_h/2/1000))*1000)),"",IF(O1058&lt;fi_h/20,0,(OFFSET('Base de dados'!$A$5,IF(O1058&lt;20,1,IF(O1058&gt;1000,10,MATCH(O1058,Cargas,1))),Coluna_fih,1,1))*(PI()*(fi_h/1000)^2/4)*SQRT(2*9.81*(O1058/100-fi_h/2/1000))*1000))</f>
        <v>4.3368329253333195</v>
      </c>
      <c r="Q1058" s="38">
        <f ca="1">IF(O1058="","",IF(Tipo_Vertedor="Retangular",IF(O1058&lt;=cota_s*100,0,IF(Tipo_Vertedor="Retangular",Cd_sr*Lef_sr*((O1058/100-cota_s)^(3/2))*1000)),IF(O1058&lt;=cota_s*100+fi_s/20,0,(OFFSET('Base de dados'!$A$4,IF(O1058&lt;20,1,IF(O1058&gt;1000,10,MATCH(O1058,Cargas,1))),Coluna_fis,1,1))*(PI()*(fi_s/1000)^2/4)*(2*9.81*(O1058/100-cota_s-fi_s/2/1000))^0.5*1000)))</f>
        <v>3.2004222994954783</v>
      </c>
      <c r="R1058" s="38">
        <f t="shared" ca="1" si="168"/>
        <v>7.5372552248287974</v>
      </c>
      <c r="S1058" s="38">
        <f t="shared" ca="1" si="165"/>
        <v>330.3125</v>
      </c>
    </row>
    <row r="1059" spans="13:19">
      <c r="M1059" s="132">
        <f t="shared" ca="1" si="164"/>
        <v>338.16712632513384</v>
      </c>
      <c r="N1059" s="38">
        <f t="shared" si="166"/>
        <v>9.9187499999999993</v>
      </c>
      <c r="O1059" s="36">
        <f t="shared" si="167"/>
        <v>264.5</v>
      </c>
      <c r="P1059" s="38">
        <f ca="1">IF(ISERROR(IF(O1059&lt;fi_h/20,0,(OFFSET('Base de dados'!$A$5,IF(O1059&lt;20,1,IF(O1059&gt;1000,10,MATCH(O1059,Cargas,1))),Coluna_fih,1,1))*(1+0.13*0.25)*(PI()*(fi_h/1000)^2/4)*SQRT(2*9.81*(O1059/100-fi_h/2/1000))*1000)),"",IF(O1059&lt;fi_h/20,0,(OFFSET('Base de dados'!$A$5,IF(O1059&lt;20,1,IF(O1059&gt;1000,10,MATCH(O1059,Cargas,1))),Coluna_fih,1,1))*(PI()*(fi_h/1000)^2/4)*SQRT(2*9.81*(O1059/100-fi_h/2/1000))*1000))</f>
        <v>4.3388976710370493</v>
      </c>
      <c r="Q1059" s="38">
        <f ca="1">IF(O1059="","",IF(Tipo_Vertedor="Retangular",IF(O1059&lt;=cota_s*100,0,IF(Tipo_Vertedor="Retangular",Cd_sr*Lef_sr*((O1059/100-cota_s)^(3/2))*1000)),IF(O1059&lt;=cota_s*100+fi_s/20,0,(OFFSET('Base de dados'!$A$4,IF(O1059&lt;20,1,IF(O1059&gt;1000,10,MATCH(O1059,Cargas,1))),Coluna_fis,1,1))*(PI()*(fi_s/1000)^2/4)*(2*9.81*(O1059/100-cota_s-fi_s/2/1000))^0.5*1000)))</f>
        <v>3.2032286540967903</v>
      </c>
      <c r="R1059" s="38">
        <f t="shared" ca="1" si="168"/>
        <v>7.5421263251338395</v>
      </c>
      <c r="S1059" s="38">
        <f t="shared" ca="1" si="165"/>
        <v>330.625</v>
      </c>
    </row>
    <row r="1060" spans="13:19">
      <c r="M1060" s="132">
        <f t="shared" ca="1" si="164"/>
        <v>338.48449398685693</v>
      </c>
      <c r="N1060" s="38">
        <f t="shared" si="166"/>
        <v>9.9281249999999996</v>
      </c>
      <c r="O1060" s="36">
        <f t="shared" si="167"/>
        <v>264.75</v>
      </c>
      <c r="P1060" s="38">
        <f ca="1">IF(ISERROR(IF(O1060&lt;fi_h/20,0,(OFFSET('Base de dados'!$A$5,IF(O1060&lt;20,1,IF(O1060&gt;1000,10,MATCH(O1060,Cargas,1))),Coluna_fih,1,1))*(1+0.13*0.25)*(PI()*(fi_h/1000)^2/4)*SQRT(2*9.81*(O1060/100-fi_h/2/1000))*1000)),"",IF(O1060&lt;fi_h/20,0,(OFFSET('Base de dados'!$A$5,IF(O1060&lt;20,1,IF(O1060&gt;1000,10,MATCH(O1060,Cargas,1))),Coluna_fih,1,1))*(PI()*(fi_h/1000)^2/4)*SQRT(2*9.81*(O1060/100-fi_h/2/1000))*1000))</f>
        <v>4.3409614346601035</v>
      </c>
      <c r="Q1060" s="38">
        <f ca="1">IF(O1060="","",IF(Tipo_Vertedor="Retangular",IF(O1060&lt;=cota_s*100,0,IF(Tipo_Vertedor="Retangular",Cd_sr*Lef_sr*((O1060/100-cota_s)^(3/2))*1000)),IF(O1060&lt;=cota_s*100+fi_s/20,0,(OFFSET('Base de dados'!$A$4,IF(O1060&lt;20,1,IF(O1060&gt;1000,10,MATCH(O1060,Cargas,1))),Coluna_fis,1,1))*(PI()*(fi_s/1000)^2/4)*(2*9.81*(O1060/100-cota_s-fi_s/2/1000))^0.5*1000)))</f>
        <v>3.2060325521968025</v>
      </c>
      <c r="R1060" s="38">
        <f t="shared" ca="1" si="168"/>
        <v>7.546993986856906</v>
      </c>
      <c r="S1060" s="38">
        <f t="shared" ca="1" si="165"/>
        <v>330.9375</v>
      </c>
    </row>
    <row r="1061" spans="13:19">
      <c r="M1061" s="132">
        <f t="shared" ca="1" si="164"/>
        <v>338.80185821783755</v>
      </c>
      <c r="N1061" s="38">
        <f t="shared" si="166"/>
        <v>9.9375</v>
      </c>
      <c r="O1061" s="36">
        <f t="shared" si="167"/>
        <v>265</v>
      </c>
      <c r="P1061" s="38">
        <f ca="1">IF(ISERROR(IF(O1061&lt;fi_h/20,0,(OFFSET('Base de dados'!$A$5,IF(O1061&lt;20,1,IF(O1061&gt;1000,10,MATCH(O1061,Cargas,1))),Coluna_fih,1,1))*(1+0.13*0.25)*(PI()*(fi_h/1000)^2/4)*SQRT(2*9.81*(O1061/100-fi_h/2/1000))*1000)),"",IF(O1061&lt;fi_h/20,0,(OFFSET('Base de dados'!$A$5,IF(O1061&lt;20,1,IF(O1061&gt;1000,10,MATCH(O1061,Cargas,1))),Coluna_fih,1,1))*(PI()*(fi_h/1000)^2/4)*SQRT(2*9.81*(O1061/100-fi_h/2/1000))*1000))</f>
        <v>4.3430242176025091</v>
      </c>
      <c r="Q1061" s="38">
        <f ca="1">IF(O1061="","",IF(Tipo_Vertedor="Retangular",IF(O1061&lt;=cota_s*100,0,IF(Tipo_Vertedor="Retangular",Cd_sr*Lef_sr*((O1061/100-cota_s)^(3/2))*1000)),IF(O1061&lt;=cota_s*100+fi_s/20,0,(OFFSET('Base de dados'!$A$4,IF(O1061&lt;20,1,IF(O1061&gt;1000,10,MATCH(O1061,Cargas,1))),Coluna_fis,1,1))*(PI()*(fi_s/1000)^2/4)*(2*9.81*(O1061/100-cota_s-fi_s/2/1000))^0.5*1000)))</f>
        <v>3.2088340002350306</v>
      </c>
      <c r="R1061" s="38">
        <f t="shared" ca="1" si="168"/>
        <v>7.5518582178375393</v>
      </c>
      <c r="S1061" s="38">
        <f t="shared" ca="1" si="165"/>
        <v>331.25</v>
      </c>
    </row>
    <row r="1062" spans="13:19">
      <c r="M1062" s="132">
        <f t="shared" ca="1" si="164"/>
        <v>339.11921902588381</v>
      </c>
      <c r="N1062" s="38">
        <f t="shared" si="166"/>
        <v>9.9468749999999986</v>
      </c>
      <c r="O1062" s="36">
        <f t="shared" si="167"/>
        <v>265.25</v>
      </c>
      <c r="P1062" s="38">
        <f ca="1">IF(ISERROR(IF(O1062&lt;fi_h/20,0,(OFFSET('Base de dados'!$A$5,IF(O1062&lt;20,1,IF(O1062&gt;1000,10,MATCH(O1062,Cargas,1))),Coluna_fih,1,1))*(1+0.13*0.25)*(PI()*(fi_h/1000)^2/4)*SQRT(2*9.81*(O1062/100-fi_h/2/1000))*1000)),"",IF(O1062&lt;fi_h/20,0,(OFFSET('Base de dados'!$A$5,IF(O1062&lt;20,1,IF(O1062&gt;1000,10,MATCH(O1062,Cargas,1))),Coluna_fih,1,1))*(PI()*(fi_h/1000)^2/4)*SQRT(2*9.81*(O1062/100-fi_h/2/1000))*1000))</f>
        <v>4.3450860212609665</v>
      </c>
      <c r="Q1062" s="38">
        <f ca="1">IF(O1062="","",IF(Tipo_Vertedor="Retangular",IF(O1062&lt;=cota_s*100,0,IF(Tipo_Vertedor="Retangular",Cd_sr*Lef_sr*((O1062/100-cota_s)^(3/2))*1000)),IF(O1062&lt;=cota_s*100+fi_s/20,0,(OFFSET('Base de dados'!$A$4,IF(O1062&lt;20,1,IF(O1062&gt;1000,10,MATCH(O1062,Cargas,1))),Coluna_fis,1,1))*(PI()*(fi_s/1000)^2/4)*(2*9.81*(O1062/100-cota_s-fi_s/2/1000))^0.5*1000)))</f>
        <v>3.2116330046229069</v>
      </c>
      <c r="R1062" s="38">
        <f t="shared" ca="1" si="168"/>
        <v>7.5567190258838739</v>
      </c>
      <c r="S1062" s="38">
        <f t="shared" ca="1" si="165"/>
        <v>331.56249999999994</v>
      </c>
    </row>
    <row r="1063" spans="13:19">
      <c r="M1063" s="132">
        <f t="shared" ca="1" si="164"/>
        <v>339.43657641877275</v>
      </c>
      <c r="N1063" s="38">
        <f t="shared" si="166"/>
        <v>9.9562499999999989</v>
      </c>
      <c r="O1063" s="36">
        <f t="shared" si="167"/>
        <v>265.5</v>
      </c>
      <c r="P1063" s="38">
        <f ca="1">IF(ISERROR(IF(O1063&lt;fi_h/20,0,(OFFSET('Base de dados'!$A$5,IF(O1063&lt;20,1,IF(O1063&gt;1000,10,MATCH(O1063,Cargas,1))),Coluna_fih,1,1))*(1+0.13*0.25)*(PI()*(fi_h/1000)^2/4)*SQRT(2*9.81*(O1063/100-fi_h/2/1000))*1000)),"",IF(O1063&lt;fi_h/20,0,(OFFSET('Base de dados'!$A$5,IF(O1063&lt;20,1,IF(O1063&gt;1000,10,MATCH(O1063,Cargas,1))),Coluna_fih,1,1))*(PI()*(fi_h/1000)^2/4)*SQRT(2*9.81*(O1063/100-fi_h/2/1000))*1000))</f>
        <v>4.3471468470288688</v>
      </c>
      <c r="Q1063" s="38">
        <f ca="1">IF(O1063="","",IF(Tipo_Vertedor="Retangular",IF(O1063&lt;=cota_s*100,0,IF(Tipo_Vertedor="Retangular",Cd_sr*Lef_sr*((O1063/100-cota_s)^(3/2))*1000)),IF(O1063&lt;=cota_s*100+fi_s/20,0,(OFFSET('Base de dados'!$A$4,IF(O1063&lt;20,1,IF(O1063&gt;1000,10,MATCH(O1063,Cargas,1))),Coluna_fis,1,1))*(PI()*(fi_s/1000)^2/4)*(2*9.81*(O1063/100-cota_s-fi_s/2/1000))^0.5*1000)))</f>
        <v>3.2144295717439459</v>
      </c>
      <c r="R1063" s="38">
        <f t="shared" ca="1" si="168"/>
        <v>7.5615764187728143</v>
      </c>
      <c r="S1063" s="38">
        <f t="shared" ca="1" si="165"/>
        <v>331.87499999999994</v>
      </c>
    </row>
    <row r="1064" spans="13:19">
      <c r="M1064" s="132">
        <f t="shared" ca="1" si="164"/>
        <v>339.7539304042503</v>
      </c>
      <c r="N1064" s="38">
        <f t="shared" si="166"/>
        <v>9.9656250000000011</v>
      </c>
      <c r="O1064" s="36">
        <f t="shared" si="167"/>
        <v>265.75</v>
      </c>
      <c r="P1064" s="38">
        <f ca="1">IF(ISERROR(IF(O1064&lt;fi_h/20,0,(OFFSET('Base de dados'!$A$5,IF(O1064&lt;20,1,IF(O1064&gt;1000,10,MATCH(O1064,Cargas,1))),Coluna_fih,1,1))*(1+0.13*0.25)*(PI()*(fi_h/1000)^2/4)*SQRT(2*9.81*(O1064/100-fi_h/2/1000))*1000)),"",IF(O1064&lt;fi_h/20,0,(OFFSET('Base de dados'!$A$5,IF(O1064&lt;20,1,IF(O1064&gt;1000,10,MATCH(O1064,Cargas,1))),Coluna_fih,1,1))*(PI()*(fi_h/1000)^2/4)*SQRT(2*9.81*(O1064/100-fi_h/2/1000))*1000))</f>
        <v>4.3492066962963039</v>
      </c>
      <c r="Q1064" s="38">
        <f ca="1">IF(O1064="","",IF(Tipo_Vertedor="Retangular",IF(O1064&lt;=cota_s*100,0,IF(Tipo_Vertedor="Retangular",Cd_sr*Lef_sr*((O1064/100-cota_s)^(3/2))*1000)),IF(O1064&lt;=cota_s*100+fi_s/20,0,(OFFSET('Base de dados'!$A$4,IF(O1064&lt;20,1,IF(O1064&gt;1000,10,MATCH(O1064,Cargas,1))),Coluna_fis,1,1))*(PI()*(fi_s/1000)^2/4)*(2*9.81*(O1064/100-cota_s-fi_s/2/1000))^0.5*1000)))</f>
        <v>3.2172237079539205</v>
      </c>
      <c r="R1064" s="38">
        <f t="shared" ca="1" si="168"/>
        <v>7.5664304042502248</v>
      </c>
      <c r="S1064" s="38">
        <f t="shared" ca="1" si="165"/>
        <v>332.18750000000006</v>
      </c>
    </row>
    <row r="1065" spans="13:19">
      <c r="M1065" s="132">
        <f t="shared" ca="1" si="164"/>
        <v>340.07128099003114</v>
      </c>
      <c r="N1065" s="38">
        <f t="shared" si="166"/>
        <v>9.9750000000000014</v>
      </c>
      <c r="O1065" s="36">
        <f t="shared" si="167"/>
        <v>266</v>
      </c>
      <c r="P1065" s="38">
        <f ca="1">IF(ISERROR(IF(O1065&lt;fi_h/20,0,(OFFSET('Base de dados'!$A$5,IF(O1065&lt;20,1,IF(O1065&gt;1000,10,MATCH(O1065,Cargas,1))),Coluna_fih,1,1))*(1+0.13*0.25)*(PI()*(fi_h/1000)^2/4)*SQRT(2*9.81*(O1065/100-fi_h/2/1000))*1000)),"",IF(O1065&lt;fi_h/20,0,(OFFSET('Base de dados'!$A$5,IF(O1065&lt;20,1,IF(O1065&gt;1000,10,MATCH(O1065,Cargas,1))),Coluna_fih,1,1))*(PI()*(fi_h/1000)^2/4)*SQRT(2*9.81*(O1065/100-fi_h/2/1000))*1000))</f>
        <v>4.3512655704500709</v>
      </c>
      <c r="Q1065" s="38">
        <f ca="1">IF(O1065="","",IF(Tipo_Vertedor="Retangular",IF(O1065&lt;=cota_s*100,0,IF(Tipo_Vertedor="Retangular",Cd_sr*Lef_sr*((O1065/100-cota_s)^(3/2))*1000)),IF(O1065&lt;=cota_s*100+fi_s/20,0,(OFFSET('Base de dados'!$A$4,IF(O1065&lt;20,1,IF(O1065&gt;1000,10,MATCH(O1065,Cargas,1))),Coluna_fis,1,1))*(PI()*(fi_s/1000)^2/4)*(2*9.81*(O1065/100-cota_s-fi_s/2/1000))^0.5*1000)))</f>
        <v>3.2200154195810282</v>
      </c>
      <c r="R1065" s="38">
        <f t="shared" ca="1" si="168"/>
        <v>7.5712809900310987</v>
      </c>
      <c r="S1065" s="38">
        <f t="shared" ca="1" si="165"/>
        <v>332.50000000000006</v>
      </c>
    </row>
    <row r="1066" spans="13:19">
      <c r="M1066" s="132">
        <f t="shared" ca="1" si="164"/>
        <v>340.38862818379977</v>
      </c>
      <c r="N1066" s="38">
        <f t="shared" si="166"/>
        <v>9.984375</v>
      </c>
      <c r="O1066" s="36">
        <f t="shared" si="167"/>
        <v>266.25</v>
      </c>
      <c r="P1066" s="38">
        <f ca="1">IF(ISERROR(IF(O1066&lt;fi_h/20,0,(OFFSET('Base de dados'!$A$5,IF(O1066&lt;20,1,IF(O1066&gt;1000,10,MATCH(O1066,Cargas,1))),Coluna_fih,1,1))*(1+0.13*0.25)*(PI()*(fi_h/1000)^2/4)*SQRT(2*9.81*(O1066/100-fi_h/2/1000))*1000)),"",IF(O1066&lt;fi_h/20,0,(OFFSET('Base de dados'!$A$5,IF(O1066&lt;20,1,IF(O1066&gt;1000,10,MATCH(O1066,Cargas,1))),Coluna_fih,1,1))*(PI()*(fi_h/1000)^2/4)*SQRT(2*9.81*(O1066/100-fi_h/2/1000))*1000))</f>
        <v>4.3533234708736908</v>
      </c>
      <c r="Q1066" s="38">
        <f ca="1">IF(O1066="","",IF(Tipo_Vertedor="Retangular",IF(O1066&lt;=cota_s*100,0,IF(Tipo_Vertedor="Retangular",Cd_sr*Lef_sr*((O1066/100-cota_s)^(3/2))*1000)),IF(O1066&lt;=cota_s*100+fi_s/20,0,(OFFSET('Base de dados'!$A$4,IF(O1066&lt;20,1,IF(O1066&gt;1000,10,MATCH(O1066,Cargas,1))),Coluna_fis,1,1))*(PI()*(fi_s/1000)^2/4)*(2*9.81*(O1066/100-cota_s-fi_s/2/1000))^0.5*1000)))</f>
        <v>3.2228047129260551</v>
      </c>
      <c r="R1066" s="38">
        <f t="shared" ca="1" si="168"/>
        <v>7.5761281837997458</v>
      </c>
      <c r="S1066" s="38">
        <f t="shared" ca="1" si="165"/>
        <v>332.8125</v>
      </c>
    </row>
    <row r="1067" spans="13:19">
      <c r="M1067" s="132">
        <f t="shared" ca="1" si="164"/>
        <v>340.70597199320997</v>
      </c>
      <c r="N1067" s="38">
        <f t="shared" si="166"/>
        <v>9.9937500000000004</v>
      </c>
      <c r="O1067" s="36">
        <f t="shared" si="167"/>
        <v>266.5</v>
      </c>
      <c r="P1067" s="38">
        <f ca="1">IF(ISERROR(IF(O1067&lt;fi_h/20,0,(OFFSET('Base de dados'!$A$5,IF(O1067&lt;20,1,IF(O1067&gt;1000,10,MATCH(O1067,Cargas,1))),Coluna_fih,1,1))*(1+0.13*0.25)*(PI()*(fi_h/1000)^2/4)*SQRT(2*9.81*(O1067/100-fi_h/2/1000))*1000)),"",IF(O1067&lt;fi_h/20,0,(OFFSET('Base de dados'!$A$5,IF(O1067&lt;20,1,IF(O1067&gt;1000,10,MATCH(O1067,Cargas,1))),Coluna_fih,1,1))*(PI()*(fi_h/1000)^2/4)*SQRT(2*9.81*(O1067/100-fi_h/2/1000))*1000))</f>
        <v>4.355380398947414</v>
      </c>
      <c r="Q1067" s="38">
        <f ca="1">IF(O1067="","",IF(Tipo_Vertedor="Retangular",IF(O1067&lt;=cota_s*100,0,IF(Tipo_Vertedor="Retangular",Cd_sr*Lef_sr*((O1067/100-cota_s)^(3/2))*1000)),IF(O1067&lt;=cota_s*100+fi_s/20,0,(OFFSET('Base de dados'!$A$4,IF(O1067&lt;20,1,IF(O1067&gt;1000,10,MATCH(O1067,Cargas,1))),Coluna_fis,1,1))*(PI()*(fi_s/1000)^2/4)*(2*9.81*(O1067/100-cota_s-fi_s/2/1000))^0.5*1000)))</f>
        <v>3.2255915942625473</v>
      </c>
      <c r="R1067" s="38">
        <f t="shared" ca="1" si="168"/>
        <v>7.5809719932099613</v>
      </c>
      <c r="S1067" s="38">
        <f t="shared" ca="1" si="165"/>
        <v>333.125</v>
      </c>
    </row>
    <row r="1068" spans="13:19">
      <c r="M1068" s="132">
        <f t="shared" ca="1" si="164"/>
        <v>341.02331242588519</v>
      </c>
      <c r="N1068" s="38">
        <f t="shared" si="166"/>
        <v>10.003125000000001</v>
      </c>
      <c r="O1068" s="36">
        <f t="shared" si="167"/>
        <v>266.75</v>
      </c>
      <c r="P1068" s="38">
        <f ca="1">IF(ISERROR(IF(O1068&lt;fi_h/20,0,(OFFSET('Base de dados'!$A$5,IF(O1068&lt;20,1,IF(O1068&gt;1000,10,MATCH(O1068,Cargas,1))),Coluna_fih,1,1))*(1+0.13*0.25)*(PI()*(fi_h/1000)^2/4)*SQRT(2*9.81*(O1068/100-fi_h/2/1000))*1000)),"",IF(O1068&lt;fi_h/20,0,(OFFSET('Base de dados'!$A$5,IF(O1068&lt;20,1,IF(O1068&gt;1000,10,MATCH(O1068,Cargas,1))),Coluna_fih,1,1))*(PI()*(fi_h/1000)^2/4)*SQRT(2*9.81*(O1068/100-fi_h/2/1000))*1000))</f>
        <v>4.3574363560482334</v>
      </c>
      <c r="Q1068" s="38">
        <f ca="1">IF(O1068="","",IF(Tipo_Vertedor="Retangular",IF(O1068&lt;=cota_s*100,0,IF(Tipo_Vertedor="Retangular",Cd_sr*Lef_sr*((O1068/100-cota_s)^(3/2))*1000)),IF(O1068&lt;=cota_s*100+fi_s/20,0,(OFFSET('Base de dados'!$A$4,IF(O1068&lt;20,1,IF(O1068&gt;1000,10,MATCH(O1068,Cargas,1))),Coluna_fis,1,1))*(PI()*(fi_s/1000)^2/4)*(2*9.81*(O1068/100-cota_s-fi_s/2/1000))^0.5*1000)))</f>
        <v>3.2283760698369712</v>
      </c>
      <c r="R1068" s="38">
        <f t="shared" ca="1" si="168"/>
        <v>7.5858124258852051</v>
      </c>
      <c r="S1068" s="38">
        <f t="shared" ca="1" si="165"/>
        <v>333.4375</v>
      </c>
    </row>
    <row r="1069" spans="13:19">
      <c r="M1069" s="132">
        <f t="shared" ca="1" si="164"/>
        <v>341.34064948941875</v>
      </c>
      <c r="N1069" s="38">
        <f t="shared" si="166"/>
        <v>10.012499999999999</v>
      </c>
      <c r="O1069" s="36">
        <f t="shared" si="167"/>
        <v>267</v>
      </c>
      <c r="P1069" s="38">
        <f ca="1">IF(ISERROR(IF(O1069&lt;fi_h/20,0,(OFFSET('Base de dados'!$A$5,IF(O1069&lt;20,1,IF(O1069&gt;1000,10,MATCH(O1069,Cargas,1))),Coluna_fih,1,1))*(1+0.13*0.25)*(PI()*(fi_h/1000)^2/4)*SQRT(2*9.81*(O1069/100-fi_h/2/1000))*1000)),"",IF(O1069&lt;fi_h/20,0,(OFFSET('Base de dados'!$A$5,IF(O1069&lt;20,1,IF(O1069&gt;1000,10,MATCH(O1069,Cargas,1))),Coluna_fih,1,1))*(PI()*(fi_h/1000)^2/4)*SQRT(2*9.81*(O1069/100-fi_h/2/1000))*1000))</f>
        <v>4.3594913435498972</v>
      </c>
      <c r="Q1069" s="38">
        <f ca="1">IF(O1069="","",IF(Tipo_Vertedor="Retangular",IF(O1069&lt;=cota_s*100,0,IF(Tipo_Vertedor="Retangular",Cd_sr*Lef_sr*((O1069/100-cota_s)^(3/2))*1000)),IF(O1069&lt;=cota_s*100+fi_s/20,0,(OFFSET('Base de dados'!$A$4,IF(O1069&lt;20,1,IF(O1069&gt;1000,10,MATCH(O1069,Cargas,1))),Coluna_fis,1,1))*(PI()*(fi_s/1000)^2/4)*(2*9.81*(O1069/100-cota_s-fi_s/2/1000))^0.5*1000)))</f>
        <v>3.2311581458688794</v>
      </c>
      <c r="R1069" s="38">
        <f t="shared" ca="1" si="168"/>
        <v>7.5906494894187766</v>
      </c>
      <c r="S1069" s="38">
        <f t="shared" ca="1" si="165"/>
        <v>333.75</v>
      </c>
    </row>
    <row r="1070" spans="13:19">
      <c r="M1070" s="132">
        <f t="shared" ca="1" si="164"/>
        <v>341.657983191374</v>
      </c>
      <c r="N1070" s="38">
        <f t="shared" si="166"/>
        <v>10.021875</v>
      </c>
      <c r="O1070" s="36">
        <f t="shared" si="167"/>
        <v>267.25</v>
      </c>
      <c r="P1070" s="38">
        <f ca="1">IF(ISERROR(IF(O1070&lt;fi_h/20,0,(OFFSET('Base de dados'!$A$5,IF(O1070&lt;20,1,IF(O1070&gt;1000,10,MATCH(O1070,Cargas,1))),Coluna_fih,1,1))*(1+0.13*0.25)*(PI()*(fi_h/1000)^2/4)*SQRT(2*9.81*(O1070/100-fi_h/2/1000))*1000)),"",IF(O1070&lt;fi_h/20,0,(OFFSET('Base de dados'!$A$5,IF(O1070&lt;20,1,IF(O1070&gt;1000,10,MATCH(O1070,Cargas,1))),Coluna_fih,1,1))*(PI()*(fi_h/1000)^2/4)*SQRT(2*9.81*(O1070/100-fi_h/2/1000))*1000))</f>
        <v>4.3615453628229135</v>
      </c>
      <c r="Q1070" s="38">
        <f ca="1">IF(O1070="","",IF(Tipo_Vertedor="Retangular",IF(O1070&lt;=cota_s*100,0,IF(Tipo_Vertedor="Retangular",Cd_sr*Lef_sr*((O1070/100-cota_s)^(3/2))*1000)),IF(O1070&lt;=cota_s*100+fi_s/20,0,(OFFSET('Base de dados'!$A$4,IF(O1070&lt;20,1,IF(O1070&gt;1000,10,MATCH(O1070,Cargas,1))),Coluna_fis,1,1))*(PI()*(fi_s/1000)^2/4)*(2*9.81*(O1070/100-cota_s-fi_s/2/1000))^0.5*1000)))</f>
        <v>3.2339378285510718</v>
      </c>
      <c r="R1070" s="38">
        <f t="shared" ca="1" si="168"/>
        <v>7.5954831913739849</v>
      </c>
      <c r="S1070" s="38">
        <f t="shared" ca="1" si="165"/>
        <v>334.0625</v>
      </c>
    </row>
    <row r="1071" spans="13:19">
      <c r="M1071" s="132">
        <f t="shared" ca="1" si="164"/>
        <v>341.97531353928434</v>
      </c>
      <c r="N1071" s="38">
        <f t="shared" si="166"/>
        <v>10.03125</v>
      </c>
      <c r="O1071" s="36">
        <f t="shared" si="167"/>
        <v>267.5</v>
      </c>
      <c r="P1071" s="38">
        <f ca="1">IF(ISERROR(IF(O1071&lt;fi_h/20,0,(OFFSET('Base de dados'!$A$5,IF(O1071&lt;20,1,IF(O1071&gt;1000,10,MATCH(O1071,Cargas,1))),Coluna_fih,1,1))*(1+0.13*0.25)*(PI()*(fi_h/1000)^2/4)*SQRT(2*9.81*(O1071/100-fi_h/2/1000))*1000)),"",IF(O1071&lt;fi_h/20,0,(OFFSET('Base de dados'!$A$5,IF(O1071&lt;20,1,IF(O1071&gt;1000,10,MATCH(O1071,Cargas,1))),Coluna_fih,1,1))*(PI()*(fi_h/1000)^2/4)*SQRT(2*9.81*(O1071/100-fi_h/2/1000))*1000))</f>
        <v>4.3635984152345682</v>
      </c>
      <c r="Q1071" s="38">
        <f ca="1">IF(O1071="","",IF(Tipo_Vertedor="Retangular",IF(O1071&lt;=cota_s*100,0,IF(Tipo_Vertedor="Retangular",Cd_sr*Lef_sr*((O1071/100-cota_s)^(3/2))*1000)),IF(O1071&lt;=cota_s*100+fi_s/20,0,(OFFSET('Base de dados'!$A$4,IF(O1071&lt;20,1,IF(O1071&gt;1000,10,MATCH(O1071,Cargas,1))),Coluna_fis,1,1))*(PI()*(fi_s/1000)^2/4)*(2*9.81*(O1071/100-cota_s-fi_s/2/1000))^0.5*1000)))</f>
        <v>3.2367151240497569</v>
      </c>
      <c r="R1071" s="38">
        <f t="shared" ca="1" si="168"/>
        <v>7.6003135392843255</v>
      </c>
      <c r="S1071" s="38">
        <f t="shared" ca="1" si="165"/>
        <v>334.375</v>
      </c>
    </row>
    <row r="1072" spans="13:19">
      <c r="M1072" s="132">
        <f t="shared" ca="1" si="164"/>
        <v>342.29264054065362</v>
      </c>
      <c r="N1072" s="38">
        <f t="shared" si="166"/>
        <v>10.040625</v>
      </c>
      <c r="O1072" s="36">
        <f t="shared" si="167"/>
        <v>267.75</v>
      </c>
      <c r="P1072" s="38">
        <f ca="1">IF(ISERROR(IF(O1072&lt;fi_h/20,0,(OFFSET('Base de dados'!$A$5,IF(O1072&lt;20,1,IF(O1072&gt;1000,10,MATCH(O1072,Cargas,1))),Coluna_fih,1,1))*(1+0.13*0.25)*(PI()*(fi_h/1000)^2/4)*SQRT(2*9.81*(O1072/100-fi_h/2/1000))*1000)),"",IF(O1072&lt;fi_h/20,0,(OFFSET('Base de dados'!$A$5,IF(O1072&lt;20,1,IF(O1072&gt;1000,10,MATCH(O1072,Cargas,1))),Coluna_fih,1,1))*(PI()*(fi_h/1000)^2/4)*SQRT(2*9.81*(O1072/100-fi_h/2/1000))*1000))</f>
        <v>4.3656505021489309</v>
      </c>
      <c r="Q1072" s="38">
        <f ca="1">IF(O1072="","",IF(Tipo_Vertedor="Retangular",IF(O1072&lt;=cota_s*100,0,IF(Tipo_Vertedor="Retangular",Cd_sr*Lef_sr*((O1072/100-cota_s)^(3/2))*1000)),IF(O1072&lt;=cota_s*100+fi_s/20,0,(OFFSET('Base de dados'!$A$4,IF(O1072&lt;20,1,IF(O1072&gt;1000,10,MATCH(O1072,Cargas,1))),Coluna_fis,1,1))*(PI()*(fi_s/1000)^2/4)*(2*9.81*(O1072/100-cota_s-fi_s/2/1000))^0.5*1000)))</f>
        <v>3.2394900385047087</v>
      </c>
      <c r="R1072" s="38">
        <f t="shared" ca="1" si="168"/>
        <v>7.6051405406536396</v>
      </c>
      <c r="S1072" s="38">
        <f t="shared" ca="1" si="165"/>
        <v>334.6875</v>
      </c>
    </row>
    <row r="1073" spans="13:19">
      <c r="M1073" s="132">
        <f t="shared" ca="1" si="164"/>
        <v>342.60996420295629</v>
      </c>
      <c r="N1073" s="38">
        <f t="shared" si="166"/>
        <v>10.050000000000001</v>
      </c>
      <c r="O1073" s="36">
        <f t="shared" si="167"/>
        <v>268</v>
      </c>
      <c r="P1073" s="38">
        <f ca="1">IF(ISERROR(IF(O1073&lt;fi_h/20,0,(OFFSET('Base de dados'!$A$5,IF(O1073&lt;20,1,IF(O1073&gt;1000,10,MATCH(O1073,Cargas,1))),Coluna_fih,1,1))*(1+0.13*0.25)*(PI()*(fi_h/1000)^2/4)*SQRT(2*9.81*(O1073/100-fi_h/2/1000))*1000)),"",IF(O1073&lt;fi_h/20,0,(OFFSET('Base de dados'!$A$5,IF(O1073&lt;20,1,IF(O1073&gt;1000,10,MATCH(O1073,Cargas,1))),Coluna_fih,1,1))*(PI()*(fi_h/1000)^2/4)*SQRT(2*9.81*(O1073/100-fi_h/2/1000))*1000))</f>
        <v>4.3677016249268661</v>
      </c>
      <c r="Q1073" s="38">
        <f ca="1">IF(O1073="","",IF(Tipo_Vertedor="Retangular",IF(O1073&lt;=cota_s*100,0,IF(Tipo_Vertedor="Retangular",Cd_sr*Lef_sr*((O1073/100-cota_s)^(3/2))*1000)),IF(O1073&lt;=cota_s*100+fi_s/20,0,(OFFSET('Base de dados'!$A$4,IF(O1073&lt;20,1,IF(O1073&gt;1000,10,MATCH(O1073,Cargas,1))),Coluna_fis,1,1))*(PI()*(fi_s/1000)^2/4)*(2*9.81*(O1073/100-cota_s-fi_s/2/1000))^0.5*1000)))</f>
        <v>3.2422625780294303</v>
      </c>
      <c r="R1073" s="38">
        <f t="shared" ca="1" si="168"/>
        <v>7.6099642029562968</v>
      </c>
      <c r="S1073" s="38">
        <f t="shared" ca="1" si="165"/>
        <v>335</v>
      </c>
    </row>
    <row r="1074" spans="13:19">
      <c r="M1074" s="132">
        <f t="shared" ca="1" si="164"/>
        <v>342.92728453363742</v>
      </c>
      <c r="N1074" s="38">
        <f t="shared" si="166"/>
        <v>10.059375000000001</v>
      </c>
      <c r="O1074" s="36">
        <f t="shared" si="167"/>
        <v>268.25</v>
      </c>
      <c r="P1074" s="38">
        <f ca="1">IF(ISERROR(IF(O1074&lt;fi_h/20,0,(OFFSET('Base de dados'!$A$5,IF(O1074&lt;20,1,IF(O1074&gt;1000,10,MATCH(O1074,Cargas,1))),Coluna_fih,1,1))*(1+0.13*0.25)*(PI()*(fi_h/1000)^2/4)*SQRT(2*9.81*(O1074/100-fi_h/2/1000))*1000)),"",IF(O1074&lt;fi_h/20,0,(OFFSET('Base de dados'!$A$5,IF(O1074&lt;20,1,IF(O1074&gt;1000,10,MATCH(O1074,Cargas,1))),Coluna_fih,1,1))*(PI()*(fi_h/1000)^2/4)*SQRT(2*9.81*(O1074/100-fi_h/2/1000))*1000))</f>
        <v>4.3697517849260459</v>
      </c>
      <c r="Q1074" s="38">
        <f ca="1">IF(O1074="","",IF(Tipo_Vertedor="Retangular",IF(O1074&lt;=cota_s*100,0,IF(Tipo_Vertedor="Retangular",Cd_sr*Lef_sr*((O1074/100-cota_s)^(3/2))*1000)),IF(O1074&lt;=cota_s*100+fi_s/20,0,(OFFSET('Base de dados'!$A$4,IF(O1074&lt;20,1,IF(O1074&gt;1000,10,MATCH(O1074,Cargas,1))),Coluna_fis,1,1))*(PI()*(fi_s/1000)^2/4)*(2*9.81*(O1074/100-cota_s-fi_s/2/1000))^0.5*1000)))</f>
        <v>3.245032748711306</v>
      </c>
      <c r="R1074" s="38">
        <f t="shared" ca="1" si="168"/>
        <v>7.6147845336373514</v>
      </c>
      <c r="S1074" s="38">
        <f t="shared" ca="1" si="165"/>
        <v>335.31250000000006</v>
      </c>
    </row>
    <row r="1075" spans="13:19">
      <c r="M1075" s="132">
        <f t="shared" ca="1" si="164"/>
        <v>343.24460154011274</v>
      </c>
      <c r="N1075" s="38">
        <f t="shared" si="166"/>
        <v>10.06875</v>
      </c>
      <c r="O1075" s="36">
        <f t="shared" si="167"/>
        <v>268.5</v>
      </c>
      <c r="P1075" s="38">
        <f ca="1">IF(ISERROR(IF(O1075&lt;fi_h/20,0,(OFFSET('Base de dados'!$A$5,IF(O1075&lt;20,1,IF(O1075&gt;1000,10,MATCH(O1075,Cargas,1))),Coluna_fih,1,1))*(1+0.13*0.25)*(PI()*(fi_h/1000)^2/4)*SQRT(2*9.81*(O1075/100-fi_h/2/1000))*1000)),"",IF(O1075&lt;fi_h/20,0,(OFFSET('Base de dados'!$A$5,IF(O1075&lt;20,1,IF(O1075&gt;1000,10,MATCH(O1075,Cargas,1))),Coluna_fih,1,1))*(PI()*(fi_h/1000)^2/4)*SQRT(2*9.81*(O1075/100-fi_h/2/1000))*1000))</f>
        <v>4.3718009835009575</v>
      </c>
      <c r="Q1075" s="38">
        <f ca="1">IF(O1075="","",IF(Tipo_Vertedor="Retangular",IF(O1075&lt;=cota_s*100,0,IF(Tipo_Vertedor="Retangular",Cd_sr*Lef_sr*((O1075/100-cota_s)^(3/2))*1000)),IF(O1075&lt;=cota_s*100+fi_s/20,0,(OFFSET('Base de dados'!$A$4,IF(O1075&lt;20,1,IF(O1075&gt;1000,10,MATCH(O1075,Cargas,1))),Coluna_fis,1,1))*(PI()*(fi_s/1000)^2/4)*(2*9.81*(O1075/100-cota_s-fi_s/2/1000))^0.5*1000)))</f>
        <v>3.2478005566117614</v>
      </c>
      <c r="R1075" s="38">
        <f t="shared" ca="1" si="168"/>
        <v>7.6196015401127184</v>
      </c>
      <c r="S1075" s="38">
        <f t="shared" ca="1" si="165"/>
        <v>335.625</v>
      </c>
    </row>
    <row r="1076" spans="13:19">
      <c r="M1076" s="132">
        <f t="shared" ca="1" si="164"/>
        <v>343.56191522976934</v>
      </c>
      <c r="N1076" s="38">
        <f t="shared" si="166"/>
        <v>10.078125</v>
      </c>
      <c r="O1076" s="36">
        <f t="shared" si="167"/>
        <v>268.75</v>
      </c>
      <c r="P1076" s="38">
        <f ca="1">IF(ISERROR(IF(O1076&lt;fi_h/20,0,(OFFSET('Base de dados'!$A$5,IF(O1076&lt;20,1,IF(O1076&gt;1000,10,MATCH(O1076,Cargas,1))),Coluna_fih,1,1))*(1+0.13*0.25)*(PI()*(fi_h/1000)^2/4)*SQRT(2*9.81*(O1076/100-fi_h/2/1000))*1000)),"",IF(O1076&lt;fi_h/20,0,(OFFSET('Base de dados'!$A$5,IF(O1076&lt;20,1,IF(O1076&gt;1000,10,MATCH(O1076,Cargas,1))),Coluna_fih,1,1))*(PI()*(fi_h/1000)^2/4)*SQRT(2*9.81*(O1076/100-fi_h/2/1000))*1000))</f>
        <v>4.3738492220029155</v>
      </c>
      <c r="Q1076" s="38">
        <f ca="1">IF(O1076="","",IF(Tipo_Vertedor="Retangular",IF(O1076&lt;=cota_s*100,0,IF(Tipo_Vertedor="Retangular",Cd_sr*Lef_sr*((O1076/100-cota_s)^(3/2))*1000)),IF(O1076&lt;=cota_s*100+fi_s/20,0,(OFFSET('Base de dados'!$A$4,IF(O1076&lt;20,1,IF(O1076&gt;1000,10,MATCH(O1076,Cargas,1))),Coluna_fis,1,1))*(PI()*(fi_s/1000)^2/4)*(2*9.81*(O1076/100-cota_s-fi_s/2/1000))^0.5*1000)))</f>
        <v>3.2505660077664129</v>
      </c>
      <c r="R1076" s="38">
        <f t="shared" ca="1" si="168"/>
        <v>7.624415229769328</v>
      </c>
      <c r="S1076" s="38">
        <f t="shared" ca="1" si="165"/>
        <v>335.9375</v>
      </c>
    </row>
    <row r="1077" spans="13:19">
      <c r="M1077" s="132">
        <f t="shared" ca="1" si="164"/>
        <v>343.87922560996532</v>
      </c>
      <c r="N1077" s="38">
        <f t="shared" si="166"/>
        <v>10.0875</v>
      </c>
      <c r="O1077" s="36">
        <f t="shared" si="167"/>
        <v>269</v>
      </c>
      <c r="P1077" s="38">
        <f ca="1">IF(ISERROR(IF(O1077&lt;fi_h/20,0,(OFFSET('Base de dados'!$A$5,IF(O1077&lt;20,1,IF(O1077&gt;1000,10,MATCH(O1077,Cargas,1))),Coluna_fih,1,1))*(1+0.13*0.25)*(PI()*(fi_h/1000)^2/4)*SQRT(2*9.81*(O1077/100-fi_h/2/1000))*1000)),"",IF(O1077&lt;fi_h/20,0,(OFFSET('Base de dados'!$A$5,IF(O1077&lt;20,1,IF(O1077&gt;1000,10,MATCH(O1077,Cargas,1))),Coluna_fih,1,1))*(PI()*(fi_h/1000)^2/4)*SQRT(2*9.81*(O1077/100-fi_h/2/1000))*1000))</f>
        <v>4.3758965017800735</v>
      </c>
      <c r="Q1077" s="38">
        <f ca="1">IF(O1077="","",IF(Tipo_Vertedor="Retangular",IF(O1077&lt;=cota_s*100,0,IF(Tipo_Vertedor="Retangular",Cd_sr*Lef_sr*((O1077/100-cota_s)^(3/2))*1000)),IF(O1077&lt;=cota_s*100+fi_s/20,0,(OFFSET('Base de dados'!$A$4,IF(O1077&lt;20,1,IF(O1077&gt;1000,10,MATCH(O1077,Cargas,1))),Coluna_fis,1,1))*(PI()*(fi_s/1000)^2/4)*(2*9.81*(O1077/100-cota_s-fi_s/2/1000))^0.5*1000)))</f>
        <v>3.2533291081852265</v>
      </c>
      <c r="R1077" s="38">
        <f t="shared" ca="1" si="168"/>
        <v>7.6292256099652995</v>
      </c>
      <c r="S1077" s="38">
        <f t="shared" ca="1" si="165"/>
        <v>336.25</v>
      </c>
    </row>
    <row r="1078" spans="13:19">
      <c r="M1078" s="132">
        <f t="shared" ca="1" si="164"/>
        <v>344.19653268803006</v>
      </c>
      <c r="N1078" s="38">
        <f t="shared" si="166"/>
        <v>10.096874999999999</v>
      </c>
      <c r="O1078" s="36">
        <f t="shared" si="167"/>
        <v>269.25</v>
      </c>
      <c r="P1078" s="38">
        <f ca="1">IF(ISERROR(IF(O1078&lt;fi_h/20,0,(OFFSET('Base de dados'!$A$5,IF(O1078&lt;20,1,IF(O1078&gt;1000,10,MATCH(O1078,Cargas,1))),Coluna_fih,1,1))*(1+0.13*0.25)*(PI()*(fi_h/1000)^2/4)*SQRT(2*9.81*(O1078/100-fi_h/2/1000))*1000)),"",IF(O1078&lt;fi_h/20,0,(OFFSET('Base de dados'!$A$5,IF(O1078&lt;20,1,IF(O1078&gt;1000,10,MATCH(O1078,Cargas,1))),Coluna_fih,1,1))*(PI()*(fi_h/1000)^2/4)*SQRT(2*9.81*(O1078/100-fi_h/2/1000))*1000))</f>
        <v>4.3779428241774312</v>
      </c>
      <c r="Q1078" s="38">
        <f ca="1">IF(O1078="","",IF(Tipo_Vertedor="Retangular",IF(O1078&lt;=cota_s*100,0,IF(Tipo_Vertedor="Retangular",Cd_sr*Lef_sr*((O1078/100-cota_s)^(3/2))*1000)),IF(O1078&lt;=cota_s*100+fi_s/20,0,(OFFSET('Base de dados'!$A$4,IF(O1078&lt;20,1,IF(O1078&gt;1000,10,MATCH(O1078,Cargas,1))),Coluna_fis,1,1))*(PI()*(fi_s/1000)^2/4)*(2*9.81*(O1078/100-cota_s-fi_s/2/1000))^0.5*1000)))</f>
        <v>3.2560898638526687</v>
      </c>
      <c r="R1078" s="38">
        <f t="shared" ca="1" si="168"/>
        <v>7.6340326880300999</v>
      </c>
      <c r="S1078" s="38">
        <f t="shared" ca="1" si="165"/>
        <v>336.56249999999994</v>
      </c>
    </row>
    <row r="1079" spans="13:19">
      <c r="M1079" s="132">
        <f t="shared" ca="1" si="164"/>
        <v>344.51383647126471</v>
      </c>
      <c r="N1079" s="38">
        <f t="shared" si="166"/>
        <v>10.106249999999999</v>
      </c>
      <c r="O1079" s="36">
        <f t="shared" si="167"/>
        <v>269.5</v>
      </c>
      <c r="P1079" s="38">
        <f ca="1">IF(ISERROR(IF(O1079&lt;fi_h/20,0,(OFFSET('Base de dados'!$A$5,IF(O1079&lt;20,1,IF(O1079&gt;1000,10,MATCH(O1079,Cargas,1))),Coluna_fih,1,1))*(1+0.13*0.25)*(PI()*(fi_h/1000)^2/4)*SQRT(2*9.81*(O1079/100-fi_h/2/1000))*1000)),"",IF(O1079&lt;fi_h/20,0,(OFFSET('Base de dados'!$A$5,IF(O1079&lt;20,1,IF(O1079&gt;1000,10,MATCH(O1079,Cargas,1))),Coluna_fih,1,1))*(PI()*(fi_h/1000)^2/4)*SQRT(2*9.81*(O1079/100-fi_h/2/1000))*1000))</f>
        <v>4.3799881905368467</v>
      </c>
      <c r="Q1079" s="38">
        <f ca="1">IF(O1079="","",IF(Tipo_Vertedor="Retangular",IF(O1079&lt;=cota_s*100,0,IF(Tipo_Vertedor="Retangular",Cd_sr*Lef_sr*((O1079/100-cota_s)^(3/2))*1000)),IF(O1079&lt;=cota_s*100+fi_s/20,0,(OFFSET('Base de dados'!$A$4,IF(O1079&lt;20,1,IF(O1079&gt;1000,10,MATCH(O1079,Cargas,1))),Coluna_fis,1,1))*(PI()*(fi_s/1000)^2/4)*(2*9.81*(O1079/100-cota_s-fi_s/2/1000))^0.5*1000)))</f>
        <v>3.2588482807278552</v>
      </c>
      <c r="R1079" s="38">
        <f t="shared" ca="1" si="168"/>
        <v>7.6388364712647014</v>
      </c>
      <c r="S1079" s="38">
        <f t="shared" ca="1" si="165"/>
        <v>336.875</v>
      </c>
    </row>
    <row r="1080" spans="13:19">
      <c r="M1080" s="132">
        <f t="shared" ca="1" si="164"/>
        <v>344.83113696694176</v>
      </c>
      <c r="N1080" s="38">
        <f t="shared" si="166"/>
        <v>10.115625</v>
      </c>
      <c r="O1080" s="36">
        <f t="shared" si="167"/>
        <v>269.75</v>
      </c>
      <c r="P1080" s="38">
        <f ca="1">IF(ISERROR(IF(O1080&lt;fi_h/20,0,(OFFSET('Base de dados'!$A$5,IF(O1080&lt;20,1,IF(O1080&gt;1000,10,MATCH(O1080,Cargas,1))),Coluna_fih,1,1))*(1+0.13*0.25)*(PI()*(fi_h/1000)^2/4)*SQRT(2*9.81*(O1080/100-fi_h/2/1000))*1000)),"",IF(O1080&lt;fi_h/20,0,(OFFSET('Base de dados'!$A$5,IF(O1080&lt;20,1,IF(O1080&gt;1000,10,MATCH(O1080,Cargas,1))),Coluna_fih,1,1))*(PI()*(fi_h/1000)^2/4)*SQRT(2*9.81*(O1080/100-fi_h/2/1000))*1000))</f>
        <v>4.3820326021970457</v>
      </c>
      <c r="Q1080" s="38">
        <f ca="1">IF(O1080="","",IF(Tipo_Vertedor="Retangular",IF(O1080&lt;=cota_s*100,0,IF(Tipo_Vertedor="Retangular",Cd_sr*Lef_sr*((O1080/100-cota_s)^(3/2))*1000)),IF(O1080&lt;=cota_s*100+fi_s/20,0,(OFFSET('Base de dados'!$A$4,IF(O1080&lt;20,1,IF(O1080&gt;1000,10,MATCH(O1080,Cargas,1))),Coluna_fis,1,1))*(PI()*(fi_s/1000)^2/4)*(2*9.81*(O1080/100-cota_s-fi_s/2/1000))^0.5*1000)))</f>
        <v>3.2616043647447044</v>
      </c>
      <c r="R1080" s="38">
        <f t="shared" ca="1" si="168"/>
        <v>7.6436369669417505</v>
      </c>
      <c r="S1080" s="38">
        <f t="shared" ca="1" si="165"/>
        <v>337.1875</v>
      </c>
    </row>
    <row r="1081" spans="13:19">
      <c r="M1081" s="132">
        <f t="shared" ca="1" si="164"/>
        <v>345.14843418230572</v>
      </c>
      <c r="N1081" s="38">
        <f t="shared" si="166"/>
        <v>10.125</v>
      </c>
      <c r="O1081" s="36">
        <f t="shared" si="167"/>
        <v>270</v>
      </c>
      <c r="P1081" s="38">
        <f ca="1">IF(ISERROR(IF(O1081&lt;fi_h/20,0,(OFFSET('Base de dados'!$A$5,IF(O1081&lt;20,1,IF(O1081&gt;1000,10,MATCH(O1081,Cargas,1))),Coluna_fih,1,1))*(1+0.13*0.25)*(PI()*(fi_h/1000)^2/4)*SQRT(2*9.81*(O1081/100-fi_h/2/1000))*1000)),"",IF(O1081&lt;fi_h/20,0,(OFFSET('Base de dados'!$A$5,IF(O1081&lt;20,1,IF(O1081&gt;1000,10,MATCH(O1081,Cargas,1))),Coluna_fih,1,1))*(PI()*(fi_h/1000)^2/4)*SQRT(2*9.81*(O1081/100-fi_h/2/1000))*1000))</f>
        <v>4.3840760604936353</v>
      </c>
      <c r="Q1081" s="38">
        <f ca="1">IF(O1081="","",IF(Tipo_Vertedor="Retangular",IF(O1081&lt;=cota_s*100,0,IF(Tipo_Vertedor="Retangular",Cd_sr*Lef_sr*((O1081/100-cota_s)^(3/2))*1000)),IF(O1081&lt;=cota_s*100+fi_s/20,0,(OFFSET('Base de dados'!$A$4,IF(O1081&lt;20,1,IF(O1081&gt;1000,10,MATCH(O1081,Cargas,1))),Coluna_fis,1,1))*(PI()*(fi_s/1000)^2/4)*(2*9.81*(O1081/100-cota_s-fi_s/2/1000))^0.5*1000)))</f>
        <v>3.2643581218120836</v>
      </c>
      <c r="R1081" s="38">
        <f t="shared" ca="1" si="168"/>
        <v>7.6484341823057189</v>
      </c>
      <c r="S1081" s="38">
        <f t="shared" ca="1" si="165"/>
        <v>337.5</v>
      </c>
    </row>
    <row r="1082" spans="13:19">
      <c r="M1082" s="132">
        <f t="shared" ca="1" si="164"/>
        <v>345.46572812457305</v>
      </c>
      <c r="N1082" s="38">
        <f t="shared" si="166"/>
        <v>10.134375</v>
      </c>
      <c r="O1082" s="36">
        <f t="shared" si="167"/>
        <v>270.25</v>
      </c>
      <c r="P1082" s="38">
        <f ca="1">IF(ISERROR(IF(O1082&lt;fi_h/20,0,(OFFSET('Base de dados'!$A$5,IF(O1082&lt;20,1,IF(O1082&gt;1000,10,MATCH(O1082,Cargas,1))),Coluna_fih,1,1))*(1+0.13*0.25)*(PI()*(fi_h/1000)^2/4)*SQRT(2*9.81*(O1082/100-fi_h/2/1000))*1000)),"",IF(O1082&lt;fi_h/20,0,(OFFSET('Base de dados'!$A$5,IF(O1082&lt;20,1,IF(O1082&gt;1000,10,MATCH(O1082,Cargas,1))),Coluna_fih,1,1))*(PI()*(fi_h/1000)^2/4)*SQRT(2*9.81*(O1082/100-fi_h/2/1000))*1000))</f>
        <v>4.3861185667591069</v>
      </c>
      <c r="Q1082" s="38">
        <f ca="1">IF(O1082="","",IF(Tipo_Vertedor="Retangular",IF(O1082&lt;=cota_s*100,0,IF(Tipo_Vertedor="Retangular",Cd_sr*Lef_sr*((O1082/100-cota_s)^(3/2))*1000)),IF(O1082&lt;=cota_s*100+fi_s/20,0,(OFFSET('Base de dados'!$A$4,IF(O1082&lt;20,1,IF(O1082&gt;1000,10,MATCH(O1082,Cargas,1))),Coluna_fis,1,1))*(PI()*(fi_s/1000)^2/4)*(2*9.81*(O1082/100-cota_s-fi_s/2/1000))^0.5*1000)))</f>
        <v>3.2671095578139595</v>
      </c>
      <c r="R1082" s="38">
        <f t="shared" ca="1" si="168"/>
        <v>7.6532281245730669</v>
      </c>
      <c r="S1082" s="38">
        <f t="shared" ca="1" si="165"/>
        <v>337.8125</v>
      </c>
    </row>
    <row r="1083" spans="13:19">
      <c r="M1083" s="132">
        <f t="shared" ca="1" si="164"/>
        <v>345.78301880093238</v>
      </c>
      <c r="N1083" s="38">
        <f t="shared" si="166"/>
        <v>10.143750000000001</v>
      </c>
      <c r="O1083" s="36">
        <f t="shared" si="167"/>
        <v>270.5</v>
      </c>
      <c r="P1083" s="38">
        <f ca="1">IF(ISERROR(IF(O1083&lt;fi_h/20,0,(OFFSET('Base de dados'!$A$5,IF(O1083&lt;20,1,IF(O1083&gt;1000,10,MATCH(O1083,Cargas,1))),Coluna_fih,1,1))*(1+0.13*0.25)*(PI()*(fi_h/1000)^2/4)*SQRT(2*9.81*(O1083/100-fi_h/2/1000))*1000)),"",IF(O1083&lt;fi_h/20,0,(OFFSET('Base de dados'!$A$5,IF(O1083&lt;20,1,IF(O1083&gt;1000,10,MATCH(O1083,Cargas,1))),Coluna_fih,1,1))*(PI()*(fi_h/1000)^2/4)*SQRT(2*9.81*(O1083/100-fi_h/2/1000))*1000))</f>
        <v>4.3881601223228559</v>
      </c>
      <c r="Q1083" s="38">
        <f ca="1">IF(O1083="","",IF(Tipo_Vertedor="Retangular",IF(O1083&lt;=cota_s*100,0,IF(Tipo_Vertedor="Retangular",Cd_sr*Lef_sr*((O1083/100-cota_s)^(3/2))*1000)),IF(O1083&lt;=cota_s*100+fi_s/20,0,(OFFSET('Base de dados'!$A$4,IF(O1083&lt;20,1,IF(O1083&gt;1000,10,MATCH(O1083,Cargas,1))),Coluna_fis,1,1))*(PI()*(fi_s/1000)^2/4)*(2*9.81*(O1083/100-cota_s-fi_s/2/1000))^0.5*1000)))</f>
        <v>3.2698586786095412</v>
      </c>
      <c r="R1083" s="38">
        <f t="shared" ca="1" si="168"/>
        <v>7.6580188009323971</v>
      </c>
      <c r="S1083" s="38">
        <f t="shared" ca="1" si="165"/>
        <v>338.125</v>
      </c>
    </row>
    <row r="1084" spans="13:19">
      <c r="M1084" s="132">
        <f t="shared" ca="1" si="164"/>
        <v>346.10030621854463</v>
      </c>
      <c r="N1084" s="38">
        <f t="shared" si="166"/>
        <v>10.153124999999999</v>
      </c>
      <c r="O1084" s="36">
        <f t="shared" si="167"/>
        <v>270.75</v>
      </c>
      <c r="P1084" s="38">
        <f ca="1">IF(ISERROR(IF(O1084&lt;fi_h/20,0,(OFFSET('Base de dados'!$A$5,IF(O1084&lt;20,1,IF(O1084&gt;1000,10,MATCH(O1084,Cargas,1))),Coluna_fih,1,1))*(1+0.13*0.25)*(PI()*(fi_h/1000)^2/4)*SQRT(2*9.81*(O1084/100-fi_h/2/1000))*1000)),"",IF(O1084&lt;fi_h/20,0,(OFFSET('Base de dados'!$A$5,IF(O1084&lt;20,1,IF(O1084&gt;1000,10,MATCH(O1084,Cargas,1))),Coluna_fih,1,1))*(PI()*(fi_h/1000)^2/4)*SQRT(2*9.81*(O1084/100-fi_h/2/1000))*1000))</f>
        <v>4.3902007285111821</v>
      </c>
      <c r="Q1084" s="38">
        <f ca="1">IF(O1084="","",IF(Tipo_Vertedor="Retangular",IF(O1084&lt;=cota_s*100,0,IF(Tipo_Vertedor="Retangular",Cd_sr*Lef_sr*((O1084/100-cota_s)^(3/2))*1000)),IF(O1084&lt;=cota_s*100+fi_s/20,0,(OFFSET('Base de dados'!$A$4,IF(O1084&lt;20,1,IF(O1084&gt;1000,10,MATCH(O1084,Cargas,1))),Coluna_fis,1,1))*(PI()*(fi_s/1000)^2/4)*(2*9.81*(O1084/100-cota_s-fi_s/2/1000))^0.5*1000)))</f>
        <v>3.2726054900334285</v>
      </c>
      <c r="R1084" s="38">
        <f t="shared" ca="1" si="168"/>
        <v>7.6628062185446106</v>
      </c>
      <c r="S1084" s="38">
        <f t="shared" ca="1" si="165"/>
        <v>338.4375</v>
      </c>
    </row>
    <row r="1085" spans="13:19">
      <c r="M1085" s="132">
        <f t="shared" ca="1" si="164"/>
        <v>346.41759038454308</v>
      </c>
      <c r="N1085" s="38">
        <f t="shared" si="166"/>
        <v>10.1625</v>
      </c>
      <c r="O1085" s="36">
        <f t="shared" si="167"/>
        <v>271</v>
      </c>
      <c r="P1085" s="38">
        <f ca="1">IF(ISERROR(IF(O1085&lt;fi_h/20,0,(OFFSET('Base de dados'!$A$5,IF(O1085&lt;20,1,IF(O1085&gt;1000,10,MATCH(O1085,Cargas,1))),Coluna_fih,1,1))*(1+0.13*0.25)*(PI()*(fi_h/1000)^2/4)*SQRT(2*9.81*(O1085/100-fi_h/2/1000))*1000)),"",IF(O1085&lt;fi_h/20,0,(OFFSET('Base de dados'!$A$5,IF(O1085&lt;20,1,IF(O1085&gt;1000,10,MATCH(O1085,Cargas,1))),Coluna_fih,1,1))*(PI()*(fi_h/1000)^2/4)*SQRT(2*9.81*(O1085/100-fi_h/2/1000))*1000))</f>
        <v>4.3922403866473081</v>
      </c>
      <c r="Q1085" s="38">
        <f ca="1">IF(O1085="","",IF(Tipo_Vertedor="Retangular",IF(O1085&lt;=cota_s*100,0,IF(Tipo_Vertedor="Retangular",Cd_sr*Lef_sr*((O1085/100-cota_s)^(3/2))*1000)),IF(O1085&lt;=cota_s*100+fi_s/20,0,(OFFSET('Base de dados'!$A$4,IF(O1085&lt;20,1,IF(O1085&gt;1000,10,MATCH(O1085,Cargas,1))),Coluna_fis,1,1))*(PI()*(fi_s/1000)^2/4)*(2*9.81*(O1085/100-cota_s-fi_s/2/1000))^0.5*1000)))</f>
        <v>3.2753499978957583</v>
      </c>
      <c r="R1085" s="38">
        <f t="shared" ca="1" si="168"/>
        <v>7.6675903845430664</v>
      </c>
      <c r="S1085" s="38">
        <f t="shared" ca="1" si="165"/>
        <v>338.75</v>
      </c>
    </row>
    <row r="1086" spans="13:19">
      <c r="M1086" s="132">
        <f t="shared" ca="1" si="164"/>
        <v>346.73487130603371</v>
      </c>
      <c r="N1086" s="38">
        <f t="shared" si="166"/>
        <v>10.171875</v>
      </c>
      <c r="O1086" s="36">
        <f t="shared" si="167"/>
        <v>271.25</v>
      </c>
      <c r="P1086" s="38">
        <f ca="1">IF(ISERROR(IF(O1086&lt;fi_h/20,0,(OFFSET('Base de dados'!$A$5,IF(O1086&lt;20,1,IF(O1086&gt;1000,10,MATCH(O1086,Cargas,1))),Coluna_fih,1,1))*(1+0.13*0.25)*(PI()*(fi_h/1000)^2/4)*SQRT(2*9.81*(O1086/100-fi_h/2/1000))*1000)),"",IF(O1086&lt;fi_h/20,0,(OFFSET('Base de dados'!$A$5,IF(O1086&lt;20,1,IF(O1086&gt;1000,10,MATCH(O1086,Cargas,1))),Coluna_fih,1,1))*(PI()*(fi_h/1000)^2/4)*SQRT(2*9.81*(O1086/100-fi_h/2/1000))*1000))</f>
        <v>4.3942790980513822</v>
      </c>
      <c r="Q1086" s="38">
        <f ca="1">IF(O1086="","",IF(Tipo_Vertedor="Retangular",IF(O1086&lt;=cota_s*100,0,IF(Tipo_Vertedor="Retangular",Cd_sr*Lef_sr*((O1086/100-cota_s)^(3/2))*1000)),IF(O1086&lt;=cota_s*100+fi_s/20,0,(OFFSET('Base de dados'!$A$4,IF(O1086&lt;20,1,IF(O1086&gt;1000,10,MATCH(O1086,Cargas,1))),Coluna_fis,1,1))*(PI()*(fi_s/1000)^2/4)*(2*9.81*(O1086/100-cota_s-fi_s/2/1000))^0.5*1000)))</f>
        <v>3.2780922079823429</v>
      </c>
      <c r="R1086" s="38">
        <f t="shared" ca="1" si="168"/>
        <v>7.6723713060337246</v>
      </c>
      <c r="S1086" s="38">
        <f t="shared" ca="1" si="165"/>
        <v>339.0625</v>
      </c>
    </row>
    <row r="1087" spans="13:19">
      <c r="M1087" s="132">
        <f t="shared" ca="1" si="164"/>
        <v>347.05214899009525</v>
      </c>
      <c r="N1087" s="38">
        <f t="shared" si="166"/>
        <v>10.181249999999999</v>
      </c>
      <c r="O1087" s="36">
        <f t="shared" si="167"/>
        <v>271.5</v>
      </c>
      <c r="P1087" s="38">
        <f ca="1">IF(ISERROR(IF(O1087&lt;fi_h/20,0,(OFFSET('Base de dados'!$A$5,IF(O1087&lt;20,1,IF(O1087&gt;1000,10,MATCH(O1087,Cargas,1))),Coluna_fih,1,1))*(1+0.13*0.25)*(PI()*(fi_h/1000)^2/4)*SQRT(2*9.81*(O1087/100-fi_h/2/1000))*1000)),"",IF(O1087&lt;fi_h/20,0,(OFFSET('Base de dados'!$A$5,IF(O1087&lt;20,1,IF(O1087&gt;1000,10,MATCH(O1087,Cargas,1))),Coluna_fih,1,1))*(PI()*(fi_h/1000)^2/4)*SQRT(2*9.81*(O1087/100-fi_h/2/1000))*1000))</f>
        <v>4.3963168640404939</v>
      </c>
      <c r="Q1087" s="38">
        <f ca="1">IF(O1087="","",IF(Tipo_Vertedor="Retangular",IF(O1087&lt;=cota_s*100,0,IF(Tipo_Vertedor="Retangular",Cd_sr*Lef_sr*((O1087/100-cota_s)^(3/2))*1000)),IF(O1087&lt;=cota_s*100+fi_s/20,0,(OFFSET('Base de dados'!$A$4,IF(O1087&lt;20,1,IF(O1087&gt;1000,10,MATCH(O1087,Cargas,1))),Coluna_fis,1,1))*(PI()*(fi_s/1000)^2/4)*(2*9.81*(O1087/100-cota_s-fi_s/2/1000))^0.5*1000)))</f>
        <v>3.2808321260548161</v>
      </c>
      <c r="R1087" s="38">
        <f t="shared" ca="1" si="168"/>
        <v>7.6771489900953096</v>
      </c>
      <c r="S1087" s="38">
        <f t="shared" ca="1" si="165"/>
        <v>339.37499999999994</v>
      </c>
    </row>
    <row r="1088" spans="13:19">
      <c r="M1088" s="132">
        <f t="shared" ca="1" si="164"/>
        <v>347.3694234437794</v>
      </c>
      <c r="N1088" s="38">
        <f t="shared" si="166"/>
        <v>10.190624999999999</v>
      </c>
      <c r="O1088" s="36">
        <f t="shared" si="167"/>
        <v>271.75</v>
      </c>
      <c r="P1088" s="38">
        <f ca="1">IF(ISERROR(IF(O1088&lt;fi_h/20,0,(OFFSET('Base de dados'!$A$5,IF(O1088&lt;20,1,IF(O1088&gt;1000,10,MATCH(O1088,Cargas,1))),Coluna_fih,1,1))*(1+0.13*0.25)*(PI()*(fi_h/1000)^2/4)*SQRT(2*9.81*(O1088/100-fi_h/2/1000))*1000)),"",IF(O1088&lt;fi_h/20,0,(OFFSET('Base de dados'!$A$5,IF(O1088&lt;20,1,IF(O1088&gt;1000,10,MATCH(O1088,Cargas,1))),Coluna_fih,1,1))*(PI()*(fi_h/1000)^2/4)*SQRT(2*9.81*(O1088/100-fi_h/2/1000))*1000))</f>
        <v>4.398353685928682</v>
      </c>
      <c r="Q1088" s="38">
        <f ca="1">IF(O1088="","",IF(Tipo_Vertedor="Retangular",IF(O1088&lt;=cota_s*100,0,IF(Tipo_Vertedor="Retangular",Cd_sr*Lef_sr*((O1088/100-cota_s)^(3/2))*1000)),IF(O1088&lt;=cota_s*100+fi_s/20,0,(OFFSET('Base de dados'!$A$4,IF(O1088&lt;20,1,IF(O1088&gt;1000,10,MATCH(O1088,Cargas,1))),Coluna_fis,1,1))*(PI()*(fi_s/1000)^2/4)*(2*9.81*(O1088/100-cota_s-fi_s/2/1000))^0.5*1000)))</f>
        <v>3.283569757850771</v>
      </c>
      <c r="R1088" s="38">
        <f t="shared" ca="1" si="168"/>
        <v>7.6819234437794535</v>
      </c>
      <c r="S1088" s="38">
        <f t="shared" ca="1" si="165"/>
        <v>339.68749999999994</v>
      </c>
    </row>
    <row r="1089" spans="13:19">
      <c r="M1089" s="132">
        <f t="shared" ca="1" si="164"/>
        <v>347.68669467411092</v>
      </c>
      <c r="N1089" s="38">
        <f t="shared" si="166"/>
        <v>10.200000000000001</v>
      </c>
      <c r="O1089" s="36">
        <f t="shared" si="167"/>
        <v>272</v>
      </c>
      <c r="P1089" s="38">
        <f ca="1">IF(ISERROR(IF(O1089&lt;fi_h/20,0,(OFFSET('Base de dados'!$A$5,IF(O1089&lt;20,1,IF(O1089&gt;1000,10,MATCH(O1089,Cargas,1))),Coluna_fih,1,1))*(1+0.13*0.25)*(PI()*(fi_h/1000)^2/4)*SQRT(2*9.81*(O1089/100-fi_h/2/1000))*1000)),"",IF(O1089&lt;fi_h/20,0,(OFFSET('Base de dados'!$A$5,IF(O1089&lt;20,1,IF(O1089&gt;1000,10,MATCH(O1089,Cargas,1))),Coluna_fih,1,1))*(PI()*(fi_h/1000)^2/4)*SQRT(2*9.81*(O1089/100-fi_h/2/1000))*1000))</f>
        <v>4.4003895650269422</v>
      </c>
      <c r="Q1089" s="38">
        <f ca="1">IF(O1089="","",IF(Tipo_Vertedor="Retangular",IF(O1089&lt;=cota_s*100,0,IF(Tipo_Vertedor="Retangular",Cd_sr*Lef_sr*((O1089/100-cota_s)^(3/2))*1000)),IF(O1089&lt;=cota_s*100+fi_s/20,0,(OFFSET('Base de dados'!$A$4,IF(O1089&lt;20,1,IF(O1089&gt;1000,10,MATCH(O1089,Cargas,1))),Coluna_fis,1,1))*(PI()*(fi_s/1000)^2/4)*(2*9.81*(O1089/100-cota_s-fi_s/2/1000))^0.5*1000)))</f>
        <v>3.2863051090839064</v>
      </c>
      <c r="R1089" s="38">
        <f t="shared" ca="1" si="168"/>
        <v>7.6866946741108482</v>
      </c>
      <c r="S1089" s="38">
        <f t="shared" ca="1" si="165"/>
        <v>340.00000000000006</v>
      </c>
    </row>
    <row r="1090" spans="13:19">
      <c r="M1090" s="132">
        <f t="shared" ca="1" si="164"/>
        <v>348.00396268808743</v>
      </c>
      <c r="N1090" s="38">
        <f t="shared" si="166"/>
        <v>10.209375000000001</v>
      </c>
      <c r="O1090" s="36">
        <f t="shared" si="167"/>
        <v>272.25</v>
      </c>
      <c r="P1090" s="38">
        <f ca="1">IF(ISERROR(IF(O1090&lt;fi_h/20,0,(OFFSET('Base de dados'!$A$5,IF(O1090&lt;20,1,IF(O1090&gt;1000,10,MATCH(O1090,Cargas,1))),Coluna_fih,1,1))*(1+0.13*0.25)*(PI()*(fi_h/1000)^2/4)*SQRT(2*9.81*(O1090/100-fi_h/2/1000))*1000)),"",IF(O1090&lt;fi_h/20,0,(OFFSET('Base de dados'!$A$5,IF(O1090&lt;20,1,IF(O1090&gt;1000,10,MATCH(O1090,Cargas,1))),Coluna_fih,1,1))*(PI()*(fi_h/1000)^2/4)*SQRT(2*9.81*(O1090/100-fi_h/2/1000))*1000))</f>
        <v>4.4024245026432389</v>
      </c>
      <c r="Q1090" s="38">
        <f ca="1">IF(O1090="","",IF(Tipo_Vertedor="Retangular",IF(O1090&lt;=cota_s*100,0,IF(Tipo_Vertedor="Retangular",Cd_sr*Lef_sr*((O1090/100-cota_s)^(3/2))*1000)),IF(O1090&lt;=cota_s*100+fi_s/20,0,(OFFSET('Base de dados'!$A$4,IF(O1090&lt;20,1,IF(O1090&gt;1000,10,MATCH(O1090,Cargas,1))),Coluna_fis,1,1))*(PI()*(fi_s/1000)^2/4)*(2*9.81*(O1090/100-cota_s-fi_s/2/1000))^0.5*1000)))</f>
        <v>3.2890381854441566</v>
      </c>
      <c r="R1090" s="38">
        <f t="shared" ca="1" si="168"/>
        <v>7.6914626880873955</v>
      </c>
      <c r="S1090" s="38">
        <f t="shared" ca="1" si="165"/>
        <v>340.31250000000006</v>
      </c>
    </row>
    <row r="1091" spans="13:19">
      <c r="M1091" s="132">
        <f t="shared" ca="1" si="164"/>
        <v>348.32122749268035</v>
      </c>
      <c r="N1091" s="38">
        <f t="shared" si="166"/>
        <v>10.21875</v>
      </c>
      <c r="O1091" s="36">
        <f t="shared" si="167"/>
        <v>272.5</v>
      </c>
      <c r="P1091" s="38">
        <f ca="1">IF(ISERROR(IF(O1091&lt;fi_h/20,0,(OFFSET('Base de dados'!$A$5,IF(O1091&lt;20,1,IF(O1091&gt;1000,10,MATCH(O1091,Cargas,1))),Coluna_fih,1,1))*(1+0.13*0.25)*(PI()*(fi_h/1000)^2/4)*SQRT(2*9.81*(O1091/100-fi_h/2/1000))*1000)),"",IF(O1091&lt;fi_h/20,0,(OFFSET('Base de dados'!$A$5,IF(O1091&lt;20,1,IF(O1091&gt;1000,10,MATCH(O1091,Cargas,1))),Coluna_fih,1,1))*(PI()*(fi_h/1000)^2/4)*SQRT(2*9.81*(O1091/100-fi_h/2/1000))*1000))</f>
        <v>4.4044585000825176</v>
      </c>
      <c r="Q1091" s="38">
        <f ca="1">IF(O1091="","",IF(Tipo_Vertedor="Retangular",IF(O1091&lt;=cota_s*100,0,IF(Tipo_Vertedor="Retangular",Cd_sr*Lef_sr*((O1091/100-cota_s)^(3/2))*1000)),IF(O1091&lt;=cota_s*100+fi_s/20,0,(OFFSET('Base de dados'!$A$4,IF(O1091&lt;20,1,IF(O1091&gt;1000,10,MATCH(O1091,Cargas,1))),Coluna_fis,1,1))*(PI()*(fi_s/1000)^2/4)*(2*9.81*(O1091/100-cota_s-fi_s/2/1000))^0.5*1000)))</f>
        <v>3.2917689925978397</v>
      </c>
      <c r="R1091" s="38">
        <f t="shared" ca="1" si="168"/>
        <v>7.6962274926803573</v>
      </c>
      <c r="S1091" s="38">
        <f t="shared" ca="1" si="165"/>
        <v>340.625</v>
      </c>
    </row>
    <row r="1092" spans="13:19">
      <c r="M1092" s="132">
        <f t="shared" ca="1" si="164"/>
        <v>348.63848909483448</v>
      </c>
      <c r="N1092" s="38">
        <f t="shared" si="166"/>
        <v>10.228125</v>
      </c>
      <c r="O1092" s="36">
        <f t="shared" si="167"/>
        <v>272.75</v>
      </c>
      <c r="P1092" s="38">
        <f ca="1">IF(ISERROR(IF(O1092&lt;fi_h/20,0,(OFFSET('Base de dados'!$A$5,IF(O1092&lt;20,1,IF(O1092&gt;1000,10,MATCH(O1092,Cargas,1))),Coluna_fih,1,1))*(1+0.13*0.25)*(PI()*(fi_h/1000)^2/4)*SQRT(2*9.81*(O1092/100-fi_h/2/1000))*1000)),"",IF(O1092&lt;fi_h/20,0,(OFFSET('Base de dados'!$A$5,IF(O1092&lt;20,1,IF(O1092&gt;1000,10,MATCH(O1092,Cargas,1))),Coluna_fih,1,1))*(PI()*(fi_h/1000)^2/4)*SQRT(2*9.81*(O1092/100-fi_h/2/1000))*1000))</f>
        <v>4.406491558646711</v>
      </c>
      <c r="Q1092" s="38">
        <f ca="1">IF(O1092="","",IF(Tipo_Vertedor="Retangular",IF(O1092&lt;=cota_s*100,0,IF(Tipo_Vertedor="Retangular",Cd_sr*Lef_sr*((O1092/100-cota_s)^(3/2))*1000)),IF(O1092&lt;=cota_s*100+fi_s/20,0,(OFFSET('Base de dados'!$A$4,IF(O1092&lt;20,1,IF(O1092&gt;1000,10,MATCH(O1092,Cargas,1))),Coluna_fis,1,1))*(PI()*(fi_s/1000)^2/4)*(2*9.81*(O1092/100-cota_s-fi_s/2/1000))^0.5*1000)))</f>
        <v>3.2944975361877877</v>
      </c>
      <c r="R1092" s="38">
        <f t="shared" ca="1" si="168"/>
        <v>7.7009890948344992</v>
      </c>
      <c r="S1092" s="38">
        <f t="shared" ca="1" si="165"/>
        <v>340.9375</v>
      </c>
    </row>
    <row r="1093" spans="13:19">
      <c r="M1093" s="132">
        <f t="shared" ref="M1093:M1156" ca="1" si="169">IF(O1093="","",2*N1093*1000/(Passo*60)+R1093)</f>
        <v>348.95574750146824</v>
      </c>
      <c r="N1093" s="38">
        <f t="shared" si="166"/>
        <v>10.237500000000001</v>
      </c>
      <c r="O1093" s="36">
        <f t="shared" si="167"/>
        <v>273</v>
      </c>
      <c r="P1093" s="38">
        <f ca="1">IF(ISERROR(IF(O1093&lt;fi_h/20,0,(OFFSET('Base de dados'!$A$5,IF(O1093&lt;20,1,IF(O1093&gt;1000,10,MATCH(O1093,Cargas,1))),Coluna_fih,1,1))*(1+0.13*0.25)*(PI()*(fi_h/1000)^2/4)*SQRT(2*9.81*(O1093/100-fi_h/2/1000))*1000)),"",IF(O1093&lt;fi_h/20,0,(OFFSET('Base de dados'!$A$5,IF(O1093&lt;20,1,IF(O1093&gt;1000,10,MATCH(O1093,Cargas,1))),Coluna_fih,1,1))*(PI()*(fi_h/1000)^2/4)*SQRT(2*9.81*(O1093/100-fi_h/2/1000))*1000))</f>
        <v>4.4085236796347482</v>
      </c>
      <c r="Q1093" s="38">
        <f ca="1">IF(O1093="","",IF(Tipo_Vertedor="Retangular",IF(O1093&lt;=cota_s*100,0,IF(Tipo_Vertedor="Retangular",Cd_sr*Lef_sr*((O1093/100-cota_s)^(3/2))*1000)),IF(O1093&lt;=cota_s*100+fi_s/20,0,(OFFSET('Base de dados'!$A$4,IF(O1093&lt;20,1,IF(O1093&gt;1000,10,MATCH(O1093,Cargas,1))),Coluna_fis,1,1))*(PI()*(fi_s/1000)^2/4)*(2*9.81*(O1093/100-cota_s-fi_s/2/1000))^0.5*1000)))</f>
        <v>3.2972238218334851</v>
      </c>
      <c r="R1093" s="38">
        <f t="shared" ca="1" si="168"/>
        <v>7.7057475014682328</v>
      </c>
      <c r="S1093" s="38">
        <f t="shared" ref="S1093:S1156" ca="1" si="170">IF(M1093="","",2*N1093*1000/(Passo*60))</f>
        <v>341.25</v>
      </c>
    </row>
    <row r="1094" spans="13:19">
      <c r="M1094" s="132">
        <f t="shared" ca="1" si="169"/>
        <v>349.27300271947377</v>
      </c>
      <c r="N1094" s="38">
        <f t="shared" ref="N1094:N1157" si="171">IF(O1094="","",b_0*(O1094/100)^c_0)</f>
        <v>10.246874999999999</v>
      </c>
      <c r="O1094" s="36">
        <f t="shared" si="167"/>
        <v>273.25</v>
      </c>
      <c r="P1094" s="38">
        <f ca="1">IF(ISERROR(IF(O1094&lt;fi_h/20,0,(OFFSET('Base de dados'!$A$5,IF(O1094&lt;20,1,IF(O1094&gt;1000,10,MATCH(O1094,Cargas,1))),Coluna_fih,1,1))*(1+0.13*0.25)*(PI()*(fi_h/1000)^2/4)*SQRT(2*9.81*(O1094/100-fi_h/2/1000))*1000)),"",IF(O1094&lt;fi_h/20,0,(OFFSET('Base de dados'!$A$5,IF(O1094&lt;20,1,IF(O1094&gt;1000,10,MATCH(O1094,Cargas,1))),Coluna_fih,1,1))*(PI()*(fi_h/1000)^2/4)*SQRT(2*9.81*(O1094/100-fi_h/2/1000))*1000))</f>
        <v>4.4105548643425658</v>
      </c>
      <c r="Q1094" s="38">
        <f ca="1">IF(O1094="","",IF(Tipo_Vertedor="Retangular",IF(O1094&lt;=cota_s*100,0,IF(Tipo_Vertedor="Retangular",Cd_sr*Lef_sr*((O1094/100-cota_s)^(3/2))*1000)),IF(O1094&lt;=cota_s*100+fi_s/20,0,(OFFSET('Base de dados'!$A$4,IF(O1094&lt;20,1,IF(O1094&gt;1000,10,MATCH(O1094,Cargas,1))),Coluna_fis,1,1))*(PI()*(fi_s/1000)^2/4)*(2*9.81*(O1094/100-cota_s-fi_s/2/1000))^0.5*1000)))</f>
        <v>3.2999478551312027</v>
      </c>
      <c r="R1094" s="38">
        <f t="shared" ca="1" si="168"/>
        <v>7.7105027194737685</v>
      </c>
      <c r="S1094" s="38">
        <f t="shared" ca="1" si="170"/>
        <v>341.5625</v>
      </c>
    </row>
    <row r="1095" spans="13:19">
      <c r="M1095" s="132">
        <f t="shared" ca="1" si="169"/>
        <v>349.59025475571724</v>
      </c>
      <c r="N1095" s="38">
        <f t="shared" si="171"/>
        <v>10.25625</v>
      </c>
      <c r="O1095" s="36">
        <f t="shared" si="167"/>
        <v>273.5</v>
      </c>
      <c r="P1095" s="38">
        <f ca="1">IF(ISERROR(IF(O1095&lt;fi_h/20,0,(OFFSET('Base de dados'!$A$5,IF(O1095&lt;20,1,IF(O1095&gt;1000,10,MATCH(O1095,Cargas,1))),Coluna_fih,1,1))*(1+0.13*0.25)*(PI()*(fi_h/1000)^2/4)*SQRT(2*9.81*(O1095/100-fi_h/2/1000))*1000)),"",IF(O1095&lt;fi_h/20,0,(OFFSET('Base de dados'!$A$5,IF(O1095&lt;20,1,IF(O1095&gt;1000,10,MATCH(O1095,Cargas,1))),Coluna_fih,1,1))*(PI()*(fi_h/1000)^2/4)*SQRT(2*9.81*(O1095/100-fi_h/2/1000))*1000))</f>
        <v>4.4125851140631207</v>
      </c>
      <c r="Q1095" s="38">
        <f ca="1">IF(O1095="","",IF(Tipo_Vertedor="Retangular",IF(O1095&lt;=cota_s*100,0,IF(Tipo_Vertedor="Retangular",Cd_sr*Lef_sr*((O1095/100-cota_s)^(3/2))*1000)),IF(O1095&lt;=cota_s*100+fi_s/20,0,(OFFSET('Base de dados'!$A$4,IF(O1095&lt;20,1,IF(O1095&gt;1000,10,MATCH(O1095,Cargas,1))),Coluna_fis,1,1))*(PI()*(fi_s/1000)^2/4)*(2*9.81*(O1095/100-cota_s-fi_s/2/1000))^0.5*1000)))</f>
        <v>3.302669641654131</v>
      </c>
      <c r="R1095" s="38">
        <f t="shared" ca="1" si="168"/>
        <v>7.7152547557172522</v>
      </c>
      <c r="S1095" s="38">
        <f t="shared" ca="1" si="170"/>
        <v>341.875</v>
      </c>
    </row>
    <row r="1096" spans="13:19">
      <c r="M1096" s="132">
        <f t="shared" ca="1" si="169"/>
        <v>349.90750361703891</v>
      </c>
      <c r="N1096" s="38">
        <f t="shared" si="171"/>
        <v>10.265625</v>
      </c>
      <c r="O1096" s="36">
        <f t="shared" si="167"/>
        <v>273.75</v>
      </c>
      <c r="P1096" s="38">
        <f ca="1">IF(ISERROR(IF(O1096&lt;fi_h/20,0,(OFFSET('Base de dados'!$A$5,IF(O1096&lt;20,1,IF(O1096&gt;1000,10,MATCH(O1096,Cargas,1))),Coluna_fih,1,1))*(1+0.13*0.25)*(PI()*(fi_h/1000)^2/4)*SQRT(2*9.81*(O1096/100-fi_h/2/1000))*1000)),"",IF(O1096&lt;fi_h/20,0,(OFFSET('Base de dados'!$A$5,IF(O1096&lt;20,1,IF(O1096&gt;1000,10,MATCH(O1096,Cargas,1))),Coluna_fih,1,1))*(PI()*(fi_h/1000)^2/4)*SQRT(2*9.81*(O1096/100-fi_h/2/1000))*1000))</f>
        <v>4.4146144300863943</v>
      </c>
      <c r="Q1096" s="38">
        <f ca="1">IF(O1096="","",IF(Tipo_Vertedor="Retangular",IF(O1096&lt;=cota_s*100,0,IF(Tipo_Vertedor="Retangular",Cd_sr*Lef_sr*((O1096/100-cota_s)^(3/2))*1000)),IF(O1096&lt;=cota_s*100+fi_s/20,0,(OFFSET('Base de dados'!$A$4,IF(O1096&lt;20,1,IF(O1096&gt;1000,10,MATCH(O1096,Cargas,1))),Coluna_fis,1,1))*(PI()*(fi_s/1000)^2/4)*(2*9.81*(O1096/100-cota_s-fi_s/2/1000))^0.5*1000)))</f>
        <v>3.3053891869525196</v>
      </c>
      <c r="R1096" s="38">
        <f t="shared" ca="1" si="168"/>
        <v>7.7200036170389144</v>
      </c>
      <c r="S1096" s="38">
        <f t="shared" ca="1" si="170"/>
        <v>342.1875</v>
      </c>
    </row>
    <row r="1097" spans="13:19">
      <c r="M1097" s="132">
        <f t="shared" ca="1" si="169"/>
        <v>350.22474931025323</v>
      </c>
      <c r="N1097" s="38">
        <f t="shared" si="171"/>
        <v>10.275</v>
      </c>
      <c r="O1097" s="36">
        <f t="shared" si="167"/>
        <v>274</v>
      </c>
      <c r="P1097" s="38">
        <f ca="1">IF(ISERROR(IF(O1097&lt;fi_h/20,0,(OFFSET('Base de dados'!$A$5,IF(O1097&lt;20,1,IF(O1097&gt;1000,10,MATCH(O1097,Cargas,1))),Coluna_fih,1,1))*(1+0.13*0.25)*(PI()*(fi_h/1000)^2/4)*SQRT(2*9.81*(O1097/100-fi_h/2/1000))*1000)),"",IF(O1097&lt;fi_h/20,0,(OFFSET('Base de dados'!$A$5,IF(O1097&lt;20,1,IF(O1097&gt;1000,10,MATCH(O1097,Cargas,1))),Coluna_fih,1,1))*(PI()*(fi_h/1000)^2/4)*SQRT(2*9.81*(O1097/100-fi_h/2/1000))*1000))</f>
        <v>4.4166428136994051</v>
      </c>
      <c r="Q1097" s="38">
        <f ca="1">IF(O1097="","",IF(Tipo_Vertedor="Retangular",IF(O1097&lt;=cota_s*100,0,IF(Tipo_Vertedor="Retangular",Cd_sr*Lef_sr*((O1097/100-cota_s)^(3/2))*1000)),IF(O1097&lt;=cota_s*100+fi_s/20,0,(OFFSET('Base de dados'!$A$4,IF(O1097&lt;20,1,IF(O1097&gt;1000,10,MATCH(O1097,Cargas,1))),Coluna_fis,1,1))*(PI()*(fi_s/1000)^2/4)*(2*9.81*(O1097/100-cota_s-fi_s/2/1000))^0.5*1000)))</f>
        <v>3.3081064965537985</v>
      </c>
      <c r="R1097" s="38">
        <f t="shared" ca="1" si="168"/>
        <v>7.7247493102532037</v>
      </c>
      <c r="S1097" s="38">
        <f t="shared" ca="1" si="170"/>
        <v>342.5</v>
      </c>
    </row>
    <row r="1098" spans="13:19">
      <c r="M1098" s="132">
        <f t="shared" ca="1" si="169"/>
        <v>350.54199184214895</v>
      </c>
      <c r="N1098" s="38">
        <f t="shared" si="171"/>
        <v>10.284375000000001</v>
      </c>
      <c r="O1098" s="36">
        <f t="shared" si="167"/>
        <v>274.25</v>
      </c>
      <c r="P1098" s="38">
        <f ca="1">IF(ISERROR(IF(O1098&lt;fi_h/20,0,(OFFSET('Base de dados'!$A$5,IF(O1098&lt;20,1,IF(O1098&gt;1000,10,MATCH(O1098,Cargas,1))),Coluna_fih,1,1))*(1+0.13*0.25)*(PI()*(fi_h/1000)^2/4)*SQRT(2*9.81*(O1098/100-fi_h/2/1000))*1000)),"",IF(O1098&lt;fi_h/20,0,(OFFSET('Base de dados'!$A$5,IF(O1098&lt;20,1,IF(O1098&gt;1000,10,MATCH(O1098,Cargas,1))),Coluna_fih,1,1))*(PI()*(fi_h/1000)^2/4)*SQRT(2*9.81*(O1098/100-fi_h/2/1000))*1000))</f>
        <v>4.4186702661862167</v>
      </c>
      <c r="Q1098" s="38">
        <f ca="1">IF(O1098="","",IF(Tipo_Vertedor="Retangular",IF(O1098&lt;=cota_s*100,0,IF(Tipo_Vertedor="Retangular",Cd_sr*Lef_sr*((O1098/100-cota_s)^(3/2))*1000)),IF(O1098&lt;=cota_s*100+fi_s/20,0,(OFFSET('Base de dados'!$A$4,IF(O1098&lt;20,1,IF(O1098&gt;1000,10,MATCH(O1098,Cargas,1))),Coluna_fis,1,1))*(PI()*(fi_s/1000)^2/4)*(2*9.81*(O1098/100-cota_s-fi_s/2/1000))^0.5*1000)))</f>
        <v>3.3108215759627178</v>
      </c>
      <c r="R1098" s="38">
        <f t="shared" ca="1" si="168"/>
        <v>7.7294918421489349</v>
      </c>
      <c r="S1098" s="38">
        <f t="shared" ca="1" si="170"/>
        <v>342.8125</v>
      </c>
    </row>
    <row r="1099" spans="13:19">
      <c r="M1099" s="132">
        <f t="shared" ca="1" si="169"/>
        <v>350.85923121948946</v>
      </c>
      <c r="N1099" s="38">
        <f t="shared" si="171"/>
        <v>10.293750000000001</v>
      </c>
      <c r="O1099" s="36">
        <f t="shared" si="167"/>
        <v>274.5</v>
      </c>
      <c r="P1099" s="38">
        <f ca="1">IF(ISERROR(IF(O1099&lt;fi_h/20,0,(OFFSET('Base de dados'!$A$5,IF(O1099&lt;20,1,IF(O1099&gt;1000,10,MATCH(O1099,Cargas,1))),Coluna_fih,1,1))*(1+0.13*0.25)*(PI()*(fi_h/1000)^2/4)*SQRT(2*9.81*(O1099/100-fi_h/2/1000))*1000)),"",IF(O1099&lt;fi_h/20,0,(OFFSET('Base de dados'!$A$5,IF(O1099&lt;20,1,IF(O1099&gt;1000,10,MATCH(O1099,Cargas,1))),Coluna_fih,1,1))*(PI()*(fi_h/1000)^2/4)*SQRT(2*9.81*(O1099/100-fi_h/2/1000))*1000))</f>
        <v>4.42069678882795</v>
      </c>
      <c r="Q1099" s="38">
        <f ca="1">IF(O1099="","",IF(Tipo_Vertedor="Retangular",IF(O1099&lt;=cota_s*100,0,IF(Tipo_Vertedor="Retangular",Cd_sr*Lef_sr*((O1099/100-cota_s)^(3/2))*1000)),IF(O1099&lt;=cota_s*100+fi_s/20,0,(OFFSET('Base de dados'!$A$4,IF(O1099&lt;20,1,IF(O1099&gt;1000,10,MATCH(O1099,Cargas,1))),Coluna_fis,1,1))*(PI()*(fi_s/1000)^2/4)*(2*9.81*(O1099/100-cota_s-fi_s/2/1000))^0.5*1000)))</f>
        <v>3.3135344306614747</v>
      </c>
      <c r="R1099" s="38">
        <f t="shared" ca="1" si="168"/>
        <v>7.7342312194894252</v>
      </c>
      <c r="S1099" s="38">
        <f t="shared" ca="1" si="170"/>
        <v>343.12500000000006</v>
      </c>
    </row>
    <row r="1100" spans="13:19">
      <c r="M1100" s="132">
        <f t="shared" ca="1" si="169"/>
        <v>351.17646744901265</v>
      </c>
      <c r="N1100" s="38">
        <f t="shared" si="171"/>
        <v>10.303125</v>
      </c>
      <c r="O1100" s="36">
        <f t="shared" si="167"/>
        <v>274.75</v>
      </c>
      <c r="P1100" s="38">
        <f ca="1">IF(ISERROR(IF(O1100&lt;fi_h/20,0,(OFFSET('Base de dados'!$A$5,IF(O1100&lt;20,1,IF(O1100&gt;1000,10,MATCH(O1100,Cargas,1))),Coluna_fih,1,1))*(1+0.13*0.25)*(PI()*(fi_h/1000)^2/4)*SQRT(2*9.81*(O1100/100-fi_h/2/1000))*1000)),"",IF(O1100&lt;fi_h/20,0,(OFFSET('Base de dados'!$A$5,IF(O1100&lt;20,1,IF(O1100&gt;1000,10,MATCH(O1100,Cargas,1))),Coluna_fih,1,1))*(PI()*(fi_h/1000)^2/4)*SQRT(2*9.81*(O1100/100-fi_h/2/1000))*1000))</f>
        <v>4.4227223829027889</v>
      </c>
      <c r="Q1100" s="38">
        <f ca="1">IF(O1100="","",IF(Tipo_Vertedor="Retangular",IF(O1100&lt;=cota_s*100,0,IF(Tipo_Vertedor="Retangular",Cd_sr*Lef_sr*((O1100/100-cota_s)^(3/2))*1000)),IF(O1100&lt;=cota_s*100+fi_s/20,0,(OFFSET('Base de dados'!$A$4,IF(O1100&lt;20,1,IF(O1100&gt;1000,10,MATCH(O1100,Cargas,1))),Coluna_fis,1,1))*(PI()*(fi_s/1000)^2/4)*(2*9.81*(O1100/100-cota_s-fi_s/2/1000))^0.5*1000)))</f>
        <v>3.3162450661098424</v>
      </c>
      <c r="R1100" s="38">
        <f t="shared" ca="1" si="168"/>
        <v>7.7389674490126312</v>
      </c>
      <c r="S1100" s="38">
        <f t="shared" ca="1" si="170"/>
        <v>343.4375</v>
      </c>
    </row>
    <row r="1101" spans="13:19">
      <c r="M1101" s="132">
        <f t="shared" ca="1" si="169"/>
        <v>351.49370053743127</v>
      </c>
      <c r="N1101" s="38">
        <f t="shared" si="171"/>
        <v>10.3125</v>
      </c>
      <c r="O1101" s="36">
        <f t="shared" si="167"/>
        <v>275</v>
      </c>
      <c r="P1101" s="38">
        <f ca="1">IF(ISERROR(IF(O1101&lt;fi_h/20,0,(OFFSET('Base de dados'!$A$5,IF(O1101&lt;20,1,IF(O1101&gt;1000,10,MATCH(O1101,Cargas,1))),Coluna_fih,1,1))*(1+0.13*0.25)*(PI()*(fi_h/1000)^2/4)*SQRT(2*9.81*(O1101/100-fi_h/2/1000))*1000)),"",IF(O1101&lt;fi_h/20,0,(OFFSET('Base de dados'!$A$5,IF(O1101&lt;20,1,IF(O1101&gt;1000,10,MATCH(O1101,Cargas,1))),Coluna_fih,1,1))*(PI()*(fi_h/1000)^2/4)*SQRT(2*9.81*(O1101/100-fi_h/2/1000))*1000))</f>
        <v>4.4247470496859931</v>
      </c>
      <c r="Q1101" s="38">
        <f ca="1">IF(O1101="","",IF(Tipo_Vertedor="Retangular",IF(O1101&lt;=cota_s*100,0,IF(Tipo_Vertedor="Retangular",Cd_sr*Lef_sr*((O1101/100-cota_s)^(3/2))*1000)),IF(O1101&lt;=cota_s*100+fi_s/20,0,(OFFSET('Base de dados'!$A$4,IF(O1101&lt;20,1,IF(O1101&gt;1000,10,MATCH(O1101,Cargas,1))),Coluna_fis,1,1))*(PI()*(fi_s/1000)^2/4)*(2*9.81*(O1101/100-cota_s-fi_s/2/1000))^0.5*1000)))</f>
        <v>3.318953487745298</v>
      </c>
      <c r="R1101" s="38">
        <f t="shared" ca="1" si="168"/>
        <v>7.7437005374312911</v>
      </c>
      <c r="S1101" s="38">
        <f t="shared" ca="1" si="170"/>
        <v>343.75</v>
      </c>
    </row>
    <row r="1102" spans="13:19">
      <c r="M1102" s="132">
        <f t="shared" ca="1" si="169"/>
        <v>351.81093049143306</v>
      </c>
      <c r="N1102" s="38">
        <f t="shared" si="171"/>
        <v>10.321875</v>
      </c>
      <c r="O1102" s="36">
        <f t="shared" si="167"/>
        <v>275.25</v>
      </c>
      <c r="P1102" s="38">
        <f ca="1">IF(ISERROR(IF(O1102&lt;fi_h/20,0,(OFFSET('Base de dados'!$A$5,IF(O1102&lt;20,1,IF(O1102&gt;1000,10,MATCH(O1102,Cargas,1))),Coluna_fih,1,1))*(1+0.13*0.25)*(PI()*(fi_h/1000)^2/4)*SQRT(2*9.81*(O1102/100-fi_h/2/1000))*1000)),"",IF(O1102&lt;fi_h/20,0,(OFFSET('Base de dados'!$A$5,IF(O1102&lt;20,1,IF(O1102&gt;1000,10,MATCH(O1102,Cargas,1))),Coluna_fih,1,1))*(PI()*(fi_h/1000)^2/4)*SQRT(2*9.81*(O1102/100-fi_h/2/1000))*1000))</f>
        <v>4.4267707904499041</v>
      </c>
      <c r="Q1102" s="38">
        <f ca="1">IF(O1102="","",IF(Tipo_Vertedor="Retangular",IF(O1102&lt;=cota_s*100,0,IF(Tipo_Vertedor="Retangular",Cd_sr*Lef_sr*((O1102/100-cota_s)^(3/2))*1000)),IF(O1102&lt;=cota_s*100+fi_s/20,0,(OFFSET('Base de dados'!$A$4,IF(O1102&lt;20,1,IF(O1102&gt;1000,10,MATCH(O1102,Cargas,1))),Coluna_fis,1,1))*(PI()*(fi_s/1000)^2/4)*(2*9.81*(O1102/100-cota_s-fi_s/2/1000))^0.5*1000)))</f>
        <v>3.3216597009831523</v>
      </c>
      <c r="R1102" s="38">
        <f t="shared" ca="1" si="168"/>
        <v>7.7484304914330568</v>
      </c>
      <c r="S1102" s="38">
        <f t="shared" ca="1" si="170"/>
        <v>344.0625</v>
      </c>
    </row>
    <row r="1103" spans="13:19">
      <c r="M1103" s="132">
        <f t="shared" ca="1" si="169"/>
        <v>352.12815731768058</v>
      </c>
      <c r="N1103" s="38">
        <f t="shared" si="171"/>
        <v>10.331249999999999</v>
      </c>
      <c r="O1103" s="36">
        <f t="shared" si="167"/>
        <v>275.5</v>
      </c>
      <c r="P1103" s="38">
        <f ca="1">IF(ISERROR(IF(O1103&lt;fi_h/20,0,(OFFSET('Base de dados'!$A$5,IF(O1103&lt;20,1,IF(O1103&gt;1000,10,MATCH(O1103,Cargas,1))),Coluna_fih,1,1))*(1+0.13*0.25)*(PI()*(fi_h/1000)^2/4)*SQRT(2*9.81*(O1103/100-fi_h/2/1000))*1000)),"",IF(O1103&lt;fi_h/20,0,(OFFSET('Base de dados'!$A$5,IF(O1103&lt;20,1,IF(O1103&gt;1000,10,MATCH(O1103,Cargas,1))),Coluna_fih,1,1))*(PI()*(fi_h/1000)^2/4)*SQRT(2*9.81*(O1103/100-fi_h/2/1000))*1000))</f>
        <v>4.4287936064639597</v>
      </c>
      <c r="Q1103" s="38">
        <f ca="1">IF(O1103="","",IF(Tipo_Vertedor="Retangular",IF(O1103&lt;=cota_s*100,0,IF(Tipo_Vertedor="Retangular",Cd_sr*Lef_sr*((O1103/100-cota_s)^(3/2))*1000)),IF(O1103&lt;=cota_s*100+fi_s/20,0,(OFFSET('Base de dados'!$A$4,IF(O1103&lt;20,1,IF(O1103&gt;1000,10,MATCH(O1103,Cargas,1))),Coluna_fis,1,1))*(PI()*(fi_s/1000)^2/4)*(2*9.81*(O1103/100-cota_s-fi_s/2/1000))^0.5*1000)))</f>
        <v>3.3243637112166735</v>
      </c>
      <c r="R1103" s="38">
        <f t="shared" ca="1" si="168"/>
        <v>7.7531573176806337</v>
      </c>
      <c r="S1103" s="38">
        <f t="shared" ca="1" si="170"/>
        <v>344.37499999999994</v>
      </c>
    </row>
    <row r="1104" spans="13:19">
      <c r="M1104" s="132">
        <f t="shared" ca="1" si="169"/>
        <v>352.44538102281189</v>
      </c>
      <c r="N1104" s="38">
        <f t="shared" si="171"/>
        <v>10.340624999999999</v>
      </c>
      <c r="O1104" s="36">
        <f t="shared" si="167"/>
        <v>275.75</v>
      </c>
      <c r="P1104" s="38">
        <f ca="1">IF(ISERROR(IF(O1104&lt;fi_h/20,0,(OFFSET('Base de dados'!$A$5,IF(O1104&lt;20,1,IF(O1104&gt;1000,10,MATCH(O1104,Cargas,1))),Coluna_fih,1,1))*(1+0.13*0.25)*(PI()*(fi_h/1000)^2/4)*SQRT(2*9.81*(O1104/100-fi_h/2/1000))*1000)),"",IF(O1104&lt;fi_h/20,0,(OFFSET('Base de dados'!$A$5,IF(O1104&lt;20,1,IF(O1104&gt;1000,10,MATCH(O1104,Cargas,1))),Coluna_fih,1,1))*(PI()*(fi_h/1000)^2/4)*SQRT(2*9.81*(O1104/100-fi_h/2/1000))*1000))</f>
        <v>4.4308154989946962</v>
      </c>
      <c r="Q1104" s="38">
        <f ca="1">IF(O1104="","",IF(Tipo_Vertedor="Retangular",IF(O1104&lt;=cota_s*100,0,IF(Tipo_Vertedor="Retangular",Cd_sr*Lef_sr*((O1104/100-cota_s)^(3/2))*1000)),IF(O1104&lt;=cota_s*100+fi_s/20,0,(OFFSET('Base de dados'!$A$4,IF(O1104&lt;20,1,IF(O1104&gt;1000,10,MATCH(O1104,Cargas,1))),Coluna_fis,1,1))*(PI()*(fi_s/1000)^2/4)*(2*9.81*(O1104/100-cota_s-fi_s/2/1000))^0.5*1000)))</f>
        <v>3.3270655238172124</v>
      </c>
      <c r="R1104" s="38">
        <f t="shared" ca="1" si="168"/>
        <v>7.7578810228119082</v>
      </c>
      <c r="S1104" s="38">
        <f t="shared" ca="1" si="170"/>
        <v>344.6875</v>
      </c>
    </row>
    <row r="1105" spans="13:19">
      <c r="M1105" s="132">
        <f t="shared" ca="1" si="169"/>
        <v>352.7626016134401</v>
      </c>
      <c r="N1105" s="38">
        <f t="shared" si="171"/>
        <v>10.35</v>
      </c>
      <c r="O1105" s="36">
        <f t="shared" si="167"/>
        <v>276</v>
      </c>
      <c r="P1105" s="38">
        <f ca="1">IF(ISERROR(IF(O1105&lt;fi_h/20,0,(OFFSET('Base de dados'!$A$5,IF(O1105&lt;20,1,IF(O1105&gt;1000,10,MATCH(O1105,Cargas,1))),Coluna_fih,1,1))*(1+0.13*0.25)*(PI()*(fi_h/1000)^2/4)*SQRT(2*9.81*(O1105/100-fi_h/2/1000))*1000)),"",IF(O1105&lt;fi_h/20,0,(OFFSET('Base de dados'!$A$5,IF(O1105&lt;20,1,IF(O1105&gt;1000,10,MATCH(O1105,Cargas,1))),Coluna_fih,1,1))*(PI()*(fi_h/1000)^2/4)*SQRT(2*9.81*(O1105/100-fi_h/2/1000))*1000))</f>
        <v>4.432836469305764</v>
      </c>
      <c r="Q1105" s="38">
        <f ca="1">IF(O1105="","",IF(Tipo_Vertedor="Retangular",IF(O1105&lt;=cota_s*100,0,IF(Tipo_Vertedor="Retangular",Cd_sr*Lef_sr*((O1105/100-cota_s)^(3/2))*1000)),IF(O1105&lt;=cota_s*100+fi_s/20,0,(OFFSET('Base de dados'!$A$4,IF(O1105&lt;20,1,IF(O1105&gt;1000,10,MATCH(O1105,Cargas,1))),Coluna_fis,1,1))*(PI()*(fi_s/1000)^2/4)*(2*9.81*(O1105/100-cota_s-fi_s/2/1000))^0.5*1000)))</f>
        <v>3.3297651441343286</v>
      </c>
      <c r="R1105" s="38">
        <f t="shared" ca="1" si="168"/>
        <v>7.7626016134400926</v>
      </c>
      <c r="S1105" s="38">
        <f t="shared" ca="1" si="170"/>
        <v>345</v>
      </c>
    </row>
    <row r="1106" spans="13:19">
      <c r="M1106" s="132">
        <f t="shared" ca="1" si="169"/>
        <v>353.07981909615387</v>
      </c>
      <c r="N1106" s="38">
        <f t="shared" si="171"/>
        <v>10.359375</v>
      </c>
      <c r="O1106" s="36">
        <f t="shared" si="167"/>
        <v>276.25</v>
      </c>
      <c r="P1106" s="38">
        <f ca="1">IF(ISERROR(IF(O1106&lt;fi_h/20,0,(OFFSET('Base de dados'!$A$5,IF(O1106&lt;20,1,IF(O1106&gt;1000,10,MATCH(O1106,Cargas,1))),Coluna_fih,1,1))*(1+0.13*0.25)*(PI()*(fi_h/1000)^2/4)*SQRT(2*9.81*(O1106/100-fi_h/2/1000))*1000)),"",IF(O1106&lt;fi_h/20,0,(OFFSET('Base de dados'!$A$5,IF(O1106&lt;20,1,IF(O1106&gt;1000,10,MATCH(O1106,Cargas,1))),Coluna_fih,1,1))*(PI()*(fi_h/1000)^2/4)*SQRT(2*9.81*(O1106/100-fi_h/2/1000))*1000))</f>
        <v>4.4348565186579343</v>
      </c>
      <c r="Q1106" s="38">
        <f ca="1">IF(O1106="","",IF(Tipo_Vertedor="Retangular",IF(O1106&lt;=cota_s*100,0,IF(Tipo_Vertedor="Retangular",Cd_sr*Lef_sr*((O1106/100-cota_s)^(3/2))*1000)),IF(O1106&lt;=cota_s*100+fi_s/20,0,(OFFSET('Base de dados'!$A$4,IF(O1106&lt;20,1,IF(O1106&gt;1000,10,MATCH(O1106,Cargas,1))),Coluna_fis,1,1))*(PI()*(fi_s/1000)^2/4)*(2*9.81*(O1106/100-cota_s-fi_s/2/1000))^0.5*1000)))</f>
        <v>3.3324625774959151</v>
      </c>
      <c r="R1106" s="38">
        <f t="shared" ca="1" si="168"/>
        <v>7.7673190961538499</v>
      </c>
      <c r="S1106" s="38">
        <f t="shared" ca="1" si="170"/>
        <v>345.3125</v>
      </c>
    </row>
    <row r="1107" spans="13:19">
      <c r="M1107" s="132">
        <f t="shared" ca="1" si="169"/>
        <v>353.39703347751743</v>
      </c>
      <c r="N1107" s="38">
        <f t="shared" si="171"/>
        <v>10.36875</v>
      </c>
      <c r="O1107" s="36">
        <f t="shared" ref="O1107:O1170" si="172">IF(ISERROR(IF(O1106+passo_altura&gt;h_max_puls*100,"",O1106+passo_altura)),"",IF(O1106+passo_altura&gt;h_max_puls*100,"",O1106+passo_altura))</f>
        <v>276.5</v>
      </c>
      <c r="P1107" s="38">
        <f ca="1">IF(ISERROR(IF(O1107&lt;fi_h/20,0,(OFFSET('Base de dados'!$A$5,IF(O1107&lt;20,1,IF(O1107&gt;1000,10,MATCH(O1107,Cargas,1))),Coluna_fih,1,1))*(1+0.13*0.25)*(PI()*(fi_h/1000)^2/4)*SQRT(2*9.81*(O1107/100-fi_h/2/1000))*1000)),"",IF(O1107&lt;fi_h/20,0,(OFFSET('Base de dados'!$A$5,IF(O1107&lt;20,1,IF(O1107&gt;1000,10,MATCH(O1107,Cargas,1))),Coluna_fih,1,1))*(PI()*(fi_h/1000)^2/4)*SQRT(2*9.81*(O1107/100-fi_h/2/1000))*1000))</f>
        <v>4.4368756483091056</v>
      </c>
      <c r="Q1107" s="38">
        <f ca="1">IF(O1107="","",IF(Tipo_Vertedor="Retangular",IF(O1107&lt;=cota_s*100,0,IF(Tipo_Vertedor="Retangular",Cd_sr*Lef_sr*((O1107/100-cota_s)^(3/2))*1000)),IF(O1107&lt;=cota_s*100+fi_s/20,0,(OFFSET('Base de dados'!$A$4,IF(O1107&lt;20,1,IF(O1107&gt;1000,10,MATCH(O1107,Cargas,1))),Coluna_fis,1,1))*(PI()*(fi_s/1000)^2/4)*(2*9.81*(O1107/100-cota_s-fi_s/2/1000))^0.5*1000)))</f>
        <v>3.3351578292083168</v>
      </c>
      <c r="R1107" s="38">
        <f t="shared" ref="R1107:R1170" ca="1" si="173">IF(O1107="","",Q1107+P1107)</f>
        <v>7.7720334775174225</v>
      </c>
      <c r="S1107" s="38">
        <f t="shared" ca="1" si="170"/>
        <v>345.625</v>
      </c>
    </row>
    <row r="1108" spans="13:19">
      <c r="M1108" s="132">
        <f t="shared" ca="1" si="169"/>
        <v>353.71424476407077</v>
      </c>
      <c r="N1108" s="38">
        <f t="shared" si="171"/>
        <v>10.378125000000001</v>
      </c>
      <c r="O1108" s="36">
        <f t="shared" si="172"/>
        <v>276.75</v>
      </c>
      <c r="P1108" s="38">
        <f ca="1">IF(ISERROR(IF(O1108&lt;fi_h/20,0,(OFFSET('Base de dados'!$A$5,IF(O1108&lt;20,1,IF(O1108&gt;1000,10,MATCH(O1108,Cargas,1))),Coluna_fih,1,1))*(1+0.13*0.25)*(PI()*(fi_h/1000)^2/4)*SQRT(2*9.81*(O1108/100-fi_h/2/1000))*1000)),"",IF(O1108&lt;fi_h/20,0,(OFFSET('Base de dados'!$A$5,IF(O1108&lt;20,1,IF(O1108&gt;1000,10,MATCH(O1108,Cargas,1))),Coluna_fih,1,1))*(PI()*(fi_h/1000)^2/4)*SQRT(2*9.81*(O1108/100-fi_h/2/1000))*1000))</f>
        <v>4.4388938595143186</v>
      </c>
      <c r="Q1108" s="38">
        <f ca="1">IF(O1108="","",IF(Tipo_Vertedor="Retangular",IF(O1108&lt;=cota_s*100,0,IF(Tipo_Vertedor="Retangular",Cd_sr*Lef_sr*((O1108/100-cota_s)^(3/2))*1000)),IF(O1108&lt;=cota_s*100+fi_s/20,0,(OFFSET('Base de dados'!$A$4,IF(O1108&lt;20,1,IF(O1108&gt;1000,10,MATCH(O1108,Cargas,1))),Coluna_fis,1,1))*(PI()*(fi_s/1000)^2/4)*(2*9.81*(O1108/100-cota_s-fi_s/2/1000))^0.5*1000)))</f>
        <v>3.3378509045564537</v>
      </c>
      <c r="R1108" s="38">
        <f t="shared" ca="1" si="173"/>
        <v>7.7767447640707719</v>
      </c>
      <c r="S1108" s="38">
        <f t="shared" ca="1" si="170"/>
        <v>345.9375</v>
      </c>
    </row>
    <row r="1109" spans="13:19">
      <c r="M1109" s="132">
        <f t="shared" ca="1" si="169"/>
        <v>354.03145296232969</v>
      </c>
      <c r="N1109" s="38">
        <f t="shared" si="171"/>
        <v>10.387499999999999</v>
      </c>
      <c r="O1109" s="36">
        <f t="shared" si="172"/>
        <v>277</v>
      </c>
      <c r="P1109" s="38">
        <f ca="1">IF(ISERROR(IF(O1109&lt;fi_h/20,0,(OFFSET('Base de dados'!$A$5,IF(O1109&lt;20,1,IF(O1109&gt;1000,10,MATCH(O1109,Cargas,1))),Coluna_fih,1,1))*(1+0.13*0.25)*(PI()*(fi_h/1000)^2/4)*SQRT(2*9.81*(O1109/100-fi_h/2/1000))*1000)),"",IF(O1109&lt;fi_h/20,0,(OFFSET('Base de dados'!$A$5,IF(O1109&lt;20,1,IF(O1109&gt;1000,10,MATCH(O1109,Cargas,1))),Coluna_fih,1,1))*(PI()*(fi_h/1000)^2/4)*SQRT(2*9.81*(O1109/100-fi_h/2/1000))*1000))</f>
        <v>4.4409111535257599</v>
      </c>
      <c r="Q1109" s="38">
        <f ca="1">IF(O1109="","",IF(Tipo_Vertedor="Retangular",IF(O1109&lt;=cota_s*100,0,IF(Tipo_Vertedor="Retangular",Cd_sr*Lef_sr*((O1109/100-cota_s)^(3/2))*1000)),IF(O1109&lt;=cota_s*100+fi_s/20,0,(OFFSET('Base de dados'!$A$4,IF(O1109&lt;20,1,IF(O1109&gt;1000,10,MATCH(O1109,Cargas,1))),Coluna_fis,1,1))*(PI()*(fi_s/1000)^2/4)*(2*9.81*(O1109/100-cota_s-fi_s/2/1000))^0.5*1000)))</f>
        <v>3.3405418088039469</v>
      </c>
      <c r="R1109" s="38">
        <f t="shared" ca="1" si="173"/>
        <v>7.7814529623297073</v>
      </c>
      <c r="S1109" s="38">
        <f t="shared" ca="1" si="170"/>
        <v>346.25</v>
      </c>
    </row>
    <row r="1110" spans="13:19">
      <c r="M1110" s="132">
        <f t="shared" ca="1" si="169"/>
        <v>354.348658078786</v>
      </c>
      <c r="N1110" s="38">
        <f t="shared" si="171"/>
        <v>10.396875</v>
      </c>
      <c r="O1110" s="36">
        <f t="shared" si="172"/>
        <v>277.25</v>
      </c>
      <c r="P1110" s="38">
        <f ca="1">IF(ISERROR(IF(O1110&lt;fi_h/20,0,(OFFSET('Base de dados'!$A$5,IF(O1110&lt;20,1,IF(O1110&gt;1000,10,MATCH(O1110,Cargas,1))),Coluna_fih,1,1))*(1+0.13*0.25)*(PI()*(fi_h/1000)^2/4)*SQRT(2*9.81*(O1110/100-fi_h/2/1000))*1000)),"",IF(O1110&lt;fi_h/20,0,(OFFSET('Base de dados'!$A$5,IF(O1110&lt;20,1,IF(O1110&gt;1000,10,MATCH(O1110,Cargas,1))),Coluna_fih,1,1))*(PI()*(fi_h/1000)^2/4)*SQRT(2*9.81*(O1110/100-fi_h/2/1000))*1000))</f>
        <v>4.4429275315927752</v>
      </c>
      <c r="Q1110" s="38">
        <f ca="1">IF(O1110="","",IF(Tipo_Vertedor="Retangular",IF(O1110&lt;=cota_s*100,0,IF(Tipo_Vertedor="Retangular",Cd_sr*Lef_sr*((O1110/100-cota_s)^(3/2))*1000)),IF(O1110&lt;=cota_s*100+fi_s/20,0,(OFFSET('Base de dados'!$A$4,IF(O1110&lt;20,1,IF(O1110&gt;1000,10,MATCH(O1110,Cargas,1))),Coluna_fis,1,1))*(PI()*(fi_s/1000)^2/4)*(2*9.81*(O1110/100-cota_s-fi_s/2/1000))^0.5*1000)))</f>
        <v>3.3432305471932313</v>
      </c>
      <c r="R1110" s="38">
        <f t="shared" ca="1" si="173"/>
        <v>7.7861580787860065</v>
      </c>
      <c r="S1110" s="38">
        <f t="shared" ca="1" si="170"/>
        <v>346.5625</v>
      </c>
    </row>
    <row r="1111" spans="13:19">
      <c r="M1111" s="132">
        <f t="shared" ca="1" si="169"/>
        <v>354.66586011990756</v>
      </c>
      <c r="N1111" s="38">
        <f t="shared" si="171"/>
        <v>10.40625</v>
      </c>
      <c r="O1111" s="36">
        <f t="shared" si="172"/>
        <v>277.5</v>
      </c>
      <c r="P1111" s="38">
        <f ca="1">IF(ISERROR(IF(O1111&lt;fi_h/20,0,(OFFSET('Base de dados'!$A$5,IF(O1111&lt;20,1,IF(O1111&gt;1000,10,MATCH(O1111,Cargas,1))),Coluna_fih,1,1))*(1+0.13*0.25)*(PI()*(fi_h/1000)^2/4)*SQRT(2*9.81*(O1111/100-fi_h/2/1000))*1000)),"",IF(O1111&lt;fi_h/20,0,(OFFSET('Base de dados'!$A$5,IF(O1111&lt;20,1,IF(O1111&gt;1000,10,MATCH(O1111,Cargas,1))),Coluna_fih,1,1))*(PI()*(fi_h/1000)^2/4)*SQRT(2*9.81*(O1111/100-fi_h/2/1000))*1000))</f>
        <v>4.4449429949618757</v>
      </c>
      <c r="Q1111" s="38">
        <f ca="1">IF(O1111="","",IF(Tipo_Vertedor="Retangular",IF(O1111&lt;=cota_s*100,0,IF(Tipo_Vertedor="Retangular",Cd_sr*Lef_sr*((O1111/100-cota_s)^(3/2))*1000)),IF(O1111&lt;=cota_s*100+fi_s/20,0,(OFFSET('Base de dados'!$A$4,IF(O1111&lt;20,1,IF(O1111&gt;1000,10,MATCH(O1111,Cargas,1))),Coluna_fis,1,1))*(PI()*(fi_s/1000)^2/4)*(2*9.81*(O1111/100-cota_s-fi_s/2/1000))^0.5*1000)))</f>
        <v>3.3459171249456792</v>
      </c>
      <c r="R1111" s="38">
        <f t="shared" ca="1" si="173"/>
        <v>7.7908601199075544</v>
      </c>
      <c r="S1111" s="38">
        <f t="shared" ca="1" si="170"/>
        <v>346.875</v>
      </c>
    </row>
    <row r="1112" spans="13:19">
      <c r="M1112" s="132">
        <f t="shared" ca="1" si="169"/>
        <v>354.98305909213843</v>
      </c>
      <c r="N1112" s="38">
        <f t="shared" si="171"/>
        <v>10.415624999999999</v>
      </c>
      <c r="O1112" s="36">
        <f t="shared" si="172"/>
        <v>277.75</v>
      </c>
      <c r="P1112" s="38">
        <f ca="1">IF(ISERROR(IF(O1112&lt;fi_h/20,0,(OFFSET('Base de dados'!$A$5,IF(O1112&lt;20,1,IF(O1112&gt;1000,10,MATCH(O1112,Cargas,1))),Coluna_fih,1,1))*(1+0.13*0.25)*(PI()*(fi_h/1000)^2/4)*SQRT(2*9.81*(O1112/100-fi_h/2/1000))*1000)),"",IF(O1112&lt;fi_h/20,0,(OFFSET('Base de dados'!$A$5,IF(O1112&lt;20,1,IF(O1112&gt;1000,10,MATCH(O1112,Cargas,1))),Coluna_fih,1,1))*(PI()*(fi_h/1000)^2/4)*SQRT(2*9.81*(O1112/100-fi_h/2/1000))*1000))</f>
        <v>4.4469575448767467</v>
      </c>
      <c r="Q1112" s="38">
        <f ca="1">IF(O1112="","",IF(Tipo_Vertedor="Retangular",IF(O1112&lt;=cota_s*100,0,IF(Tipo_Vertedor="Retangular",Cd_sr*Lef_sr*((O1112/100-cota_s)^(3/2))*1000)),IF(O1112&lt;=cota_s*100+fi_s/20,0,(OFFSET('Base de dados'!$A$4,IF(O1112&lt;20,1,IF(O1112&gt;1000,10,MATCH(O1112,Cargas,1))),Coluna_fis,1,1))*(PI()*(fi_s/1000)^2/4)*(2*9.81*(O1112/100-cota_s-fi_s/2/1000))^0.5*1000)))</f>
        <v>3.3486015472617177</v>
      </c>
      <c r="R1112" s="38">
        <f t="shared" ca="1" si="173"/>
        <v>7.7955590921384648</v>
      </c>
      <c r="S1112" s="38">
        <f t="shared" ca="1" si="170"/>
        <v>347.18749999999994</v>
      </c>
    </row>
    <row r="1113" spans="13:19">
      <c r="M1113" s="132">
        <f t="shared" ca="1" si="169"/>
        <v>355.30025500189913</v>
      </c>
      <c r="N1113" s="38">
        <f t="shared" si="171"/>
        <v>10.424999999999999</v>
      </c>
      <c r="O1113" s="36">
        <f t="shared" si="172"/>
        <v>278</v>
      </c>
      <c r="P1113" s="38">
        <f ca="1">IF(ISERROR(IF(O1113&lt;fi_h/20,0,(OFFSET('Base de dados'!$A$5,IF(O1113&lt;20,1,IF(O1113&gt;1000,10,MATCH(O1113,Cargas,1))),Coluna_fih,1,1))*(1+0.13*0.25)*(PI()*(fi_h/1000)^2/4)*SQRT(2*9.81*(O1113/100-fi_h/2/1000))*1000)),"",IF(O1113&lt;fi_h/20,0,(OFFSET('Base de dados'!$A$5,IF(O1113&lt;20,1,IF(O1113&gt;1000,10,MATCH(O1113,Cargas,1))),Coluna_fih,1,1))*(PI()*(fi_h/1000)^2/4)*SQRT(2*9.81*(O1113/100-fi_h/2/1000))*1000))</f>
        <v>4.4489711825782603</v>
      </c>
      <c r="Q1113" s="38">
        <f ca="1">IF(O1113="","",IF(Tipo_Vertedor="Retangular",IF(O1113&lt;=cota_s*100,0,IF(Tipo_Vertedor="Retangular",Cd_sr*Lef_sr*((O1113/100-cota_s)^(3/2))*1000)),IF(O1113&lt;=cota_s*100+fi_s/20,0,(OFFSET('Base de dados'!$A$4,IF(O1113&lt;20,1,IF(O1113&gt;1000,10,MATCH(O1113,Cargas,1))),Coluna_fis,1,1))*(PI()*(fi_s/1000)^2/4)*(2*9.81*(O1113/100-cota_s-fi_s/2/1000))^0.5*1000)))</f>
        <v>3.3512838193209444</v>
      </c>
      <c r="R1113" s="38">
        <f t="shared" ca="1" si="173"/>
        <v>7.8002550018992043</v>
      </c>
      <c r="S1113" s="38">
        <f t="shared" ca="1" si="170"/>
        <v>347.49999999999994</v>
      </c>
    </row>
    <row r="1114" spans="13:19">
      <c r="M1114" s="132">
        <f t="shared" ca="1" si="169"/>
        <v>355.61744785558676</v>
      </c>
      <c r="N1114" s="38">
        <f t="shared" si="171"/>
        <v>10.434375000000001</v>
      </c>
      <c r="O1114" s="36">
        <f t="shared" si="172"/>
        <v>278.25</v>
      </c>
      <c r="P1114" s="38">
        <f ca="1">IF(ISERROR(IF(O1114&lt;fi_h/20,0,(OFFSET('Base de dados'!$A$5,IF(O1114&lt;20,1,IF(O1114&gt;1000,10,MATCH(O1114,Cargas,1))),Coluna_fih,1,1))*(1+0.13*0.25)*(PI()*(fi_h/1000)^2/4)*SQRT(2*9.81*(O1114/100-fi_h/2/1000))*1000)),"",IF(O1114&lt;fi_h/20,0,(OFFSET('Base de dados'!$A$5,IF(O1114&lt;20,1,IF(O1114&gt;1000,10,MATCH(O1114,Cargas,1))),Coluna_fih,1,1))*(PI()*(fi_h/1000)^2/4)*SQRT(2*9.81*(O1114/100-fi_h/2/1000))*1000))</f>
        <v>4.4509839093044787</v>
      </c>
      <c r="Q1114" s="38">
        <f ca="1">IF(O1114="","",IF(Tipo_Vertedor="Retangular",IF(O1114&lt;=cota_s*100,0,IF(Tipo_Vertedor="Retangular",Cd_sr*Lef_sr*((O1114/100-cota_s)^(3/2))*1000)),IF(O1114&lt;=cota_s*100+fi_s/20,0,(OFFSET('Base de dados'!$A$4,IF(O1114&lt;20,1,IF(O1114&gt;1000,10,MATCH(O1114,Cargas,1))),Coluna_fis,1,1))*(PI()*(fi_s/1000)^2/4)*(2*9.81*(O1114/100-cota_s-fi_s/2/1000))^0.5*1000)))</f>
        <v>3.3539639462822475</v>
      </c>
      <c r="R1114" s="38">
        <f t="shared" ca="1" si="173"/>
        <v>7.8049478555867262</v>
      </c>
      <c r="S1114" s="38">
        <f t="shared" ca="1" si="170"/>
        <v>347.81250000000006</v>
      </c>
    </row>
    <row r="1115" spans="13:19">
      <c r="M1115" s="132">
        <f t="shared" ca="1" si="169"/>
        <v>355.93463765957466</v>
      </c>
      <c r="N1115" s="38">
        <f t="shared" si="171"/>
        <v>10.443750000000001</v>
      </c>
      <c r="O1115" s="36">
        <f t="shared" si="172"/>
        <v>278.5</v>
      </c>
      <c r="P1115" s="38">
        <f ca="1">IF(ISERROR(IF(O1115&lt;fi_h/20,0,(OFFSET('Base de dados'!$A$5,IF(O1115&lt;20,1,IF(O1115&gt;1000,10,MATCH(O1115,Cargas,1))),Coluna_fih,1,1))*(1+0.13*0.25)*(PI()*(fi_h/1000)^2/4)*SQRT(2*9.81*(O1115/100-fi_h/2/1000))*1000)),"",IF(O1115&lt;fi_h/20,0,(OFFSET('Base de dados'!$A$5,IF(O1115&lt;20,1,IF(O1115&gt;1000,10,MATCH(O1115,Cargas,1))),Coluna_fih,1,1))*(PI()*(fi_h/1000)^2/4)*SQRT(2*9.81*(O1115/100-fi_h/2/1000))*1000))</f>
        <v>4.4529957262906681</v>
      </c>
      <c r="Q1115" s="38">
        <f ca="1">IF(O1115="","",IF(Tipo_Vertedor="Retangular",IF(O1115&lt;=cota_s*100,0,IF(Tipo_Vertedor="Retangular",Cd_sr*Lef_sr*((O1115/100-cota_s)^(3/2))*1000)),IF(O1115&lt;=cota_s*100+fi_s/20,0,(OFFSET('Base de dados'!$A$4,IF(O1115&lt;20,1,IF(O1115&gt;1000,10,MATCH(O1115,Cargas,1))),Coluna_fis,1,1))*(PI()*(fi_s/1000)^2/4)*(2*9.81*(O1115/100-cota_s-fi_s/2/1000))^0.5*1000)))</f>
        <v>3.356641933283917</v>
      </c>
      <c r="R1115" s="38">
        <f t="shared" ca="1" si="173"/>
        <v>7.8096376595745856</v>
      </c>
      <c r="S1115" s="38">
        <f t="shared" ca="1" si="170"/>
        <v>348.12500000000006</v>
      </c>
    </row>
    <row r="1116" spans="13:19">
      <c r="M1116" s="132">
        <f t="shared" ca="1" si="169"/>
        <v>356.2518244202131</v>
      </c>
      <c r="N1116" s="38">
        <f t="shared" si="171"/>
        <v>10.453125</v>
      </c>
      <c r="O1116" s="36">
        <f t="shared" si="172"/>
        <v>278.75</v>
      </c>
      <c r="P1116" s="38">
        <f ca="1">IF(ISERROR(IF(O1116&lt;fi_h/20,0,(OFFSET('Base de dados'!$A$5,IF(O1116&lt;20,1,IF(O1116&gt;1000,10,MATCH(O1116,Cargas,1))),Coluna_fih,1,1))*(1+0.13*0.25)*(PI()*(fi_h/1000)^2/4)*SQRT(2*9.81*(O1116/100-fi_h/2/1000))*1000)),"",IF(O1116&lt;fi_h/20,0,(OFFSET('Base de dados'!$A$5,IF(O1116&lt;20,1,IF(O1116&gt;1000,10,MATCH(O1116,Cargas,1))),Coluna_fih,1,1))*(PI()*(fi_h/1000)^2/4)*SQRT(2*9.81*(O1116/100-fi_h/2/1000))*1000))</f>
        <v>4.4550066347693056</v>
      </c>
      <c r="Q1116" s="38">
        <f ca="1">IF(O1116="","",IF(Tipo_Vertedor="Retangular",IF(O1116&lt;=cota_s*100,0,IF(Tipo_Vertedor="Retangular",Cd_sr*Lef_sr*((O1116/100-cota_s)^(3/2))*1000)),IF(O1116&lt;=cota_s*100+fi_s/20,0,(OFFSET('Base de dados'!$A$4,IF(O1116&lt;20,1,IF(O1116&gt;1000,10,MATCH(O1116,Cargas,1))),Coluna_fis,1,1))*(PI()*(fi_s/1000)^2/4)*(2*9.81*(O1116/100-cota_s-fi_s/2/1000))^0.5*1000)))</f>
        <v>3.3593177854437655</v>
      </c>
      <c r="R1116" s="38">
        <f t="shared" ca="1" si="173"/>
        <v>7.8143244202130706</v>
      </c>
      <c r="S1116" s="38">
        <f t="shared" ca="1" si="170"/>
        <v>348.4375</v>
      </c>
    </row>
    <row r="1117" spans="13:19">
      <c r="M1117" s="132">
        <f t="shared" ca="1" si="169"/>
        <v>356.56900814382931</v>
      </c>
      <c r="N1117" s="38">
        <f t="shared" si="171"/>
        <v>10.4625</v>
      </c>
      <c r="O1117" s="36">
        <f t="shared" si="172"/>
        <v>279</v>
      </c>
      <c r="P1117" s="38">
        <f ca="1">IF(ISERROR(IF(O1117&lt;fi_h/20,0,(OFFSET('Base de dados'!$A$5,IF(O1117&lt;20,1,IF(O1117&gt;1000,10,MATCH(O1117,Cargas,1))),Coluna_fih,1,1))*(1+0.13*0.25)*(PI()*(fi_h/1000)^2/4)*SQRT(2*9.81*(O1117/100-fi_h/2/1000))*1000)),"",IF(O1117&lt;fi_h/20,0,(OFFSET('Base de dados'!$A$5,IF(O1117&lt;20,1,IF(O1117&gt;1000,10,MATCH(O1117,Cargas,1))),Coluna_fih,1,1))*(PI()*(fi_h/1000)^2/4)*SQRT(2*9.81*(O1117/100-fi_h/2/1000))*1000))</f>
        <v>4.4570166359700858</v>
      </c>
      <c r="Q1117" s="38">
        <f ca="1">IF(O1117="","",IF(Tipo_Vertedor="Retangular",IF(O1117&lt;=cota_s*100,0,IF(Tipo_Vertedor="Retangular",Cd_sr*Lef_sr*((O1117/100-cota_s)^(3/2))*1000)),IF(O1117&lt;=cota_s*100+fi_s/20,0,(OFFSET('Base de dados'!$A$4,IF(O1117&lt;20,1,IF(O1117&gt;1000,10,MATCH(O1117,Cargas,1))),Coluna_fis,1,1))*(PI()*(fi_s/1000)^2/4)*(2*9.81*(O1117/100-cota_s-fi_s/2/1000))^0.5*1000)))</f>
        <v>3.3619915078592348</v>
      </c>
      <c r="R1117" s="38">
        <f t="shared" ca="1" si="173"/>
        <v>7.8190081438293202</v>
      </c>
      <c r="S1117" s="38">
        <f t="shared" ca="1" si="170"/>
        <v>348.75</v>
      </c>
    </row>
    <row r="1118" spans="13:19">
      <c r="M1118" s="132">
        <f t="shared" ca="1" si="169"/>
        <v>356.88618883672746</v>
      </c>
      <c r="N1118" s="38">
        <f t="shared" si="171"/>
        <v>10.471875000000001</v>
      </c>
      <c r="O1118" s="36">
        <f t="shared" si="172"/>
        <v>279.25</v>
      </c>
      <c r="P1118" s="38">
        <f ca="1">IF(ISERROR(IF(O1118&lt;fi_h/20,0,(OFFSET('Base de dados'!$A$5,IF(O1118&lt;20,1,IF(O1118&gt;1000,10,MATCH(O1118,Cargas,1))),Coluna_fih,1,1))*(1+0.13*0.25)*(PI()*(fi_h/1000)^2/4)*SQRT(2*9.81*(O1118/100-fi_h/2/1000))*1000)),"",IF(O1118&lt;fi_h/20,0,(OFFSET('Base de dados'!$A$5,IF(O1118&lt;20,1,IF(O1118&gt;1000,10,MATCH(O1118,Cargas,1))),Coluna_fih,1,1))*(PI()*(fi_h/1000)^2/4)*SQRT(2*9.81*(O1118/100-fi_h/2/1000))*1000))</f>
        <v>4.4590257311199366</v>
      </c>
      <c r="Q1118" s="38">
        <f ca="1">IF(O1118="","",IF(Tipo_Vertedor="Retangular",IF(O1118&lt;=cota_s*100,0,IF(Tipo_Vertedor="Retangular",Cd_sr*Lef_sr*((O1118/100-cota_s)^(3/2))*1000)),IF(O1118&lt;=cota_s*100+fi_s/20,0,(OFFSET('Base de dados'!$A$4,IF(O1118&lt;20,1,IF(O1118&gt;1000,10,MATCH(O1118,Cargas,1))),Coluna_fis,1,1))*(PI()*(fi_s/1000)^2/4)*(2*9.81*(O1118/100-cota_s-fi_s/2/1000))^0.5*1000)))</f>
        <v>3.3646631056075162</v>
      </c>
      <c r="R1118" s="38">
        <f t="shared" ca="1" si="173"/>
        <v>7.8236888367274524</v>
      </c>
      <c r="S1118" s="38">
        <f t="shared" ca="1" si="170"/>
        <v>349.0625</v>
      </c>
    </row>
    <row r="1119" spans="13:19">
      <c r="M1119" s="132">
        <f t="shared" ca="1" si="169"/>
        <v>357.20336650518868</v>
      </c>
      <c r="N1119" s="38">
        <f t="shared" si="171"/>
        <v>10.481249999999999</v>
      </c>
      <c r="O1119" s="36">
        <f t="shared" si="172"/>
        <v>279.5</v>
      </c>
      <c r="P1119" s="38">
        <f ca="1">IF(ISERROR(IF(O1119&lt;fi_h/20,0,(OFFSET('Base de dados'!$A$5,IF(O1119&lt;20,1,IF(O1119&gt;1000,10,MATCH(O1119,Cargas,1))),Coluna_fih,1,1))*(1+0.13*0.25)*(PI()*(fi_h/1000)^2/4)*SQRT(2*9.81*(O1119/100-fi_h/2/1000))*1000)),"",IF(O1119&lt;fi_h/20,0,(OFFSET('Base de dados'!$A$5,IF(O1119&lt;20,1,IF(O1119&gt;1000,10,MATCH(O1119,Cargas,1))),Coluna_fih,1,1))*(PI()*(fi_h/1000)^2/4)*SQRT(2*9.81*(O1119/100-fi_h/2/1000))*1000))</f>
        <v>4.4610339214430166</v>
      </c>
      <c r="Q1119" s="38">
        <f ca="1">IF(O1119="","",IF(Tipo_Vertedor="Retangular",IF(O1119&lt;=cota_s*100,0,IF(Tipo_Vertedor="Retangular",Cd_sr*Lef_sr*((O1119/100-cota_s)^(3/2))*1000)),IF(O1119&lt;=cota_s*100+fi_s/20,0,(OFFSET('Base de dados'!$A$4,IF(O1119&lt;20,1,IF(O1119&gt;1000,10,MATCH(O1119,Cargas,1))),Coluna_fis,1,1))*(PI()*(fi_s/1000)^2/4)*(2*9.81*(O1119/100-cota_s-fi_s/2/1000))^0.5*1000)))</f>
        <v>3.3673325837456605</v>
      </c>
      <c r="R1119" s="38">
        <f t="shared" ca="1" si="173"/>
        <v>7.8283665051886775</v>
      </c>
      <c r="S1119" s="38">
        <f t="shared" ca="1" si="170"/>
        <v>349.375</v>
      </c>
    </row>
    <row r="1120" spans="13:19">
      <c r="M1120" s="132">
        <f t="shared" ca="1" si="169"/>
        <v>357.52054115547145</v>
      </c>
      <c r="N1120" s="38">
        <f t="shared" si="171"/>
        <v>10.490625</v>
      </c>
      <c r="O1120" s="36">
        <f t="shared" si="172"/>
        <v>279.75</v>
      </c>
      <c r="P1120" s="38">
        <f ca="1">IF(ISERROR(IF(O1120&lt;fi_h/20,0,(OFFSET('Base de dados'!$A$5,IF(O1120&lt;20,1,IF(O1120&gt;1000,10,MATCH(O1120,Cargas,1))),Coluna_fih,1,1))*(1+0.13*0.25)*(PI()*(fi_h/1000)^2/4)*SQRT(2*9.81*(O1120/100-fi_h/2/1000))*1000)),"",IF(O1120&lt;fi_h/20,0,(OFFSET('Base de dados'!$A$5,IF(O1120&lt;20,1,IF(O1120&gt;1000,10,MATCH(O1120,Cargas,1))),Coluna_fih,1,1))*(PI()*(fi_h/1000)^2/4)*SQRT(2*9.81*(O1120/100-fi_h/2/1000))*1000))</f>
        <v>4.4630412081607354</v>
      </c>
      <c r="Q1120" s="38">
        <f ca="1">IF(O1120="","",IF(Tipo_Vertedor="Retangular",IF(O1120&lt;=cota_s*100,0,IF(Tipo_Vertedor="Retangular",Cd_sr*Lef_sr*((O1120/100-cota_s)^(3/2))*1000)),IF(O1120&lt;=cota_s*100+fi_s/20,0,(OFFSET('Base de dados'!$A$4,IF(O1120&lt;20,1,IF(O1120&gt;1000,10,MATCH(O1120,Cargas,1))),Coluna_fis,1,1))*(PI()*(fi_s/1000)^2/4)*(2*9.81*(O1120/100-cota_s-fi_s/2/1000))^0.5*1000)))</f>
        <v>3.3699999473106872</v>
      </c>
      <c r="R1120" s="38">
        <f t="shared" ca="1" si="173"/>
        <v>7.8330411554714221</v>
      </c>
      <c r="S1120" s="38">
        <f t="shared" ca="1" si="170"/>
        <v>349.6875</v>
      </c>
    </row>
    <row r="1121" spans="13:19">
      <c r="M1121" s="132">
        <f t="shared" ca="1" si="169"/>
        <v>357.83771279381148</v>
      </c>
      <c r="N1121" s="38">
        <f t="shared" si="171"/>
        <v>10.5</v>
      </c>
      <c r="O1121" s="36">
        <f t="shared" si="172"/>
        <v>280</v>
      </c>
      <c r="P1121" s="38">
        <f ca="1">IF(ISERROR(IF(O1121&lt;fi_h/20,0,(OFFSET('Base de dados'!$A$5,IF(O1121&lt;20,1,IF(O1121&gt;1000,10,MATCH(O1121,Cargas,1))),Coluna_fih,1,1))*(1+0.13*0.25)*(PI()*(fi_h/1000)^2/4)*SQRT(2*9.81*(O1121/100-fi_h/2/1000))*1000)),"",IF(O1121&lt;fi_h/20,0,(OFFSET('Base de dados'!$A$5,IF(O1121&lt;20,1,IF(O1121&gt;1000,10,MATCH(O1121,Cargas,1))),Coluna_fih,1,1))*(PI()*(fi_h/1000)^2/4)*SQRT(2*9.81*(O1121/100-fi_h/2/1000))*1000))</f>
        <v>4.4650475924917536</v>
      </c>
      <c r="Q1121" s="38">
        <f ca="1">IF(O1121="","",IF(Tipo_Vertedor="Retangular",IF(O1121&lt;=cota_s*100,0,IF(Tipo_Vertedor="Retangular",Cd_sr*Lef_sr*((O1121/100-cota_s)^(3/2))*1000)),IF(O1121&lt;=cota_s*100+fi_s/20,0,(OFFSET('Base de dados'!$A$4,IF(O1121&lt;20,1,IF(O1121&gt;1000,10,MATCH(O1121,Cargas,1))),Coluna_fis,1,1))*(PI()*(fi_s/1000)^2/4)*(2*9.81*(O1121/100-cota_s-fi_s/2/1000))^0.5*1000)))</f>
        <v>3.3726652013196978</v>
      </c>
      <c r="R1121" s="38">
        <f t="shared" ca="1" si="173"/>
        <v>7.8377127938114519</v>
      </c>
      <c r="S1121" s="38">
        <f t="shared" ca="1" si="170"/>
        <v>350</v>
      </c>
    </row>
    <row r="1122" spans="13:19">
      <c r="M1122" s="132">
        <f t="shared" ca="1" si="169"/>
        <v>358.15488142642198</v>
      </c>
      <c r="N1122" s="38">
        <f t="shared" si="171"/>
        <v>10.509375</v>
      </c>
      <c r="O1122" s="36">
        <f t="shared" si="172"/>
        <v>280.25</v>
      </c>
      <c r="P1122" s="38">
        <f ca="1">IF(ISERROR(IF(O1122&lt;fi_h/20,0,(OFFSET('Base de dados'!$A$5,IF(O1122&lt;20,1,IF(O1122&gt;1000,10,MATCH(O1122,Cargas,1))),Coluna_fih,1,1))*(1+0.13*0.25)*(PI()*(fi_h/1000)^2/4)*SQRT(2*9.81*(O1122/100-fi_h/2/1000))*1000)),"",IF(O1122&lt;fi_h/20,0,(OFFSET('Base de dados'!$A$5,IF(O1122&lt;20,1,IF(O1122&gt;1000,10,MATCH(O1122,Cargas,1))),Coluna_fih,1,1))*(PI()*(fi_h/1000)^2/4)*SQRT(2*9.81*(O1122/100-fi_h/2/1000))*1000))</f>
        <v>4.4670530756519993</v>
      </c>
      <c r="Q1122" s="38">
        <f ca="1">IF(O1122="","",IF(Tipo_Vertedor="Retangular",IF(O1122&lt;=cota_s*100,0,IF(Tipo_Vertedor="Retangular",Cd_sr*Lef_sr*((O1122/100-cota_s)^(3/2))*1000)),IF(O1122&lt;=cota_s*100+fi_s/20,0,(OFFSET('Base de dados'!$A$4,IF(O1122&lt;20,1,IF(O1122&gt;1000,10,MATCH(O1122,Cargas,1))),Coluna_fis,1,1))*(PI()*(fi_s/1000)^2/4)*(2*9.81*(O1122/100-cota_s-fi_s/2/1000))^0.5*1000)))</f>
        <v>3.3753283507699887</v>
      </c>
      <c r="R1122" s="38">
        <f t="shared" ca="1" si="173"/>
        <v>7.842381426421988</v>
      </c>
      <c r="S1122" s="38">
        <f t="shared" ca="1" si="170"/>
        <v>350.3125</v>
      </c>
    </row>
    <row r="1123" spans="13:19">
      <c r="M1123" s="132">
        <f t="shared" ca="1" si="169"/>
        <v>358.47204705949383</v>
      </c>
      <c r="N1123" s="38">
        <f t="shared" si="171"/>
        <v>10.518750000000001</v>
      </c>
      <c r="O1123" s="36">
        <f t="shared" si="172"/>
        <v>280.5</v>
      </c>
      <c r="P1123" s="38">
        <f ca="1">IF(ISERROR(IF(O1123&lt;fi_h/20,0,(OFFSET('Base de dados'!$A$5,IF(O1123&lt;20,1,IF(O1123&gt;1000,10,MATCH(O1123,Cargas,1))),Coluna_fih,1,1))*(1+0.13*0.25)*(PI()*(fi_h/1000)^2/4)*SQRT(2*9.81*(O1123/100-fi_h/2/1000))*1000)),"",IF(O1123&lt;fi_h/20,0,(OFFSET('Base de dados'!$A$5,IF(O1123&lt;20,1,IF(O1123&gt;1000,10,MATCH(O1123,Cargas,1))),Coluna_fih,1,1))*(PI()*(fi_h/1000)^2/4)*SQRT(2*9.81*(O1123/100-fi_h/2/1000))*1000))</f>
        <v>4.4690576588546671</v>
      </c>
      <c r="Q1123" s="38">
        <f ca="1">IF(O1123="","",IF(Tipo_Vertedor="Retangular",IF(O1123&lt;=cota_s*100,0,IF(Tipo_Vertedor="Retangular",Cd_sr*Lef_sr*((O1123/100-cota_s)^(3/2))*1000)),IF(O1123&lt;=cota_s*100+fi_s/20,0,(OFFSET('Base de dados'!$A$4,IF(O1123&lt;20,1,IF(O1123&gt;1000,10,MATCH(O1123,Cargas,1))),Coluna_fis,1,1))*(PI()*(fi_s/1000)^2/4)*(2*9.81*(O1123/100-cota_s-fi_s/2/1000))^0.5*1000)))</f>
        <v>3.377989400639152</v>
      </c>
      <c r="R1123" s="38">
        <f t="shared" ca="1" si="173"/>
        <v>7.8470470594938195</v>
      </c>
      <c r="S1123" s="38">
        <f t="shared" ca="1" si="170"/>
        <v>350.625</v>
      </c>
    </row>
    <row r="1124" spans="13:19">
      <c r="M1124" s="132">
        <f t="shared" ca="1" si="169"/>
        <v>358.78920969919551</v>
      </c>
      <c r="N1124" s="38">
        <f t="shared" si="171"/>
        <v>10.528125000000001</v>
      </c>
      <c r="O1124" s="36">
        <f t="shared" si="172"/>
        <v>280.75</v>
      </c>
      <c r="P1124" s="38">
        <f ca="1">IF(ISERROR(IF(O1124&lt;fi_h/20,0,(OFFSET('Base de dados'!$A$5,IF(O1124&lt;20,1,IF(O1124&gt;1000,10,MATCH(O1124,Cargas,1))),Coluna_fih,1,1))*(1+0.13*0.25)*(PI()*(fi_h/1000)^2/4)*SQRT(2*9.81*(O1124/100-fi_h/2/1000))*1000)),"",IF(O1124&lt;fi_h/20,0,(OFFSET('Base de dados'!$A$5,IF(O1124&lt;20,1,IF(O1124&gt;1000,10,MATCH(O1124,Cargas,1))),Coluna_fih,1,1))*(PI()*(fi_h/1000)^2/4)*SQRT(2*9.81*(O1124/100-fi_h/2/1000))*1000))</f>
        <v>4.471061343310236</v>
      </c>
      <c r="Q1124" s="38">
        <f ca="1">IF(O1124="","",IF(Tipo_Vertedor="Retangular",IF(O1124&lt;=cota_s*100,0,IF(Tipo_Vertedor="Retangular",Cd_sr*Lef_sr*((O1124/100-cota_s)^(3/2))*1000)),IF(O1124&lt;=cota_s*100+fi_s/20,0,(OFFSET('Base de dados'!$A$4,IF(O1124&lt;20,1,IF(O1124&gt;1000,10,MATCH(O1124,Cargas,1))),Coluna_fis,1,1))*(PI()*(fi_s/1000)^2/4)*(2*9.81*(O1124/100-cota_s-fi_s/2/1000))^0.5*1000)))</f>
        <v>3.3806483558851945</v>
      </c>
      <c r="R1124" s="38">
        <f t="shared" ca="1" si="173"/>
        <v>7.85170969919543</v>
      </c>
      <c r="S1124" s="38">
        <f t="shared" ca="1" si="170"/>
        <v>350.93750000000006</v>
      </c>
    </row>
    <row r="1125" spans="13:19">
      <c r="M1125" s="132">
        <f t="shared" ca="1" si="169"/>
        <v>359.1063693516731</v>
      </c>
      <c r="N1125" s="38">
        <f t="shared" si="171"/>
        <v>10.5375</v>
      </c>
      <c r="O1125" s="36">
        <f t="shared" si="172"/>
        <v>281</v>
      </c>
      <c r="P1125" s="38">
        <f ca="1">IF(ISERROR(IF(O1125&lt;fi_h/20,0,(OFFSET('Base de dados'!$A$5,IF(O1125&lt;20,1,IF(O1125&gt;1000,10,MATCH(O1125,Cargas,1))),Coluna_fih,1,1))*(1+0.13*0.25)*(PI()*(fi_h/1000)^2/4)*SQRT(2*9.81*(O1125/100-fi_h/2/1000))*1000)),"",IF(O1125&lt;fi_h/20,0,(OFFSET('Base de dados'!$A$5,IF(O1125&lt;20,1,IF(O1125&gt;1000,10,MATCH(O1125,Cargas,1))),Coluna_fih,1,1))*(PI()*(fi_h/1000)^2/4)*SQRT(2*9.81*(O1125/100-fi_h/2/1000))*1000))</f>
        <v>4.4730641302264722</v>
      </c>
      <c r="Q1125" s="38">
        <f ca="1">IF(O1125="","",IF(Tipo_Vertedor="Retangular",IF(O1125&lt;=cota_s*100,0,IF(Tipo_Vertedor="Retangular",Cd_sr*Lef_sr*((O1125/100-cota_s)^(3/2))*1000)),IF(O1125&lt;=cota_s*100+fi_s/20,0,(OFFSET('Base de dados'!$A$4,IF(O1125&lt;20,1,IF(O1125&gt;1000,10,MATCH(O1125,Cargas,1))),Coluna_fis,1,1))*(PI()*(fi_s/1000)^2/4)*(2*9.81*(O1125/100-cota_s-fi_s/2/1000))^0.5*1000)))</f>
        <v>3.3833052214466366</v>
      </c>
      <c r="R1125" s="38">
        <f t="shared" ca="1" si="173"/>
        <v>7.8563693516731092</v>
      </c>
      <c r="S1125" s="38">
        <f t="shared" ca="1" si="170"/>
        <v>351.25</v>
      </c>
    </row>
    <row r="1126" spans="13:19">
      <c r="M1126" s="132">
        <f t="shared" ca="1" si="169"/>
        <v>359.42352602305107</v>
      </c>
      <c r="N1126" s="38">
        <f t="shared" si="171"/>
        <v>10.546875</v>
      </c>
      <c r="O1126" s="36">
        <f t="shared" si="172"/>
        <v>281.25</v>
      </c>
      <c r="P1126" s="38">
        <f ca="1">IF(ISERROR(IF(O1126&lt;fi_h/20,0,(OFFSET('Base de dados'!$A$5,IF(O1126&lt;20,1,IF(O1126&gt;1000,10,MATCH(O1126,Cargas,1))),Coluna_fih,1,1))*(1+0.13*0.25)*(PI()*(fi_h/1000)^2/4)*SQRT(2*9.81*(O1126/100-fi_h/2/1000))*1000)),"",IF(O1126&lt;fi_h/20,0,(OFFSET('Base de dados'!$A$5,IF(O1126&lt;20,1,IF(O1126&gt;1000,10,MATCH(O1126,Cargas,1))),Coluna_fih,1,1))*(PI()*(fi_h/1000)^2/4)*SQRT(2*9.81*(O1126/100-fi_h/2/1000))*1000))</f>
        <v>4.4750660208084394</v>
      </c>
      <c r="Q1126" s="38">
        <f ca="1">IF(O1126="","",IF(Tipo_Vertedor="Retangular",IF(O1126&lt;=cota_s*100,0,IF(Tipo_Vertedor="Retangular",Cd_sr*Lef_sr*((O1126/100-cota_s)^(3/2))*1000)),IF(O1126&lt;=cota_s*100+fi_s/20,0,(OFFSET('Base de dados'!$A$4,IF(O1126&lt;20,1,IF(O1126&gt;1000,10,MATCH(O1126,Cargas,1))),Coluna_fis,1,1))*(PI()*(fi_s/1000)^2/4)*(2*9.81*(O1126/100-cota_s-fi_s/2/1000))^0.5*1000)))</f>
        <v>3.3859600022426259</v>
      </c>
      <c r="R1126" s="38">
        <f t="shared" ca="1" si="173"/>
        <v>7.8610260230510658</v>
      </c>
      <c r="S1126" s="38">
        <f t="shared" ca="1" si="170"/>
        <v>351.5625</v>
      </c>
    </row>
    <row r="1127" spans="13:19">
      <c r="M1127" s="132">
        <f t="shared" ca="1" si="169"/>
        <v>359.74067971943157</v>
      </c>
      <c r="N1127" s="38">
        <f t="shared" si="171"/>
        <v>10.55625</v>
      </c>
      <c r="O1127" s="36">
        <f t="shared" si="172"/>
        <v>281.5</v>
      </c>
      <c r="P1127" s="38">
        <f ca="1">IF(ISERROR(IF(O1127&lt;fi_h/20,0,(OFFSET('Base de dados'!$A$5,IF(O1127&lt;20,1,IF(O1127&gt;1000,10,MATCH(O1127,Cargas,1))),Coluna_fih,1,1))*(1+0.13*0.25)*(PI()*(fi_h/1000)^2/4)*SQRT(2*9.81*(O1127/100-fi_h/2/1000))*1000)),"",IF(O1127&lt;fi_h/20,0,(OFFSET('Base de dados'!$A$5,IF(O1127&lt;20,1,IF(O1127&gt;1000,10,MATCH(O1127,Cargas,1))),Coluna_fih,1,1))*(PI()*(fi_h/1000)^2/4)*SQRT(2*9.81*(O1127/100-fi_h/2/1000))*1000))</f>
        <v>4.4770670162585082</v>
      </c>
      <c r="Q1127" s="38">
        <f ca="1">IF(O1127="","",IF(Tipo_Vertedor="Retangular",IF(O1127&lt;=cota_s*100,0,IF(Tipo_Vertedor="Retangular",Cd_sr*Lef_sr*((O1127/100-cota_s)^(3/2))*1000)),IF(O1127&lt;=cota_s*100+fi_s/20,0,(OFFSET('Base de dados'!$A$4,IF(O1127&lt;20,1,IF(O1127&gt;1000,10,MATCH(O1127,Cargas,1))),Coluna_fis,1,1))*(PI()*(fi_s/1000)^2/4)*(2*9.81*(O1127/100-cota_s-fi_s/2/1000))^0.5*1000)))</f>
        <v>3.3886127031730395</v>
      </c>
      <c r="R1127" s="38">
        <f t="shared" ca="1" si="173"/>
        <v>7.8656797194315473</v>
      </c>
      <c r="S1127" s="38">
        <f t="shared" ca="1" si="170"/>
        <v>351.875</v>
      </c>
    </row>
    <row r="1128" spans="13:19">
      <c r="M1128" s="132">
        <f t="shared" ca="1" si="169"/>
        <v>360.05783044689491</v>
      </c>
      <c r="N1128" s="38">
        <f t="shared" si="171"/>
        <v>10.565624999999999</v>
      </c>
      <c r="O1128" s="36">
        <f t="shared" si="172"/>
        <v>281.75</v>
      </c>
      <c r="P1128" s="38">
        <f ca="1">IF(ISERROR(IF(O1128&lt;fi_h/20,0,(OFFSET('Base de dados'!$A$5,IF(O1128&lt;20,1,IF(O1128&gt;1000,10,MATCH(O1128,Cargas,1))),Coluna_fih,1,1))*(1+0.13*0.25)*(PI()*(fi_h/1000)^2/4)*SQRT(2*9.81*(O1128/100-fi_h/2/1000))*1000)),"",IF(O1128&lt;fi_h/20,0,(OFFSET('Base de dados'!$A$5,IF(O1128&lt;20,1,IF(O1128&gt;1000,10,MATCH(O1128,Cargas,1))),Coluna_fih,1,1))*(PI()*(fi_h/1000)^2/4)*SQRT(2*9.81*(O1128/100-fi_h/2/1000))*1000))</f>
        <v>4.4790671177763608</v>
      </c>
      <c r="Q1128" s="38">
        <f ca="1">IF(O1128="","",IF(Tipo_Vertedor="Retangular",IF(O1128&lt;=cota_s*100,0,IF(Tipo_Vertedor="Retangular",Cd_sr*Lef_sr*((O1128/100-cota_s)^(3/2))*1000)),IF(O1128&lt;=cota_s*100+fi_s/20,0,(OFFSET('Base de dados'!$A$4,IF(O1128&lt;20,1,IF(O1128&gt;1000,10,MATCH(O1128,Cargas,1))),Coluna_fis,1,1))*(PI()*(fi_s/1000)^2/4)*(2*9.81*(O1128/100-cota_s-fi_s/2/1000))^0.5*1000)))</f>
        <v>3.3912633291185896</v>
      </c>
      <c r="R1128" s="38">
        <f t="shared" ca="1" si="173"/>
        <v>7.8703304468949504</v>
      </c>
      <c r="S1128" s="38">
        <f t="shared" ca="1" si="170"/>
        <v>352.18749999999994</v>
      </c>
    </row>
    <row r="1129" spans="13:19">
      <c r="M1129" s="132">
        <f t="shared" ca="1" si="169"/>
        <v>360.37497821149992</v>
      </c>
      <c r="N1129" s="38">
        <f t="shared" si="171"/>
        <v>10.574999999999999</v>
      </c>
      <c r="O1129" s="36">
        <f t="shared" si="172"/>
        <v>282</v>
      </c>
      <c r="P1129" s="38">
        <f ca="1">IF(ISERROR(IF(O1129&lt;fi_h/20,0,(OFFSET('Base de dados'!$A$5,IF(O1129&lt;20,1,IF(O1129&gt;1000,10,MATCH(O1129,Cargas,1))),Coluna_fih,1,1))*(1+0.13*0.25)*(PI()*(fi_h/1000)^2/4)*SQRT(2*9.81*(O1129/100-fi_h/2/1000))*1000)),"",IF(O1129&lt;fi_h/20,0,(OFFSET('Base de dados'!$A$5,IF(O1129&lt;20,1,IF(O1129&gt;1000,10,MATCH(O1129,Cargas,1))),Coluna_fih,1,1))*(PI()*(fi_h/1000)^2/4)*SQRT(2*9.81*(O1129/100-fi_h/2/1000))*1000))</f>
        <v>4.4810663265590041</v>
      </c>
      <c r="Q1129" s="38">
        <f ca="1">IF(O1129="","",IF(Tipo_Vertedor="Retangular",IF(O1129&lt;=cota_s*100,0,IF(Tipo_Vertedor="Retangular",Cd_sr*Lef_sr*((O1129/100-cota_s)^(3/2))*1000)),IF(O1129&lt;=cota_s*100+fi_s/20,0,(OFFSET('Base de dados'!$A$4,IF(O1129&lt;20,1,IF(O1129&gt;1000,10,MATCH(O1129,Cargas,1))),Coluna_fis,1,1))*(PI()*(fi_s/1000)^2/4)*(2*9.81*(O1129/100-cota_s-fi_s/2/1000))^0.5*1000)))</f>
        <v>3.3939118849409318</v>
      </c>
      <c r="R1129" s="38">
        <f t="shared" ca="1" si="173"/>
        <v>7.8749782114999363</v>
      </c>
      <c r="S1129" s="38">
        <f t="shared" ca="1" si="170"/>
        <v>352.5</v>
      </c>
    </row>
    <row r="1130" spans="13:19">
      <c r="M1130" s="132">
        <f t="shared" ca="1" si="169"/>
        <v>360.69212301928354</v>
      </c>
      <c r="N1130" s="38">
        <f t="shared" si="171"/>
        <v>10.584375</v>
      </c>
      <c r="O1130" s="36">
        <f t="shared" si="172"/>
        <v>282.25</v>
      </c>
      <c r="P1130" s="38">
        <f ca="1">IF(ISERROR(IF(O1130&lt;fi_h/20,0,(OFFSET('Base de dados'!$A$5,IF(O1130&lt;20,1,IF(O1130&gt;1000,10,MATCH(O1130,Cargas,1))),Coluna_fih,1,1))*(1+0.13*0.25)*(PI()*(fi_h/1000)^2/4)*SQRT(2*9.81*(O1130/100-fi_h/2/1000))*1000)),"",IF(O1130&lt;fi_h/20,0,(OFFSET('Base de dados'!$A$5,IF(O1130&lt;20,1,IF(O1130&gt;1000,10,MATCH(O1130,Cargas,1))),Coluna_fih,1,1))*(PI()*(fi_h/1000)^2/4)*SQRT(2*9.81*(O1130/100-fi_h/2/1000))*1000))</f>
        <v>4.4830646438007768</v>
      </c>
      <c r="Q1130" s="38">
        <f ca="1">IF(O1130="","",IF(Tipo_Vertedor="Retangular",IF(O1130&lt;=cota_s*100,0,IF(Tipo_Vertedor="Retangular",Cd_sr*Lef_sr*((O1130/100-cota_s)^(3/2))*1000)),IF(O1130&lt;=cota_s*100+fi_s/20,0,(OFFSET('Base de dados'!$A$4,IF(O1130&lt;20,1,IF(O1130&gt;1000,10,MATCH(O1130,Cargas,1))),Coluna_fis,1,1))*(PI()*(fi_s/1000)^2/4)*(2*9.81*(O1130/100-cota_s-fi_s/2/1000))^0.5*1000)))</f>
        <v>3.3965583754827637</v>
      </c>
      <c r="R1130" s="38">
        <f t="shared" ca="1" si="173"/>
        <v>7.8796230192835406</v>
      </c>
      <c r="S1130" s="38">
        <f t="shared" ca="1" si="170"/>
        <v>352.8125</v>
      </c>
    </row>
    <row r="1131" spans="13:19">
      <c r="M1131" s="132">
        <f t="shared" ca="1" si="169"/>
        <v>361.00926487626128</v>
      </c>
      <c r="N1131" s="38">
        <f t="shared" si="171"/>
        <v>10.59375</v>
      </c>
      <c r="O1131" s="36">
        <f t="shared" si="172"/>
        <v>282.5</v>
      </c>
      <c r="P1131" s="38">
        <f ca="1">IF(ISERROR(IF(O1131&lt;fi_h/20,0,(OFFSET('Base de dados'!$A$5,IF(O1131&lt;20,1,IF(O1131&gt;1000,10,MATCH(O1131,Cargas,1))),Coluna_fih,1,1))*(1+0.13*0.25)*(PI()*(fi_h/1000)^2/4)*SQRT(2*9.81*(O1131/100-fi_h/2/1000))*1000)),"",IF(O1131&lt;fi_h/20,0,(OFFSET('Base de dados'!$A$5,IF(O1131&lt;20,1,IF(O1131&gt;1000,10,MATCH(O1131,Cargas,1))),Coluna_fih,1,1))*(PI()*(fi_h/1000)^2/4)*SQRT(2*9.81*(O1131/100-fi_h/2/1000))*1000))</f>
        <v>4.4850620706933544</v>
      </c>
      <c r="Q1131" s="38">
        <f ca="1">IF(O1131="","",IF(Tipo_Vertedor="Retangular",IF(O1131&lt;=cota_s*100,0,IF(Tipo_Vertedor="Retangular",Cd_sr*Lef_sr*((O1131/100-cota_s)^(3/2))*1000)),IF(O1131&lt;=cota_s*100+fi_s/20,0,(OFFSET('Base de dados'!$A$4,IF(O1131&lt;20,1,IF(O1131&gt;1000,10,MATCH(O1131,Cargas,1))),Coluna_fis,1,1))*(PI()*(fi_s/1000)^2/4)*(2*9.81*(O1131/100-cota_s-fi_s/2/1000))^0.5*1000)))</f>
        <v>3.3992028055679357</v>
      </c>
      <c r="R1131" s="38">
        <f t="shared" ca="1" si="173"/>
        <v>7.8842648762612901</v>
      </c>
      <c r="S1131" s="38">
        <f t="shared" ca="1" si="170"/>
        <v>353.125</v>
      </c>
    </row>
    <row r="1132" spans="13:19">
      <c r="M1132" s="132">
        <f t="shared" ca="1" si="169"/>
        <v>361.32640378842729</v>
      </c>
      <c r="N1132" s="38">
        <f t="shared" si="171"/>
        <v>10.603125</v>
      </c>
      <c r="O1132" s="36">
        <f t="shared" si="172"/>
        <v>282.75</v>
      </c>
      <c r="P1132" s="38">
        <f ca="1">IF(ISERROR(IF(O1132&lt;fi_h/20,0,(OFFSET('Base de dados'!$A$5,IF(O1132&lt;20,1,IF(O1132&gt;1000,10,MATCH(O1132,Cargas,1))),Coluna_fih,1,1))*(1+0.13*0.25)*(PI()*(fi_h/1000)^2/4)*SQRT(2*9.81*(O1132/100-fi_h/2/1000))*1000)),"",IF(O1132&lt;fi_h/20,0,(OFFSET('Base de dados'!$A$5,IF(O1132&lt;20,1,IF(O1132&gt;1000,10,MATCH(O1132,Cargas,1))),Coluna_fih,1,1))*(PI()*(fi_h/1000)^2/4)*SQRT(2*9.81*(O1132/100-fi_h/2/1000))*1000))</f>
        <v>4.4870586084257615</v>
      </c>
      <c r="Q1132" s="38">
        <f ca="1">IF(O1132="","",IF(Tipo_Vertedor="Retangular",IF(O1132&lt;=cota_s*100,0,IF(Tipo_Vertedor="Retangular",Cd_sr*Lef_sr*((O1132/100-cota_s)^(3/2))*1000)),IF(O1132&lt;=cota_s*100+fi_s/20,0,(OFFSET('Base de dados'!$A$4,IF(O1132&lt;20,1,IF(O1132&gt;1000,10,MATCH(O1132,Cargas,1))),Coluna_fis,1,1))*(PI()*(fi_s/1000)^2/4)*(2*9.81*(O1132/100-cota_s-fi_s/2/1000))^0.5*1000)))</f>
        <v>3.4018451800015437</v>
      </c>
      <c r="R1132" s="38">
        <f t="shared" ca="1" si="173"/>
        <v>7.8889037884273048</v>
      </c>
      <c r="S1132" s="38">
        <f t="shared" ca="1" si="170"/>
        <v>353.4375</v>
      </c>
    </row>
    <row r="1133" spans="13:19">
      <c r="M1133" s="132">
        <f t="shared" ca="1" si="169"/>
        <v>361.64353976175443</v>
      </c>
      <c r="N1133" s="38">
        <f t="shared" si="171"/>
        <v>10.612500000000001</v>
      </c>
      <c r="O1133" s="36">
        <f t="shared" si="172"/>
        <v>283</v>
      </c>
      <c r="P1133" s="38">
        <f ca="1">IF(ISERROR(IF(O1133&lt;fi_h/20,0,(OFFSET('Base de dados'!$A$5,IF(O1133&lt;20,1,IF(O1133&gt;1000,10,MATCH(O1133,Cargas,1))),Coluna_fih,1,1))*(1+0.13*0.25)*(PI()*(fi_h/1000)^2/4)*SQRT(2*9.81*(O1133/100-fi_h/2/1000))*1000)),"",IF(O1133&lt;fi_h/20,0,(OFFSET('Base de dados'!$A$5,IF(O1133&lt;20,1,IF(O1133&gt;1000,10,MATCH(O1133,Cargas,1))),Coluna_fih,1,1))*(PI()*(fi_h/1000)^2/4)*SQRT(2*9.81*(O1133/100-fi_h/2/1000))*1000))</f>
        <v>4.4890542581843791</v>
      </c>
      <c r="Q1133" s="38">
        <f ca="1">IF(O1133="","",IF(Tipo_Vertedor="Retangular",IF(O1133&lt;=cota_s*100,0,IF(Tipo_Vertedor="Retangular",Cd_sr*Lef_sr*((O1133/100-cota_s)^(3/2))*1000)),IF(O1133&lt;=cota_s*100+fi_s/20,0,(OFFSET('Base de dados'!$A$4,IF(O1133&lt;20,1,IF(O1133&gt;1000,10,MATCH(O1133,Cargas,1))),Coluna_fis,1,1))*(PI()*(fi_s/1000)^2/4)*(2*9.81*(O1133/100-cota_s-fi_s/2/1000))^0.5*1000)))</f>
        <v>3.4044855035700392</v>
      </c>
      <c r="R1133" s="38">
        <f t="shared" ca="1" si="173"/>
        <v>7.8935397617544183</v>
      </c>
      <c r="S1133" s="38">
        <f t="shared" ca="1" si="170"/>
        <v>353.75</v>
      </c>
    </row>
    <row r="1134" spans="13:19">
      <c r="M1134" s="132">
        <f t="shared" ca="1" si="169"/>
        <v>361.96067280219427</v>
      </c>
      <c r="N1134" s="38">
        <f t="shared" si="171"/>
        <v>10.621874999999999</v>
      </c>
      <c r="O1134" s="36">
        <f t="shared" si="172"/>
        <v>283.25</v>
      </c>
      <c r="P1134" s="38">
        <f ca="1">IF(ISERROR(IF(O1134&lt;fi_h/20,0,(OFFSET('Base de dados'!$A$5,IF(O1134&lt;20,1,IF(O1134&gt;1000,10,MATCH(O1134,Cargas,1))),Coluna_fih,1,1))*(1+0.13*0.25)*(PI()*(fi_h/1000)^2/4)*SQRT(2*9.81*(O1134/100-fi_h/2/1000))*1000)),"",IF(O1134&lt;fi_h/20,0,(OFFSET('Base de dados'!$A$5,IF(O1134&lt;20,1,IF(O1134&gt;1000,10,MATCH(O1134,Cargas,1))),Coluna_fih,1,1))*(PI()*(fi_h/1000)^2/4)*SQRT(2*9.81*(O1134/100-fi_h/2/1000))*1000))</f>
        <v>4.4910490211529526</v>
      </c>
      <c r="Q1134" s="38">
        <f ca="1">IF(O1134="","",IF(Tipo_Vertedor="Retangular",IF(O1134&lt;=cota_s*100,0,IF(Tipo_Vertedor="Retangular",Cd_sr*Lef_sr*((O1134/100-cota_s)^(3/2))*1000)),IF(O1134&lt;=cota_s*100+fi_s/20,0,(OFFSET('Base de dados'!$A$4,IF(O1134&lt;20,1,IF(O1134&gt;1000,10,MATCH(O1134,Cargas,1))),Coluna_fis,1,1))*(PI()*(fi_s/1000)^2/4)*(2*9.81*(O1134/100-cota_s-fi_s/2/1000))^0.5*1000)))</f>
        <v>3.4071237810413271</v>
      </c>
      <c r="R1134" s="38">
        <f t="shared" ca="1" si="173"/>
        <v>7.8981728021942796</v>
      </c>
      <c r="S1134" s="38">
        <f t="shared" ca="1" si="170"/>
        <v>354.0625</v>
      </c>
    </row>
    <row r="1135" spans="13:19">
      <c r="M1135" s="132">
        <f t="shared" ca="1" si="169"/>
        <v>362.27780291567746</v>
      </c>
      <c r="N1135" s="38">
        <f t="shared" si="171"/>
        <v>10.63125</v>
      </c>
      <c r="O1135" s="36">
        <f t="shared" si="172"/>
        <v>283.5</v>
      </c>
      <c r="P1135" s="38">
        <f ca="1">IF(ISERROR(IF(O1135&lt;fi_h/20,0,(OFFSET('Base de dados'!$A$5,IF(O1135&lt;20,1,IF(O1135&gt;1000,10,MATCH(O1135,Cargas,1))),Coluna_fih,1,1))*(1+0.13*0.25)*(PI()*(fi_h/1000)^2/4)*SQRT(2*9.81*(O1135/100-fi_h/2/1000))*1000)),"",IF(O1135&lt;fi_h/20,0,(OFFSET('Base de dados'!$A$5,IF(O1135&lt;20,1,IF(O1135&gt;1000,10,MATCH(O1135,Cargas,1))),Coluna_fih,1,1))*(PI()*(fi_h/1000)^2/4)*SQRT(2*9.81*(O1135/100-fi_h/2/1000))*1000))</f>
        <v>4.493042898512595</v>
      </c>
      <c r="Q1135" s="38">
        <f ca="1">IF(O1135="","",IF(Tipo_Vertedor="Retangular",IF(O1135&lt;=cota_s*100,0,IF(Tipo_Vertedor="Retangular",Cd_sr*Lef_sr*((O1135/100-cota_s)^(3/2))*1000)),IF(O1135&lt;=cota_s*100+fi_s/20,0,(OFFSET('Base de dados'!$A$4,IF(O1135&lt;20,1,IF(O1135&gt;1000,10,MATCH(O1135,Cargas,1))),Coluna_fis,1,1))*(PI()*(fi_s/1000)^2/4)*(2*9.81*(O1135/100-cota_s-fi_s/2/1000))^0.5*1000)))</f>
        <v>3.4097600171648677</v>
      </c>
      <c r="R1135" s="38">
        <f t="shared" ca="1" si="173"/>
        <v>7.9028029156774622</v>
      </c>
      <c r="S1135" s="38">
        <f t="shared" ca="1" si="170"/>
        <v>354.375</v>
      </c>
    </row>
    <row r="1136" spans="13:19">
      <c r="M1136" s="132">
        <f t="shared" ca="1" si="169"/>
        <v>362.5949301081136</v>
      </c>
      <c r="N1136" s="38">
        <f t="shared" si="171"/>
        <v>10.640625</v>
      </c>
      <c r="O1136" s="36">
        <f t="shared" si="172"/>
        <v>283.75</v>
      </c>
      <c r="P1136" s="38">
        <f ca="1">IF(ISERROR(IF(O1136&lt;fi_h/20,0,(OFFSET('Base de dados'!$A$5,IF(O1136&lt;20,1,IF(O1136&gt;1000,10,MATCH(O1136,Cargas,1))),Coluna_fih,1,1))*(1+0.13*0.25)*(PI()*(fi_h/1000)^2/4)*SQRT(2*9.81*(O1136/100-fi_h/2/1000))*1000)),"",IF(O1136&lt;fi_h/20,0,(OFFSET('Base de dados'!$A$5,IF(O1136&lt;20,1,IF(O1136&gt;1000,10,MATCH(O1136,Cargas,1))),Coluna_fih,1,1))*(PI()*(fi_h/1000)^2/4)*SQRT(2*9.81*(O1136/100-fi_h/2/1000))*1000))</f>
        <v>4.4950358914418063</v>
      </c>
      <c r="Q1136" s="38">
        <f ca="1">IF(O1136="","",IF(Tipo_Vertedor="Retangular",IF(O1136&lt;=cota_s*100,0,IF(Tipo_Vertedor="Retangular",Cd_sr*Lef_sr*((O1136/100-cota_s)^(3/2))*1000)),IF(O1136&lt;=cota_s*100+fi_s/20,0,(OFFSET('Base de dados'!$A$4,IF(O1136&lt;20,1,IF(O1136&gt;1000,10,MATCH(O1136,Cargas,1))),Coluna_fis,1,1))*(PI()*(fi_s/1000)^2/4)*(2*9.81*(O1136/100-cota_s-fi_s/2/1000))^0.5*1000)))</f>
        <v>3.4123942166717729</v>
      </c>
      <c r="R1136" s="38">
        <f t="shared" ca="1" si="173"/>
        <v>7.9074301081135792</v>
      </c>
      <c r="S1136" s="38">
        <f t="shared" ca="1" si="170"/>
        <v>354.6875</v>
      </c>
    </row>
    <row r="1137" spans="13:19">
      <c r="M1137" s="132">
        <f t="shared" ca="1" si="169"/>
        <v>362.91205438539134</v>
      </c>
      <c r="N1137" s="38">
        <f t="shared" si="171"/>
        <v>10.649999999999999</v>
      </c>
      <c r="O1137" s="36">
        <f t="shared" si="172"/>
        <v>284</v>
      </c>
      <c r="P1137" s="38">
        <f ca="1">IF(ISERROR(IF(O1137&lt;fi_h/20,0,(OFFSET('Base de dados'!$A$5,IF(O1137&lt;20,1,IF(O1137&gt;1000,10,MATCH(O1137,Cargas,1))),Coluna_fih,1,1))*(1+0.13*0.25)*(PI()*(fi_h/1000)^2/4)*SQRT(2*9.81*(O1137/100-fi_h/2/1000))*1000)),"",IF(O1137&lt;fi_h/20,0,(OFFSET('Base de dados'!$A$5,IF(O1137&lt;20,1,IF(O1137&gt;1000,10,MATCH(O1137,Cargas,1))),Coluna_fih,1,1))*(PI()*(fi_h/1000)^2/4)*SQRT(2*9.81*(O1137/100-fi_h/2/1000))*1000))</f>
        <v>4.4970280011164716</v>
      </c>
      <c r="Q1137" s="38">
        <f ca="1">IF(O1137="","",IF(Tipo_Vertedor="Retangular",IF(O1137&lt;=cota_s*100,0,IF(Tipo_Vertedor="Retangular",Cd_sr*Lef_sr*((O1137/100-cota_s)^(3/2))*1000)),IF(O1137&lt;=cota_s*100+fi_s/20,0,(OFFSET('Base de dados'!$A$4,IF(O1137&lt;20,1,IF(O1137&gt;1000,10,MATCH(O1137,Cargas,1))),Coluna_fis,1,1))*(PI()*(fi_s/1000)^2/4)*(2*9.81*(O1137/100-cota_s-fi_s/2/1000))^0.5*1000)))</f>
        <v>3.4150263842749111</v>
      </c>
      <c r="R1137" s="38">
        <f t="shared" ca="1" si="173"/>
        <v>7.9120543853913823</v>
      </c>
      <c r="S1137" s="38">
        <f t="shared" ca="1" si="170"/>
        <v>354.99999999999994</v>
      </c>
    </row>
    <row r="1138" spans="13:19">
      <c r="M1138" s="132">
        <f t="shared" ca="1" si="169"/>
        <v>363.2291757533788</v>
      </c>
      <c r="N1138" s="38">
        <f t="shared" si="171"/>
        <v>10.659374999999999</v>
      </c>
      <c r="O1138" s="36">
        <f t="shared" si="172"/>
        <v>284.25</v>
      </c>
      <c r="P1138" s="38">
        <f ca="1">IF(ISERROR(IF(O1138&lt;fi_h/20,0,(OFFSET('Base de dados'!$A$5,IF(O1138&lt;20,1,IF(O1138&gt;1000,10,MATCH(O1138,Cargas,1))),Coluna_fih,1,1))*(1+0.13*0.25)*(PI()*(fi_h/1000)^2/4)*SQRT(2*9.81*(O1138/100-fi_h/2/1000))*1000)),"",IF(O1138&lt;fi_h/20,0,(OFFSET('Base de dados'!$A$5,IF(O1138&lt;20,1,IF(O1138&gt;1000,10,MATCH(O1138,Cargas,1))),Coluna_fih,1,1))*(PI()*(fi_h/1000)^2/4)*SQRT(2*9.81*(O1138/100-fi_h/2/1000))*1000))</f>
        <v>4.4990192287098738</v>
      </c>
      <c r="Q1138" s="38">
        <f ca="1">IF(O1138="","",IF(Tipo_Vertedor="Retangular",IF(O1138&lt;=cota_s*100,0,IF(Tipo_Vertedor="Retangular",Cd_sr*Lef_sr*((O1138/100-cota_s)^(3/2))*1000)),IF(O1138&lt;=cota_s*100+fi_s/20,0,(OFFSET('Base de dados'!$A$4,IF(O1138&lt;20,1,IF(O1138&gt;1000,10,MATCH(O1138,Cargas,1))),Coluna_fis,1,1))*(PI()*(fi_s/1000)^2/4)*(2*9.81*(O1138/100-cota_s-fi_s/2/1000))^0.5*1000)))</f>
        <v>3.4176565246689989</v>
      </c>
      <c r="R1138" s="38">
        <f t="shared" ca="1" si="173"/>
        <v>7.9166757533788727</v>
      </c>
      <c r="S1138" s="38">
        <f t="shared" ca="1" si="170"/>
        <v>355.31249999999994</v>
      </c>
    </row>
    <row r="1139" spans="13:19">
      <c r="M1139" s="132">
        <f t="shared" ca="1" si="169"/>
        <v>363.54629421792345</v>
      </c>
      <c r="N1139" s="38">
        <f t="shared" si="171"/>
        <v>10.668750000000001</v>
      </c>
      <c r="O1139" s="36">
        <f t="shared" si="172"/>
        <v>284.5</v>
      </c>
      <c r="P1139" s="38">
        <f ca="1">IF(ISERROR(IF(O1139&lt;fi_h/20,0,(OFFSET('Base de dados'!$A$5,IF(O1139&lt;20,1,IF(O1139&gt;1000,10,MATCH(O1139,Cargas,1))),Coluna_fih,1,1))*(1+0.13*0.25)*(PI()*(fi_h/1000)^2/4)*SQRT(2*9.81*(O1139/100-fi_h/2/1000))*1000)),"",IF(O1139&lt;fi_h/20,0,(OFFSET('Base de dados'!$A$5,IF(O1139&lt;20,1,IF(O1139&gt;1000,10,MATCH(O1139,Cargas,1))),Coluna_fih,1,1))*(PI()*(fi_h/1000)^2/4)*SQRT(2*9.81*(O1139/100-fi_h/2/1000))*1000))</f>
        <v>4.5010095753926986</v>
      </c>
      <c r="Q1139" s="38">
        <f ca="1">IF(O1139="","",IF(Tipo_Vertedor="Retangular",IF(O1139&lt;=cota_s*100,0,IF(Tipo_Vertedor="Retangular",Cd_sr*Lef_sr*((O1139/100-cota_s)^(3/2))*1000)),IF(O1139&lt;=cota_s*100+fi_s/20,0,(OFFSET('Base de dados'!$A$4,IF(O1139&lt;20,1,IF(O1139&gt;1000,10,MATCH(O1139,Cargas,1))),Coluna_fis,1,1))*(PI()*(fi_s/1000)^2/4)*(2*9.81*(O1139/100-cota_s-fi_s/2/1000))^0.5*1000)))</f>
        <v>3.4202846425307052</v>
      </c>
      <c r="R1139" s="38">
        <f t="shared" ca="1" si="173"/>
        <v>7.9212942179234034</v>
      </c>
      <c r="S1139" s="38">
        <f t="shared" ca="1" si="170"/>
        <v>355.62500000000006</v>
      </c>
    </row>
    <row r="1140" spans="13:19">
      <c r="M1140" s="132">
        <f t="shared" ca="1" si="169"/>
        <v>363.86340978485185</v>
      </c>
      <c r="N1140" s="38">
        <f t="shared" si="171"/>
        <v>10.678125000000001</v>
      </c>
      <c r="O1140" s="36">
        <f t="shared" si="172"/>
        <v>284.75</v>
      </c>
      <c r="P1140" s="38">
        <f ca="1">IF(ISERROR(IF(O1140&lt;fi_h/20,0,(OFFSET('Base de dados'!$A$5,IF(O1140&lt;20,1,IF(O1140&gt;1000,10,MATCH(O1140,Cargas,1))),Coluna_fih,1,1))*(1+0.13*0.25)*(PI()*(fi_h/1000)^2/4)*SQRT(2*9.81*(O1140/100-fi_h/2/1000))*1000)),"",IF(O1140&lt;fi_h/20,0,(OFFSET('Base de dados'!$A$5,IF(O1140&lt;20,1,IF(O1140&gt;1000,10,MATCH(O1140,Cargas,1))),Coluna_fih,1,1))*(PI()*(fi_h/1000)^2/4)*SQRT(2*9.81*(O1140/100-fi_h/2/1000))*1000))</f>
        <v>4.5029990423330464</v>
      </c>
      <c r="Q1140" s="38">
        <f ca="1">IF(O1140="","",IF(Tipo_Vertedor="Retangular",IF(O1140&lt;=cota_s*100,0,IF(Tipo_Vertedor="Retangular",Cd_sr*Lef_sr*((O1140/100-cota_s)^(3/2))*1000)),IF(O1140&lt;=cota_s*100+fi_s/20,0,(OFFSET('Base de dados'!$A$4,IF(O1140&lt;20,1,IF(O1140&gt;1000,10,MATCH(O1140,Cargas,1))),Coluna_fis,1,1))*(PI()*(fi_s/1000)^2/4)*(2*9.81*(O1140/100-cota_s-fi_s/2/1000))^0.5*1000)))</f>
        <v>3.4229107425187415</v>
      </c>
      <c r="R1140" s="38">
        <f t="shared" ca="1" si="173"/>
        <v>7.9259097848517879</v>
      </c>
      <c r="S1140" s="38">
        <f t="shared" ca="1" si="170"/>
        <v>355.93750000000006</v>
      </c>
    </row>
    <row r="1141" spans="13:19">
      <c r="M1141" s="132">
        <f t="shared" ca="1" si="169"/>
        <v>364.1805224599704</v>
      </c>
      <c r="N1141" s="38">
        <f t="shared" si="171"/>
        <v>10.6875</v>
      </c>
      <c r="O1141" s="36">
        <f t="shared" si="172"/>
        <v>285</v>
      </c>
      <c r="P1141" s="38">
        <f ca="1">IF(ISERROR(IF(O1141&lt;fi_h/20,0,(OFFSET('Base de dados'!$A$5,IF(O1141&lt;20,1,IF(O1141&gt;1000,10,MATCH(O1141,Cargas,1))),Coluna_fih,1,1))*(1+0.13*0.25)*(PI()*(fi_h/1000)^2/4)*SQRT(2*9.81*(O1141/100-fi_h/2/1000))*1000)),"",IF(O1141&lt;fi_h/20,0,(OFFSET('Base de dados'!$A$5,IF(O1141&lt;20,1,IF(O1141&gt;1000,10,MATCH(O1141,Cargas,1))),Coluna_fih,1,1))*(PI()*(fi_h/1000)^2/4)*SQRT(2*9.81*(O1141/100-fi_h/2/1000))*1000))</f>
        <v>4.5049876306964389</v>
      </c>
      <c r="Q1141" s="38">
        <f ca="1">IF(O1141="","",IF(Tipo_Vertedor="Retangular",IF(O1141&lt;=cota_s*100,0,IF(Tipo_Vertedor="Retangular",Cd_sr*Lef_sr*((O1141/100-cota_s)^(3/2))*1000)),IF(O1141&lt;=cota_s*100+fi_s/20,0,(OFFSET('Base de dados'!$A$4,IF(O1141&lt;20,1,IF(O1141&gt;1000,10,MATCH(O1141,Cargas,1))),Coluna_fis,1,1))*(PI()*(fi_s/1000)^2/4)*(2*9.81*(O1141/100-cota_s-fi_s/2/1000))^0.5*1000)))</f>
        <v>3.425534829273964</v>
      </c>
      <c r="R1141" s="38">
        <f t="shared" ca="1" si="173"/>
        <v>7.9305224599704029</v>
      </c>
      <c r="S1141" s="38">
        <f t="shared" ca="1" si="170"/>
        <v>356.25</v>
      </c>
    </row>
    <row r="1142" spans="13:19">
      <c r="M1142" s="132">
        <f t="shared" ca="1" si="169"/>
        <v>364.4976322490653</v>
      </c>
      <c r="N1142" s="38">
        <f t="shared" si="171"/>
        <v>10.696875</v>
      </c>
      <c r="O1142" s="36">
        <f t="shared" si="172"/>
        <v>285.25</v>
      </c>
      <c r="P1142" s="38">
        <f ca="1">IF(ISERROR(IF(O1142&lt;fi_h/20,0,(OFFSET('Base de dados'!$A$5,IF(O1142&lt;20,1,IF(O1142&gt;1000,10,MATCH(O1142,Cargas,1))),Coluna_fih,1,1))*(1+0.13*0.25)*(PI()*(fi_h/1000)^2/4)*SQRT(2*9.81*(O1142/100-fi_h/2/1000))*1000)),"",IF(O1142&lt;fi_h/20,0,(OFFSET('Base de dados'!$A$5,IF(O1142&lt;20,1,IF(O1142&gt;1000,10,MATCH(O1142,Cargas,1))),Coluna_fih,1,1))*(PI()*(fi_h/1000)^2/4)*SQRT(2*9.81*(O1142/100-fi_h/2/1000))*1000))</f>
        <v>4.5069753416458243</v>
      </c>
      <c r="Q1142" s="38">
        <f ca="1">IF(O1142="","",IF(Tipo_Vertedor="Retangular",IF(O1142&lt;=cota_s*100,0,IF(Tipo_Vertedor="Retangular",Cd_sr*Lef_sr*((O1142/100-cota_s)^(3/2))*1000)),IF(O1142&lt;=cota_s*100+fi_s/20,0,(OFFSET('Base de dados'!$A$4,IF(O1142&lt;20,1,IF(O1142&gt;1000,10,MATCH(O1142,Cargas,1))),Coluna_fis,1,1))*(PI()*(fi_s/1000)^2/4)*(2*9.81*(O1142/100-cota_s-fi_s/2/1000))^0.5*1000)))</f>
        <v>3.4281569074194689</v>
      </c>
      <c r="R1142" s="38">
        <f t="shared" ca="1" si="173"/>
        <v>7.9351322490652931</v>
      </c>
      <c r="S1142" s="38">
        <f t="shared" ca="1" si="170"/>
        <v>356.5625</v>
      </c>
    </row>
    <row r="1143" spans="13:19">
      <c r="M1143" s="132">
        <f t="shared" ca="1" si="169"/>
        <v>364.8147391579023</v>
      </c>
      <c r="N1143" s="38">
        <f t="shared" si="171"/>
        <v>10.706250000000001</v>
      </c>
      <c r="O1143" s="36">
        <f t="shared" si="172"/>
        <v>285.5</v>
      </c>
      <c r="P1143" s="38">
        <f ca="1">IF(ISERROR(IF(O1143&lt;fi_h/20,0,(OFFSET('Base de dados'!$A$5,IF(O1143&lt;20,1,IF(O1143&gt;1000,10,MATCH(O1143,Cargas,1))),Coluna_fih,1,1))*(1+0.13*0.25)*(PI()*(fi_h/1000)^2/4)*SQRT(2*9.81*(O1143/100-fi_h/2/1000))*1000)),"",IF(O1143&lt;fi_h/20,0,(OFFSET('Base de dados'!$A$5,IF(O1143&lt;20,1,IF(O1143&gt;1000,10,MATCH(O1143,Cargas,1))),Coluna_fih,1,1))*(PI()*(fi_h/1000)^2/4)*SQRT(2*9.81*(O1143/100-fi_h/2/1000))*1000))</f>
        <v>4.508962176341587</v>
      </c>
      <c r="Q1143" s="38">
        <f ca="1">IF(O1143="","",IF(Tipo_Vertedor="Retangular",IF(O1143&lt;=cota_s*100,0,IF(Tipo_Vertedor="Retangular",Cd_sr*Lef_sr*((O1143/100-cota_s)^(3/2))*1000)),IF(O1143&lt;=cota_s*100+fi_s/20,0,(OFFSET('Base de dados'!$A$4,IF(O1143&lt;20,1,IF(O1143&gt;1000,10,MATCH(O1143,Cargas,1))),Coluna_fis,1,1))*(PI()*(fi_s/1000)^2/4)*(2*9.81*(O1143/100-cota_s-fi_s/2/1000))^0.5*1000)))</f>
        <v>3.4307769815606819</v>
      </c>
      <c r="R1143" s="38">
        <f t="shared" ca="1" si="173"/>
        <v>7.9397391579022685</v>
      </c>
      <c r="S1143" s="38">
        <f t="shared" ca="1" si="170"/>
        <v>356.875</v>
      </c>
    </row>
    <row r="1144" spans="13:19">
      <c r="M1144" s="132">
        <f t="shared" ca="1" si="169"/>
        <v>365.131843192227</v>
      </c>
      <c r="N1144" s="38">
        <f t="shared" si="171"/>
        <v>10.715624999999999</v>
      </c>
      <c r="O1144" s="36">
        <f t="shared" si="172"/>
        <v>285.75</v>
      </c>
      <c r="P1144" s="38">
        <f ca="1">IF(ISERROR(IF(O1144&lt;fi_h/20,0,(OFFSET('Base de dados'!$A$5,IF(O1144&lt;20,1,IF(O1144&gt;1000,10,MATCH(O1144,Cargas,1))),Coluna_fih,1,1))*(1+0.13*0.25)*(PI()*(fi_h/1000)^2/4)*SQRT(2*9.81*(O1144/100-fi_h/2/1000))*1000)),"",IF(O1144&lt;fi_h/20,0,(OFFSET('Base de dados'!$A$5,IF(O1144&lt;20,1,IF(O1144&gt;1000,10,MATCH(O1144,Cargas,1))),Coluna_fih,1,1))*(PI()*(fi_h/1000)^2/4)*SQRT(2*9.81*(O1144/100-fi_h/2/1000))*1000))</f>
        <v>4.5109481359415611</v>
      </c>
      <c r="Q1144" s="38">
        <f ca="1">IF(O1144="","",IF(Tipo_Vertedor="Retangular",IF(O1144&lt;=cota_s*100,0,IF(Tipo_Vertedor="Retangular",Cd_sr*Lef_sr*((O1144/100-cota_s)^(3/2))*1000)),IF(O1144&lt;=cota_s*100+fi_s/20,0,(OFFSET('Base de dados'!$A$4,IF(O1144&lt;20,1,IF(O1144&gt;1000,10,MATCH(O1144,Cargas,1))),Coluna_fis,1,1))*(PI()*(fi_s/1000)^2/4)*(2*9.81*(O1144/100-cota_s-fi_s/2/1000))^0.5*1000)))</f>
        <v>3.4333950562854589</v>
      </c>
      <c r="R1144" s="38">
        <f t="shared" ca="1" si="173"/>
        <v>7.94434319222702</v>
      </c>
      <c r="S1144" s="38">
        <f t="shared" ca="1" si="170"/>
        <v>357.1875</v>
      </c>
    </row>
    <row r="1145" spans="13:19">
      <c r="M1145" s="132">
        <f t="shared" ca="1" si="169"/>
        <v>365.44894435776519</v>
      </c>
      <c r="N1145" s="38">
        <f t="shared" si="171"/>
        <v>10.725</v>
      </c>
      <c r="O1145" s="36">
        <f t="shared" si="172"/>
        <v>286</v>
      </c>
      <c r="P1145" s="38">
        <f ca="1">IF(ISERROR(IF(O1145&lt;fi_h/20,0,(OFFSET('Base de dados'!$A$5,IF(O1145&lt;20,1,IF(O1145&gt;1000,10,MATCH(O1145,Cargas,1))),Coluna_fih,1,1))*(1+0.13*0.25)*(PI()*(fi_h/1000)^2/4)*SQRT(2*9.81*(O1145/100-fi_h/2/1000))*1000)),"",IF(O1145&lt;fi_h/20,0,(OFFSET('Base de dados'!$A$5,IF(O1145&lt;20,1,IF(O1145&gt;1000,10,MATCH(O1145,Cargas,1))),Coluna_fih,1,1))*(PI()*(fi_h/1000)^2/4)*SQRT(2*9.81*(O1145/100-fi_h/2/1000))*1000))</f>
        <v>4.5129332216010258</v>
      </c>
      <c r="Q1145" s="38">
        <f ca="1">IF(O1145="","",IF(Tipo_Vertedor="Retangular",IF(O1145&lt;=cota_s*100,0,IF(Tipo_Vertedor="Retangular",Cd_sr*Lef_sr*((O1145/100-cota_s)^(3/2))*1000)),IF(O1145&lt;=cota_s*100+fi_s/20,0,(OFFSET('Base de dados'!$A$4,IF(O1145&lt;20,1,IF(O1145&gt;1000,10,MATCH(O1145,Cargas,1))),Coluna_fis,1,1))*(PI()*(fi_s/1000)^2/4)*(2*9.81*(O1145/100-cota_s-fi_s/2/1000))^0.5*1000)))</f>
        <v>3.436011136164177</v>
      </c>
      <c r="R1145" s="38">
        <f t="shared" ca="1" si="173"/>
        <v>7.9489443577652033</v>
      </c>
      <c r="S1145" s="38">
        <f t="shared" ca="1" si="170"/>
        <v>357.5</v>
      </c>
    </row>
    <row r="1146" spans="13:19">
      <c r="M1146" s="132">
        <f t="shared" ca="1" si="169"/>
        <v>365.76604266022258</v>
      </c>
      <c r="N1146" s="38">
        <f t="shared" si="171"/>
        <v>10.734375</v>
      </c>
      <c r="O1146" s="36">
        <f t="shared" si="172"/>
        <v>286.25</v>
      </c>
      <c r="P1146" s="38">
        <f ca="1">IF(ISERROR(IF(O1146&lt;fi_h/20,0,(OFFSET('Base de dados'!$A$5,IF(O1146&lt;20,1,IF(O1146&gt;1000,10,MATCH(O1146,Cargas,1))),Coluna_fih,1,1))*(1+0.13*0.25)*(PI()*(fi_h/1000)^2/4)*SQRT(2*9.81*(O1146/100-fi_h/2/1000))*1000)),"",IF(O1146&lt;fi_h/20,0,(OFFSET('Base de dados'!$A$5,IF(O1146&lt;20,1,IF(O1146&gt;1000,10,MATCH(O1146,Cargas,1))),Coluna_fih,1,1))*(PI()*(fi_h/1000)^2/4)*SQRT(2*9.81*(O1146/100-fi_h/2/1000))*1000))</f>
        <v>4.5149174344727268</v>
      </c>
      <c r="Q1146" s="38">
        <f ca="1">IF(O1146="","",IF(Tipo_Vertedor="Retangular",IF(O1146&lt;=cota_s*100,0,IF(Tipo_Vertedor="Retangular",Cd_sr*Lef_sr*((O1146/100-cota_s)^(3/2))*1000)),IF(O1146&lt;=cota_s*100+fi_s/20,0,(OFFSET('Base de dados'!$A$4,IF(O1146&lt;20,1,IF(O1146&gt;1000,10,MATCH(O1146,Cargas,1))),Coluna_fis,1,1))*(PI()*(fi_s/1000)^2/4)*(2*9.81*(O1146/100-cota_s-fi_s/2/1000))^0.5*1000)))</f>
        <v>3.4386252257498269</v>
      </c>
      <c r="R1146" s="38">
        <f t="shared" ca="1" si="173"/>
        <v>7.9535426602225536</v>
      </c>
      <c r="S1146" s="38">
        <f t="shared" ca="1" si="170"/>
        <v>357.8125</v>
      </c>
    </row>
    <row r="1147" spans="13:19">
      <c r="M1147" s="132">
        <f t="shared" ca="1" si="169"/>
        <v>366.083138105285</v>
      </c>
      <c r="N1147" s="38">
        <f t="shared" si="171"/>
        <v>10.74375</v>
      </c>
      <c r="O1147" s="36">
        <f t="shared" si="172"/>
        <v>286.5</v>
      </c>
      <c r="P1147" s="38">
        <f ca="1">IF(ISERROR(IF(O1147&lt;fi_h/20,0,(OFFSET('Base de dados'!$A$5,IF(O1147&lt;20,1,IF(O1147&gt;1000,10,MATCH(O1147,Cargas,1))),Coluna_fih,1,1))*(1+0.13*0.25)*(PI()*(fi_h/1000)^2/4)*SQRT(2*9.81*(O1147/100-fi_h/2/1000))*1000)),"",IF(O1147&lt;fi_h/20,0,(OFFSET('Base de dados'!$A$5,IF(O1147&lt;20,1,IF(O1147&gt;1000,10,MATCH(O1147,Cargas,1))),Coluna_fih,1,1))*(PI()*(fi_h/1000)^2/4)*SQRT(2*9.81*(O1147/100-fi_h/2/1000))*1000))</f>
        <v>4.5169007757068753</v>
      </c>
      <c r="Q1147" s="38">
        <f ca="1">IF(O1147="","",IF(Tipo_Vertedor="Retangular",IF(O1147&lt;=cota_s*100,0,IF(Tipo_Vertedor="Retangular",Cd_sr*Lef_sr*((O1147/100-cota_s)^(3/2))*1000)),IF(O1147&lt;=cota_s*100+fi_s/20,0,(OFFSET('Base de dados'!$A$4,IF(O1147&lt;20,1,IF(O1147&gt;1000,10,MATCH(O1147,Cargas,1))),Coluna_fis,1,1))*(PI()*(fi_s/1000)^2/4)*(2*9.81*(O1147/100-cota_s-fi_s/2/1000))^0.5*1000)))</f>
        <v>3.4412373295781062</v>
      </c>
      <c r="R1147" s="38">
        <f t="shared" ca="1" si="173"/>
        <v>7.9581381052849816</v>
      </c>
      <c r="S1147" s="38">
        <f t="shared" ca="1" si="170"/>
        <v>358.125</v>
      </c>
    </row>
    <row r="1148" spans="13:19">
      <c r="M1148" s="132">
        <f t="shared" ca="1" si="169"/>
        <v>366.40023069861866</v>
      </c>
      <c r="N1148" s="38">
        <f t="shared" si="171"/>
        <v>10.753125000000001</v>
      </c>
      <c r="O1148" s="36">
        <f t="shared" si="172"/>
        <v>286.75</v>
      </c>
      <c r="P1148" s="38">
        <f ca="1">IF(ISERROR(IF(O1148&lt;fi_h/20,0,(OFFSET('Base de dados'!$A$5,IF(O1148&lt;20,1,IF(O1148&gt;1000,10,MATCH(O1148,Cargas,1))),Coluna_fih,1,1))*(1+0.13*0.25)*(PI()*(fi_h/1000)^2/4)*SQRT(2*9.81*(O1148/100-fi_h/2/1000))*1000)),"",IF(O1148&lt;fi_h/20,0,(OFFSET('Base de dados'!$A$5,IF(O1148&lt;20,1,IF(O1148&gt;1000,10,MATCH(O1148,Cargas,1))),Coluna_fih,1,1))*(PI()*(fi_h/1000)^2/4)*SQRT(2*9.81*(O1148/100-fi_h/2/1000))*1000))</f>
        <v>4.5188832464511561</v>
      </c>
      <c r="Q1148" s="38">
        <f ca="1">IF(O1148="","",IF(Tipo_Vertedor="Retangular",IF(O1148&lt;=cota_s*100,0,IF(Tipo_Vertedor="Retangular",Cd_sr*Lef_sr*((O1148/100-cota_s)^(3/2))*1000)),IF(O1148&lt;=cota_s*100+fi_s/20,0,(OFFSET('Base de dados'!$A$4,IF(O1148&lt;20,1,IF(O1148&gt;1000,10,MATCH(O1148,Cargas,1))),Coluna_fis,1,1))*(PI()*(fi_s/1000)^2/4)*(2*9.81*(O1148/100-cota_s-fi_s/2/1000))^0.5*1000)))</f>
        <v>3.4438474521675126</v>
      </c>
      <c r="R1148" s="38">
        <f t="shared" ca="1" si="173"/>
        <v>7.9627306986186692</v>
      </c>
      <c r="S1148" s="38">
        <f t="shared" ca="1" si="170"/>
        <v>358.4375</v>
      </c>
    </row>
    <row r="1149" spans="13:19">
      <c r="M1149" s="132">
        <f t="shared" ca="1" si="169"/>
        <v>366.71732044587026</v>
      </c>
      <c r="N1149" s="38">
        <f t="shared" si="171"/>
        <v>10.762500000000001</v>
      </c>
      <c r="O1149" s="36">
        <f t="shared" si="172"/>
        <v>287</v>
      </c>
      <c r="P1149" s="38">
        <f ca="1">IF(ISERROR(IF(O1149&lt;fi_h/20,0,(OFFSET('Base de dados'!$A$5,IF(O1149&lt;20,1,IF(O1149&gt;1000,10,MATCH(O1149,Cargas,1))),Coluna_fih,1,1))*(1+0.13*0.25)*(PI()*(fi_h/1000)^2/4)*SQRT(2*9.81*(O1149/100-fi_h/2/1000))*1000)),"",IF(O1149&lt;fi_h/20,0,(OFFSET('Base de dados'!$A$5,IF(O1149&lt;20,1,IF(O1149&gt;1000,10,MATCH(O1149,Cargas,1))),Coluna_fih,1,1))*(PI()*(fi_h/1000)^2/4)*SQRT(2*9.81*(O1149/100-fi_h/2/1000))*1000))</f>
        <v>4.5208648478507429</v>
      </c>
      <c r="Q1149" s="38">
        <f ca="1">IF(O1149="","",IF(Tipo_Vertedor="Retangular",IF(O1149&lt;=cota_s*100,0,IF(Tipo_Vertedor="Retangular",Cd_sr*Lef_sr*((O1149/100-cota_s)^(3/2))*1000)),IF(O1149&lt;=cota_s*100+fi_s/20,0,(OFFSET('Base de dados'!$A$4,IF(O1149&lt;20,1,IF(O1149&gt;1000,10,MATCH(O1149,Cargas,1))),Coluna_fis,1,1))*(PI()*(fi_s/1000)^2/4)*(2*9.81*(O1149/100-cota_s-fi_s/2/1000))^0.5*1000)))</f>
        <v>3.4464555980194311</v>
      </c>
      <c r="R1149" s="38">
        <f t="shared" ca="1" si="173"/>
        <v>7.9673204458701736</v>
      </c>
      <c r="S1149" s="38">
        <f t="shared" ca="1" si="170"/>
        <v>358.75000000000006</v>
      </c>
    </row>
    <row r="1150" spans="13:19">
      <c r="M1150" s="132">
        <f t="shared" ca="1" si="169"/>
        <v>367.03440735266651</v>
      </c>
      <c r="N1150" s="38">
        <f t="shared" si="171"/>
        <v>10.771875</v>
      </c>
      <c r="O1150" s="36">
        <f t="shared" si="172"/>
        <v>287.25</v>
      </c>
      <c r="P1150" s="38">
        <f ca="1">IF(ISERROR(IF(O1150&lt;fi_h/20,0,(OFFSET('Base de dados'!$A$5,IF(O1150&lt;20,1,IF(O1150&gt;1000,10,MATCH(O1150,Cargas,1))),Coluna_fih,1,1))*(1+0.13*0.25)*(PI()*(fi_h/1000)^2/4)*SQRT(2*9.81*(O1150/100-fi_h/2/1000))*1000)),"",IF(O1150&lt;fi_h/20,0,(OFFSET('Base de dados'!$A$5,IF(O1150&lt;20,1,IF(O1150&gt;1000,10,MATCH(O1150,Cargas,1))),Coluna_fih,1,1))*(PI()*(fi_h/1000)^2/4)*SQRT(2*9.81*(O1150/100-fi_h/2/1000))*1000))</f>
        <v>4.5228455810482959</v>
      </c>
      <c r="Q1150" s="38">
        <f ca="1">IF(O1150="","",IF(Tipo_Vertedor="Retangular",IF(O1150&lt;=cota_s*100,0,IF(Tipo_Vertedor="Retangular",Cd_sr*Lef_sr*((O1150/100-cota_s)^(3/2))*1000)),IF(O1150&lt;=cota_s*100+fi_s/20,0,(OFFSET('Base de dados'!$A$4,IF(O1150&lt;20,1,IF(O1150&gt;1000,10,MATCH(O1150,Cargas,1))),Coluna_fis,1,1))*(PI()*(fi_s/1000)^2/4)*(2*9.81*(O1150/100-cota_s-fi_s/2/1000))^0.5*1000)))</f>
        <v>3.4490617716182297</v>
      </c>
      <c r="R1150" s="38">
        <f t="shared" ca="1" si="173"/>
        <v>7.9719073526665252</v>
      </c>
      <c r="S1150" s="38">
        <f t="shared" ca="1" si="170"/>
        <v>359.0625</v>
      </c>
    </row>
    <row r="1151" spans="13:19">
      <c r="M1151" s="132">
        <f t="shared" ca="1" si="169"/>
        <v>367.35149142461535</v>
      </c>
      <c r="N1151" s="38">
        <f t="shared" si="171"/>
        <v>10.78125</v>
      </c>
      <c r="O1151" s="36">
        <f t="shared" si="172"/>
        <v>287.5</v>
      </c>
      <c r="P1151" s="38">
        <f ca="1">IF(ISERROR(IF(O1151&lt;fi_h/20,0,(OFFSET('Base de dados'!$A$5,IF(O1151&lt;20,1,IF(O1151&gt;1000,10,MATCH(O1151,Cargas,1))),Coluna_fih,1,1))*(1+0.13*0.25)*(PI()*(fi_h/1000)^2/4)*SQRT(2*9.81*(O1151/100-fi_h/2/1000))*1000)),"",IF(O1151&lt;fi_h/20,0,(OFFSET('Base de dados'!$A$5,IF(O1151&lt;20,1,IF(O1151&gt;1000,10,MATCH(O1151,Cargas,1))),Coluna_fih,1,1))*(PI()*(fi_h/1000)^2/4)*SQRT(2*9.81*(O1151/100-fi_h/2/1000))*1000))</f>
        <v>4.5248254471839759</v>
      </c>
      <c r="Q1151" s="38">
        <f ca="1">IF(O1151="","",IF(Tipo_Vertedor="Retangular",IF(O1151&lt;=cota_s*100,0,IF(Tipo_Vertedor="Retangular",Cd_sr*Lef_sr*((O1151/100-cota_s)^(3/2))*1000)),IF(O1151&lt;=cota_s*100+fi_s/20,0,(OFFSET('Base de dados'!$A$4,IF(O1151&lt;20,1,IF(O1151&gt;1000,10,MATCH(O1151,Cargas,1))),Coluna_fis,1,1))*(PI()*(fi_s/1000)^2/4)*(2*9.81*(O1151/100-cota_s-fi_s/2/1000))^0.5*1000)))</f>
        <v>3.4516659774313458</v>
      </c>
      <c r="R1151" s="38">
        <f t="shared" ca="1" si="173"/>
        <v>7.9764914246153218</v>
      </c>
      <c r="S1151" s="38">
        <f t="shared" ca="1" si="170"/>
        <v>359.375</v>
      </c>
    </row>
    <row r="1152" spans="13:19">
      <c r="M1152" s="132">
        <f t="shared" ca="1" si="169"/>
        <v>367.66857266730483</v>
      </c>
      <c r="N1152" s="38">
        <f t="shared" si="171"/>
        <v>10.790625</v>
      </c>
      <c r="O1152" s="36">
        <f t="shared" si="172"/>
        <v>287.75</v>
      </c>
      <c r="P1152" s="38">
        <f ca="1">IF(ISERROR(IF(O1152&lt;fi_h/20,0,(OFFSET('Base de dados'!$A$5,IF(O1152&lt;20,1,IF(O1152&gt;1000,10,MATCH(O1152,Cargas,1))),Coluna_fih,1,1))*(1+0.13*0.25)*(PI()*(fi_h/1000)^2/4)*SQRT(2*9.81*(O1152/100-fi_h/2/1000))*1000)),"",IF(O1152&lt;fi_h/20,0,(OFFSET('Base de dados'!$A$5,IF(O1152&lt;20,1,IF(O1152&gt;1000,10,MATCH(O1152,Cargas,1))),Coluna_fih,1,1))*(PI()*(fi_h/1000)^2/4)*SQRT(2*9.81*(O1152/100-fi_h/2/1000))*1000))</f>
        <v>4.5268044473954516</v>
      </c>
      <c r="Q1152" s="38">
        <f ca="1">IF(O1152="","",IF(Tipo_Vertedor="Retangular",IF(O1152&lt;=cota_s*100,0,IF(Tipo_Vertedor="Retangular",Cd_sr*Lef_sr*((O1152/100-cota_s)^(3/2))*1000)),IF(O1152&lt;=cota_s*100+fi_s/20,0,(OFFSET('Base de dados'!$A$4,IF(O1152&lt;20,1,IF(O1152&gt;1000,10,MATCH(O1152,Cargas,1))),Coluna_fis,1,1))*(PI()*(fi_s/1000)^2/4)*(2*9.81*(O1152/100-cota_s-fi_s/2/1000))^0.5*1000)))</f>
        <v>3.4542682199093777</v>
      </c>
      <c r="R1152" s="38">
        <f t="shared" ca="1" si="173"/>
        <v>7.9810726673048293</v>
      </c>
      <c r="S1152" s="38">
        <f t="shared" ca="1" si="170"/>
        <v>359.6875</v>
      </c>
    </row>
    <row r="1153" spans="13:19">
      <c r="M1153" s="132">
        <f t="shared" ca="1" si="169"/>
        <v>367.98565108630402</v>
      </c>
      <c r="N1153" s="38">
        <f t="shared" si="171"/>
        <v>10.799999999999999</v>
      </c>
      <c r="O1153" s="36">
        <f t="shared" si="172"/>
        <v>288</v>
      </c>
      <c r="P1153" s="38">
        <f ca="1">IF(ISERROR(IF(O1153&lt;fi_h/20,0,(OFFSET('Base de dados'!$A$5,IF(O1153&lt;20,1,IF(O1153&gt;1000,10,MATCH(O1153,Cargas,1))),Coluna_fih,1,1))*(1+0.13*0.25)*(PI()*(fi_h/1000)^2/4)*SQRT(2*9.81*(O1153/100-fi_h/2/1000))*1000)),"",IF(O1153&lt;fi_h/20,0,(OFFSET('Base de dados'!$A$5,IF(O1153&lt;20,1,IF(O1153&gt;1000,10,MATCH(O1153,Cargas,1))),Coluna_fih,1,1))*(PI()*(fi_h/1000)^2/4)*SQRT(2*9.81*(O1153/100-fi_h/2/1000))*1000))</f>
        <v>4.5287825828179056</v>
      </c>
      <c r="Q1153" s="38">
        <f ca="1">IF(O1153="","",IF(Tipo_Vertedor="Retangular",IF(O1153&lt;=cota_s*100,0,IF(Tipo_Vertedor="Retangular",Cd_sr*Lef_sr*((O1153/100-cota_s)^(3/2))*1000)),IF(O1153&lt;=cota_s*100+fi_s/20,0,(OFFSET('Base de dados'!$A$4,IF(O1153&lt;20,1,IF(O1153&gt;1000,10,MATCH(O1153,Cargas,1))),Coluna_fis,1,1))*(PI()*(fi_s/1000)^2/4)*(2*9.81*(O1153/100-cota_s-fi_s/2/1000))^0.5*1000)))</f>
        <v>3.4568685034861688</v>
      </c>
      <c r="R1153" s="38">
        <f t="shared" ca="1" si="173"/>
        <v>7.9856510863040739</v>
      </c>
      <c r="S1153" s="38">
        <f t="shared" ca="1" si="170"/>
        <v>359.99999999999994</v>
      </c>
    </row>
    <row r="1154" spans="13:19">
      <c r="M1154" s="132">
        <f t="shared" ca="1" si="169"/>
        <v>368.30272668716293</v>
      </c>
      <c r="N1154" s="38">
        <f t="shared" si="171"/>
        <v>10.809374999999999</v>
      </c>
      <c r="O1154" s="36">
        <f t="shared" si="172"/>
        <v>288.25</v>
      </c>
      <c r="P1154" s="38">
        <f ca="1">IF(ISERROR(IF(O1154&lt;fi_h/20,0,(OFFSET('Base de dados'!$A$5,IF(O1154&lt;20,1,IF(O1154&gt;1000,10,MATCH(O1154,Cargas,1))),Coluna_fih,1,1))*(1+0.13*0.25)*(PI()*(fi_h/1000)^2/4)*SQRT(2*9.81*(O1154/100-fi_h/2/1000))*1000)),"",IF(O1154&lt;fi_h/20,0,(OFFSET('Base de dados'!$A$5,IF(O1154&lt;20,1,IF(O1154&gt;1000,10,MATCH(O1154,Cargas,1))),Coluna_fih,1,1))*(PI()*(fi_h/1000)^2/4)*SQRT(2*9.81*(O1154/100-fi_h/2/1000))*1000))</f>
        <v>4.5307598545840406</v>
      </c>
      <c r="Q1154" s="38">
        <f ca="1">IF(O1154="","",IF(Tipo_Vertedor="Retangular",IF(O1154&lt;=cota_s*100,0,IF(Tipo_Vertedor="Retangular",Cd_sr*Lef_sr*((O1154/100-cota_s)^(3/2))*1000)),IF(O1154&lt;=cota_s*100+fi_s/20,0,(OFFSET('Base de dados'!$A$4,IF(O1154&lt;20,1,IF(O1154&gt;1000,10,MATCH(O1154,Cargas,1))),Coluna_fis,1,1))*(PI()*(fi_s/1000)^2/4)*(2*9.81*(O1154/100-cota_s-fi_s/2/1000))^0.5*1000)))</f>
        <v>3.459466832578904</v>
      </c>
      <c r="R1154" s="38">
        <f t="shared" ca="1" si="173"/>
        <v>7.990226687162945</v>
      </c>
      <c r="S1154" s="38">
        <f t="shared" ca="1" si="170"/>
        <v>360.3125</v>
      </c>
    </row>
    <row r="1155" spans="13:19">
      <c r="M1155" s="132">
        <f t="shared" ca="1" si="169"/>
        <v>368.61979947541226</v>
      </c>
      <c r="N1155" s="38">
        <f t="shared" si="171"/>
        <v>10.81875</v>
      </c>
      <c r="O1155" s="36">
        <f t="shared" si="172"/>
        <v>288.5</v>
      </c>
      <c r="P1155" s="38">
        <f ca="1">IF(ISERROR(IF(O1155&lt;fi_h/20,0,(OFFSET('Base de dados'!$A$5,IF(O1155&lt;20,1,IF(O1155&gt;1000,10,MATCH(O1155,Cargas,1))),Coluna_fih,1,1))*(1+0.13*0.25)*(PI()*(fi_h/1000)^2/4)*SQRT(2*9.81*(O1155/100-fi_h/2/1000))*1000)),"",IF(O1155&lt;fi_h/20,0,(OFFSET('Base de dados'!$A$5,IF(O1155&lt;20,1,IF(O1155&gt;1000,10,MATCH(O1155,Cargas,1))),Coluna_fih,1,1))*(PI()*(fi_h/1000)^2/4)*SQRT(2*9.81*(O1155/100-fi_h/2/1000))*1000))</f>
        <v>4.5327362638240905</v>
      </c>
      <c r="Q1155" s="38">
        <f ca="1">IF(O1155="","",IF(Tipo_Vertedor="Retangular",IF(O1155&lt;=cota_s*100,0,IF(Tipo_Vertedor="Retangular",Cd_sr*Lef_sr*((O1155/100-cota_s)^(3/2))*1000)),IF(O1155&lt;=cota_s*100+fi_s/20,0,(OFFSET('Base de dados'!$A$4,IF(O1155&lt;20,1,IF(O1155&gt;1000,10,MATCH(O1155,Cargas,1))),Coluna_fis,1,1))*(PI()*(fi_s/1000)^2/4)*(2*9.81*(O1155/100-cota_s-fi_s/2/1000))^0.5*1000)))</f>
        <v>3.4620632115881884</v>
      </c>
      <c r="R1155" s="38">
        <f t="shared" ca="1" si="173"/>
        <v>7.9947994754122789</v>
      </c>
      <c r="S1155" s="38">
        <f t="shared" ca="1" si="170"/>
        <v>360.625</v>
      </c>
    </row>
    <row r="1156" spans="13:19">
      <c r="M1156" s="132">
        <f t="shared" ca="1" si="169"/>
        <v>368.93686945656395</v>
      </c>
      <c r="N1156" s="38">
        <f t="shared" si="171"/>
        <v>10.828125</v>
      </c>
      <c r="O1156" s="36">
        <f t="shared" si="172"/>
        <v>288.75</v>
      </c>
      <c r="P1156" s="38">
        <f ca="1">IF(ISERROR(IF(O1156&lt;fi_h/20,0,(OFFSET('Base de dados'!$A$5,IF(O1156&lt;20,1,IF(O1156&gt;1000,10,MATCH(O1156,Cargas,1))),Coluna_fih,1,1))*(1+0.13*0.25)*(PI()*(fi_h/1000)^2/4)*SQRT(2*9.81*(O1156/100-fi_h/2/1000))*1000)),"",IF(O1156&lt;fi_h/20,0,(OFFSET('Base de dados'!$A$5,IF(O1156&lt;20,1,IF(O1156&gt;1000,10,MATCH(O1156,Cargas,1))),Coluna_fih,1,1))*(PI()*(fi_h/1000)^2/4)*SQRT(2*9.81*(O1156/100-fi_h/2/1000))*1000))</f>
        <v>4.5347118116658249</v>
      </c>
      <c r="Q1156" s="38">
        <f ca="1">IF(O1156="","",IF(Tipo_Vertedor="Retangular",IF(O1156&lt;=cota_s*100,0,IF(Tipo_Vertedor="Retangular",Cd_sr*Lef_sr*((O1156/100-cota_s)^(3/2))*1000)),IF(O1156&lt;=cota_s*100+fi_s/20,0,(OFFSET('Base de dados'!$A$4,IF(O1156&lt;20,1,IF(O1156&gt;1000,10,MATCH(O1156,Cargas,1))),Coluna_fis,1,1))*(PI()*(fi_s/1000)^2/4)*(2*9.81*(O1156/100-cota_s-fi_s/2/1000))^0.5*1000)))</f>
        <v>3.464657644898141</v>
      </c>
      <c r="R1156" s="38">
        <f t="shared" ca="1" si="173"/>
        <v>7.9993694565639659</v>
      </c>
      <c r="S1156" s="38">
        <f t="shared" ca="1" si="170"/>
        <v>360.9375</v>
      </c>
    </row>
    <row r="1157" spans="13:19">
      <c r="M1157" s="132">
        <f t="shared" ref="M1157:M1174" ca="1" si="174">IF(O1157="","",2*N1157*1000/(Passo*60)+R1157)</f>
        <v>369.25393663611101</v>
      </c>
      <c r="N1157" s="38">
        <f t="shared" si="171"/>
        <v>10.8375</v>
      </c>
      <c r="O1157" s="36">
        <f t="shared" si="172"/>
        <v>289</v>
      </c>
      <c r="P1157" s="38">
        <f ca="1">IF(ISERROR(IF(O1157&lt;fi_h/20,0,(OFFSET('Base de dados'!$A$5,IF(O1157&lt;20,1,IF(O1157&gt;1000,10,MATCH(O1157,Cargas,1))),Coluna_fih,1,1))*(1+0.13*0.25)*(PI()*(fi_h/1000)^2/4)*SQRT(2*9.81*(O1157/100-fi_h/2/1000))*1000)),"",IF(O1157&lt;fi_h/20,0,(OFFSET('Base de dados'!$A$5,IF(O1157&lt;20,1,IF(O1157&gt;1000,10,MATCH(O1157,Cargas,1))),Coluna_fih,1,1))*(PI()*(fi_h/1000)^2/4)*SQRT(2*9.81*(O1157/100-fi_h/2/1000))*1000))</f>
        <v>4.536686499234559</v>
      </c>
      <c r="Q1157" s="38">
        <f ca="1">IF(O1157="","",IF(Tipo_Vertedor="Retangular",IF(O1157&lt;=cota_s*100,0,IF(Tipo_Vertedor="Retangular",Cd_sr*Lef_sr*((O1157/100-cota_s)^(3/2))*1000)),IF(O1157&lt;=cota_s*100+fi_s/20,0,(OFFSET('Base de dados'!$A$4,IF(O1157&lt;20,1,IF(O1157&gt;1000,10,MATCH(O1157,Cargas,1))),Coluna_fis,1,1))*(PI()*(fi_s/1000)^2/4)*(2*9.81*(O1157/100-cota_s-fi_s/2/1000))^0.5*1000)))</f>
        <v>3.4672501368764759</v>
      </c>
      <c r="R1157" s="38">
        <f t="shared" ca="1" si="173"/>
        <v>8.0039366361110353</v>
      </c>
      <c r="S1157" s="38">
        <f t="shared" ref="S1157:S1174" ca="1" si="175">IF(M1157="","",2*N1157*1000/(Passo*60))</f>
        <v>361.25</v>
      </c>
    </row>
    <row r="1158" spans="13:19">
      <c r="M1158" s="132">
        <f t="shared" ca="1" si="174"/>
        <v>369.57100101952773</v>
      </c>
      <c r="N1158" s="38">
        <f t="shared" ref="N1158:N1174" si="176">IF(O1158="","",b_0*(O1158/100)^c_0)</f>
        <v>10.846875000000001</v>
      </c>
      <c r="O1158" s="36">
        <f t="shared" si="172"/>
        <v>289.25</v>
      </c>
      <c r="P1158" s="38">
        <f ca="1">IF(ISERROR(IF(O1158&lt;fi_h/20,0,(OFFSET('Base de dados'!$A$5,IF(O1158&lt;20,1,IF(O1158&gt;1000,10,MATCH(O1158,Cargas,1))),Coluna_fih,1,1))*(1+0.13*0.25)*(PI()*(fi_h/1000)^2/4)*SQRT(2*9.81*(O1158/100-fi_h/2/1000))*1000)),"",IF(O1158&lt;fi_h/20,0,(OFFSET('Base de dados'!$A$5,IF(O1158&lt;20,1,IF(O1158&gt;1000,10,MATCH(O1158,Cargas,1))),Coluna_fih,1,1))*(PI()*(fi_h/1000)^2/4)*SQRT(2*9.81*(O1158/100-fi_h/2/1000))*1000))</f>
        <v>4.5386603276531607</v>
      </c>
      <c r="Q1158" s="38">
        <f ca="1">IF(O1158="","",IF(Tipo_Vertedor="Retangular",IF(O1158&lt;=cota_s*100,0,IF(Tipo_Vertedor="Retangular",Cd_sr*Lef_sr*((O1158/100-cota_s)^(3/2))*1000)),IF(O1158&lt;=cota_s*100+fi_s/20,0,(OFFSET('Base de dados'!$A$4,IF(O1158&lt;20,1,IF(O1158&gt;1000,10,MATCH(O1158,Cargas,1))),Coluna_fis,1,1))*(PI()*(fi_s/1000)^2/4)*(2*9.81*(O1158/100-cota_s-fi_s/2/1000))^0.5*1000)))</f>
        <v>3.4698406918745919</v>
      </c>
      <c r="R1158" s="38">
        <f t="shared" ca="1" si="173"/>
        <v>8.0085010195277526</v>
      </c>
      <c r="S1158" s="38">
        <f t="shared" ca="1" si="175"/>
        <v>361.5625</v>
      </c>
    </row>
    <row r="1159" spans="13:19">
      <c r="M1159" s="132">
        <f t="shared" ca="1" si="174"/>
        <v>369.88806261226972</v>
      </c>
      <c r="N1159" s="38">
        <f t="shared" si="176"/>
        <v>10.856249999999999</v>
      </c>
      <c r="O1159" s="36">
        <f t="shared" si="172"/>
        <v>289.5</v>
      </c>
      <c r="P1159" s="38">
        <f ca="1">IF(ISERROR(IF(O1159&lt;fi_h/20,0,(OFFSET('Base de dados'!$A$5,IF(O1159&lt;20,1,IF(O1159&gt;1000,10,MATCH(O1159,Cargas,1))),Coluna_fih,1,1))*(1+0.13*0.25)*(PI()*(fi_h/1000)^2/4)*SQRT(2*9.81*(O1159/100-fi_h/2/1000))*1000)),"",IF(O1159&lt;fi_h/20,0,(OFFSET('Base de dados'!$A$5,IF(O1159&lt;20,1,IF(O1159&gt;1000,10,MATCH(O1159,Cargas,1))),Coluna_fih,1,1))*(PI()*(fi_h/1000)^2/4)*SQRT(2*9.81*(O1159/100-fi_h/2/1000))*1000))</f>
        <v>4.5406332980420547</v>
      </c>
      <c r="Q1159" s="38">
        <f ca="1">IF(O1159="","",IF(Tipo_Vertedor="Retangular",IF(O1159&lt;=cota_s*100,0,IF(Tipo_Vertedor="Retangular",Cd_sr*Lef_sr*((O1159/100-cota_s)^(3/2))*1000)),IF(O1159&lt;=cota_s*100+fi_s/20,0,(OFFSET('Base de dados'!$A$4,IF(O1159&lt;20,1,IF(O1159&gt;1000,10,MATCH(O1159,Cargas,1))),Coluna_fis,1,1))*(PI()*(fi_s/1000)^2/4)*(2*9.81*(O1159/100-cota_s-fi_s/2/1000))^0.5*1000)))</f>
        <v>3.4724293142276568</v>
      </c>
      <c r="R1159" s="38">
        <f t="shared" ca="1" si="173"/>
        <v>8.0130626122697119</v>
      </c>
      <c r="S1159" s="38">
        <f t="shared" ca="1" si="175"/>
        <v>361.875</v>
      </c>
    </row>
    <row r="1160" spans="13:19">
      <c r="M1160" s="132">
        <f t="shared" ca="1" si="174"/>
        <v>370.20512141977395</v>
      </c>
      <c r="N1160" s="38">
        <f t="shared" si="176"/>
        <v>10.865625</v>
      </c>
      <c r="O1160" s="36">
        <f t="shared" si="172"/>
        <v>289.75</v>
      </c>
      <c r="P1160" s="38">
        <f ca="1">IF(ISERROR(IF(O1160&lt;fi_h/20,0,(OFFSET('Base de dados'!$A$5,IF(O1160&lt;20,1,IF(O1160&gt;1000,10,MATCH(O1160,Cargas,1))),Coluna_fih,1,1))*(1+0.13*0.25)*(PI()*(fi_h/1000)^2/4)*SQRT(2*9.81*(O1160/100-fi_h/2/1000))*1000)),"",IF(O1160&lt;fi_h/20,0,(OFFSET('Base de dados'!$A$5,IF(O1160&lt;20,1,IF(O1160&gt;1000,10,MATCH(O1160,Cargas,1))),Coluna_fih,1,1))*(PI()*(fi_h/1000)^2/4)*SQRT(2*9.81*(O1160/100-fi_h/2/1000))*1000))</f>
        <v>4.5426054115192365</v>
      </c>
      <c r="Q1160" s="38">
        <f ca="1">IF(O1160="","",IF(Tipo_Vertedor="Retangular",IF(O1160&lt;=cota_s*100,0,IF(Tipo_Vertedor="Retangular",Cd_sr*Lef_sr*((O1160/100-cota_s)^(3/2))*1000)),IF(O1160&lt;=cota_s*100+fi_s/20,0,(OFFSET('Base de dados'!$A$4,IF(O1160&lt;20,1,IF(O1160&gt;1000,10,MATCH(O1160,Cargas,1))),Coluna_fis,1,1))*(PI()*(fi_s/1000)^2/4)*(2*9.81*(O1160/100-cota_s-fi_s/2/1000))^0.5*1000)))</f>
        <v>3.4750160082546904</v>
      </c>
      <c r="R1160" s="38">
        <f t="shared" ca="1" si="173"/>
        <v>8.0176214197739277</v>
      </c>
      <c r="S1160" s="38">
        <f t="shared" ca="1" si="175"/>
        <v>362.1875</v>
      </c>
    </row>
    <row r="1161" spans="13:19">
      <c r="M1161" s="132">
        <f t="shared" ca="1" si="174"/>
        <v>370.52217744745894</v>
      </c>
      <c r="N1161" s="38">
        <f t="shared" si="176"/>
        <v>10.875</v>
      </c>
      <c r="O1161" s="36">
        <f t="shared" si="172"/>
        <v>290</v>
      </c>
      <c r="P1161" s="38">
        <f ca="1">IF(ISERROR(IF(O1161&lt;fi_h/20,0,(OFFSET('Base de dados'!$A$5,IF(O1161&lt;20,1,IF(O1161&gt;1000,10,MATCH(O1161,Cargas,1))),Coluna_fih,1,1))*(1+0.13*0.25)*(PI()*(fi_h/1000)^2/4)*SQRT(2*9.81*(O1161/100-fi_h/2/1000))*1000)),"",IF(O1161&lt;fi_h/20,0,(OFFSET('Base de dados'!$A$5,IF(O1161&lt;20,1,IF(O1161&gt;1000,10,MATCH(O1161,Cargas,1))),Coluna_fih,1,1))*(PI()*(fi_h/1000)^2/4)*SQRT(2*9.81*(O1161/100-fi_h/2/1000))*1000))</f>
        <v>4.5445766692002705</v>
      </c>
      <c r="Q1161" s="38">
        <f ca="1">IF(O1161="","",IF(Tipo_Vertedor="Retangular",IF(O1161&lt;=cota_s*100,0,IF(Tipo_Vertedor="Retangular",Cd_sr*Lef_sr*((O1161/100-cota_s)^(3/2))*1000)),IF(O1161&lt;=cota_s*100+fi_s/20,0,(OFFSET('Base de dados'!$A$4,IF(O1161&lt;20,1,IF(O1161&gt;1000,10,MATCH(O1161,Cargas,1))),Coluna_fis,1,1))*(PI()*(fi_s/1000)^2/4)*(2*9.81*(O1161/100-cota_s-fi_s/2/1000))^0.5*1000)))</f>
        <v>3.4776007782586507</v>
      </c>
      <c r="R1161" s="38">
        <f t="shared" ca="1" si="173"/>
        <v>8.0221774474589207</v>
      </c>
      <c r="S1161" s="38">
        <f t="shared" ca="1" si="175"/>
        <v>362.5</v>
      </c>
    </row>
    <row r="1162" spans="13:19">
      <c r="M1162" s="132">
        <f t="shared" ca="1" si="174"/>
        <v>370.83923070072478</v>
      </c>
      <c r="N1162" s="38">
        <f t="shared" si="176"/>
        <v>10.884374999999999</v>
      </c>
      <c r="O1162" s="36">
        <f t="shared" si="172"/>
        <v>290.25</v>
      </c>
      <c r="P1162" s="38">
        <f ca="1">IF(ISERROR(IF(O1162&lt;fi_h/20,0,(OFFSET('Base de dados'!$A$5,IF(O1162&lt;20,1,IF(O1162&gt;1000,10,MATCH(O1162,Cargas,1))),Coluna_fih,1,1))*(1+0.13*0.25)*(PI()*(fi_h/1000)^2/4)*SQRT(2*9.81*(O1162/100-fi_h/2/1000))*1000)),"",IF(O1162&lt;fi_h/20,0,(OFFSET('Base de dados'!$A$5,IF(O1162&lt;20,1,IF(O1162&gt;1000,10,MATCH(O1162,Cargas,1))),Coluna_fih,1,1))*(PI()*(fi_h/1000)^2/4)*SQRT(2*9.81*(O1162/100-fi_h/2/1000))*1000))</f>
        <v>4.5465470721983072</v>
      </c>
      <c r="Q1162" s="38">
        <f ca="1">IF(O1162="","",IF(Tipo_Vertedor="Retangular",IF(O1162&lt;=cota_s*100,0,IF(Tipo_Vertedor="Retangular",Cd_sr*Lef_sr*((O1162/100-cota_s)^(3/2))*1000)),IF(O1162&lt;=cota_s*100+fi_s/20,0,(OFFSET('Base de dados'!$A$4,IF(O1162&lt;20,1,IF(O1162&gt;1000,10,MATCH(O1162,Cargas,1))),Coluna_fis,1,1))*(PI()*(fi_s/1000)^2/4)*(2*9.81*(O1162/100-cota_s-fi_s/2/1000))^0.5*1000)))</f>
        <v>3.4801836285265146</v>
      </c>
      <c r="R1162" s="38">
        <f t="shared" ca="1" si="173"/>
        <v>8.0267307007248228</v>
      </c>
      <c r="S1162" s="38">
        <f t="shared" ca="1" si="175"/>
        <v>362.81249999999994</v>
      </c>
    </row>
    <row r="1163" spans="13:19">
      <c r="M1163" s="132">
        <f t="shared" ca="1" si="174"/>
        <v>371.1562811849534</v>
      </c>
      <c r="N1163" s="38">
        <f t="shared" si="176"/>
        <v>10.893749999999999</v>
      </c>
      <c r="O1163" s="36">
        <f t="shared" si="172"/>
        <v>290.5</v>
      </c>
      <c r="P1163" s="38">
        <f ca="1">IF(ISERROR(IF(O1163&lt;fi_h/20,0,(OFFSET('Base de dados'!$A$5,IF(O1163&lt;20,1,IF(O1163&gt;1000,10,MATCH(O1163,Cargas,1))),Coluna_fih,1,1))*(1+0.13*0.25)*(PI()*(fi_h/1000)^2/4)*SQRT(2*9.81*(O1163/100-fi_h/2/1000))*1000)),"",IF(O1163&lt;fi_h/20,0,(OFFSET('Base de dados'!$A$5,IF(O1163&lt;20,1,IF(O1163&gt;1000,10,MATCH(O1163,Cargas,1))),Coluna_fih,1,1))*(PI()*(fi_h/1000)^2/4)*SQRT(2*9.81*(O1163/100-fi_h/2/1000))*1000))</f>
        <v>4.5485166216240849</v>
      </c>
      <c r="Q1163" s="38">
        <f ca="1">IF(O1163="","",IF(Tipo_Vertedor="Retangular",IF(O1163&lt;=cota_s*100,0,IF(Tipo_Vertedor="Retangular",Cd_sr*Lef_sr*((O1163/100-cota_s)^(3/2))*1000)),IF(O1163&lt;=cota_s*100+fi_s/20,0,(OFFSET('Base de dados'!$A$4,IF(O1163&lt;20,1,IF(O1163&gt;1000,10,MATCH(O1163,Cargas,1))),Coluna_fis,1,1))*(PI()*(fi_s/1000)^2/4)*(2*9.81*(O1163/100-cota_s-fi_s/2/1000))^0.5*1000)))</f>
        <v>3.4827645633293653</v>
      </c>
      <c r="R1163" s="38">
        <f t="shared" ca="1" si="173"/>
        <v>8.0312811849534498</v>
      </c>
      <c r="S1163" s="38">
        <f t="shared" ca="1" si="175"/>
        <v>363.12499999999994</v>
      </c>
    </row>
    <row r="1164" spans="13:19">
      <c r="M1164" s="132">
        <f t="shared" ca="1" si="174"/>
        <v>371.47332890550848</v>
      </c>
      <c r="N1164" s="38">
        <f t="shared" si="176"/>
        <v>10.903125000000001</v>
      </c>
      <c r="O1164" s="36">
        <f t="shared" si="172"/>
        <v>290.75</v>
      </c>
      <c r="P1164" s="38">
        <f ca="1">IF(ISERROR(IF(O1164&lt;fi_h/20,0,(OFFSET('Base de dados'!$A$5,IF(O1164&lt;20,1,IF(O1164&gt;1000,10,MATCH(O1164,Cargas,1))),Coluna_fih,1,1))*(1+0.13*0.25)*(PI()*(fi_h/1000)^2/4)*SQRT(2*9.81*(O1164/100-fi_h/2/1000))*1000)),"",IF(O1164&lt;fi_h/20,0,(OFFSET('Base de dados'!$A$5,IF(O1164&lt;20,1,IF(O1164&gt;1000,10,MATCH(O1164,Cargas,1))),Coluna_fih,1,1))*(PI()*(fi_h/1000)^2/4)*SQRT(2*9.81*(O1164/100-fi_h/2/1000))*1000))</f>
        <v>4.5504853185859364</v>
      </c>
      <c r="Q1164" s="38">
        <f ca="1">IF(O1164="","",IF(Tipo_Vertedor="Retangular",IF(O1164&lt;=cota_s*100,0,IF(Tipo_Vertedor="Retangular",Cd_sr*Lef_sr*((O1164/100-cota_s)^(3/2))*1000)),IF(O1164&lt;=cota_s*100+fi_s/20,0,(OFFSET('Base de dados'!$A$4,IF(O1164&lt;20,1,IF(O1164&gt;1000,10,MATCH(O1164,Cargas,1))),Coluna_fis,1,1))*(PI()*(fi_s/1000)^2/4)*(2*9.81*(O1164/100-cota_s-fi_s/2/1000))^0.5*1000)))</f>
        <v>3.4853435869224709</v>
      </c>
      <c r="R1164" s="38">
        <f t="shared" ca="1" si="173"/>
        <v>8.0358289055084065</v>
      </c>
      <c r="S1164" s="38">
        <f t="shared" ca="1" si="175"/>
        <v>363.43750000000006</v>
      </c>
    </row>
    <row r="1165" spans="13:19">
      <c r="M1165" s="132">
        <f t="shared" ca="1" si="174"/>
        <v>371.79037386773524</v>
      </c>
      <c r="N1165" s="38">
        <f t="shared" si="176"/>
        <v>10.912500000000001</v>
      </c>
      <c r="O1165" s="36">
        <f t="shared" si="172"/>
        <v>291</v>
      </c>
      <c r="P1165" s="38">
        <f ca="1">IF(ISERROR(IF(O1165&lt;fi_h/20,0,(OFFSET('Base de dados'!$A$5,IF(O1165&lt;20,1,IF(O1165&gt;1000,10,MATCH(O1165,Cargas,1))),Coluna_fih,1,1))*(1+0.13*0.25)*(PI()*(fi_h/1000)^2/4)*SQRT(2*9.81*(O1165/100-fi_h/2/1000))*1000)),"",IF(O1165&lt;fi_h/20,0,(OFFSET('Base de dados'!$A$5,IF(O1165&lt;20,1,IF(O1165&gt;1000,10,MATCH(O1165,Cargas,1))),Coluna_fih,1,1))*(PI()*(fi_h/1000)^2/4)*SQRT(2*9.81*(O1165/100-fi_h/2/1000))*1000))</f>
        <v>4.5524531641898003</v>
      </c>
      <c r="Q1165" s="38">
        <f ca="1">IF(O1165="","",IF(Tipo_Vertedor="Retangular",IF(O1165&lt;=cota_s*100,0,IF(Tipo_Vertedor="Retangular",Cd_sr*Lef_sr*((O1165/100-cota_s)^(3/2))*1000)),IF(O1165&lt;=cota_s*100+fi_s/20,0,(OFFSET('Base de dados'!$A$4,IF(O1165&lt;20,1,IF(O1165&gt;1000,10,MATCH(O1165,Cargas,1))),Coluna_fis,1,1))*(PI()*(fi_s/1000)^2/4)*(2*9.81*(O1165/100-cota_s-fi_s/2/1000))^0.5*1000)))</f>
        <v>3.4879207035453668</v>
      </c>
      <c r="R1165" s="38">
        <f t="shared" ca="1" si="173"/>
        <v>8.0403738677351662</v>
      </c>
      <c r="S1165" s="38">
        <f t="shared" ca="1" si="175"/>
        <v>363.75000000000006</v>
      </c>
    </row>
    <row r="1166" spans="13:19">
      <c r="M1166" s="132">
        <f t="shared" ca="1" si="174"/>
        <v>372.10741607696116</v>
      </c>
      <c r="N1166" s="38">
        <f t="shared" si="176"/>
        <v>10.921875</v>
      </c>
      <c r="O1166" s="36">
        <f t="shared" si="172"/>
        <v>291.25</v>
      </c>
      <c r="P1166" s="38">
        <f ca="1">IF(ISERROR(IF(O1166&lt;fi_h/20,0,(OFFSET('Base de dados'!$A$5,IF(O1166&lt;20,1,IF(O1166&gt;1000,10,MATCH(O1166,Cargas,1))),Coluna_fih,1,1))*(1+0.13*0.25)*(PI()*(fi_h/1000)^2/4)*SQRT(2*9.81*(O1166/100-fi_h/2/1000))*1000)),"",IF(O1166&lt;fi_h/20,0,(OFFSET('Base de dados'!$A$5,IF(O1166&lt;20,1,IF(O1166&gt;1000,10,MATCH(O1166,Cargas,1))),Coluna_fih,1,1))*(PI()*(fi_h/1000)^2/4)*SQRT(2*9.81*(O1166/100-fi_h/2/1000))*1000))</f>
        <v>4.5544201595392257</v>
      </c>
      <c r="Q1166" s="38">
        <f ca="1">IF(O1166="","",IF(Tipo_Vertedor="Retangular",IF(O1166&lt;=cota_s*100,0,IF(Tipo_Vertedor="Retangular",Cd_sr*Lef_sr*((O1166/100-cota_s)^(3/2))*1000)),IF(O1166&lt;=cota_s*100+fi_s/20,0,(OFFSET('Base de dados'!$A$4,IF(O1166&lt;20,1,IF(O1166&gt;1000,10,MATCH(O1166,Cargas,1))),Coluna_fis,1,1))*(PI()*(fi_s/1000)^2/4)*(2*9.81*(O1166/100-cota_s-fi_s/2/1000))^0.5*1000)))</f>
        <v>3.4904959174219377</v>
      </c>
      <c r="R1166" s="38">
        <f t="shared" ca="1" si="173"/>
        <v>8.0449160769611634</v>
      </c>
      <c r="S1166" s="38">
        <f t="shared" ca="1" si="175"/>
        <v>364.0625</v>
      </c>
    </row>
    <row r="1167" spans="13:19">
      <c r="M1167" s="132">
        <f t="shared" ca="1" si="174"/>
        <v>372.42445553849586</v>
      </c>
      <c r="N1167" s="38">
        <f t="shared" si="176"/>
        <v>10.93125</v>
      </c>
      <c r="O1167" s="36">
        <f t="shared" si="172"/>
        <v>291.5</v>
      </c>
      <c r="P1167" s="38">
        <f ca="1">IF(ISERROR(IF(O1167&lt;fi_h/20,0,(OFFSET('Base de dados'!$A$5,IF(O1167&lt;20,1,IF(O1167&gt;1000,10,MATCH(O1167,Cargas,1))),Coluna_fih,1,1))*(1+0.13*0.25)*(PI()*(fi_h/1000)^2/4)*SQRT(2*9.81*(O1167/100-fi_h/2/1000))*1000)),"",IF(O1167&lt;fi_h/20,0,(OFFSET('Base de dados'!$A$5,IF(O1167&lt;20,1,IF(O1167&gt;1000,10,MATCH(O1167,Cargas,1))),Coluna_fih,1,1))*(PI()*(fi_h/1000)^2/4)*SQRT(2*9.81*(O1167/100-fi_h/2/1000))*1000))</f>
        <v>4.5563863057353773</v>
      </c>
      <c r="Q1167" s="38">
        <f ca="1">IF(O1167="","",IF(Tipo_Vertedor="Retangular",IF(O1167&lt;=cota_s*100,0,IF(Tipo_Vertedor="Retangular",Cd_sr*Lef_sr*((O1167/100-cota_s)^(3/2))*1000)),IF(O1167&lt;=cota_s*100+fi_s/20,0,(OFFSET('Base de dados'!$A$4,IF(O1167&lt;20,1,IF(O1167&gt;1000,10,MATCH(O1167,Cargas,1))),Coluna_fis,1,1))*(PI()*(fi_s/1000)^2/4)*(2*9.81*(O1167/100-cota_s-fi_s/2/1000))^0.5*1000)))</f>
        <v>3.4930692327604991</v>
      </c>
      <c r="R1167" s="38">
        <f t="shared" ca="1" si="173"/>
        <v>8.0494555384958772</v>
      </c>
      <c r="S1167" s="38">
        <f t="shared" ca="1" si="175"/>
        <v>364.375</v>
      </c>
    </row>
    <row r="1168" spans="13:19">
      <c r="M1168" s="132">
        <f t="shared" ca="1" si="174"/>
        <v>372.74149225763091</v>
      </c>
      <c r="N1168" s="38">
        <f t="shared" si="176"/>
        <v>10.940625000000001</v>
      </c>
      <c r="O1168" s="36">
        <f t="shared" si="172"/>
        <v>291.75</v>
      </c>
      <c r="P1168" s="38">
        <f ca="1">IF(ISERROR(IF(O1168&lt;fi_h/20,0,(OFFSET('Base de dados'!$A$5,IF(O1168&lt;20,1,IF(O1168&gt;1000,10,MATCH(O1168,Cargas,1))),Coluna_fih,1,1))*(1+0.13*0.25)*(PI()*(fi_h/1000)^2/4)*SQRT(2*9.81*(O1168/100-fi_h/2/1000))*1000)),"",IF(O1168&lt;fi_h/20,0,(OFFSET('Base de dados'!$A$5,IF(O1168&lt;20,1,IF(O1168&gt;1000,10,MATCH(O1168,Cargas,1))),Coluna_fih,1,1))*(PI()*(fi_h/1000)^2/4)*SQRT(2*9.81*(O1168/100-fi_h/2/1000))*1000))</f>
        <v>4.5583516038770471</v>
      </c>
      <c r="Q1168" s="38">
        <f ca="1">IF(O1168="","",IF(Tipo_Vertedor="Retangular",IF(O1168&lt;=cota_s*100,0,IF(Tipo_Vertedor="Retangular",Cd_sr*Lef_sr*((O1168/100-cota_s)^(3/2))*1000)),IF(O1168&lt;=cota_s*100+fi_s/20,0,(OFFSET('Base de dados'!$A$4,IF(O1168&lt;20,1,IF(O1168&gt;1000,10,MATCH(O1168,Cargas,1))),Coluna_fis,1,1))*(PI()*(fi_s/1000)^2/4)*(2*9.81*(O1168/100-cota_s-fi_s/2/1000))^0.5*1000)))</f>
        <v>3.4956406537538762</v>
      </c>
      <c r="R1168" s="38">
        <f t="shared" ca="1" si="173"/>
        <v>8.0539922576309237</v>
      </c>
      <c r="S1168" s="38">
        <f t="shared" ca="1" si="175"/>
        <v>364.6875</v>
      </c>
    </row>
    <row r="1169" spans="13:19">
      <c r="M1169" s="132">
        <f t="shared" ca="1" si="174"/>
        <v>373.05852623964017</v>
      </c>
      <c r="N1169" s="38">
        <f t="shared" si="176"/>
        <v>10.95</v>
      </c>
      <c r="O1169" s="36">
        <f t="shared" si="172"/>
        <v>292</v>
      </c>
      <c r="P1169" s="38">
        <f ca="1">IF(ISERROR(IF(O1169&lt;fi_h/20,0,(OFFSET('Base de dados'!$A$5,IF(O1169&lt;20,1,IF(O1169&gt;1000,10,MATCH(O1169,Cargas,1))),Coluna_fih,1,1))*(1+0.13*0.25)*(PI()*(fi_h/1000)^2/4)*SQRT(2*9.81*(O1169/100-fi_h/2/1000))*1000)),"",IF(O1169&lt;fi_h/20,0,(OFFSET('Base de dados'!$A$5,IF(O1169&lt;20,1,IF(O1169&gt;1000,10,MATCH(O1169,Cargas,1))),Coluna_fih,1,1))*(PI()*(fi_h/1000)^2/4)*SQRT(2*9.81*(O1169/100-fi_h/2/1000))*1000))</f>
        <v>4.5603160550606612</v>
      </c>
      <c r="Q1169" s="38">
        <f ca="1">IF(O1169="","",IF(Tipo_Vertedor="Retangular",IF(O1169&lt;=cota_s*100,0,IF(Tipo_Vertedor="Retangular",Cd_sr*Lef_sr*((O1169/100-cota_s)^(3/2))*1000)),IF(O1169&lt;=cota_s*100+fi_s/20,0,(OFFSET('Base de dados'!$A$4,IF(O1169&lt;20,1,IF(O1169&gt;1000,10,MATCH(O1169,Cargas,1))),Coluna_fis,1,1))*(PI()*(fi_s/1000)^2/4)*(2*9.81*(O1169/100-cota_s-fi_s/2/1000))^0.5*1000)))</f>
        <v>3.4982101845794853</v>
      </c>
      <c r="R1169" s="38">
        <f t="shared" ca="1" si="173"/>
        <v>8.0585262396401465</v>
      </c>
      <c r="S1169" s="38">
        <f t="shared" ca="1" si="175"/>
        <v>365</v>
      </c>
    </row>
    <row r="1170" spans="13:19">
      <c r="M1170" s="132">
        <f t="shared" ca="1" si="174"/>
        <v>373.37555748977968</v>
      </c>
      <c r="N1170" s="38">
        <f t="shared" si="176"/>
        <v>10.959375</v>
      </c>
      <c r="O1170" s="36">
        <f t="shared" si="172"/>
        <v>292.25</v>
      </c>
      <c r="P1170" s="38">
        <f ca="1">IF(ISERROR(IF(O1170&lt;fi_h/20,0,(OFFSET('Base de dados'!$A$5,IF(O1170&lt;20,1,IF(O1170&gt;1000,10,MATCH(O1170,Cargas,1))),Coluna_fih,1,1))*(1+0.13*0.25)*(PI()*(fi_h/1000)^2/4)*SQRT(2*9.81*(O1170/100-fi_h/2/1000))*1000)),"",IF(O1170&lt;fi_h/20,0,(OFFSET('Base de dados'!$A$5,IF(O1170&lt;20,1,IF(O1170&gt;1000,10,MATCH(O1170,Cargas,1))),Coluna_fih,1,1))*(PI()*(fi_h/1000)^2/4)*SQRT(2*9.81*(O1170/100-fi_h/2/1000))*1000))</f>
        <v>4.5622796603802795</v>
      </c>
      <c r="Q1170" s="38">
        <f ca="1">IF(O1170="","",IF(Tipo_Vertedor="Retangular",IF(O1170&lt;=cota_s*100,0,IF(Tipo_Vertedor="Retangular",Cd_sr*Lef_sr*((O1170/100-cota_s)^(3/2))*1000)),IF(O1170&lt;=cota_s*100+fi_s/20,0,(OFFSET('Base de dados'!$A$4,IF(O1170&lt;20,1,IF(O1170&gt;1000,10,MATCH(O1170,Cargas,1))),Coluna_fis,1,1))*(PI()*(fi_s/1000)^2/4)*(2*9.81*(O1170/100-cota_s-fi_s/2/1000))^0.5*1000)))</f>
        <v>3.5007778293994098</v>
      </c>
      <c r="R1170" s="38">
        <f t="shared" ca="1" si="173"/>
        <v>8.0630574897796894</v>
      </c>
      <c r="S1170" s="38">
        <f t="shared" ca="1" si="175"/>
        <v>365.3125</v>
      </c>
    </row>
    <row r="1171" spans="13:19">
      <c r="M1171" s="132">
        <f t="shared" ca="1" si="174"/>
        <v>373.69258601328812</v>
      </c>
      <c r="N1171" s="38">
        <f t="shared" si="176"/>
        <v>10.96875</v>
      </c>
      <c r="O1171" s="36">
        <f t="shared" ref="O1171:O1234" si="177">IF(ISERROR(IF(O1170+passo_altura&gt;h_max_puls*100,"",O1170+passo_altura)),"",IF(O1170+passo_altura&gt;h_max_puls*100,"",O1170+passo_altura))</f>
        <v>292.5</v>
      </c>
      <c r="P1171" s="38">
        <f ca="1">IF(ISERROR(IF(O1171&lt;fi_h/20,0,(OFFSET('Base de dados'!$A$5,IF(O1171&lt;20,1,IF(O1171&gt;1000,10,MATCH(O1171,Cargas,1))),Coluna_fih,1,1))*(1+0.13*0.25)*(PI()*(fi_h/1000)^2/4)*SQRT(2*9.81*(O1171/100-fi_h/2/1000))*1000)),"",IF(O1171&lt;fi_h/20,0,(OFFSET('Base de dados'!$A$5,IF(O1171&lt;20,1,IF(O1171&gt;1000,10,MATCH(O1171,Cargas,1))),Coluna_fih,1,1))*(PI()*(fi_h/1000)^2/4)*SQRT(2*9.81*(O1171/100-fi_h/2/1000))*1000))</f>
        <v>4.5642424209276147</v>
      </c>
      <c r="Q1171" s="38">
        <f ca="1">IF(O1171="","",IF(Tipo_Vertedor="Retangular",IF(O1171&lt;=cota_s*100,0,IF(Tipo_Vertedor="Retangular",Cd_sr*Lef_sr*((O1171/100-cota_s)^(3/2))*1000)),IF(O1171&lt;=cota_s*100+fi_s/20,0,(OFFSET('Base de dados'!$A$4,IF(O1171&lt;20,1,IF(O1171&gt;1000,10,MATCH(O1171,Cargas,1))),Coluna_fis,1,1))*(PI()*(fi_s/1000)^2/4)*(2*9.81*(O1171/100-cota_s-fi_s/2/1000))^0.5*1000)))</f>
        <v>3.5033435923604825</v>
      </c>
      <c r="R1171" s="38">
        <f ca="1">IF(O1171="","",Q1171+P1171)</f>
        <v>8.0675860132880963</v>
      </c>
      <c r="S1171" s="38">
        <f t="shared" ca="1" si="175"/>
        <v>365.625</v>
      </c>
    </row>
    <row r="1172" spans="13:19">
      <c r="M1172" s="132">
        <f t="shared" ca="1" si="174"/>
        <v>374.00961181538639</v>
      </c>
      <c r="N1172" s="38">
        <f t="shared" si="176"/>
        <v>10.978125</v>
      </c>
      <c r="O1172" s="36">
        <f t="shared" si="177"/>
        <v>292.75</v>
      </c>
      <c r="P1172" s="38">
        <f ca="1">IF(ISERROR(IF(O1172&lt;fi_h/20,0,(OFFSET('Base de dados'!$A$5,IF(O1172&lt;20,1,IF(O1172&gt;1000,10,MATCH(O1172,Cargas,1))),Coluna_fih,1,1))*(1+0.13*0.25)*(PI()*(fi_h/1000)^2/4)*SQRT(2*9.81*(O1172/100-fi_h/2/1000))*1000)),"",IF(O1172&lt;fi_h/20,0,(OFFSET('Base de dados'!$A$5,IF(O1172&lt;20,1,IF(O1172&gt;1000,10,MATCH(O1172,Cargas,1))),Coluna_fih,1,1))*(PI()*(fi_h/1000)^2/4)*SQRT(2*9.81*(O1172/100-fi_h/2/1000))*1000))</f>
        <v>4.5662043377920298</v>
      </c>
      <c r="Q1172" s="38">
        <f ca="1">IF(O1172="","",IF(Tipo_Vertedor="Retangular",IF(O1172&lt;=cota_s*100,0,IF(Tipo_Vertedor="Retangular",Cd_sr*Lef_sr*((O1172/100-cota_s)^(3/2))*1000)),IF(O1172&lt;=cota_s*100+fi_s/20,0,(OFFSET('Base de dados'!$A$4,IF(O1172&lt;20,1,IF(O1172&gt;1000,10,MATCH(O1172,Cargas,1))),Coluna_fis,1,1))*(PI()*(fi_s/1000)^2/4)*(2*9.81*(O1172/100-cota_s-fi_s/2/1000))^0.5*1000)))</f>
        <v>3.5059074775943619</v>
      </c>
      <c r="R1172" s="38">
        <f ca="1">IF(O1172="","",Q1172+P1172)</f>
        <v>8.0721118153863927</v>
      </c>
      <c r="S1172" s="38">
        <f t="shared" ca="1" si="175"/>
        <v>365.9375</v>
      </c>
    </row>
    <row r="1173" spans="13:19">
      <c r="M1173" s="132">
        <f t="shared" ca="1" si="174"/>
        <v>374.32663490127817</v>
      </c>
      <c r="N1173" s="38">
        <f t="shared" si="176"/>
        <v>10.987500000000001</v>
      </c>
      <c r="O1173" s="36">
        <f t="shared" si="177"/>
        <v>293</v>
      </c>
      <c r="P1173" s="38">
        <f ca="1">IF(ISERROR(IF(O1173&lt;fi_h/20,0,(OFFSET('Base de dados'!$A$5,IF(O1173&lt;20,1,IF(O1173&gt;1000,10,MATCH(O1173,Cargas,1))),Coluna_fih,1,1))*(1+0.13*0.25)*(PI()*(fi_h/1000)^2/4)*SQRT(2*9.81*(O1173/100-fi_h/2/1000))*1000)),"",IF(O1173&lt;fi_h/20,0,(OFFSET('Base de dados'!$A$5,IF(O1173&lt;20,1,IF(O1173&gt;1000,10,MATCH(O1173,Cargas,1))),Coluna_fih,1,1))*(PI()*(fi_h/1000)^2/4)*SQRT(2*9.81*(O1173/100-fi_h/2/1000))*1000))</f>
        <v>4.5681654120605488</v>
      </c>
      <c r="Q1173" s="38">
        <f ca="1">IF(O1173="","",IF(Tipo_Vertedor="Retangular",IF(O1173&lt;=cota_s*100,0,IF(Tipo_Vertedor="Retangular",Cd_sr*Lef_sr*((O1173/100-cota_s)^(3/2))*1000)),IF(O1173&lt;=cota_s*100+fi_s/20,0,(OFFSET('Base de dados'!$A$4,IF(O1173&lt;20,1,IF(O1173&gt;1000,10,MATCH(O1173,Cargas,1))),Coluna_fis,1,1))*(PI()*(fi_s/1000)^2/4)*(2*9.81*(O1173/100-cota_s-fi_s/2/1000))^0.5*1000)))</f>
        <v>3.5084694892176094</v>
      </c>
      <c r="R1173" s="38">
        <f ca="1">IF(O1173="","",Q1173+P1173)</f>
        <v>8.0766349012781582</v>
      </c>
      <c r="S1173" s="38">
        <f t="shared" ca="1" si="175"/>
        <v>366.25</v>
      </c>
    </row>
    <row r="1174" spans="13:19">
      <c r="M1174" s="132">
        <f t="shared" ca="1" si="174"/>
        <v>374.64365527614967</v>
      </c>
      <c r="N1174" s="38">
        <f t="shared" si="176"/>
        <v>10.996875000000001</v>
      </c>
      <c r="O1174" s="36">
        <f t="shared" si="177"/>
        <v>293.25</v>
      </c>
      <c r="P1174" s="38">
        <f ca="1">IF(ISERROR(IF(O1174&lt;fi_h/20,0,(OFFSET('Base de dados'!$A$5,IF(O1174&lt;20,1,IF(O1174&gt;1000,10,MATCH(O1174,Cargas,1))),Coluna_fih,1,1))*(1+0.13*0.25)*(PI()*(fi_h/1000)^2/4)*SQRT(2*9.81*(O1174/100-fi_h/2/1000))*1000)),"",IF(O1174&lt;fi_h/20,0,(OFFSET('Base de dados'!$A$5,IF(O1174&lt;20,1,IF(O1174&gt;1000,10,MATCH(O1174,Cargas,1))),Coluna_fih,1,1))*(PI()*(fi_h/1000)^2/4)*SQRT(2*9.81*(O1174/100-fi_h/2/1000))*1000))</f>
        <v>4.5701256448178649</v>
      </c>
      <c r="Q1174" s="38">
        <f ca="1">IF(O1174="","",IF(Tipo_Vertedor="Retangular",IF(O1174&lt;=cota_s*100,0,IF(Tipo_Vertedor="Retangular",Cd_sr*Lef_sr*((O1174/100-cota_s)^(3/2))*1000)),IF(O1174&lt;=cota_s*100+fi_s/20,0,(OFFSET('Base de dados'!$A$4,IF(O1174&lt;20,1,IF(O1174&gt;1000,10,MATCH(O1174,Cargas,1))),Coluna_fis,1,1))*(PI()*(fi_s/1000)^2/4)*(2*9.81*(O1174/100-cota_s-fi_s/2/1000))^0.5*1000)))</f>
        <v>3.5110296313317662</v>
      </c>
      <c r="R1174" s="38">
        <f ca="1">IF(O1174="","",Q1174+P1174)</f>
        <v>8.0811552761496301</v>
      </c>
      <c r="S1174" s="38">
        <f t="shared" ca="1" si="175"/>
        <v>366.56250000000006</v>
      </c>
    </row>
    <row r="1175" spans="13:19">
      <c r="M1175" s="132">
        <f t="shared" ref="M1175:M1238" ca="1" si="178">IF(O1175="","",2*N1175*1000/(Passo*60)+R1175)</f>
        <v>374.96067294516979</v>
      </c>
      <c r="N1175" s="38">
        <f t="shared" ref="N1175:N1238" si="179">IF(O1175="","",b_0*(O1175/100)^c_0)</f>
        <v>11.00625</v>
      </c>
      <c r="O1175" s="36">
        <f t="shared" si="177"/>
        <v>293.5</v>
      </c>
      <c r="P1175" s="38">
        <f ca="1">IF(ISERROR(IF(O1175&lt;fi_h/20,0,(OFFSET('Base de dados'!$A$5,IF(O1175&lt;20,1,IF(O1175&gt;1000,10,MATCH(O1175,Cargas,1))),Coluna_fih,1,1))*(1+0.13*0.25)*(PI()*(fi_h/1000)^2/4)*SQRT(2*9.81*(O1175/100-fi_h/2/1000))*1000)),"",IF(O1175&lt;fi_h/20,0,(OFFSET('Base de dados'!$A$5,IF(O1175&lt;20,1,IF(O1175&gt;1000,10,MATCH(O1175,Cargas,1))),Coluna_fih,1,1))*(PI()*(fi_h/1000)^2/4)*SQRT(2*9.81*(O1175/100-fi_h/2/1000))*1000))</f>
        <v>4.5720850371463433</v>
      </c>
      <c r="Q1175" s="38">
        <f ca="1">IF(O1175="","",IF(Tipo_Vertedor="Retangular",IF(O1175&lt;=cota_s*100,0,IF(Tipo_Vertedor="Retangular",Cd_sr*Lef_sr*((O1175/100-cota_s)^(3/2))*1000)),IF(O1175&lt;=cota_s*100+fi_s/20,0,(OFFSET('Base de dados'!$A$4,IF(O1175&lt;20,1,IF(O1175&gt;1000,10,MATCH(O1175,Cargas,1))),Coluna_fis,1,1))*(PI()*(fi_s/1000)^2/4)*(2*9.81*(O1175/100-cota_s-fi_s/2/1000))^0.5*1000)))</f>
        <v>3.5135879080234331</v>
      </c>
      <c r="R1175" s="38">
        <f t="shared" ref="R1175:R1238" ca="1" si="180">IF(O1175="","",Q1175+P1175)</f>
        <v>8.085672945169776</v>
      </c>
      <c r="S1175" s="38">
        <f t="shared" ref="S1175:S1238" ca="1" si="181">IF(M1175="","",2*N1175*1000/(Passo*60))</f>
        <v>366.875</v>
      </c>
    </row>
    <row r="1176" spans="13:19">
      <c r="M1176" s="132">
        <f t="shared" ca="1" si="178"/>
        <v>375.27768791349035</v>
      </c>
      <c r="N1176" s="38">
        <f t="shared" si="179"/>
        <v>11.015625</v>
      </c>
      <c r="O1176" s="36">
        <f t="shared" si="177"/>
        <v>293.75</v>
      </c>
      <c r="P1176" s="38">
        <f ca="1">IF(ISERROR(IF(O1176&lt;fi_h/20,0,(OFFSET('Base de dados'!$A$5,IF(O1176&lt;20,1,IF(O1176&gt;1000,10,MATCH(O1176,Cargas,1))),Coluna_fih,1,1))*(1+0.13*0.25)*(PI()*(fi_h/1000)^2/4)*SQRT(2*9.81*(O1176/100-fi_h/2/1000))*1000)),"",IF(O1176&lt;fi_h/20,0,(OFFSET('Base de dados'!$A$5,IF(O1176&lt;20,1,IF(O1176&gt;1000,10,MATCH(O1176,Cargas,1))),Coluna_fih,1,1))*(PI()*(fi_h/1000)^2/4)*SQRT(2*9.81*(O1176/100-fi_h/2/1000))*1000))</f>
        <v>4.574043590126033</v>
      </c>
      <c r="Q1176" s="38">
        <f ca="1">IF(O1176="","",IF(Tipo_Vertedor="Retangular",IF(O1176&lt;=cota_s*100,0,IF(Tipo_Vertedor="Retangular",Cd_sr*Lef_sr*((O1176/100-cota_s)^(3/2))*1000)),IF(O1176&lt;=cota_s*100+fi_s/20,0,(OFFSET('Base de dados'!$A$4,IF(O1176&lt;20,1,IF(O1176&gt;1000,10,MATCH(O1176,Cargas,1))),Coluna_fis,1,1))*(PI()*(fi_s/1000)^2/4)*(2*9.81*(O1176/100-cota_s-fi_s/2/1000))^0.5*1000)))</f>
        <v>3.5161443233643435</v>
      </c>
      <c r="R1176" s="38">
        <f t="shared" ca="1" si="180"/>
        <v>8.0901879134903769</v>
      </c>
      <c r="S1176" s="38">
        <f t="shared" ca="1" si="181"/>
        <v>367.1875</v>
      </c>
    </row>
    <row r="1177" spans="13:19">
      <c r="M1177" s="132">
        <f t="shared" ca="1" si="178"/>
        <v>375.59470018624609</v>
      </c>
      <c r="N1177" s="38">
        <f t="shared" si="179"/>
        <v>11.025</v>
      </c>
      <c r="O1177" s="36">
        <f t="shared" si="177"/>
        <v>294</v>
      </c>
      <c r="P1177" s="38">
        <f ca="1">IF(ISERROR(IF(O1177&lt;fi_h/20,0,(OFFSET('Base de dados'!$A$5,IF(O1177&lt;20,1,IF(O1177&gt;1000,10,MATCH(O1177,Cargas,1))),Coluna_fih,1,1))*(1+0.13*0.25)*(PI()*(fi_h/1000)^2/4)*SQRT(2*9.81*(O1177/100-fi_h/2/1000))*1000)),"",IF(O1177&lt;fi_h/20,0,(OFFSET('Base de dados'!$A$5,IF(O1177&lt;20,1,IF(O1177&gt;1000,10,MATCH(O1177,Cargas,1))),Coluna_fih,1,1))*(PI()*(fi_h/1000)^2/4)*SQRT(2*9.81*(O1177/100-fi_h/2/1000))*1000))</f>
        <v>4.5760013048346728</v>
      </c>
      <c r="Q1177" s="38">
        <f ca="1">IF(O1177="","",IF(Tipo_Vertedor="Retangular",IF(O1177&lt;=cota_s*100,0,IF(Tipo_Vertedor="Retangular",Cd_sr*Lef_sr*((O1177/100-cota_s)^(3/2))*1000)),IF(O1177&lt;=cota_s*100+fi_s/20,0,(OFFSET('Base de dados'!$A$4,IF(O1177&lt;20,1,IF(O1177&gt;1000,10,MATCH(O1177,Cargas,1))),Coluna_fis,1,1))*(PI()*(fi_s/1000)^2/4)*(2*9.81*(O1177/100-cota_s-fi_s/2/1000))^0.5*1000)))</f>
        <v>3.5186988814114377</v>
      </c>
      <c r="R1177" s="38">
        <f t="shared" ca="1" si="180"/>
        <v>8.0947001862461114</v>
      </c>
      <c r="S1177" s="38">
        <f t="shared" ca="1" si="181"/>
        <v>367.5</v>
      </c>
    </row>
    <row r="1178" spans="13:19">
      <c r="M1178" s="132">
        <f t="shared" ca="1" si="178"/>
        <v>375.9117097685546</v>
      </c>
      <c r="N1178" s="38">
        <f t="shared" si="179"/>
        <v>11.034374999999999</v>
      </c>
      <c r="O1178" s="36">
        <f t="shared" si="177"/>
        <v>294.25</v>
      </c>
      <c r="P1178" s="38">
        <f ca="1">IF(ISERROR(IF(O1178&lt;fi_h/20,0,(OFFSET('Base de dados'!$A$5,IF(O1178&lt;20,1,IF(O1178&gt;1000,10,MATCH(O1178,Cargas,1))),Coluna_fih,1,1))*(1+0.13*0.25)*(PI()*(fi_h/1000)^2/4)*SQRT(2*9.81*(O1178/100-fi_h/2/1000))*1000)),"",IF(O1178&lt;fi_h/20,0,(OFFSET('Base de dados'!$A$5,IF(O1178&lt;20,1,IF(O1178&gt;1000,10,MATCH(O1178,Cargas,1))),Coluna_fih,1,1))*(PI()*(fi_h/1000)^2/4)*SQRT(2*9.81*(O1178/100-fi_h/2/1000))*1000))</f>
        <v>4.577958182347694</v>
      </c>
      <c r="Q1178" s="38">
        <f ca="1">IF(O1178="","",IF(Tipo_Vertedor="Retangular",IF(O1178&lt;=cota_s*100,0,IF(Tipo_Vertedor="Retangular",Cd_sr*Lef_sr*((O1178/100-cota_s)^(3/2))*1000)),IF(O1178&lt;=cota_s*100+fi_s/20,0,(OFFSET('Base de dados'!$A$4,IF(O1178&lt;20,1,IF(O1178&gt;1000,10,MATCH(O1178,Cargas,1))),Coluna_fis,1,1))*(PI()*(fi_s/1000)^2/4)*(2*9.81*(O1178/100-cota_s-fi_s/2/1000))^0.5*1000)))</f>
        <v>3.5212515862069429</v>
      </c>
      <c r="R1178" s="38">
        <f t="shared" ca="1" si="180"/>
        <v>8.0992097685546369</v>
      </c>
      <c r="S1178" s="38">
        <f t="shared" ca="1" si="181"/>
        <v>367.81249999999994</v>
      </c>
    </row>
    <row r="1179" spans="13:19">
      <c r="M1179" s="132">
        <f t="shared" ca="1" si="178"/>
        <v>376.22871666551669</v>
      </c>
      <c r="N1179" s="38">
        <f t="shared" si="179"/>
        <v>11.043749999999999</v>
      </c>
      <c r="O1179" s="36">
        <f t="shared" si="177"/>
        <v>294.5</v>
      </c>
      <c r="P1179" s="38">
        <f ca="1">IF(ISERROR(IF(O1179&lt;fi_h/20,0,(OFFSET('Base de dados'!$A$5,IF(O1179&lt;20,1,IF(O1179&gt;1000,10,MATCH(O1179,Cargas,1))),Coluna_fih,1,1))*(1+0.13*0.25)*(PI()*(fi_h/1000)^2/4)*SQRT(2*9.81*(O1179/100-fi_h/2/1000))*1000)),"",IF(O1179&lt;fi_h/20,0,(OFFSET('Base de dados'!$A$5,IF(O1179&lt;20,1,IF(O1179&gt;1000,10,MATCH(O1179,Cargas,1))),Coluna_fih,1,1))*(PI()*(fi_h/1000)^2/4)*SQRT(2*9.81*(O1179/100-fi_h/2/1000))*1000))</f>
        <v>4.579914223738232</v>
      </c>
      <c r="Q1179" s="38">
        <f ca="1">IF(O1179="","",IF(Tipo_Vertedor="Retangular",IF(O1179&lt;=cota_s*100,0,IF(Tipo_Vertedor="Retangular",Cd_sr*Lef_sr*((O1179/100-cota_s)^(3/2))*1000)),IF(O1179&lt;=cota_s*100+fi_s/20,0,(OFFSET('Base de dados'!$A$4,IF(O1179&lt;20,1,IF(O1179&gt;1000,10,MATCH(O1179,Cargas,1))),Coluna_fis,1,1))*(PI()*(fi_s/1000)^2/4)*(2*9.81*(O1179/100-cota_s-fi_s/2/1000))^0.5*1000)))</f>
        <v>3.523802441778443</v>
      </c>
      <c r="R1179" s="38">
        <f t="shared" ca="1" si="180"/>
        <v>8.103716665516675</v>
      </c>
      <c r="S1179" s="38">
        <f t="shared" ca="1" si="181"/>
        <v>368.125</v>
      </c>
    </row>
    <row r="1180" spans="13:19">
      <c r="M1180" s="132">
        <f t="shared" ca="1" si="178"/>
        <v>376.54572088221607</v>
      </c>
      <c r="N1180" s="38">
        <f t="shared" si="179"/>
        <v>11.053125</v>
      </c>
      <c r="O1180" s="36">
        <f t="shared" si="177"/>
        <v>294.75</v>
      </c>
      <c r="P1180" s="38">
        <f ca="1">IF(ISERROR(IF(O1180&lt;fi_h/20,0,(OFFSET('Base de dados'!$A$5,IF(O1180&lt;20,1,IF(O1180&gt;1000,10,MATCH(O1180,Cargas,1))),Coluna_fih,1,1))*(1+0.13*0.25)*(PI()*(fi_h/1000)^2/4)*SQRT(2*9.81*(O1180/100-fi_h/2/1000))*1000)),"",IF(O1180&lt;fi_h/20,0,(OFFSET('Base de dados'!$A$5,IF(O1180&lt;20,1,IF(O1180&gt;1000,10,MATCH(O1180,Cargas,1))),Coluna_fih,1,1))*(PI()*(fi_h/1000)^2/4)*SQRT(2*9.81*(O1180/100-fi_h/2/1000))*1000))</f>
        <v>4.5818694300771332</v>
      </c>
      <c r="Q1180" s="38">
        <f ca="1">IF(O1180="","",IF(Tipo_Vertedor="Retangular",IF(O1180&lt;=cota_s*100,0,IF(Tipo_Vertedor="Retangular",Cd_sr*Lef_sr*((O1180/100-cota_s)^(3/2))*1000)),IF(O1180&lt;=cota_s*100+fi_s/20,0,(OFFSET('Base de dados'!$A$4,IF(O1180&lt;20,1,IF(O1180&gt;1000,10,MATCH(O1180,Cargas,1))),Coluna_fis,1,1))*(PI()*(fi_s/1000)^2/4)*(2*9.81*(O1180/100-cota_s-fi_s/2/1000))^0.5*1000)))</f>
        <v>3.5263514521389565</v>
      </c>
      <c r="R1180" s="38">
        <f t="shared" ca="1" si="180"/>
        <v>8.1082208822160897</v>
      </c>
      <c r="S1180" s="38">
        <f t="shared" ca="1" si="181"/>
        <v>368.4375</v>
      </c>
    </row>
    <row r="1181" spans="13:19">
      <c r="M1181" s="132">
        <f t="shared" ca="1" si="178"/>
        <v>376.86272242371996</v>
      </c>
      <c r="N1181" s="38">
        <f t="shared" si="179"/>
        <v>11.0625</v>
      </c>
      <c r="O1181" s="36">
        <f t="shared" si="177"/>
        <v>295</v>
      </c>
      <c r="P1181" s="38">
        <f ca="1">IF(ISERROR(IF(O1181&lt;fi_h/20,0,(OFFSET('Base de dados'!$A$5,IF(O1181&lt;20,1,IF(O1181&gt;1000,10,MATCH(O1181,Cargas,1))),Coluna_fih,1,1))*(1+0.13*0.25)*(PI()*(fi_h/1000)^2/4)*SQRT(2*9.81*(O1181/100-fi_h/2/1000))*1000)),"",IF(O1181&lt;fi_h/20,0,(OFFSET('Base de dados'!$A$5,IF(O1181&lt;20,1,IF(O1181&gt;1000,10,MATCH(O1181,Cargas,1))),Coluna_fih,1,1))*(PI()*(fi_h/1000)^2/4)*SQRT(2*9.81*(O1181/100-fi_h/2/1000))*1000))</f>
        <v>4.5838238024329572</v>
      </c>
      <c r="Q1181" s="38">
        <f ca="1">IF(O1181="","",IF(Tipo_Vertedor="Retangular",IF(O1181&lt;=cota_s*100,0,IF(Tipo_Vertedor="Retangular",Cd_sr*Lef_sr*((O1181/100-cota_s)^(3/2))*1000)),IF(O1181&lt;=cota_s*100+fi_s/20,0,(OFFSET('Base de dados'!$A$4,IF(O1181&lt;20,1,IF(O1181&gt;1000,10,MATCH(O1181,Cargas,1))),Coluna_fis,1,1))*(PI()*(fi_s/1000)^2/4)*(2*9.81*(O1181/100-cota_s-fi_s/2/1000))^0.5*1000)))</f>
        <v>3.5288986212870066</v>
      </c>
      <c r="R1181" s="38">
        <f t="shared" ca="1" si="180"/>
        <v>8.1127224237199638</v>
      </c>
      <c r="S1181" s="38">
        <f t="shared" ca="1" si="181"/>
        <v>368.75</v>
      </c>
    </row>
    <row r="1182" spans="13:19">
      <c r="M1182" s="132">
        <f t="shared" ca="1" si="178"/>
        <v>377.17972129507871</v>
      </c>
      <c r="N1182" s="38">
        <f t="shared" si="179"/>
        <v>11.071875</v>
      </c>
      <c r="O1182" s="36">
        <f t="shared" si="177"/>
        <v>295.25</v>
      </c>
      <c r="P1182" s="38">
        <f ca="1">IF(ISERROR(IF(O1182&lt;fi_h/20,0,(OFFSET('Base de dados'!$A$5,IF(O1182&lt;20,1,IF(O1182&gt;1000,10,MATCH(O1182,Cargas,1))),Coluna_fih,1,1))*(1+0.13*0.25)*(PI()*(fi_h/1000)^2/4)*SQRT(2*9.81*(O1182/100-fi_h/2/1000))*1000)),"",IF(O1182&lt;fi_h/20,0,(OFFSET('Base de dados'!$A$5,IF(O1182&lt;20,1,IF(O1182&gt;1000,10,MATCH(O1182,Cargas,1))),Coluna_fih,1,1))*(PI()*(fi_h/1000)^2/4)*SQRT(2*9.81*(O1182/100-fi_h/2/1000))*1000))</f>
        <v>4.5857773418719869</v>
      </c>
      <c r="Q1182" s="38">
        <f ca="1">IF(O1182="","",IF(Tipo_Vertedor="Retangular",IF(O1182&lt;=cota_s*100,0,IF(Tipo_Vertedor="Retangular",Cd_sr*Lef_sr*((O1182/100-cota_s)^(3/2))*1000)),IF(O1182&lt;=cota_s*100+fi_s/20,0,(OFFSET('Base de dados'!$A$4,IF(O1182&lt;20,1,IF(O1182&gt;1000,10,MATCH(O1182,Cargas,1))),Coluna_fis,1,1))*(PI()*(fi_s/1000)^2/4)*(2*9.81*(O1182/100-cota_s-fi_s/2/1000))^0.5*1000)))</f>
        <v>3.5314439532066966</v>
      </c>
      <c r="R1182" s="38">
        <f t="shared" ca="1" si="180"/>
        <v>8.117221295078684</v>
      </c>
      <c r="S1182" s="38">
        <f t="shared" ca="1" si="181"/>
        <v>369.0625</v>
      </c>
    </row>
    <row r="1183" spans="13:19">
      <c r="M1183" s="132">
        <f t="shared" ca="1" si="178"/>
        <v>377.49671750132603</v>
      </c>
      <c r="N1183" s="38">
        <f t="shared" si="179"/>
        <v>11.081250000000001</v>
      </c>
      <c r="O1183" s="36">
        <f t="shared" si="177"/>
        <v>295.5</v>
      </c>
      <c r="P1183" s="38">
        <f ca="1">IF(ISERROR(IF(O1183&lt;fi_h/20,0,(OFFSET('Base de dados'!$A$5,IF(O1183&lt;20,1,IF(O1183&gt;1000,10,MATCH(O1183,Cargas,1))),Coluna_fih,1,1))*(1+0.13*0.25)*(PI()*(fi_h/1000)^2/4)*SQRT(2*9.81*(O1183/100-fi_h/2/1000))*1000)),"",IF(O1183&lt;fi_h/20,0,(OFFSET('Base de dados'!$A$5,IF(O1183&lt;20,1,IF(O1183&gt;1000,10,MATCH(O1183,Cargas,1))),Coluna_fih,1,1))*(PI()*(fi_h/1000)^2/4)*SQRT(2*9.81*(O1183/100-fi_h/2/1000))*1000))</f>
        <v>4.5877300494582371</v>
      </c>
      <c r="Q1183" s="38">
        <f ca="1">IF(O1183="","",IF(Tipo_Vertedor="Retangular",IF(O1183&lt;=cota_s*100,0,IF(Tipo_Vertedor="Retangular",Cd_sr*Lef_sr*((O1183/100-cota_s)^(3/2))*1000)),IF(O1183&lt;=cota_s*100+fi_s/20,0,(OFFSET('Base de dados'!$A$4,IF(O1183&lt;20,1,IF(O1183&gt;1000,10,MATCH(O1183,Cargas,1))),Coluna_fis,1,1))*(PI()*(fi_s/1000)^2/4)*(2*9.81*(O1183/100-cota_s-fi_s/2/1000))^0.5*1000)))</f>
        <v>3.5339874518677843</v>
      </c>
      <c r="R1183" s="38">
        <f t="shared" ca="1" si="180"/>
        <v>8.121717501326021</v>
      </c>
      <c r="S1183" s="38">
        <f t="shared" ca="1" si="181"/>
        <v>369.375</v>
      </c>
    </row>
    <row r="1184" spans="13:19">
      <c r="M1184" s="132">
        <f t="shared" ca="1" si="178"/>
        <v>377.81371104747922</v>
      </c>
      <c r="N1184" s="38">
        <f t="shared" si="179"/>
        <v>11.090624999999999</v>
      </c>
      <c r="O1184" s="36">
        <f t="shared" si="177"/>
        <v>295.75</v>
      </c>
      <c r="P1184" s="38">
        <f ca="1">IF(ISERROR(IF(O1184&lt;fi_h/20,0,(OFFSET('Base de dados'!$A$5,IF(O1184&lt;20,1,IF(O1184&gt;1000,10,MATCH(O1184,Cargas,1))),Coluna_fih,1,1))*(1+0.13*0.25)*(PI()*(fi_h/1000)^2/4)*SQRT(2*9.81*(O1184/100-fi_h/2/1000))*1000)),"",IF(O1184&lt;fi_h/20,0,(OFFSET('Base de dados'!$A$5,IF(O1184&lt;20,1,IF(O1184&gt;1000,10,MATCH(O1184,Cargas,1))),Coluna_fih,1,1))*(PI()*(fi_h/1000)^2/4)*SQRT(2*9.81*(O1184/100-fi_h/2/1000))*1000))</f>
        <v>4.5896819262534585</v>
      </c>
      <c r="Q1184" s="38">
        <f ca="1">IF(O1184="","",IF(Tipo_Vertedor="Retangular",IF(O1184&lt;=cota_s*100,0,IF(Tipo_Vertedor="Retangular",Cd_sr*Lef_sr*((O1184/100-cota_s)^(3/2))*1000)),IF(O1184&lt;=cota_s*100+fi_s/20,0,(OFFSET('Base de dados'!$A$4,IF(O1184&lt;20,1,IF(O1184&gt;1000,10,MATCH(O1184,Cargas,1))),Coluna_fis,1,1))*(PI()*(fi_s/1000)^2/4)*(2*9.81*(O1184/100-cota_s-fi_s/2/1000))^0.5*1000)))</f>
        <v>3.5365291212257484</v>
      </c>
      <c r="R1184" s="38">
        <f t="shared" ca="1" si="180"/>
        <v>8.126211047479206</v>
      </c>
      <c r="S1184" s="38">
        <f t="shared" ca="1" si="181"/>
        <v>369.6875</v>
      </c>
    </row>
    <row r="1185" spans="13:19">
      <c r="M1185" s="132">
        <f t="shared" ca="1" si="178"/>
        <v>378.130701938539</v>
      </c>
      <c r="N1185" s="38">
        <f t="shared" si="179"/>
        <v>11.1</v>
      </c>
      <c r="O1185" s="36">
        <f t="shared" si="177"/>
        <v>296</v>
      </c>
      <c r="P1185" s="38">
        <f ca="1">IF(ISERROR(IF(O1185&lt;fi_h/20,0,(OFFSET('Base de dados'!$A$5,IF(O1185&lt;20,1,IF(O1185&gt;1000,10,MATCH(O1185,Cargas,1))),Coluna_fih,1,1))*(1+0.13*0.25)*(PI()*(fi_h/1000)^2/4)*SQRT(2*9.81*(O1185/100-fi_h/2/1000))*1000)),"",IF(O1185&lt;fi_h/20,0,(OFFSET('Base de dados'!$A$5,IF(O1185&lt;20,1,IF(O1185&gt;1000,10,MATCH(O1185,Cargas,1))),Coluna_fih,1,1))*(PI()*(fi_h/1000)^2/4)*SQRT(2*9.81*(O1185/100-fi_h/2/1000))*1000))</f>
        <v>4.591632973317143</v>
      </c>
      <c r="Q1185" s="38">
        <f ca="1">IF(O1185="","",IF(Tipo_Vertedor="Retangular",IF(O1185&lt;=cota_s*100,0,IF(Tipo_Vertedor="Retangular",Cd_sr*Lef_sr*((O1185/100-cota_s)^(3/2))*1000)),IF(O1185&lt;=cota_s*100+fi_s/20,0,(OFFSET('Base de dados'!$A$4,IF(O1185&lt;20,1,IF(O1185&gt;1000,10,MATCH(O1185,Cargas,1))),Coluna_fis,1,1))*(PI()*(fi_s/1000)^2/4)*(2*9.81*(O1185/100-cota_s-fi_s/2/1000))^0.5*1000)))</f>
        <v>3.5390689652218654</v>
      </c>
      <c r="R1185" s="38">
        <f t="shared" ca="1" si="180"/>
        <v>8.1307019385390085</v>
      </c>
      <c r="S1185" s="38">
        <f t="shared" ca="1" si="181"/>
        <v>370</v>
      </c>
    </row>
    <row r="1186" spans="13:19">
      <c r="M1186" s="132">
        <f t="shared" ca="1" si="178"/>
        <v>378.44769017948983</v>
      </c>
      <c r="N1186" s="38">
        <f t="shared" si="179"/>
        <v>11.109375</v>
      </c>
      <c r="O1186" s="36">
        <f t="shared" si="177"/>
        <v>296.25</v>
      </c>
      <c r="P1186" s="38">
        <f ca="1">IF(ISERROR(IF(O1186&lt;fi_h/20,0,(OFFSET('Base de dados'!$A$5,IF(O1186&lt;20,1,IF(O1186&gt;1000,10,MATCH(O1186,Cargas,1))),Coluna_fih,1,1))*(1+0.13*0.25)*(PI()*(fi_h/1000)^2/4)*SQRT(2*9.81*(O1186/100-fi_h/2/1000))*1000)),"",IF(O1186&lt;fi_h/20,0,(OFFSET('Base de dados'!$A$5,IF(O1186&lt;20,1,IF(O1186&gt;1000,10,MATCH(O1186,Cargas,1))),Coluna_fih,1,1))*(PI()*(fi_h/1000)^2/4)*SQRT(2*9.81*(O1186/100-fi_h/2/1000))*1000))</f>
        <v>4.5935831917065357</v>
      </c>
      <c r="Q1186" s="38">
        <f ca="1">IF(O1186="","",IF(Tipo_Vertedor="Retangular",IF(O1186&lt;=cota_s*100,0,IF(Tipo_Vertedor="Retangular",Cd_sr*Lef_sr*((O1186/100-cota_s)^(3/2))*1000)),IF(O1186&lt;=cota_s*100+fi_s/20,0,(OFFSET('Base de dados'!$A$4,IF(O1186&lt;20,1,IF(O1186&gt;1000,10,MATCH(O1186,Cargas,1))),Coluna_fis,1,1))*(PI()*(fi_s/1000)^2/4)*(2*9.81*(O1186/100-cota_s-fi_s/2/1000))^0.5*1000)))</f>
        <v>3.541606987783283</v>
      </c>
      <c r="R1186" s="38">
        <f t="shared" ca="1" si="180"/>
        <v>8.1351901794898183</v>
      </c>
      <c r="S1186" s="38">
        <f t="shared" ca="1" si="181"/>
        <v>370.3125</v>
      </c>
    </row>
    <row r="1187" spans="13:19">
      <c r="M1187" s="132">
        <f t="shared" ca="1" si="178"/>
        <v>378.76467577529968</v>
      </c>
      <c r="N1187" s="38">
        <f t="shared" si="179"/>
        <v>11.118749999999999</v>
      </c>
      <c r="O1187" s="36">
        <f t="shared" si="177"/>
        <v>296.5</v>
      </c>
      <c r="P1187" s="38">
        <f ca="1">IF(ISERROR(IF(O1187&lt;fi_h/20,0,(OFFSET('Base de dados'!$A$5,IF(O1187&lt;20,1,IF(O1187&gt;1000,10,MATCH(O1187,Cargas,1))),Coluna_fih,1,1))*(1+0.13*0.25)*(PI()*(fi_h/1000)^2/4)*SQRT(2*9.81*(O1187/100-fi_h/2/1000))*1000)),"",IF(O1187&lt;fi_h/20,0,(OFFSET('Base de dados'!$A$5,IF(O1187&lt;20,1,IF(O1187&gt;1000,10,MATCH(O1187,Cargas,1))),Coluna_fih,1,1))*(PI()*(fi_h/1000)^2/4)*SQRT(2*9.81*(O1187/100-fi_h/2/1000))*1000))</f>
        <v>4.5955325824766362</v>
      </c>
      <c r="Q1187" s="38">
        <f ca="1">IF(O1187="","",IF(Tipo_Vertedor="Retangular",IF(O1187&lt;=cota_s*100,0,IF(Tipo_Vertedor="Retangular",Cd_sr*Lef_sr*((O1187/100-cota_s)^(3/2))*1000)),IF(O1187&lt;=cota_s*100+fi_s/20,0,(OFFSET('Base de dados'!$A$4,IF(O1187&lt;20,1,IF(O1187&gt;1000,10,MATCH(O1187,Cargas,1))),Coluna_fis,1,1))*(PI()*(fi_s/1000)^2/4)*(2*9.81*(O1187/100-cota_s-fi_s/2/1000))^0.5*1000)))</f>
        <v>3.5441431928230811</v>
      </c>
      <c r="R1187" s="38">
        <f t="shared" ca="1" si="180"/>
        <v>8.1396757752997182</v>
      </c>
      <c r="S1187" s="38">
        <f t="shared" ca="1" si="181"/>
        <v>370.62499999999994</v>
      </c>
    </row>
    <row r="1188" spans="13:19">
      <c r="M1188" s="132">
        <f t="shared" ca="1" si="178"/>
        <v>379.08165873092048</v>
      </c>
      <c r="N1188" s="38">
        <f t="shared" si="179"/>
        <v>11.128124999999999</v>
      </c>
      <c r="O1188" s="36">
        <f t="shared" si="177"/>
        <v>296.75</v>
      </c>
      <c r="P1188" s="38">
        <f ca="1">IF(ISERROR(IF(O1188&lt;fi_h/20,0,(OFFSET('Base de dados'!$A$5,IF(O1188&lt;20,1,IF(O1188&gt;1000,10,MATCH(O1188,Cargas,1))),Coluna_fih,1,1))*(1+0.13*0.25)*(PI()*(fi_h/1000)^2/4)*SQRT(2*9.81*(O1188/100-fi_h/2/1000))*1000)),"",IF(O1188&lt;fi_h/20,0,(OFFSET('Base de dados'!$A$5,IF(O1188&lt;20,1,IF(O1188&gt;1000,10,MATCH(O1188,Cargas,1))),Coluna_fih,1,1))*(PI()*(fi_h/1000)^2/4)*SQRT(2*9.81*(O1188/100-fi_h/2/1000))*1000))</f>
        <v>4.5974811466802077</v>
      </c>
      <c r="Q1188" s="38">
        <f ca="1">IF(O1188="","",IF(Tipo_Vertedor="Retangular",IF(O1188&lt;=cota_s*100,0,IF(Tipo_Vertedor="Retangular",Cd_sr*Lef_sr*((O1188/100-cota_s)^(3/2))*1000)),IF(O1188&lt;=cota_s*100+fi_s/20,0,(OFFSET('Base de dados'!$A$4,IF(O1188&lt;20,1,IF(O1188&gt;1000,10,MATCH(O1188,Cargas,1))),Coluna_fis,1,1))*(PI()*(fi_s/1000)^2/4)*(2*9.81*(O1188/100-cota_s-fi_s/2/1000))^0.5*1000)))</f>
        <v>3.5466775842403533</v>
      </c>
      <c r="R1188" s="38">
        <f t="shared" ca="1" si="180"/>
        <v>8.1441587309205605</v>
      </c>
      <c r="S1188" s="38">
        <f t="shared" ca="1" si="181"/>
        <v>370.93749999999994</v>
      </c>
    </row>
    <row r="1189" spans="13:19">
      <c r="M1189" s="132">
        <f t="shared" ca="1" si="178"/>
        <v>379.39863905128811</v>
      </c>
      <c r="N1189" s="38">
        <f t="shared" si="179"/>
        <v>11.137500000000001</v>
      </c>
      <c r="O1189" s="36">
        <f t="shared" si="177"/>
        <v>297</v>
      </c>
      <c r="P1189" s="38">
        <f ca="1">IF(ISERROR(IF(O1189&lt;fi_h/20,0,(OFFSET('Base de dados'!$A$5,IF(O1189&lt;20,1,IF(O1189&gt;1000,10,MATCH(O1189,Cargas,1))),Coluna_fih,1,1))*(1+0.13*0.25)*(PI()*(fi_h/1000)^2/4)*SQRT(2*9.81*(O1189/100-fi_h/2/1000))*1000)),"",IF(O1189&lt;fi_h/20,0,(OFFSET('Base de dados'!$A$5,IF(O1189&lt;20,1,IF(O1189&gt;1000,10,MATCH(O1189,Cargas,1))),Coluna_fih,1,1))*(PI()*(fi_h/1000)^2/4)*SQRT(2*9.81*(O1189/100-fi_h/2/1000))*1000))</f>
        <v>4.5994288853677832</v>
      </c>
      <c r="Q1189" s="38">
        <f ca="1">IF(O1189="","",IF(Tipo_Vertedor="Retangular",IF(O1189&lt;=cota_s*100,0,IF(Tipo_Vertedor="Retangular",Cd_sr*Lef_sr*((O1189/100-cota_s)^(3/2))*1000)),IF(O1189&lt;=cota_s*100+fi_s/20,0,(OFFSET('Base de dados'!$A$4,IF(O1189&lt;20,1,IF(O1189&gt;1000,10,MATCH(O1189,Cargas,1))),Coluna_fis,1,1))*(PI()*(fi_s/1000)^2/4)*(2*9.81*(O1189/100-cota_s-fi_s/2/1000))^0.5*1000)))</f>
        <v>3.5492101659202717</v>
      </c>
      <c r="R1189" s="38">
        <f t="shared" ca="1" si="180"/>
        <v>8.148639051288054</v>
      </c>
      <c r="S1189" s="38">
        <f t="shared" ca="1" si="181"/>
        <v>371.25000000000006</v>
      </c>
    </row>
    <row r="1190" spans="13:19">
      <c r="M1190" s="132">
        <f t="shared" ca="1" si="178"/>
        <v>379.71561674132187</v>
      </c>
      <c r="N1190" s="38">
        <f t="shared" si="179"/>
        <v>11.146875000000001</v>
      </c>
      <c r="O1190" s="36">
        <f t="shared" si="177"/>
        <v>297.25</v>
      </c>
      <c r="P1190" s="38">
        <f ca="1">IF(ISERROR(IF(O1190&lt;fi_h/20,0,(OFFSET('Base de dados'!$A$5,IF(O1190&lt;20,1,IF(O1190&gt;1000,10,MATCH(O1190,Cargas,1))),Coluna_fih,1,1))*(1+0.13*0.25)*(PI()*(fi_h/1000)^2/4)*SQRT(2*9.81*(O1190/100-fi_h/2/1000))*1000)),"",IF(O1190&lt;fi_h/20,0,(OFFSET('Base de dados'!$A$5,IF(O1190&lt;20,1,IF(O1190&gt;1000,10,MATCH(O1190,Cargas,1))),Coluna_fih,1,1))*(PI()*(fi_h/1000)^2/4)*SQRT(2*9.81*(O1190/100-fi_h/2/1000))*1000))</f>
        <v>4.6013757995876743</v>
      </c>
      <c r="Q1190" s="38">
        <f ca="1">IF(O1190="","",IF(Tipo_Vertedor="Retangular",IF(O1190&lt;=cota_s*100,0,IF(Tipo_Vertedor="Retangular",Cd_sr*Lef_sr*((O1190/100-cota_s)^(3/2))*1000)),IF(O1190&lt;=cota_s*100+fi_s/20,0,(OFFSET('Base de dados'!$A$4,IF(O1190&lt;20,1,IF(O1190&gt;1000,10,MATCH(O1190,Cargas,1))),Coluna_fis,1,1))*(PI()*(fi_s/1000)^2/4)*(2*9.81*(O1190/100-cota_s-fi_s/2/1000))^0.5*1000)))</f>
        <v>3.5517409417341534</v>
      </c>
      <c r="R1190" s="38">
        <f t="shared" ca="1" si="180"/>
        <v>8.1531167413218277</v>
      </c>
      <c r="S1190" s="38">
        <f t="shared" ca="1" si="181"/>
        <v>371.56250000000006</v>
      </c>
    </row>
    <row r="1191" spans="13:19">
      <c r="M1191" s="132">
        <f t="shared" ca="1" si="178"/>
        <v>380.03259180592551</v>
      </c>
      <c r="N1191" s="38">
        <f t="shared" si="179"/>
        <v>11.15625</v>
      </c>
      <c r="O1191" s="36">
        <f t="shared" si="177"/>
        <v>297.5</v>
      </c>
      <c r="P1191" s="38">
        <f ca="1">IF(ISERROR(IF(O1191&lt;fi_h/20,0,(OFFSET('Base de dados'!$A$5,IF(O1191&lt;20,1,IF(O1191&gt;1000,10,MATCH(O1191,Cargas,1))),Coluna_fih,1,1))*(1+0.13*0.25)*(PI()*(fi_h/1000)^2/4)*SQRT(2*9.81*(O1191/100-fi_h/2/1000))*1000)),"",IF(O1191&lt;fi_h/20,0,(OFFSET('Base de dados'!$A$5,IF(O1191&lt;20,1,IF(O1191&gt;1000,10,MATCH(O1191,Cargas,1))),Coluna_fih,1,1))*(PI()*(fi_h/1000)^2/4)*SQRT(2*9.81*(O1191/100-fi_h/2/1000))*1000))</f>
        <v>4.6033218903859732</v>
      </c>
      <c r="Q1191" s="38">
        <f ca="1">IF(O1191="","",IF(Tipo_Vertedor="Retangular",IF(O1191&lt;=cota_s*100,0,IF(Tipo_Vertedor="Retangular",Cd_sr*Lef_sr*((O1191/100-cota_s)^(3/2))*1000)),IF(O1191&lt;=cota_s*100+fi_s/20,0,(OFFSET('Base de dados'!$A$4,IF(O1191&lt;20,1,IF(O1191&gt;1000,10,MATCH(O1191,Cargas,1))),Coluna_fis,1,1))*(PI()*(fi_s/1000)^2/4)*(2*9.81*(O1191/100-cota_s-fi_s/2/1000))^0.5*1000)))</f>
        <v>3.5542699155395359</v>
      </c>
      <c r="R1191" s="38">
        <f t="shared" ca="1" si="180"/>
        <v>8.1575918059255095</v>
      </c>
      <c r="S1191" s="38">
        <f t="shared" ca="1" si="181"/>
        <v>371.875</v>
      </c>
    </row>
    <row r="1192" spans="13:19">
      <c r="M1192" s="132">
        <f t="shared" ca="1" si="178"/>
        <v>380.34956424998683</v>
      </c>
      <c r="N1192" s="38">
        <f t="shared" si="179"/>
        <v>11.165625</v>
      </c>
      <c r="O1192" s="36">
        <f t="shared" si="177"/>
        <v>297.75</v>
      </c>
      <c r="P1192" s="38">
        <f ca="1">IF(ISERROR(IF(O1192&lt;fi_h/20,0,(OFFSET('Base de dados'!$A$5,IF(O1192&lt;20,1,IF(O1192&gt;1000,10,MATCH(O1192,Cargas,1))),Coluna_fih,1,1))*(1+0.13*0.25)*(PI()*(fi_h/1000)^2/4)*SQRT(2*9.81*(O1192/100-fi_h/2/1000))*1000)),"",IF(O1192&lt;fi_h/20,0,(OFFSET('Base de dados'!$A$5,IF(O1192&lt;20,1,IF(O1192&gt;1000,10,MATCH(O1192,Cargas,1))),Coluna_fih,1,1))*(PI()*(fi_h/1000)^2/4)*SQRT(2*9.81*(O1192/100-fi_h/2/1000))*1000))</f>
        <v>4.6052671588065612</v>
      </c>
      <c r="Q1192" s="38">
        <f ca="1">IF(O1192="","",IF(Tipo_Vertedor="Retangular",IF(O1192&lt;=cota_s*100,0,IF(Tipo_Vertedor="Retangular",Cd_sr*Lef_sr*((O1192/100-cota_s)^(3/2))*1000)),IF(O1192&lt;=cota_s*100+fi_s/20,0,(OFFSET('Base de dados'!$A$4,IF(O1192&lt;20,1,IF(O1192&gt;1000,10,MATCH(O1192,Cargas,1))),Coluna_fis,1,1))*(PI()*(fi_s/1000)^2/4)*(2*9.81*(O1192/100-cota_s-fi_s/2/1000))^0.5*1000)))</f>
        <v>3.5567970911802407</v>
      </c>
      <c r="R1192" s="38">
        <f t="shared" ca="1" si="180"/>
        <v>8.1620642499868019</v>
      </c>
      <c r="S1192" s="38">
        <f t="shared" ca="1" si="181"/>
        <v>372.1875</v>
      </c>
    </row>
    <row r="1193" spans="13:19">
      <c r="M1193" s="132">
        <f t="shared" ca="1" si="178"/>
        <v>380.66653407837759</v>
      </c>
      <c r="N1193" s="38">
        <f t="shared" si="179"/>
        <v>11.175000000000001</v>
      </c>
      <c r="O1193" s="36">
        <f t="shared" si="177"/>
        <v>298</v>
      </c>
      <c r="P1193" s="38">
        <f ca="1">IF(ISERROR(IF(O1193&lt;fi_h/20,0,(OFFSET('Base de dados'!$A$5,IF(O1193&lt;20,1,IF(O1193&gt;1000,10,MATCH(O1193,Cargas,1))),Coluna_fih,1,1))*(1+0.13*0.25)*(PI()*(fi_h/1000)^2/4)*SQRT(2*9.81*(O1193/100-fi_h/2/1000))*1000)),"",IF(O1193&lt;fi_h/20,0,(OFFSET('Base de dados'!$A$5,IF(O1193&lt;20,1,IF(O1193&gt;1000,10,MATCH(O1193,Cargas,1))),Coluna_fih,1,1))*(PI()*(fi_h/1000)^2/4)*SQRT(2*9.81*(O1193/100-fi_h/2/1000))*1000))</f>
        <v>4.6072116058911199</v>
      </c>
      <c r="Q1193" s="38">
        <f ca="1">IF(O1193="","",IF(Tipo_Vertedor="Retangular",IF(O1193&lt;=cota_s*100,0,IF(Tipo_Vertedor="Retangular",Cd_sr*Lef_sr*((O1193/100-cota_s)^(3/2))*1000)),IF(O1193&lt;=cota_s*100+fi_s/20,0,(OFFSET('Base de dados'!$A$4,IF(O1193&lt;20,1,IF(O1193&gt;1000,10,MATCH(O1193,Cargas,1))),Coluna_fis,1,1))*(PI()*(fi_s/1000)^2/4)*(2*9.81*(O1193/100-cota_s-fi_s/2/1000))^0.5*1000)))</f>
        <v>3.5593224724864467</v>
      </c>
      <c r="R1193" s="38">
        <f t="shared" ca="1" si="180"/>
        <v>8.1665340783775662</v>
      </c>
      <c r="S1193" s="38">
        <f t="shared" ca="1" si="181"/>
        <v>372.5</v>
      </c>
    </row>
    <row r="1194" spans="13:19">
      <c r="M1194" s="132">
        <f t="shared" ca="1" si="178"/>
        <v>380.98350129595389</v>
      </c>
      <c r="N1194" s="38">
        <f t="shared" si="179"/>
        <v>11.184374999999999</v>
      </c>
      <c r="O1194" s="36">
        <f t="shared" si="177"/>
        <v>298.25</v>
      </c>
      <c r="P1194" s="38">
        <f ca="1">IF(ISERROR(IF(O1194&lt;fi_h/20,0,(OFFSET('Base de dados'!$A$5,IF(O1194&lt;20,1,IF(O1194&gt;1000,10,MATCH(O1194,Cargas,1))),Coluna_fih,1,1))*(1+0.13*0.25)*(PI()*(fi_h/1000)^2/4)*SQRT(2*9.81*(O1194/100-fi_h/2/1000))*1000)),"",IF(O1194&lt;fi_h/20,0,(OFFSET('Base de dados'!$A$5,IF(O1194&lt;20,1,IF(O1194&gt;1000,10,MATCH(O1194,Cargas,1))),Coluna_fih,1,1))*(PI()*(fi_h/1000)^2/4)*SQRT(2*9.81*(O1194/100-fi_h/2/1000))*1000))</f>
        <v>4.6091552326791305</v>
      </c>
      <c r="Q1194" s="38">
        <f ca="1">IF(O1194="","",IF(Tipo_Vertedor="Retangular",IF(O1194&lt;=cota_s*100,0,IF(Tipo_Vertedor="Retangular",Cd_sr*Lef_sr*((O1194/100-cota_s)^(3/2))*1000)),IF(O1194&lt;=cota_s*100+fi_s/20,0,(OFFSET('Base de dados'!$A$4,IF(O1194&lt;20,1,IF(O1194&gt;1000,10,MATCH(O1194,Cargas,1))),Coluna_fis,1,1))*(PI()*(fi_s/1000)^2/4)*(2*9.81*(O1194/100-cota_s-fi_s/2/1000))^0.5*1000)))</f>
        <v>3.5618460632747513</v>
      </c>
      <c r="R1194" s="38">
        <f t="shared" ca="1" si="180"/>
        <v>8.1710012959538822</v>
      </c>
      <c r="S1194" s="38">
        <f t="shared" ca="1" si="181"/>
        <v>372.8125</v>
      </c>
    </row>
    <row r="1195" spans="13:19">
      <c r="M1195" s="132">
        <f t="shared" ca="1" si="178"/>
        <v>381.30046590755614</v>
      </c>
      <c r="N1195" s="38">
        <f t="shared" si="179"/>
        <v>11.19375</v>
      </c>
      <c r="O1195" s="36">
        <f t="shared" si="177"/>
        <v>298.5</v>
      </c>
      <c r="P1195" s="38">
        <f ca="1">IF(ISERROR(IF(O1195&lt;fi_h/20,0,(OFFSET('Base de dados'!$A$5,IF(O1195&lt;20,1,IF(O1195&gt;1000,10,MATCH(O1195,Cargas,1))),Coluna_fih,1,1))*(1+0.13*0.25)*(PI()*(fi_h/1000)^2/4)*SQRT(2*9.81*(O1195/100-fi_h/2/1000))*1000)),"",IF(O1195&lt;fi_h/20,0,(OFFSET('Base de dados'!$A$5,IF(O1195&lt;20,1,IF(O1195&gt;1000,10,MATCH(O1195,Cargas,1))),Coluna_fih,1,1))*(PI()*(fi_h/1000)^2/4)*SQRT(2*9.81*(O1195/100-fi_h/2/1000))*1000))</f>
        <v>4.6110980402078834</v>
      </c>
      <c r="Q1195" s="38">
        <f ca="1">IF(O1195="","",IF(Tipo_Vertedor="Retangular",IF(O1195&lt;=cota_s*100,0,IF(Tipo_Vertedor="Retangular",Cd_sr*Lef_sr*((O1195/100-cota_s)^(3/2))*1000)),IF(O1195&lt;=cota_s*100+fi_s/20,0,(OFFSET('Base de dados'!$A$4,IF(O1195&lt;20,1,IF(O1195&gt;1000,10,MATCH(O1195,Cargas,1))),Coluna_fis,1,1))*(PI()*(fi_s/1000)^2/4)*(2*9.81*(O1195/100-cota_s-fi_s/2/1000))^0.5*1000)))</f>
        <v>3.5643678673482411</v>
      </c>
      <c r="R1195" s="38">
        <f t="shared" ca="1" si="180"/>
        <v>8.1754659075561236</v>
      </c>
      <c r="S1195" s="38">
        <f t="shared" ca="1" si="181"/>
        <v>373.125</v>
      </c>
    </row>
    <row r="1196" spans="13:19">
      <c r="M1196" s="132">
        <f t="shared" ca="1" si="178"/>
        <v>381.61742791800907</v>
      </c>
      <c r="N1196" s="38">
        <f t="shared" si="179"/>
        <v>11.203125</v>
      </c>
      <c r="O1196" s="36">
        <f t="shared" si="177"/>
        <v>298.75</v>
      </c>
      <c r="P1196" s="38">
        <f ca="1">IF(ISERROR(IF(O1196&lt;fi_h/20,0,(OFFSET('Base de dados'!$A$5,IF(O1196&lt;20,1,IF(O1196&gt;1000,10,MATCH(O1196,Cargas,1))),Coluna_fih,1,1))*(1+0.13*0.25)*(PI()*(fi_h/1000)^2/4)*SQRT(2*9.81*(O1196/100-fi_h/2/1000))*1000)),"",IF(O1196&lt;fi_h/20,0,(OFFSET('Base de dados'!$A$5,IF(O1196&lt;20,1,IF(O1196&gt;1000,10,MATCH(O1196,Cargas,1))),Coluna_fih,1,1))*(PI()*(fi_h/1000)^2/4)*SQRT(2*9.81*(O1196/100-fi_h/2/1000))*1000))</f>
        <v>4.6130400295124865</v>
      </c>
      <c r="Q1196" s="38">
        <f ca="1">IF(O1196="","",IF(Tipo_Vertedor="Retangular",IF(O1196&lt;=cota_s*100,0,IF(Tipo_Vertedor="Retangular",Cd_sr*Lef_sr*((O1196/100-cota_s)^(3/2))*1000)),IF(O1196&lt;=cota_s*100+fi_s/20,0,(OFFSET('Base de dados'!$A$4,IF(O1196&lt;20,1,IF(O1196&gt;1000,10,MATCH(O1196,Cargas,1))),Coluna_fis,1,1))*(PI()*(fi_s/1000)^2/4)*(2*9.81*(O1196/100-cota_s-fi_s/2/1000))^0.5*1000)))</f>
        <v>3.5668878884965611</v>
      </c>
      <c r="R1196" s="38">
        <f t="shared" ca="1" si="180"/>
        <v>8.1799279180090476</v>
      </c>
      <c r="S1196" s="38">
        <f t="shared" ca="1" si="181"/>
        <v>373.4375</v>
      </c>
    </row>
    <row r="1197" spans="13:19">
      <c r="M1197" s="132">
        <f t="shared" ca="1" si="178"/>
        <v>381.93438733212184</v>
      </c>
      <c r="N1197" s="38">
        <f t="shared" si="179"/>
        <v>11.2125</v>
      </c>
      <c r="O1197" s="36">
        <f t="shared" si="177"/>
        <v>299</v>
      </c>
      <c r="P1197" s="38">
        <f ca="1">IF(ISERROR(IF(O1197&lt;fi_h/20,0,(OFFSET('Base de dados'!$A$5,IF(O1197&lt;20,1,IF(O1197&gt;1000,10,MATCH(O1197,Cargas,1))),Coluna_fih,1,1))*(1+0.13*0.25)*(PI()*(fi_h/1000)^2/4)*SQRT(2*9.81*(O1197/100-fi_h/2/1000))*1000)),"",IF(O1197&lt;fi_h/20,0,(OFFSET('Base de dados'!$A$5,IF(O1197&lt;20,1,IF(O1197&gt;1000,10,MATCH(O1197,Cargas,1))),Coluna_fih,1,1))*(PI()*(fi_h/1000)^2/4)*SQRT(2*9.81*(O1197/100-fi_h/2/1000))*1000))</f>
        <v>4.6149812016258673</v>
      </c>
      <c r="Q1197" s="38">
        <f ca="1">IF(O1197="","",IF(Tipo_Vertedor="Retangular",IF(O1197&lt;=cota_s*100,0,IF(Tipo_Vertedor="Retangular",Cd_sr*Lef_sr*((O1197/100-cota_s)^(3/2))*1000)),IF(O1197&lt;=cota_s*100+fi_s/20,0,(OFFSET('Base de dados'!$A$4,IF(O1197&lt;20,1,IF(O1197&gt;1000,10,MATCH(O1197,Cargas,1))),Coluna_fis,1,1))*(PI()*(fi_s/1000)^2/4)*(2*9.81*(O1197/100-cota_s-fi_s/2/1000))^0.5*1000)))</f>
        <v>3.5694061304959779</v>
      </c>
      <c r="R1197" s="38">
        <f t="shared" ca="1" si="180"/>
        <v>8.1843873321218457</v>
      </c>
      <c r="S1197" s="38">
        <f t="shared" ca="1" si="181"/>
        <v>373.75</v>
      </c>
    </row>
    <row r="1198" spans="13:19">
      <c r="M1198" s="132">
        <f t="shared" ca="1" si="178"/>
        <v>382.25134415468824</v>
      </c>
      <c r="N1198" s="38">
        <f t="shared" si="179"/>
        <v>11.221875000000001</v>
      </c>
      <c r="O1198" s="36">
        <f t="shared" si="177"/>
        <v>299.25</v>
      </c>
      <c r="P1198" s="38">
        <f ca="1">IF(ISERROR(IF(O1198&lt;fi_h/20,0,(OFFSET('Base de dados'!$A$5,IF(O1198&lt;20,1,IF(O1198&gt;1000,10,MATCH(O1198,Cargas,1))),Coluna_fih,1,1))*(1+0.13*0.25)*(PI()*(fi_h/1000)^2/4)*SQRT(2*9.81*(O1198/100-fi_h/2/1000))*1000)),"",IF(O1198&lt;fi_h/20,0,(OFFSET('Base de dados'!$A$5,IF(O1198&lt;20,1,IF(O1198&gt;1000,10,MATCH(O1198,Cargas,1))),Coluna_fih,1,1))*(PI()*(fi_h/1000)^2/4)*SQRT(2*9.81*(O1198/100-fi_h/2/1000))*1000))</f>
        <v>4.6169215575787845</v>
      </c>
      <c r="Q1198" s="38">
        <f ca="1">IF(O1198="","",IF(Tipo_Vertedor="Retangular",IF(O1198&lt;=cota_s*100,0,IF(Tipo_Vertedor="Retangular",Cd_sr*Lef_sr*((O1198/100-cota_s)^(3/2))*1000)),IF(O1198&lt;=cota_s*100+fi_s/20,0,(OFFSET('Base de dados'!$A$4,IF(O1198&lt;20,1,IF(O1198&gt;1000,10,MATCH(O1198,Cargas,1))),Coluna_fis,1,1))*(PI()*(fi_s/1000)^2/4)*(2*9.81*(O1198/100-cota_s-fi_s/2/1000))^0.5*1000)))</f>
        <v>3.5719225971094444</v>
      </c>
      <c r="R1198" s="38">
        <f t="shared" ca="1" si="180"/>
        <v>8.1888441546882298</v>
      </c>
      <c r="S1198" s="38">
        <f t="shared" ca="1" si="181"/>
        <v>374.0625</v>
      </c>
    </row>
    <row r="1199" spans="13:19">
      <c r="M1199" s="132">
        <f t="shared" ca="1" si="178"/>
        <v>382.56829839048658</v>
      </c>
      <c r="N1199" s="38">
        <f t="shared" si="179"/>
        <v>11.231250000000001</v>
      </c>
      <c r="O1199" s="36">
        <f t="shared" si="177"/>
        <v>299.5</v>
      </c>
      <c r="P1199" s="38">
        <f ca="1">IF(ISERROR(IF(O1199&lt;fi_h/20,0,(OFFSET('Base de dados'!$A$5,IF(O1199&lt;20,1,IF(O1199&gt;1000,10,MATCH(O1199,Cargas,1))),Coluna_fih,1,1))*(1+0.13*0.25)*(PI()*(fi_h/1000)^2/4)*SQRT(2*9.81*(O1199/100-fi_h/2/1000))*1000)),"",IF(O1199&lt;fi_h/20,0,(OFFSET('Base de dados'!$A$5,IF(O1199&lt;20,1,IF(O1199&gt;1000,10,MATCH(O1199,Cargas,1))),Coluna_fih,1,1))*(PI()*(fi_h/1000)^2/4)*SQRT(2*9.81*(O1199/100-fi_h/2/1000))*1000))</f>
        <v>4.6188610983998313</v>
      </c>
      <c r="Q1199" s="38">
        <f ca="1">IF(O1199="","",IF(Tipo_Vertedor="Retangular",IF(O1199&lt;=cota_s*100,0,IF(Tipo_Vertedor="Retangular",Cd_sr*Lef_sr*((O1199/100-cota_s)^(3/2))*1000)),IF(O1199&lt;=cota_s*100+fi_s/20,0,(OFFSET('Base de dados'!$A$4,IF(O1199&lt;20,1,IF(O1199&gt;1000,10,MATCH(O1199,Cargas,1))),Coluna_fis,1,1))*(PI()*(fi_s/1000)^2/4)*(2*9.81*(O1199/100-cota_s-fi_s/2/1000))^0.5*1000)))</f>
        <v>3.5744372920866696</v>
      </c>
      <c r="R1199" s="38">
        <f t="shared" ca="1" si="180"/>
        <v>8.1932983904865004</v>
      </c>
      <c r="S1199" s="38">
        <f t="shared" ca="1" si="181"/>
        <v>374.37500000000006</v>
      </c>
    </row>
    <row r="1200" spans="13:19">
      <c r="M1200" s="132">
        <f t="shared" ca="1" si="178"/>
        <v>382.88525004427964</v>
      </c>
      <c r="N1200" s="38">
        <f t="shared" si="179"/>
        <v>11.240625</v>
      </c>
      <c r="O1200" s="36">
        <f t="shared" si="177"/>
        <v>299.75</v>
      </c>
      <c r="P1200" s="38">
        <f ca="1">IF(ISERROR(IF(O1200&lt;fi_h/20,0,(OFFSET('Base de dados'!$A$5,IF(O1200&lt;20,1,IF(O1200&gt;1000,10,MATCH(O1200,Cargas,1))),Coluna_fih,1,1))*(1+0.13*0.25)*(PI()*(fi_h/1000)^2/4)*SQRT(2*9.81*(O1200/100-fi_h/2/1000))*1000)),"",IF(O1200&lt;fi_h/20,0,(OFFSET('Base de dados'!$A$5,IF(O1200&lt;20,1,IF(O1200&gt;1000,10,MATCH(O1200,Cargas,1))),Coluna_fih,1,1))*(PI()*(fi_h/1000)^2/4)*SQRT(2*9.81*(O1200/100-fi_h/2/1000))*1000))</f>
        <v>4.6207998251154381</v>
      </c>
      <c r="Q1200" s="38">
        <f ca="1">IF(O1200="","",IF(Tipo_Vertedor="Retangular",IF(O1200&lt;=cota_s*100,0,IF(Tipo_Vertedor="Retangular",Cd_sr*Lef_sr*((O1200/100-cota_s)^(3/2))*1000)),IF(O1200&lt;=cota_s*100+fi_s/20,0,(OFFSET('Base de dados'!$A$4,IF(O1200&lt;20,1,IF(O1200&gt;1000,10,MATCH(O1200,Cargas,1))),Coluna_fis,1,1))*(PI()*(fi_s/1000)^2/4)*(2*9.81*(O1200/100-cota_s-fi_s/2/1000))^0.5*1000)))</f>
        <v>3.576950219164182</v>
      </c>
      <c r="R1200" s="38">
        <f t="shared" ca="1" si="180"/>
        <v>8.1977500442796192</v>
      </c>
      <c r="S1200" s="38">
        <f t="shared" ca="1" si="181"/>
        <v>374.6875</v>
      </c>
    </row>
    <row r="1201" spans="13:19">
      <c r="M1201" s="132">
        <f t="shared" ca="1" si="178"/>
        <v>383.1964443597509</v>
      </c>
      <c r="N1201" s="38">
        <f t="shared" si="179"/>
        <v>11.25</v>
      </c>
      <c r="O1201" s="36">
        <f t="shared" si="177"/>
        <v>300</v>
      </c>
      <c r="P1201" s="38">
        <f ca="1">IF(ISERROR(IF(O1201&lt;fi_h/20,0,(OFFSET('Base de dados'!$A$5,IF(O1201&lt;20,1,IF(O1201&gt;1000,10,MATCH(O1201,Cargas,1))),Coluna_fih,1,1))*(1+0.13*0.25)*(PI()*(fi_h/1000)^2/4)*SQRT(2*9.81*(O1201/100-fi_h/2/1000))*1000)),"",IF(O1201&lt;fi_h/20,0,(OFFSET('Base de dados'!$A$5,IF(O1201&lt;20,1,IF(O1201&gt;1000,10,MATCH(O1201,Cargas,1))),Coluna_fih,1,1))*(PI()*(fi_h/1000)^2/4)*SQRT(2*9.81*(O1201/100-fi_h/2/1000))*1000))</f>
        <v>4.6227377387498896</v>
      </c>
      <c r="Q1201" s="38">
        <f ca="1">IF(O1201="","",IF(Tipo_Vertedor="Retangular",IF(O1201&lt;=cota_s*100,0,IF(Tipo_Vertedor="Retangular",Cd_sr*Lef_sr*((O1201/100-cota_s)^(3/2))*1000)),IF(O1201&lt;=cota_s*100+fi_s/20,0,(OFFSET('Base de dados'!$A$4,IF(O1201&lt;20,1,IF(O1201&gt;1000,10,MATCH(O1201,Cargas,1))),Coluna_fis,1,1))*(PI()*(fi_s/1000)^2/4)*(2*9.81*(O1201/100-cota_s-fi_s/2/1000))^0.5*1000)))</f>
        <v>3.57370662100098</v>
      </c>
      <c r="R1201" s="38">
        <f t="shared" ca="1" si="180"/>
        <v>8.1964443597508705</v>
      </c>
      <c r="S1201" s="38">
        <f t="shared" ca="1" si="181"/>
        <v>375</v>
      </c>
    </row>
    <row r="1202" spans="13:19">
      <c r="M1202" s="132">
        <f t="shared" ca="1" si="178"/>
        <v>383.5133868293525</v>
      </c>
      <c r="N1202" s="38">
        <f t="shared" si="179"/>
        <v>11.259375</v>
      </c>
      <c r="O1202" s="36">
        <f t="shared" si="177"/>
        <v>300.25</v>
      </c>
      <c r="P1202" s="38">
        <f ca="1">IF(ISERROR(IF(O1202&lt;fi_h/20,0,(OFFSET('Base de dados'!$A$5,IF(O1202&lt;20,1,IF(O1202&gt;1000,10,MATCH(O1202,Cargas,1))),Coluna_fih,1,1))*(1+0.13*0.25)*(PI()*(fi_h/1000)^2/4)*SQRT(2*9.81*(O1202/100-fi_h/2/1000))*1000)),"",IF(O1202&lt;fi_h/20,0,(OFFSET('Base de dados'!$A$5,IF(O1202&lt;20,1,IF(O1202&gt;1000,10,MATCH(O1202,Cargas,1))),Coluna_fih,1,1))*(PI()*(fi_h/1000)^2/4)*SQRT(2*9.81*(O1202/100-fi_h/2/1000))*1000))</f>
        <v>4.6246748403253193</v>
      </c>
      <c r="Q1202" s="38">
        <f ca="1">IF(O1202="","",IF(Tipo_Vertedor="Retangular",IF(O1202&lt;=cota_s*100,0,IF(Tipo_Vertedor="Retangular",Cd_sr*Lef_sr*((O1202/100-cota_s)^(3/2))*1000)),IF(O1202&lt;=cota_s*100+fi_s/20,0,(OFFSET('Base de dados'!$A$4,IF(O1202&lt;20,1,IF(O1202&gt;1000,10,MATCH(O1202,Cargas,1))),Coluna_fis,1,1))*(PI()*(fi_s/1000)^2/4)*(2*9.81*(O1202/100-cota_s-fi_s/2/1000))^0.5*1000)))</f>
        <v>3.5762119890271911</v>
      </c>
      <c r="R1202" s="38">
        <f t="shared" ca="1" si="180"/>
        <v>8.2008868293525108</v>
      </c>
      <c r="S1202" s="38">
        <f t="shared" ca="1" si="181"/>
        <v>375.3125</v>
      </c>
    </row>
    <row r="1203" spans="13:19">
      <c r="M1203" s="132">
        <f t="shared" ca="1" si="178"/>
        <v>383.83032673397088</v>
      </c>
      <c r="N1203" s="38">
        <f t="shared" si="179"/>
        <v>11.268749999999999</v>
      </c>
      <c r="O1203" s="36">
        <f t="shared" si="177"/>
        <v>300.5</v>
      </c>
      <c r="P1203" s="38">
        <f ca="1">IF(ISERROR(IF(O1203&lt;fi_h/20,0,(OFFSET('Base de dados'!$A$5,IF(O1203&lt;20,1,IF(O1203&gt;1000,10,MATCH(O1203,Cargas,1))),Coluna_fih,1,1))*(1+0.13*0.25)*(PI()*(fi_h/1000)^2/4)*SQRT(2*9.81*(O1203/100-fi_h/2/1000))*1000)),"",IF(O1203&lt;fi_h/20,0,(OFFSET('Base de dados'!$A$5,IF(O1203&lt;20,1,IF(O1203&gt;1000,10,MATCH(O1203,Cargas,1))),Coluna_fih,1,1))*(PI()*(fi_h/1000)^2/4)*SQRT(2*9.81*(O1203/100-fi_h/2/1000))*1000))</f>
        <v>4.6266111308617228</v>
      </c>
      <c r="Q1203" s="38">
        <f ca="1">IF(O1203="","",IF(Tipo_Vertedor="Retangular",IF(O1203&lt;=cota_s*100,0,IF(Tipo_Vertedor="Retangular",Cd_sr*Lef_sr*((O1203/100-cota_s)^(3/2))*1000)),IF(O1203&lt;=cota_s*100+fi_s/20,0,(OFFSET('Base de dados'!$A$4,IF(O1203&lt;20,1,IF(O1203&gt;1000,10,MATCH(O1203,Cargas,1))),Coluna_fis,1,1))*(PI()*(fi_s/1000)^2/4)*(2*9.81*(O1203/100-cota_s-fi_s/2/1000))^0.5*1000)))</f>
        <v>3.5787156031092207</v>
      </c>
      <c r="R1203" s="38">
        <f t="shared" ca="1" si="180"/>
        <v>8.2053267339709439</v>
      </c>
      <c r="S1203" s="38">
        <f t="shared" ca="1" si="181"/>
        <v>375.62499999999994</v>
      </c>
    </row>
    <row r="1204" spans="13:19">
      <c r="M1204" s="132">
        <f t="shared" ca="1" si="178"/>
        <v>384.14726407830256</v>
      </c>
      <c r="N1204" s="38">
        <f t="shared" si="179"/>
        <v>11.278124999999999</v>
      </c>
      <c r="O1204" s="36">
        <f t="shared" si="177"/>
        <v>300.75</v>
      </c>
      <c r="P1204" s="38">
        <f ca="1">IF(ISERROR(IF(O1204&lt;fi_h/20,0,(OFFSET('Base de dados'!$A$5,IF(O1204&lt;20,1,IF(O1204&gt;1000,10,MATCH(O1204,Cargas,1))),Coluna_fih,1,1))*(1+0.13*0.25)*(PI()*(fi_h/1000)^2/4)*SQRT(2*9.81*(O1204/100-fi_h/2/1000))*1000)),"",IF(O1204&lt;fi_h/20,0,(OFFSET('Base de dados'!$A$5,IF(O1204&lt;20,1,IF(O1204&gt;1000,10,MATCH(O1204,Cargas,1))),Coluna_fih,1,1))*(PI()*(fi_h/1000)^2/4)*SQRT(2*9.81*(O1204/100-fi_h/2/1000))*1000))</f>
        <v>4.6285466113769616</v>
      </c>
      <c r="Q1204" s="38">
        <f ca="1">IF(O1204="","",IF(Tipo_Vertedor="Retangular",IF(O1204&lt;=cota_s*100,0,IF(Tipo_Vertedor="Retangular",Cd_sr*Lef_sr*((O1204/100-cota_s)^(3/2))*1000)),IF(O1204&lt;=cota_s*100+fi_s/20,0,(OFFSET('Base de dados'!$A$4,IF(O1204&lt;20,1,IF(O1204&gt;1000,10,MATCH(O1204,Cargas,1))),Coluna_fis,1,1))*(PI()*(fi_s/1000)^2/4)*(2*9.81*(O1204/100-cota_s-fi_s/2/1000))^0.5*1000)))</f>
        <v>3.5812174669255938</v>
      </c>
      <c r="R1204" s="38">
        <f t="shared" ca="1" si="180"/>
        <v>8.2097640783025554</v>
      </c>
      <c r="S1204" s="38">
        <f t="shared" ca="1" si="181"/>
        <v>375.9375</v>
      </c>
    </row>
    <row r="1205" spans="13:19">
      <c r="M1205" s="132">
        <f t="shared" ca="1" si="178"/>
        <v>384.46419886702876</v>
      </c>
      <c r="N1205" s="38">
        <f t="shared" si="179"/>
        <v>11.2875</v>
      </c>
      <c r="O1205" s="36">
        <f t="shared" si="177"/>
        <v>301</v>
      </c>
      <c r="P1205" s="38">
        <f ca="1">IF(ISERROR(IF(O1205&lt;fi_h/20,0,(OFFSET('Base de dados'!$A$5,IF(O1205&lt;20,1,IF(O1205&gt;1000,10,MATCH(O1205,Cargas,1))),Coluna_fih,1,1))*(1+0.13*0.25)*(PI()*(fi_h/1000)^2/4)*SQRT(2*9.81*(O1205/100-fi_h/2/1000))*1000)),"",IF(O1205&lt;fi_h/20,0,(OFFSET('Base de dados'!$A$5,IF(O1205&lt;20,1,IF(O1205&gt;1000,10,MATCH(O1205,Cargas,1))),Coluna_fih,1,1))*(PI()*(fi_h/1000)^2/4)*SQRT(2*9.81*(O1205/100-fi_h/2/1000))*1000))</f>
        <v>4.6304812828867732</v>
      </c>
      <c r="Q1205" s="38">
        <f ca="1">IF(O1205="","",IF(Tipo_Vertedor="Retangular",IF(O1205&lt;=cota_s*100,0,IF(Tipo_Vertedor="Retangular",Cd_sr*Lef_sr*((O1205/100-cota_s)^(3/2))*1000)),IF(O1205&lt;=cota_s*100+fi_s/20,0,(OFFSET('Base de dados'!$A$4,IF(O1205&lt;20,1,IF(O1205&gt;1000,10,MATCH(O1205,Cargas,1))),Coluna_fis,1,1))*(PI()*(fi_s/1000)^2/4)*(2*9.81*(O1205/100-cota_s-fi_s/2/1000))^0.5*1000)))</f>
        <v>3.5837175841419957</v>
      </c>
      <c r="R1205" s="38">
        <f t="shared" ca="1" si="180"/>
        <v>8.2141988670287684</v>
      </c>
      <c r="S1205" s="38">
        <f t="shared" ca="1" si="181"/>
        <v>376.25</v>
      </c>
    </row>
    <row r="1206" spans="13:19">
      <c r="M1206" s="132">
        <f t="shared" ca="1" si="178"/>
        <v>384.7811311048161</v>
      </c>
      <c r="N1206" s="38">
        <f t="shared" si="179"/>
        <v>11.296875</v>
      </c>
      <c r="O1206" s="36">
        <f t="shared" si="177"/>
        <v>301.25</v>
      </c>
      <c r="P1206" s="38">
        <f ca="1">IF(ISERROR(IF(O1206&lt;fi_h/20,0,(OFFSET('Base de dados'!$A$5,IF(O1206&lt;20,1,IF(O1206&gt;1000,10,MATCH(O1206,Cargas,1))),Coluna_fih,1,1))*(1+0.13*0.25)*(PI()*(fi_h/1000)^2/4)*SQRT(2*9.81*(O1206/100-fi_h/2/1000))*1000)),"",IF(O1206&lt;fi_h/20,0,(OFFSET('Base de dados'!$A$5,IF(O1206&lt;20,1,IF(O1206&gt;1000,10,MATCH(O1206,Cargas,1))),Coluna_fih,1,1))*(PI()*(fi_h/1000)^2/4)*SQRT(2*9.81*(O1206/100-fi_h/2/1000))*1000))</f>
        <v>4.6324151464047683</v>
      </c>
      <c r="Q1206" s="38">
        <f ca="1">IF(O1206="","",IF(Tipo_Vertedor="Retangular",IF(O1206&lt;=cota_s*100,0,IF(Tipo_Vertedor="Retangular",Cd_sr*Lef_sr*((O1206/100-cota_s)^(3/2))*1000)),IF(O1206&lt;=cota_s*100+fi_s/20,0,(OFFSET('Base de dados'!$A$4,IF(O1206&lt;20,1,IF(O1206&gt;1000,10,MATCH(O1206,Cargas,1))),Coluna_fis,1,1))*(PI()*(fi_s/1000)^2/4)*(2*9.81*(O1206/100-cota_s-fi_s/2/1000))^0.5*1000)))</f>
        <v>3.586215958411334</v>
      </c>
      <c r="R1206" s="38">
        <f t="shared" ca="1" si="180"/>
        <v>8.2186311048161027</v>
      </c>
      <c r="S1206" s="38">
        <f t="shared" ca="1" si="181"/>
        <v>376.5625</v>
      </c>
    </row>
    <row r="1207" spans="13:19">
      <c r="M1207" s="132">
        <f t="shared" ca="1" si="178"/>
        <v>385.09806079631625</v>
      </c>
      <c r="N1207" s="38">
        <f t="shared" si="179"/>
        <v>11.30625</v>
      </c>
      <c r="O1207" s="36">
        <f t="shared" si="177"/>
        <v>301.5</v>
      </c>
      <c r="P1207" s="38">
        <f ca="1">IF(ISERROR(IF(O1207&lt;fi_h/20,0,(OFFSET('Base de dados'!$A$5,IF(O1207&lt;20,1,IF(O1207&gt;1000,10,MATCH(O1207,Cargas,1))),Coluna_fih,1,1))*(1+0.13*0.25)*(PI()*(fi_h/1000)^2/4)*SQRT(2*9.81*(O1207/100-fi_h/2/1000))*1000)),"",IF(O1207&lt;fi_h/20,0,(OFFSET('Base de dados'!$A$5,IF(O1207&lt;20,1,IF(O1207&gt;1000,10,MATCH(O1207,Cargas,1))),Coluna_fih,1,1))*(PI()*(fi_h/1000)^2/4)*SQRT(2*9.81*(O1207/100-fi_h/2/1000))*1000))</f>
        <v>4.6343482029424479</v>
      </c>
      <c r="Q1207" s="38">
        <f ca="1">IF(O1207="","",IF(Tipo_Vertedor="Retangular",IF(O1207&lt;=cota_s*100,0,IF(Tipo_Vertedor="Retangular",Cd_sr*Lef_sr*((O1207/100-cota_s)^(3/2))*1000)),IF(O1207&lt;=cota_s*100+fi_s/20,0,(OFFSET('Base de dados'!$A$4,IF(O1207&lt;20,1,IF(O1207&gt;1000,10,MATCH(O1207,Cargas,1))),Coluna_fis,1,1))*(PI()*(fi_s/1000)^2/4)*(2*9.81*(O1207/100-cota_s-fi_s/2/1000))^0.5*1000)))</f>
        <v>3.5887125933737987</v>
      </c>
      <c r="R1207" s="38">
        <f t="shared" ca="1" si="180"/>
        <v>8.223060796316247</v>
      </c>
      <c r="S1207" s="38">
        <f t="shared" ca="1" si="181"/>
        <v>376.875</v>
      </c>
    </row>
    <row r="1208" spans="13:19">
      <c r="M1208" s="132">
        <f t="shared" ca="1" si="178"/>
        <v>385.41498794616615</v>
      </c>
      <c r="N1208" s="38">
        <f t="shared" si="179"/>
        <v>11.315625000000001</v>
      </c>
      <c r="O1208" s="36">
        <f t="shared" si="177"/>
        <v>301.75</v>
      </c>
      <c r="P1208" s="38">
        <f ca="1">IF(ISERROR(IF(O1208&lt;fi_h/20,0,(OFFSET('Base de dados'!$A$5,IF(O1208&lt;20,1,IF(O1208&gt;1000,10,MATCH(O1208,Cargas,1))),Coluna_fih,1,1))*(1+0.13*0.25)*(PI()*(fi_h/1000)^2/4)*SQRT(2*9.81*(O1208/100-fi_h/2/1000))*1000)),"",IF(O1208&lt;fi_h/20,0,(OFFSET('Base de dados'!$A$5,IF(O1208&lt;20,1,IF(O1208&gt;1000,10,MATCH(O1208,Cargas,1))),Coluna_fih,1,1))*(PI()*(fi_h/1000)^2/4)*SQRT(2*9.81*(O1208/100-fi_h/2/1000))*1000))</f>
        <v>4.6362804535091993</v>
      </c>
      <c r="Q1208" s="38">
        <f ca="1">IF(O1208="","",IF(Tipo_Vertedor="Retangular",IF(O1208&lt;=cota_s*100,0,IF(Tipo_Vertedor="Retangular",Cd_sr*Lef_sr*((O1208/100-cota_s)^(3/2))*1000)),IF(O1208&lt;=cota_s*100+fi_s/20,0,(OFFSET('Base de dados'!$A$4,IF(O1208&lt;20,1,IF(O1208&gt;1000,10,MATCH(O1208,Cargas,1))),Coluna_fis,1,1))*(PI()*(fi_s/1000)^2/4)*(2*9.81*(O1208/100-cota_s-fi_s/2/1000))^0.5*1000)))</f>
        <v>3.5912074926569293</v>
      </c>
      <c r="R1208" s="38">
        <f t="shared" ca="1" si="180"/>
        <v>8.2274879461661286</v>
      </c>
      <c r="S1208" s="38">
        <f t="shared" ca="1" si="181"/>
        <v>377.1875</v>
      </c>
    </row>
    <row r="1209" spans="13:19">
      <c r="M1209" s="132">
        <f t="shared" ca="1" si="178"/>
        <v>385.73191255898797</v>
      </c>
      <c r="N1209" s="38">
        <f t="shared" si="179"/>
        <v>11.324999999999999</v>
      </c>
      <c r="O1209" s="36">
        <f t="shared" si="177"/>
        <v>302</v>
      </c>
      <c r="P1209" s="38">
        <f ca="1">IF(ISERROR(IF(O1209&lt;fi_h/20,0,(OFFSET('Base de dados'!$A$5,IF(O1209&lt;20,1,IF(O1209&gt;1000,10,MATCH(O1209,Cargas,1))),Coluna_fih,1,1))*(1+0.13*0.25)*(PI()*(fi_h/1000)^2/4)*SQRT(2*9.81*(O1209/100-fi_h/2/1000))*1000)),"",IF(O1209&lt;fi_h/20,0,(OFFSET('Base de dados'!$A$5,IF(O1209&lt;20,1,IF(O1209&gt;1000,10,MATCH(O1209,Cargas,1))),Coluna_fih,1,1))*(PI()*(fi_h/1000)^2/4)*SQRT(2*9.81*(O1209/100-fi_h/2/1000))*1000))</f>
        <v>4.6382118991123118</v>
      </c>
      <c r="Q1209" s="38">
        <f ca="1">IF(O1209="","",IF(Tipo_Vertedor="Retangular",IF(O1209&lt;=cota_s*100,0,IF(Tipo_Vertedor="Retangular",Cd_sr*Lef_sr*((O1209/100-cota_s)^(3/2))*1000)),IF(O1209&lt;=cota_s*100+fi_s/20,0,(OFFSET('Base de dados'!$A$4,IF(O1209&lt;20,1,IF(O1209&gt;1000,10,MATCH(O1209,Cargas,1))),Coluna_fis,1,1))*(PI()*(fi_s/1000)^2/4)*(2*9.81*(O1209/100-cota_s-fi_s/2/1000))^0.5*1000)))</f>
        <v>3.5937006598756729</v>
      </c>
      <c r="R1209" s="38">
        <f t="shared" ca="1" si="180"/>
        <v>8.2319125589879842</v>
      </c>
      <c r="S1209" s="38">
        <f t="shared" ca="1" si="181"/>
        <v>377.5</v>
      </c>
    </row>
    <row r="1210" spans="13:19">
      <c r="M1210" s="132">
        <f t="shared" ca="1" si="178"/>
        <v>386.04883463938944</v>
      </c>
      <c r="N1210" s="38">
        <f t="shared" si="179"/>
        <v>11.334375</v>
      </c>
      <c r="O1210" s="36">
        <f t="shared" si="177"/>
        <v>302.25</v>
      </c>
      <c r="P1210" s="38">
        <f ca="1">IF(ISERROR(IF(O1210&lt;fi_h/20,0,(OFFSET('Base de dados'!$A$5,IF(O1210&lt;20,1,IF(O1210&gt;1000,10,MATCH(O1210,Cargas,1))),Coluna_fih,1,1))*(1+0.13*0.25)*(PI()*(fi_h/1000)^2/4)*SQRT(2*9.81*(O1210/100-fi_h/2/1000))*1000)),"",IF(O1210&lt;fi_h/20,0,(OFFSET('Base de dados'!$A$5,IF(O1210&lt;20,1,IF(O1210&gt;1000,10,MATCH(O1210,Cargas,1))),Coluna_fih,1,1))*(PI()*(fi_h/1000)^2/4)*SQRT(2*9.81*(O1210/100-fi_h/2/1000))*1000))</f>
        <v>4.640142540756977</v>
      </c>
      <c r="Q1210" s="38">
        <f ca="1">IF(O1210="","",IF(Tipo_Vertedor="Retangular",IF(O1210&lt;=cota_s*100,0,IF(Tipo_Vertedor="Retangular",Cd_sr*Lef_sr*((O1210/100-cota_s)^(3/2))*1000)),IF(O1210&lt;=cota_s*100+fi_s/20,0,(OFFSET('Base de dados'!$A$4,IF(O1210&lt;20,1,IF(O1210&gt;1000,10,MATCH(O1210,Cargas,1))),Coluna_fis,1,1))*(PI()*(fi_s/1000)^2/4)*(2*9.81*(O1210/100-cota_s-fi_s/2/1000))^0.5*1000)))</f>
        <v>3.5961920986324434</v>
      </c>
      <c r="R1210" s="38">
        <f t="shared" ca="1" si="180"/>
        <v>8.2363346393894208</v>
      </c>
      <c r="S1210" s="38">
        <f t="shared" ca="1" si="181"/>
        <v>377.8125</v>
      </c>
    </row>
    <row r="1211" spans="13:19">
      <c r="M1211" s="132">
        <f t="shared" ca="1" si="178"/>
        <v>386.3657541919635</v>
      </c>
      <c r="N1211" s="38">
        <f t="shared" si="179"/>
        <v>11.34375</v>
      </c>
      <c r="O1211" s="36">
        <f t="shared" si="177"/>
        <v>302.5</v>
      </c>
      <c r="P1211" s="38">
        <f ca="1">IF(ISERROR(IF(O1211&lt;fi_h/20,0,(OFFSET('Base de dados'!$A$5,IF(O1211&lt;20,1,IF(O1211&gt;1000,10,MATCH(O1211,Cargas,1))),Coluna_fih,1,1))*(1+0.13*0.25)*(PI()*(fi_h/1000)^2/4)*SQRT(2*9.81*(O1211/100-fi_h/2/1000))*1000)),"",IF(O1211&lt;fi_h/20,0,(OFFSET('Base de dados'!$A$5,IF(O1211&lt;20,1,IF(O1211&gt;1000,10,MATCH(O1211,Cargas,1))),Coluna_fih,1,1))*(PI()*(fi_h/1000)^2/4)*SQRT(2*9.81*(O1211/100-fi_h/2/1000))*1000))</f>
        <v>4.6420723794462964</v>
      </c>
      <c r="Q1211" s="38">
        <f ca="1">IF(O1211="","",IF(Tipo_Vertedor="Retangular",IF(O1211&lt;=cota_s*100,0,IF(Tipo_Vertedor="Retangular",Cd_sr*Lef_sr*((O1211/100-cota_s)^(3/2))*1000)),IF(O1211&lt;=cota_s*100+fi_s/20,0,(OFFSET('Base de dados'!$A$4,IF(O1211&lt;20,1,IF(O1211&gt;1000,10,MATCH(O1211,Cargas,1))),Coluna_fis,1,1))*(PI()*(fi_s/1000)^2/4)*(2*9.81*(O1211/100-cota_s-fi_s/2/1000))^0.5*1000)))</f>
        <v>3.5986818125171882</v>
      </c>
      <c r="R1211" s="38">
        <f t="shared" ca="1" si="180"/>
        <v>8.2407541919634841</v>
      </c>
      <c r="S1211" s="38">
        <f t="shared" ca="1" si="181"/>
        <v>378.125</v>
      </c>
    </row>
    <row r="1212" spans="13:19">
      <c r="M1212" s="132">
        <f t="shared" ca="1" si="178"/>
        <v>386.68267122128867</v>
      </c>
      <c r="N1212" s="38">
        <f t="shared" si="179"/>
        <v>11.353124999999999</v>
      </c>
      <c r="O1212" s="36">
        <f t="shared" si="177"/>
        <v>302.75</v>
      </c>
      <c r="P1212" s="38">
        <f ca="1">IF(ISERROR(IF(O1212&lt;fi_h/20,0,(OFFSET('Base de dados'!$A$5,IF(O1212&lt;20,1,IF(O1212&gt;1000,10,MATCH(O1212,Cargas,1))),Coluna_fih,1,1))*(1+0.13*0.25)*(PI()*(fi_h/1000)^2/4)*SQRT(2*9.81*(O1212/100-fi_h/2/1000))*1000)),"",IF(O1212&lt;fi_h/20,0,(OFFSET('Base de dados'!$A$5,IF(O1212&lt;20,1,IF(O1212&gt;1000,10,MATCH(O1212,Cargas,1))),Coluna_fih,1,1))*(PI()*(fi_h/1000)^2/4)*SQRT(2*9.81*(O1212/100-fi_h/2/1000))*1000))</f>
        <v>4.6440014161812835</v>
      </c>
      <c r="Q1212" s="38">
        <f ca="1">IF(O1212="","",IF(Tipo_Vertedor="Retangular",IF(O1212&lt;=cota_s*100,0,IF(Tipo_Vertedor="Retangular",Cd_sr*Lef_sr*((O1212/100-cota_s)^(3/2))*1000)),IF(O1212&lt;=cota_s*100+fi_s/20,0,(OFFSET('Base de dados'!$A$4,IF(O1212&lt;20,1,IF(O1212&gt;1000,10,MATCH(O1212,Cargas,1))),Coluna_fis,1,1))*(PI()*(fi_s/1000)^2/4)*(2*9.81*(O1212/100-cota_s-fi_s/2/1000))^0.5*1000)))</f>
        <v>3.6011698051074421</v>
      </c>
      <c r="R1212" s="38">
        <f t="shared" ca="1" si="180"/>
        <v>8.2451712212887251</v>
      </c>
      <c r="S1212" s="38">
        <f t="shared" ca="1" si="181"/>
        <v>378.43749999999994</v>
      </c>
    </row>
    <row r="1213" spans="13:19">
      <c r="M1213" s="132">
        <f t="shared" ca="1" si="178"/>
        <v>386.99958573192919</v>
      </c>
      <c r="N1213" s="38">
        <f t="shared" si="179"/>
        <v>11.362499999999999</v>
      </c>
      <c r="O1213" s="36">
        <f t="shared" si="177"/>
        <v>303</v>
      </c>
      <c r="P1213" s="38">
        <f ca="1">IF(ISERROR(IF(O1213&lt;fi_h/20,0,(OFFSET('Base de dados'!$A$5,IF(O1213&lt;20,1,IF(O1213&gt;1000,10,MATCH(O1213,Cargas,1))),Coluna_fih,1,1))*(1+0.13*0.25)*(PI()*(fi_h/1000)^2/4)*SQRT(2*9.81*(O1213/100-fi_h/2/1000))*1000)),"",IF(O1213&lt;fi_h/20,0,(OFFSET('Base de dados'!$A$5,IF(O1213&lt;20,1,IF(O1213&gt;1000,10,MATCH(O1213,Cargas,1))),Coluna_fih,1,1))*(PI()*(fi_h/1000)^2/4)*SQRT(2*9.81*(O1213/100-fi_h/2/1000))*1000))</f>
        <v>4.6459296519608797</v>
      </c>
      <c r="Q1213" s="38">
        <f ca="1">IF(O1213="","",IF(Tipo_Vertedor="Retangular",IF(O1213&lt;=cota_s*100,0,IF(Tipo_Vertedor="Retangular",Cd_sr*Lef_sr*((O1213/100-cota_s)^(3/2))*1000)),IF(O1213&lt;=cota_s*100+fi_s/20,0,(OFFSET('Base de dados'!$A$4,IF(O1213&lt;20,1,IF(O1213&gt;1000,10,MATCH(O1213,Cargas,1))),Coluna_fis,1,1))*(PI()*(fi_s/1000)^2/4)*(2*9.81*(O1213/100-cota_s-fi_s/2/1000))^0.5*1000)))</f>
        <v>3.6036560799683901</v>
      </c>
      <c r="R1213" s="38">
        <f t="shared" ca="1" si="180"/>
        <v>8.2495857319292689</v>
      </c>
      <c r="S1213" s="38">
        <f t="shared" ca="1" si="181"/>
        <v>378.74999999999994</v>
      </c>
    </row>
    <row r="1214" spans="13:19">
      <c r="M1214" s="132">
        <f t="shared" ca="1" si="178"/>
        <v>387.31649772843491</v>
      </c>
      <c r="N1214" s="38">
        <f t="shared" si="179"/>
        <v>11.371875000000001</v>
      </c>
      <c r="O1214" s="36">
        <f t="shared" si="177"/>
        <v>303.25</v>
      </c>
      <c r="P1214" s="38">
        <f ca="1">IF(ISERROR(IF(O1214&lt;fi_h/20,0,(OFFSET('Base de dados'!$A$5,IF(O1214&lt;20,1,IF(O1214&gt;1000,10,MATCH(O1214,Cargas,1))),Coluna_fih,1,1))*(1+0.13*0.25)*(PI()*(fi_h/1000)^2/4)*SQRT(2*9.81*(O1214/100-fi_h/2/1000))*1000)),"",IF(O1214&lt;fi_h/20,0,(OFFSET('Base de dados'!$A$5,IF(O1214&lt;20,1,IF(O1214&gt;1000,10,MATCH(O1214,Cargas,1))),Coluna_fih,1,1))*(PI()*(fi_h/1000)^2/4)*SQRT(2*9.81*(O1214/100-fi_h/2/1000))*1000))</f>
        <v>4.6478570877819507</v>
      </c>
      <c r="Q1214" s="38">
        <f ca="1">IF(O1214="","",IF(Tipo_Vertedor="Retangular",IF(O1214&lt;=cota_s*100,0,IF(Tipo_Vertedor="Retangular",Cd_sr*Lef_sr*((O1214/100-cota_s)^(3/2))*1000)),IF(O1214&lt;=cota_s*100+fi_s/20,0,(OFFSET('Base de dados'!$A$4,IF(O1214&lt;20,1,IF(O1214&gt;1000,10,MATCH(O1214,Cargas,1))),Coluna_fis,1,1))*(PI()*(fi_s/1000)^2/4)*(2*9.81*(O1214/100-cota_s-fi_s/2/1000))^0.5*1000)))</f>
        <v>3.6061406406529293</v>
      </c>
      <c r="R1214" s="38">
        <f t="shared" ca="1" si="180"/>
        <v>8.2539977284348804</v>
      </c>
      <c r="S1214" s="38">
        <f t="shared" ca="1" si="181"/>
        <v>379.06250000000006</v>
      </c>
    </row>
    <row r="1215" spans="13:19">
      <c r="M1215" s="132">
        <f t="shared" ca="1" si="178"/>
        <v>387.63340721534109</v>
      </c>
      <c r="N1215" s="38">
        <f t="shared" si="179"/>
        <v>11.381250000000001</v>
      </c>
      <c r="O1215" s="36">
        <f t="shared" si="177"/>
        <v>303.5</v>
      </c>
      <c r="P1215" s="38">
        <f ca="1">IF(ISERROR(IF(O1215&lt;fi_h/20,0,(OFFSET('Base de dados'!$A$5,IF(O1215&lt;20,1,IF(O1215&gt;1000,10,MATCH(O1215,Cargas,1))),Coluna_fih,1,1))*(1+0.13*0.25)*(PI()*(fi_h/1000)^2/4)*SQRT(2*9.81*(O1215/100-fi_h/2/1000))*1000)),"",IF(O1215&lt;fi_h/20,0,(OFFSET('Base de dados'!$A$5,IF(O1215&lt;20,1,IF(O1215&gt;1000,10,MATCH(O1215,Cargas,1))),Coluna_fih,1,1))*(PI()*(fi_h/1000)^2/4)*SQRT(2*9.81*(O1215/100-fi_h/2/1000))*1000))</f>
        <v>4.6497837246392972</v>
      </c>
      <c r="Q1215" s="38">
        <f ca="1">IF(O1215="","",IF(Tipo_Vertedor="Retangular",IF(O1215&lt;=cota_s*100,0,IF(Tipo_Vertedor="Retangular",Cd_sr*Lef_sr*((O1215/100-cota_s)^(3/2))*1000)),IF(O1215&lt;=cota_s*100+fi_s/20,0,(OFFSET('Base de dados'!$A$4,IF(O1215&lt;20,1,IF(O1215&gt;1000,10,MATCH(O1215,Cargas,1))),Coluna_fis,1,1))*(PI()*(fi_s/1000)^2/4)*(2*9.81*(O1215/100-cota_s-fi_s/2/1000))^0.5*1000)))</f>
        <v>3.6086234907017247</v>
      </c>
      <c r="R1215" s="38">
        <f t="shared" ca="1" si="180"/>
        <v>8.2584072153410215</v>
      </c>
      <c r="S1215" s="38">
        <f t="shared" ca="1" si="181"/>
        <v>379.37500000000006</v>
      </c>
    </row>
    <row r="1216" spans="13:19">
      <c r="M1216" s="132">
        <f t="shared" ca="1" si="178"/>
        <v>387.95031419716895</v>
      </c>
      <c r="N1216" s="38">
        <f t="shared" si="179"/>
        <v>11.390625</v>
      </c>
      <c r="O1216" s="36">
        <f t="shared" si="177"/>
        <v>303.75</v>
      </c>
      <c r="P1216" s="38">
        <f ca="1">IF(ISERROR(IF(O1216&lt;fi_h/20,0,(OFFSET('Base de dados'!$A$5,IF(O1216&lt;20,1,IF(O1216&gt;1000,10,MATCH(O1216,Cargas,1))),Coluna_fih,1,1))*(1+0.13*0.25)*(PI()*(fi_h/1000)^2/4)*SQRT(2*9.81*(O1216/100-fi_h/2/1000))*1000)),"",IF(O1216&lt;fi_h/20,0,(OFFSET('Base de dados'!$A$5,IF(O1216&lt;20,1,IF(O1216&gt;1000,10,MATCH(O1216,Cargas,1))),Coluna_fih,1,1))*(PI()*(fi_h/1000)^2/4)*SQRT(2*9.81*(O1216/100-fi_h/2/1000))*1000))</f>
        <v>4.6517095635256576</v>
      </c>
      <c r="Q1216" s="38">
        <f ca="1">IF(O1216="","",IF(Tipo_Vertedor="Retangular",IF(O1216&lt;=cota_s*100,0,IF(Tipo_Vertedor="Retangular",Cd_sr*Lef_sr*((O1216/100-cota_s)^(3/2))*1000)),IF(O1216&lt;=cota_s*100+fi_s/20,0,(OFFSET('Base de dados'!$A$4,IF(O1216&lt;20,1,IF(O1216&gt;1000,10,MATCH(O1216,Cargas,1))),Coluna_fis,1,1))*(PI()*(fi_s/1000)^2/4)*(2*9.81*(O1216/100-cota_s-fi_s/2/1000))^0.5*1000)))</f>
        <v>3.6111046336432673</v>
      </c>
      <c r="R1216" s="38">
        <f t="shared" ca="1" si="180"/>
        <v>8.2628141971689253</v>
      </c>
      <c r="S1216" s="38">
        <f t="shared" ca="1" si="181"/>
        <v>379.6875</v>
      </c>
    </row>
    <row r="1217" spans="13:19">
      <c r="M1217" s="132">
        <f t="shared" ca="1" si="178"/>
        <v>388.26721867842565</v>
      </c>
      <c r="N1217" s="38">
        <f t="shared" si="179"/>
        <v>11.4</v>
      </c>
      <c r="O1217" s="36">
        <f t="shared" si="177"/>
        <v>304</v>
      </c>
      <c r="P1217" s="38">
        <f ca="1">IF(ISERROR(IF(O1217&lt;fi_h/20,0,(OFFSET('Base de dados'!$A$5,IF(O1217&lt;20,1,IF(O1217&gt;1000,10,MATCH(O1217,Cargas,1))),Coluna_fih,1,1))*(1+0.13*0.25)*(PI()*(fi_h/1000)^2/4)*SQRT(2*9.81*(O1217/100-fi_h/2/1000))*1000)),"",IF(O1217&lt;fi_h/20,0,(OFFSET('Base de dados'!$A$5,IF(O1217&lt;20,1,IF(O1217&gt;1000,10,MATCH(O1217,Cargas,1))),Coluna_fih,1,1))*(PI()*(fi_h/1000)^2/4)*SQRT(2*9.81*(O1217/100-fi_h/2/1000))*1000))</f>
        <v>4.6536346054317201</v>
      </c>
      <c r="Q1217" s="38">
        <f ca="1">IF(O1217="","",IF(Tipo_Vertedor="Retangular",IF(O1217&lt;=cota_s*100,0,IF(Tipo_Vertedor="Retangular",Cd_sr*Lef_sr*((O1217/100-cota_s)^(3/2))*1000)),IF(O1217&lt;=cota_s*100+fi_s/20,0,(OFFSET('Base de dados'!$A$4,IF(O1217&lt;20,1,IF(O1217&gt;1000,10,MATCH(O1217,Cargas,1))),Coluna_fis,1,1))*(PI()*(fi_s/1000)^2/4)*(2*9.81*(O1217/100-cota_s-fi_s/2/1000))^0.5*1000)))</f>
        <v>3.6135840729939366</v>
      </c>
      <c r="R1217" s="38">
        <f t="shared" ca="1" si="180"/>
        <v>8.2672186784256567</v>
      </c>
      <c r="S1217" s="38">
        <f t="shared" ca="1" si="181"/>
        <v>380</v>
      </c>
    </row>
    <row r="1218" spans="13:19">
      <c r="M1218" s="132">
        <f t="shared" ca="1" si="178"/>
        <v>388.58412066360415</v>
      </c>
      <c r="N1218" s="38">
        <f t="shared" si="179"/>
        <v>11.409375000000001</v>
      </c>
      <c r="O1218" s="36">
        <f t="shared" si="177"/>
        <v>304.25</v>
      </c>
      <c r="P1218" s="38">
        <f ca="1">IF(ISERROR(IF(O1218&lt;fi_h/20,0,(OFFSET('Base de dados'!$A$5,IF(O1218&lt;20,1,IF(O1218&gt;1000,10,MATCH(O1218,Cargas,1))),Coluna_fih,1,1))*(1+0.13*0.25)*(PI()*(fi_h/1000)^2/4)*SQRT(2*9.81*(O1218/100-fi_h/2/1000))*1000)),"",IF(O1218&lt;fi_h/20,0,(OFFSET('Base de dados'!$A$5,IF(O1218&lt;20,1,IF(O1218&gt;1000,10,MATCH(O1218,Cargas,1))),Coluna_fih,1,1))*(PI()*(fi_h/1000)^2/4)*SQRT(2*9.81*(O1218/100-fi_h/2/1000))*1000))</f>
        <v>4.6555588513461217</v>
      </c>
      <c r="Q1218" s="38">
        <f ca="1">IF(O1218="","",IF(Tipo_Vertedor="Retangular",IF(O1218&lt;=cota_s*100,0,IF(Tipo_Vertedor="Retangular",Cd_sr*Lef_sr*((O1218/100-cota_s)^(3/2))*1000)),IF(O1218&lt;=cota_s*100+fi_s/20,0,(OFFSET('Base de dados'!$A$4,IF(O1218&lt;20,1,IF(O1218&gt;1000,10,MATCH(O1218,Cargas,1))),Coluna_fis,1,1))*(PI()*(fi_s/1000)^2/4)*(2*9.81*(O1218/100-cota_s-fi_s/2/1000))^0.5*1000)))</f>
        <v>3.616061812258057</v>
      </c>
      <c r="R1218" s="38">
        <f t="shared" ca="1" si="180"/>
        <v>8.2716206636041782</v>
      </c>
      <c r="S1218" s="38">
        <f t="shared" ca="1" si="181"/>
        <v>380.3125</v>
      </c>
    </row>
    <row r="1219" spans="13:19">
      <c r="M1219" s="132">
        <f t="shared" ca="1" si="178"/>
        <v>388.90102015718344</v>
      </c>
      <c r="N1219" s="38">
        <f t="shared" si="179"/>
        <v>11.418749999999999</v>
      </c>
      <c r="O1219" s="36">
        <f t="shared" si="177"/>
        <v>304.5</v>
      </c>
      <c r="P1219" s="38">
        <f ca="1">IF(ISERROR(IF(O1219&lt;fi_h/20,0,(OFFSET('Base de dados'!$A$5,IF(O1219&lt;20,1,IF(O1219&gt;1000,10,MATCH(O1219,Cargas,1))),Coluna_fih,1,1))*(1+0.13*0.25)*(PI()*(fi_h/1000)^2/4)*SQRT(2*9.81*(O1219/100-fi_h/2/1000))*1000)),"",IF(O1219&lt;fi_h/20,0,(OFFSET('Base de dados'!$A$5,IF(O1219&lt;20,1,IF(O1219&gt;1000,10,MATCH(O1219,Cargas,1))),Coluna_fih,1,1))*(PI()*(fi_h/1000)^2/4)*SQRT(2*9.81*(O1219/100-fi_h/2/1000))*1000))</f>
        <v>4.6574823022554579</v>
      </c>
      <c r="Q1219" s="38">
        <f ca="1">IF(O1219="","",IF(Tipo_Vertedor="Retangular",IF(O1219&lt;=cota_s*100,0,IF(Tipo_Vertedor="Retangular",Cd_sr*Lef_sr*((O1219/100-cota_s)^(3/2))*1000)),IF(O1219&lt;=cota_s*100+fi_s/20,0,(OFFSET('Base de dados'!$A$4,IF(O1219&lt;20,1,IF(O1219&gt;1000,10,MATCH(O1219,Cargas,1))),Coluna_fis,1,1))*(PI()*(fi_s/1000)^2/4)*(2*9.81*(O1219/100-cota_s-fi_s/2/1000))^0.5*1000)))</f>
        <v>3.6185378549279541</v>
      </c>
      <c r="R1219" s="38">
        <f t="shared" ca="1" si="180"/>
        <v>8.276020157183412</v>
      </c>
      <c r="S1219" s="38">
        <f t="shared" ca="1" si="181"/>
        <v>380.625</v>
      </c>
    </row>
    <row r="1220" spans="13:19">
      <c r="M1220" s="132">
        <f t="shared" ca="1" si="178"/>
        <v>389.21791716362827</v>
      </c>
      <c r="N1220" s="38">
        <f t="shared" si="179"/>
        <v>11.428125</v>
      </c>
      <c r="O1220" s="36">
        <f t="shared" si="177"/>
        <v>304.75</v>
      </c>
      <c r="P1220" s="38">
        <f ca="1">IF(ISERROR(IF(O1220&lt;fi_h/20,0,(OFFSET('Base de dados'!$A$5,IF(O1220&lt;20,1,IF(O1220&gt;1000,10,MATCH(O1220,Cargas,1))),Coluna_fih,1,1))*(1+0.13*0.25)*(PI()*(fi_h/1000)^2/4)*SQRT(2*9.81*(O1220/100-fi_h/2/1000))*1000)),"",IF(O1220&lt;fi_h/20,0,(OFFSET('Base de dados'!$A$5,IF(O1220&lt;20,1,IF(O1220&gt;1000,10,MATCH(O1220,Cargas,1))),Coluna_fih,1,1))*(PI()*(fi_h/1000)^2/4)*SQRT(2*9.81*(O1220/100-fi_h/2/1000))*1000))</f>
        <v>4.6594049591442861</v>
      </c>
      <c r="Q1220" s="38">
        <f ca="1">IF(O1220="","",IF(Tipo_Vertedor="Retangular",IF(O1220&lt;=cota_s*100,0,IF(Tipo_Vertedor="Retangular",Cd_sr*Lef_sr*((O1220/100-cota_s)^(3/2))*1000)),IF(O1220&lt;=cota_s*100+fi_s/20,0,(OFFSET('Base de dados'!$A$4,IF(O1220&lt;20,1,IF(O1220&gt;1000,10,MATCH(O1220,Cargas,1))),Coluna_fis,1,1))*(PI()*(fi_s/1000)^2/4)*(2*9.81*(O1220/100-cota_s-fi_s/2/1000))^0.5*1000)))</f>
        <v>3.6210122044840127</v>
      </c>
      <c r="R1220" s="38">
        <f t="shared" ca="1" si="180"/>
        <v>8.2804171636282984</v>
      </c>
      <c r="S1220" s="38">
        <f t="shared" ca="1" si="181"/>
        <v>380.9375</v>
      </c>
    </row>
    <row r="1221" spans="13:19">
      <c r="M1221" s="132">
        <f t="shared" ca="1" si="178"/>
        <v>389.53481168738989</v>
      </c>
      <c r="N1221" s="38">
        <f t="shared" si="179"/>
        <v>11.4375</v>
      </c>
      <c r="O1221" s="36">
        <f t="shared" si="177"/>
        <v>305</v>
      </c>
      <c r="P1221" s="38">
        <f ca="1">IF(ISERROR(IF(O1221&lt;fi_h/20,0,(OFFSET('Base de dados'!$A$5,IF(O1221&lt;20,1,IF(O1221&gt;1000,10,MATCH(O1221,Cargas,1))),Coluna_fih,1,1))*(1+0.13*0.25)*(PI()*(fi_h/1000)^2/4)*SQRT(2*9.81*(O1221/100-fi_h/2/1000))*1000)),"",IF(O1221&lt;fi_h/20,0,(OFFSET('Base de dados'!$A$5,IF(O1221&lt;20,1,IF(O1221&gt;1000,10,MATCH(O1221,Cargas,1))),Coluna_fih,1,1))*(PI()*(fi_h/1000)^2/4)*SQRT(2*9.81*(O1221/100-fi_h/2/1000))*1000))</f>
        <v>4.6613268229951377</v>
      </c>
      <c r="Q1221" s="38">
        <f ca="1">IF(O1221="","",IF(Tipo_Vertedor="Retangular",IF(O1221&lt;=cota_s*100,0,IF(Tipo_Vertedor="Retangular",Cd_sr*Lef_sr*((O1221/100-cota_s)^(3/2))*1000)),IF(O1221&lt;=cota_s*100+fi_s/20,0,(OFFSET('Base de dados'!$A$4,IF(O1221&lt;20,1,IF(O1221&gt;1000,10,MATCH(O1221,Cargas,1))),Coluna_fis,1,1))*(PI()*(fi_s/1000)^2/4)*(2*9.81*(O1221/100-cota_s-fi_s/2/1000))^0.5*1000)))</f>
        <v>3.6234848643947375</v>
      </c>
      <c r="R1221" s="38">
        <f t="shared" ca="1" si="180"/>
        <v>8.2848116873898761</v>
      </c>
      <c r="S1221" s="38">
        <f t="shared" ca="1" si="181"/>
        <v>381.25</v>
      </c>
    </row>
    <row r="1222" spans="13:19">
      <c r="M1222" s="132">
        <f t="shared" ca="1" si="178"/>
        <v>389.85170373290532</v>
      </c>
      <c r="N1222" s="38">
        <f t="shared" si="179"/>
        <v>11.446875</v>
      </c>
      <c r="O1222" s="36">
        <f t="shared" si="177"/>
        <v>305.25</v>
      </c>
      <c r="P1222" s="38">
        <f ca="1">IF(ISERROR(IF(O1222&lt;fi_h/20,0,(OFFSET('Base de dados'!$A$5,IF(O1222&lt;20,1,IF(O1222&gt;1000,10,MATCH(O1222,Cargas,1))),Coluna_fih,1,1))*(1+0.13*0.25)*(PI()*(fi_h/1000)^2/4)*SQRT(2*9.81*(O1222/100-fi_h/2/1000))*1000)),"",IF(O1222&lt;fi_h/20,0,(OFFSET('Base de dados'!$A$5,IF(O1222&lt;20,1,IF(O1222&gt;1000,10,MATCH(O1222,Cargas,1))),Coluna_fih,1,1))*(PI()*(fi_h/1000)^2/4)*SQRT(2*9.81*(O1222/100-fi_h/2/1000))*1000))</f>
        <v>4.6632478947885154</v>
      </c>
      <c r="Q1222" s="38">
        <f ca="1">IF(O1222="","",IF(Tipo_Vertedor="Retangular",IF(O1222&lt;=cota_s*100,0,IF(Tipo_Vertedor="Retangular",Cd_sr*Lef_sr*((O1222/100-cota_s)^(3/2))*1000)),IF(O1222&lt;=cota_s*100+fi_s/20,0,(OFFSET('Base de dados'!$A$4,IF(O1222&lt;20,1,IF(O1222&gt;1000,10,MATCH(O1222,Cargas,1))),Coluna_fis,1,1))*(PI()*(fi_s/1000)^2/4)*(2*9.81*(O1222/100-cota_s-fi_s/2/1000))^0.5*1000)))</f>
        <v>3.6259558381168029</v>
      </c>
      <c r="R1222" s="38">
        <f t="shared" ca="1" si="180"/>
        <v>8.2892037329053174</v>
      </c>
      <c r="S1222" s="38">
        <f t="shared" ca="1" si="181"/>
        <v>381.5625</v>
      </c>
    </row>
    <row r="1223" spans="13:19">
      <c r="M1223" s="132">
        <f t="shared" ca="1" si="178"/>
        <v>390.16859330459801</v>
      </c>
      <c r="N1223" s="38">
        <f t="shared" si="179"/>
        <v>11.456250000000001</v>
      </c>
      <c r="O1223" s="36">
        <f t="shared" si="177"/>
        <v>305.5</v>
      </c>
      <c r="P1223" s="38">
        <f ca="1">IF(ISERROR(IF(O1223&lt;fi_h/20,0,(OFFSET('Base de dados'!$A$5,IF(O1223&lt;20,1,IF(O1223&gt;1000,10,MATCH(O1223,Cargas,1))),Coluna_fih,1,1))*(1+0.13*0.25)*(PI()*(fi_h/1000)^2/4)*SQRT(2*9.81*(O1223/100-fi_h/2/1000))*1000)),"",IF(O1223&lt;fi_h/20,0,(OFFSET('Base de dados'!$A$5,IF(O1223&lt;20,1,IF(O1223&gt;1000,10,MATCH(O1223,Cargas,1))),Coluna_fih,1,1))*(PI()*(fi_h/1000)^2/4)*SQRT(2*9.81*(O1223/100-fi_h/2/1000))*1000))</f>
        <v>4.6651681755029051</v>
      </c>
      <c r="Q1223" s="38">
        <f ca="1">IF(O1223="","",IF(Tipo_Vertedor="Retangular",IF(O1223&lt;=cota_s*100,0,IF(Tipo_Vertedor="Retangular",Cd_sr*Lef_sr*((O1223/100-cota_s)^(3/2))*1000)),IF(O1223&lt;=cota_s*100+fi_s/20,0,(OFFSET('Base de dados'!$A$4,IF(O1223&lt;20,1,IF(O1223&gt;1000,10,MATCH(O1223,Cargas,1))),Coluna_fis,1,1))*(PI()*(fi_s/1000)^2/4)*(2*9.81*(O1223/100-cota_s-fi_s/2/1000))^0.5*1000)))</f>
        <v>3.6284251290951151</v>
      </c>
      <c r="R1223" s="38">
        <f t="shared" ca="1" si="180"/>
        <v>8.2935933045980192</v>
      </c>
      <c r="S1223" s="38">
        <f t="shared" ca="1" si="181"/>
        <v>381.875</v>
      </c>
    </row>
    <row r="1224" spans="13:19">
      <c r="M1224" s="132">
        <f t="shared" ca="1" si="178"/>
        <v>390.48548040687768</v>
      </c>
      <c r="N1224" s="38">
        <f t="shared" si="179"/>
        <v>11.465625000000001</v>
      </c>
      <c r="O1224" s="36">
        <f t="shared" si="177"/>
        <v>305.75</v>
      </c>
      <c r="P1224" s="38">
        <f ca="1">IF(ISERROR(IF(O1224&lt;fi_h/20,0,(OFFSET('Base de dados'!$A$5,IF(O1224&lt;20,1,IF(O1224&gt;1000,10,MATCH(O1224,Cargas,1))),Coluna_fih,1,1))*(1+0.13*0.25)*(PI()*(fi_h/1000)^2/4)*SQRT(2*9.81*(O1224/100-fi_h/2/1000))*1000)),"",IF(O1224&lt;fi_h/20,0,(OFFSET('Base de dados'!$A$5,IF(O1224&lt;20,1,IF(O1224&gt;1000,10,MATCH(O1224,Cargas,1))),Coluna_fih,1,1))*(PI()*(fi_h/1000)^2/4)*SQRT(2*9.81*(O1224/100-fi_h/2/1000))*1000))</f>
        <v>4.6670876661147762</v>
      </c>
      <c r="Q1224" s="38">
        <f ca="1">IF(O1224="","",IF(Tipo_Vertedor="Retangular",IF(O1224&lt;=cota_s*100,0,IF(Tipo_Vertedor="Retangular",Cd_sr*Lef_sr*((O1224/100-cota_s)^(3/2))*1000)),IF(O1224&lt;=cota_s*100+fi_s/20,0,(OFFSET('Base de dados'!$A$4,IF(O1224&lt;20,1,IF(O1224&gt;1000,10,MATCH(O1224,Cargas,1))),Coluna_fis,1,1))*(PI()*(fi_s/1000)^2/4)*(2*9.81*(O1224/100-cota_s-fi_s/2/1000))^0.5*1000)))</f>
        <v>3.6308927407628655</v>
      </c>
      <c r="R1224" s="38">
        <f t="shared" ca="1" si="180"/>
        <v>8.2979804068776417</v>
      </c>
      <c r="S1224" s="38">
        <f t="shared" ca="1" si="181"/>
        <v>382.18750000000006</v>
      </c>
    </row>
    <row r="1225" spans="13:19">
      <c r="M1225" s="132">
        <f t="shared" ca="1" si="178"/>
        <v>390.80236504414017</v>
      </c>
      <c r="N1225" s="38">
        <f t="shared" si="179"/>
        <v>11.475</v>
      </c>
      <c r="O1225" s="36">
        <f t="shared" si="177"/>
        <v>306</v>
      </c>
      <c r="P1225" s="38">
        <f ca="1">IF(ISERROR(IF(O1225&lt;fi_h/20,0,(OFFSET('Base de dados'!$A$5,IF(O1225&lt;20,1,IF(O1225&gt;1000,10,MATCH(O1225,Cargas,1))),Coluna_fih,1,1))*(1+0.13*0.25)*(PI()*(fi_h/1000)^2/4)*SQRT(2*9.81*(O1225/100-fi_h/2/1000))*1000)),"",IF(O1225&lt;fi_h/20,0,(OFFSET('Base de dados'!$A$5,IF(O1225&lt;20,1,IF(O1225&gt;1000,10,MATCH(O1225,Cargas,1))),Coluna_fih,1,1))*(PI()*(fi_h/1000)^2/4)*SQRT(2*9.81*(O1225/100-fi_h/2/1000))*1000))</f>
        <v>4.6690063675985973</v>
      </c>
      <c r="Q1225" s="38">
        <f ca="1">IF(O1225="","",IF(Tipo_Vertedor="Retangular",IF(O1225&lt;=cota_s*100,0,IF(Tipo_Vertedor="Retangular",Cd_sr*Lef_sr*((O1225/100-cota_s)^(3/2))*1000)),IF(O1225&lt;=cota_s*100+fi_s/20,0,(OFFSET('Base de dados'!$A$4,IF(O1225&lt;20,1,IF(O1225&gt;1000,10,MATCH(O1225,Cargas,1))),Coluna_fis,1,1))*(PI()*(fi_s/1000)^2/4)*(2*9.81*(O1225/100-cota_s-fi_s/2/1000))^0.5*1000)))</f>
        <v>3.6333586765415897</v>
      </c>
      <c r="R1225" s="38">
        <f t="shared" ca="1" si="180"/>
        <v>8.3023650441401866</v>
      </c>
      <c r="S1225" s="38">
        <f t="shared" ca="1" si="181"/>
        <v>382.5</v>
      </c>
    </row>
    <row r="1226" spans="13:19">
      <c r="M1226" s="132">
        <f t="shared" ca="1" si="178"/>
        <v>391.11924722076805</v>
      </c>
      <c r="N1226" s="38">
        <f t="shared" si="179"/>
        <v>11.484375</v>
      </c>
      <c r="O1226" s="36">
        <f t="shared" si="177"/>
        <v>306.25</v>
      </c>
      <c r="P1226" s="38">
        <f ca="1">IF(ISERROR(IF(O1226&lt;fi_h/20,0,(OFFSET('Base de dados'!$A$5,IF(O1226&lt;20,1,IF(O1226&gt;1000,10,MATCH(O1226,Cargas,1))),Coluna_fih,1,1))*(1+0.13*0.25)*(PI()*(fi_h/1000)^2/4)*SQRT(2*9.81*(O1226/100-fi_h/2/1000))*1000)),"",IF(O1226&lt;fi_h/20,0,(OFFSET('Base de dados'!$A$5,IF(O1226&lt;20,1,IF(O1226&gt;1000,10,MATCH(O1226,Cargas,1))),Coluna_fih,1,1))*(PI()*(fi_h/1000)^2/4)*SQRT(2*9.81*(O1226/100-fi_h/2/1000))*1000))</f>
        <v>4.6709242809268297</v>
      </c>
      <c r="Q1226" s="38">
        <f ca="1">IF(O1226="","",IF(Tipo_Vertedor="Retangular",IF(O1226&lt;=cota_s*100,0,IF(Tipo_Vertedor="Retangular",Cd_sr*Lef_sr*((O1226/100-cota_s)^(3/2))*1000)),IF(O1226&lt;=cota_s*100+fi_s/20,0,(OFFSET('Base de dados'!$A$4,IF(O1226&lt;20,1,IF(O1226&gt;1000,10,MATCH(O1226,Cargas,1))),Coluna_fis,1,1))*(PI()*(fi_s/1000)^2/4)*(2*9.81*(O1226/100-cota_s-fi_s/2/1000))^0.5*1000)))</f>
        <v>3.635822939841217</v>
      </c>
      <c r="R1226" s="38">
        <f t="shared" ca="1" si="180"/>
        <v>8.3067472207680471</v>
      </c>
      <c r="S1226" s="38">
        <f t="shared" ca="1" si="181"/>
        <v>382.8125</v>
      </c>
    </row>
    <row r="1227" spans="13:19">
      <c r="M1227" s="132">
        <f t="shared" ca="1" si="178"/>
        <v>391.43612694113006</v>
      </c>
      <c r="N1227" s="38">
        <f t="shared" si="179"/>
        <v>11.49375</v>
      </c>
      <c r="O1227" s="36">
        <f t="shared" si="177"/>
        <v>306.5</v>
      </c>
      <c r="P1227" s="38">
        <f ca="1">IF(ISERROR(IF(O1227&lt;fi_h/20,0,(OFFSET('Base de dados'!$A$5,IF(O1227&lt;20,1,IF(O1227&gt;1000,10,MATCH(O1227,Cargas,1))),Coluna_fih,1,1))*(1+0.13*0.25)*(PI()*(fi_h/1000)^2/4)*SQRT(2*9.81*(O1227/100-fi_h/2/1000))*1000)),"",IF(O1227&lt;fi_h/20,0,(OFFSET('Base de dados'!$A$5,IF(O1227&lt;20,1,IF(O1227&gt;1000,10,MATCH(O1227,Cargas,1))),Coluna_fih,1,1))*(PI()*(fi_h/1000)^2/4)*SQRT(2*9.81*(O1227/100-fi_h/2/1000))*1000))</f>
        <v>4.6728414070699422</v>
      </c>
      <c r="Q1227" s="38">
        <f ca="1">IF(O1227="","",IF(Tipo_Vertedor="Retangular",IF(O1227&lt;=cota_s*100,0,IF(Tipo_Vertedor="Retangular",Cd_sr*Lef_sr*((O1227/100-cota_s)^(3/2))*1000)),IF(O1227&lt;=cota_s*100+fi_s/20,0,(OFFSET('Base de dados'!$A$4,IF(O1227&lt;20,1,IF(O1227&gt;1000,10,MATCH(O1227,Cargas,1))),Coluna_fis,1,1))*(PI()*(fi_s/1000)^2/4)*(2*9.81*(O1227/100-cota_s-fi_s/2/1000))^0.5*1000)))</f>
        <v>3.6382855340601292</v>
      </c>
      <c r="R1227" s="38">
        <f t="shared" ca="1" si="180"/>
        <v>8.3111269411300714</v>
      </c>
      <c r="S1227" s="38">
        <f t="shared" ca="1" si="181"/>
        <v>383.125</v>
      </c>
    </row>
    <row r="1228" spans="13:19">
      <c r="M1228" s="132">
        <f t="shared" ca="1" si="178"/>
        <v>391.75300420958155</v>
      </c>
      <c r="N1228" s="38">
        <f t="shared" si="179"/>
        <v>11.503124999999999</v>
      </c>
      <c r="O1228" s="36">
        <f t="shared" si="177"/>
        <v>306.75</v>
      </c>
      <c r="P1228" s="38">
        <f ca="1">IF(ISERROR(IF(O1228&lt;fi_h/20,0,(OFFSET('Base de dados'!$A$5,IF(O1228&lt;20,1,IF(O1228&gt;1000,10,MATCH(O1228,Cargas,1))),Coluna_fih,1,1))*(1+0.13*0.25)*(PI()*(fi_h/1000)^2/4)*SQRT(2*9.81*(O1228/100-fi_h/2/1000))*1000)),"",IF(O1228&lt;fi_h/20,0,(OFFSET('Base de dados'!$A$5,IF(O1228&lt;20,1,IF(O1228&gt;1000,10,MATCH(O1228,Cargas,1))),Coluna_fih,1,1))*(PI()*(fi_h/1000)^2/4)*SQRT(2*9.81*(O1228/100-fi_h/2/1000))*1000))</f>
        <v>4.6747577469964119</v>
      </c>
      <c r="Q1228" s="38">
        <f ca="1">IF(O1228="","",IF(Tipo_Vertedor="Retangular",IF(O1228&lt;=cota_s*100,0,IF(Tipo_Vertedor="Retangular",Cd_sr*Lef_sr*((O1228/100-cota_s)^(3/2))*1000)),IF(O1228&lt;=cota_s*100+fi_s/20,0,(OFFSET('Base de dados'!$A$4,IF(O1228&lt;20,1,IF(O1228&gt;1000,10,MATCH(O1228,Cargas,1))),Coluna_fis,1,1))*(PI()*(fi_s/1000)^2/4)*(2*9.81*(O1228/100-cota_s-fi_s/2/1000))^0.5*1000)))</f>
        <v>3.6407464625852177</v>
      </c>
      <c r="R1228" s="38">
        <f t="shared" ca="1" si="180"/>
        <v>8.3155042095816292</v>
      </c>
      <c r="S1228" s="38">
        <f t="shared" ca="1" si="181"/>
        <v>383.43749999999994</v>
      </c>
    </row>
    <row r="1229" spans="13:19">
      <c r="M1229" s="132">
        <f t="shared" ca="1" si="178"/>
        <v>392.06987903046468</v>
      </c>
      <c r="N1229" s="38">
        <f t="shared" si="179"/>
        <v>11.512499999999999</v>
      </c>
      <c r="O1229" s="36">
        <f t="shared" si="177"/>
        <v>307</v>
      </c>
      <c r="P1229" s="38">
        <f ca="1">IF(ISERROR(IF(O1229&lt;fi_h/20,0,(OFFSET('Base de dados'!$A$5,IF(O1229&lt;20,1,IF(O1229&gt;1000,10,MATCH(O1229,Cargas,1))),Coluna_fih,1,1))*(1+0.13*0.25)*(PI()*(fi_h/1000)^2/4)*SQRT(2*9.81*(O1229/100-fi_h/2/1000))*1000)),"",IF(O1229&lt;fi_h/20,0,(OFFSET('Base de dados'!$A$5,IF(O1229&lt;20,1,IF(O1229&gt;1000,10,MATCH(O1229,Cargas,1))),Coluna_fih,1,1))*(PI()*(fi_h/1000)^2/4)*SQRT(2*9.81*(O1229/100-fi_h/2/1000))*1000))</f>
        <v>4.676673301672734</v>
      </c>
      <c r="Q1229" s="38">
        <f ca="1">IF(O1229="","",IF(Tipo_Vertedor="Retangular",IF(O1229&lt;=cota_s*100,0,IF(Tipo_Vertedor="Retangular",Cd_sr*Lef_sr*((O1229/100-cota_s)^(3/2))*1000)),IF(O1229&lt;=cota_s*100+fi_s/20,0,(OFFSET('Base de dados'!$A$4,IF(O1229&lt;20,1,IF(O1229&gt;1000,10,MATCH(O1229,Cargas,1))),Coluna_fis,1,1))*(PI()*(fi_s/1000)^2/4)*(2*9.81*(O1229/100-cota_s-fi_s/2/1000))^0.5*1000)))</f>
        <v>3.6432057287919317</v>
      </c>
      <c r="R1229" s="38">
        <f t="shared" ca="1" si="180"/>
        <v>8.3198790304646657</v>
      </c>
      <c r="S1229" s="38">
        <f t="shared" ca="1" si="181"/>
        <v>383.75</v>
      </c>
    </row>
    <row r="1230" spans="13:19">
      <c r="M1230" s="132">
        <f t="shared" ca="1" si="178"/>
        <v>392.38675140810778</v>
      </c>
      <c r="N1230" s="38">
        <f t="shared" si="179"/>
        <v>11.521875</v>
      </c>
      <c r="O1230" s="36">
        <f t="shared" si="177"/>
        <v>307.25</v>
      </c>
      <c r="P1230" s="38">
        <f ca="1">IF(ISERROR(IF(O1230&lt;fi_h/20,0,(OFFSET('Base de dados'!$A$5,IF(O1230&lt;20,1,IF(O1230&gt;1000,10,MATCH(O1230,Cargas,1))),Coluna_fih,1,1))*(1+0.13*0.25)*(PI()*(fi_h/1000)^2/4)*SQRT(2*9.81*(O1230/100-fi_h/2/1000))*1000)),"",IF(O1230&lt;fi_h/20,0,(OFFSET('Base de dados'!$A$5,IF(O1230&lt;20,1,IF(O1230&gt;1000,10,MATCH(O1230,Cargas,1))),Coluna_fih,1,1))*(PI()*(fi_h/1000)^2/4)*SQRT(2*9.81*(O1230/100-fi_h/2/1000))*1000))</f>
        <v>4.6785880720634214</v>
      </c>
      <c r="Q1230" s="38">
        <f ca="1">IF(O1230="","",IF(Tipo_Vertedor="Retangular",IF(O1230&lt;=cota_s*100,0,IF(Tipo_Vertedor="Retangular",Cd_sr*Lef_sr*((O1230/100-cota_s)^(3/2))*1000)),IF(O1230&lt;=cota_s*100+fi_s/20,0,(OFFSET('Base de dados'!$A$4,IF(O1230&lt;20,1,IF(O1230&gt;1000,10,MATCH(O1230,Cargas,1))),Coluna_fis,1,1))*(PI()*(fi_s/1000)^2/4)*(2*9.81*(O1230/100-cota_s-fi_s/2/1000))^0.5*1000)))</f>
        <v>3.6456633360443371</v>
      </c>
      <c r="R1230" s="38">
        <f t="shared" ca="1" si="180"/>
        <v>8.3242514081077594</v>
      </c>
      <c r="S1230" s="38">
        <f t="shared" ca="1" si="181"/>
        <v>384.0625</v>
      </c>
    </row>
    <row r="1231" spans="13:19">
      <c r="M1231" s="132">
        <f t="shared" ca="1" si="178"/>
        <v>392.7036213468262</v>
      </c>
      <c r="N1231" s="38">
        <f t="shared" si="179"/>
        <v>11.53125</v>
      </c>
      <c r="O1231" s="36">
        <f t="shared" si="177"/>
        <v>307.5</v>
      </c>
      <c r="P1231" s="38">
        <f ca="1">IF(ISERROR(IF(O1231&lt;fi_h/20,0,(OFFSET('Base de dados'!$A$5,IF(O1231&lt;20,1,IF(O1231&gt;1000,10,MATCH(O1231,Cargas,1))),Coluna_fih,1,1))*(1+0.13*0.25)*(PI()*(fi_h/1000)^2/4)*SQRT(2*9.81*(O1231/100-fi_h/2/1000))*1000)),"",IF(O1231&lt;fi_h/20,0,(OFFSET('Base de dados'!$A$5,IF(O1231&lt;20,1,IF(O1231&gt;1000,10,MATCH(O1231,Cargas,1))),Coluna_fih,1,1))*(PI()*(fi_h/1000)^2/4)*SQRT(2*9.81*(O1231/100-fi_h/2/1000))*1000))</f>
        <v>4.680502059131018</v>
      </c>
      <c r="Q1231" s="38">
        <f ca="1">IF(O1231="","",IF(Tipo_Vertedor="Retangular",IF(O1231&lt;=cota_s*100,0,IF(Tipo_Vertedor="Retangular",Cd_sr*Lef_sr*((O1231/100-cota_s)^(3/2))*1000)),IF(O1231&lt;=cota_s*100+fi_s/20,0,(OFFSET('Base de dados'!$A$4,IF(O1231&lt;20,1,IF(O1231&gt;1000,10,MATCH(O1231,Cargas,1))),Coluna_fis,1,1))*(PI()*(fi_s/1000)^2/4)*(2*9.81*(O1231/100-cota_s-fi_s/2/1000))^0.5*1000)))</f>
        <v>3.6481192876951685</v>
      </c>
      <c r="R1231" s="38">
        <f t="shared" ca="1" si="180"/>
        <v>8.3286213468261856</v>
      </c>
      <c r="S1231" s="38">
        <f t="shared" ca="1" si="181"/>
        <v>384.375</v>
      </c>
    </row>
    <row r="1232" spans="13:19">
      <c r="M1232" s="132">
        <f t="shared" ca="1" si="178"/>
        <v>393.02048885092199</v>
      </c>
      <c r="N1232" s="38">
        <f t="shared" si="179"/>
        <v>11.540625</v>
      </c>
      <c r="O1232" s="36">
        <f t="shared" si="177"/>
        <v>307.75</v>
      </c>
      <c r="P1232" s="38">
        <f ca="1">IF(ISERROR(IF(O1232&lt;fi_h/20,0,(OFFSET('Base de dados'!$A$5,IF(O1232&lt;20,1,IF(O1232&gt;1000,10,MATCH(O1232,Cargas,1))),Coluna_fih,1,1))*(1+0.13*0.25)*(PI()*(fi_h/1000)^2/4)*SQRT(2*9.81*(O1232/100-fi_h/2/1000))*1000)),"",IF(O1232&lt;fi_h/20,0,(OFFSET('Base de dados'!$A$5,IF(O1232&lt;20,1,IF(O1232&gt;1000,10,MATCH(O1232,Cargas,1))),Coluna_fih,1,1))*(PI()*(fi_h/1000)^2/4)*SQRT(2*9.81*(O1232/100-fi_h/2/1000))*1000))</f>
        <v>4.6824152638360985</v>
      </c>
      <c r="Q1232" s="38">
        <f ca="1">IF(O1232="","",IF(Tipo_Vertedor="Retangular",IF(O1232&lt;=cota_s*100,0,IF(Tipo_Vertedor="Retangular",Cd_sr*Lef_sr*((O1232/100-cota_s)^(3/2))*1000)),IF(O1232&lt;=cota_s*100+fi_s/20,0,(OFFSET('Base de dados'!$A$4,IF(O1232&lt;20,1,IF(O1232&gt;1000,10,MATCH(O1232,Cargas,1))),Coluna_fis,1,1))*(PI()*(fi_s/1000)^2/4)*(2*9.81*(O1232/100-cota_s-fi_s/2/1000))^0.5*1000)))</f>
        <v>3.6505735870858813</v>
      </c>
      <c r="R1232" s="38">
        <f t="shared" ca="1" si="180"/>
        <v>8.3329888509219803</v>
      </c>
      <c r="S1232" s="38">
        <f t="shared" ca="1" si="181"/>
        <v>384.6875</v>
      </c>
    </row>
    <row r="1233" spans="13:19">
      <c r="M1233" s="132">
        <f t="shared" ca="1" si="178"/>
        <v>393.33735392468401</v>
      </c>
      <c r="N1233" s="38">
        <f t="shared" si="179"/>
        <v>11.55</v>
      </c>
      <c r="O1233" s="36">
        <f t="shared" si="177"/>
        <v>308</v>
      </c>
      <c r="P1233" s="38">
        <f ca="1">IF(ISERROR(IF(O1233&lt;fi_h/20,0,(OFFSET('Base de dados'!$A$5,IF(O1233&lt;20,1,IF(O1233&gt;1000,10,MATCH(O1233,Cargas,1))),Coluna_fih,1,1))*(1+0.13*0.25)*(PI()*(fi_h/1000)^2/4)*SQRT(2*9.81*(O1233/100-fi_h/2/1000))*1000)),"",IF(O1233&lt;fi_h/20,0,(OFFSET('Base de dados'!$A$5,IF(O1233&lt;20,1,IF(O1233&gt;1000,10,MATCH(O1233,Cargas,1))),Coluna_fih,1,1))*(PI()*(fi_h/1000)^2/4)*SQRT(2*9.81*(O1233/100-fi_h/2/1000))*1000))</f>
        <v>4.6843276871372748</v>
      </c>
      <c r="Q1233" s="38">
        <f ca="1">IF(O1233="","",IF(Tipo_Vertedor="Retangular",IF(O1233&lt;=cota_s*100,0,IF(Tipo_Vertedor="Retangular",Cd_sr*Lef_sr*((O1233/100-cota_s)^(3/2))*1000)),IF(O1233&lt;=cota_s*100+fi_s/20,0,(OFFSET('Base de dados'!$A$4,IF(O1233&lt;20,1,IF(O1233&gt;1000,10,MATCH(O1233,Cargas,1))),Coluna_fis,1,1))*(PI()*(fi_s/1000)^2/4)*(2*9.81*(O1233/100-cota_s-fi_s/2/1000))^0.5*1000)))</f>
        <v>3.6530262375467077</v>
      </c>
      <c r="R1233" s="38">
        <f t="shared" ca="1" si="180"/>
        <v>8.337353924683983</v>
      </c>
      <c r="S1233" s="38">
        <f t="shared" ca="1" si="181"/>
        <v>385</v>
      </c>
    </row>
    <row r="1234" spans="13:19">
      <c r="M1234" s="132">
        <f t="shared" ca="1" si="178"/>
        <v>393.6542165723879</v>
      </c>
      <c r="N1234" s="38">
        <f t="shared" si="179"/>
        <v>11.559374999999999</v>
      </c>
      <c r="O1234" s="36">
        <f t="shared" si="177"/>
        <v>308.25</v>
      </c>
      <c r="P1234" s="38">
        <f ca="1">IF(ISERROR(IF(O1234&lt;fi_h/20,0,(OFFSET('Base de dados'!$A$5,IF(O1234&lt;20,1,IF(O1234&gt;1000,10,MATCH(O1234,Cargas,1))),Coluna_fih,1,1))*(1+0.13*0.25)*(PI()*(fi_h/1000)^2/4)*SQRT(2*9.81*(O1234/100-fi_h/2/1000))*1000)),"",IF(O1234&lt;fi_h/20,0,(OFFSET('Base de dados'!$A$5,IF(O1234&lt;20,1,IF(O1234&gt;1000,10,MATCH(O1234,Cargas,1))),Coluna_fih,1,1))*(PI()*(fi_h/1000)^2/4)*SQRT(2*9.81*(O1234/100-fi_h/2/1000))*1000))</f>
        <v>4.6862393299912064</v>
      </c>
      <c r="Q1234" s="38">
        <f ca="1">IF(O1234="","",IF(Tipo_Vertedor="Retangular",IF(O1234&lt;=cota_s*100,0,IF(Tipo_Vertedor="Retangular",Cd_sr*Lef_sr*((O1234/100-cota_s)^(3/2))*1000)),IF(O1234&lt;=cota_s*100+fi_s/20,0,(OFFSET('Base de dados'!$A$4,IF(O1234&lt;20,1,IF(O1234&gt;1000,10,MATCH(O1234,Cargas,1))),Coluna_fis,1,1))*(PI()*(fi_s/1000)^2/4)*(2*9.81*(O1234/100-cota_s-fi_s/2/1000))^0.5*1000)))</f>
        <v>3.6554772423967066</v>
      </c>
      <c r="R1234" s="38">
        <f t="shared" ca="1" si="180"/>
        <v>8.341716572387913</v>
      </c>
      <c r="S1234" s="38">
        <f t="shared" ca="1" si="181"/>
        <v>385.3125</v>
      </c>
    </row>
    <row r="1235" spans="13:19">
      <c r="M1235" s="132">
        <f t="shared" ca="1" si="178"/>
        <v>393.97107679829639</v>
      </c>
      <c r="N1235" s="38">
        <f t="shared" si="179"/>
        <v>11.56875</v>
      </c>
      <c r="O1235" s="36">
        <f t="shared" ref="O1235:O1298" si="182">IF(ISERROR(IF(O1234+passo_altura&gt;h_max_puls*100,"",O1234+passo_altura)),"",IF(O1234+passo_altura&gt;h_max_puls*100,"",O1234+passo_altura))</f>
        <v>308.5</v>
      </c>
      <c r="P1235" s="38">
        <f ca="1">IF(ISERROR(IF(O1235&lt;fi_h/20,0,(OFFSET('Base de dados'!$A$5,IF(O1235&lt;20,1,IF(O1235&gt;1000,10,MATCH(O1235,Cargas,1))),Coluna_fih,1,1))*(1+0.13*0.25)*(PI()*(fi_h/1000)^2/4)*SQRT(2*9.81*(O1235/100-fi_h/2/1000))*1000)),"",IF(O1235&lt;fi_h/20,0,(OFFSET('Base de dados'!$A$5,IF(O1235&lt;20,1,IF(O1235&gt;1000,10,MATCH(O1235,Cargas,1))),Coluna_fih,1,1))*(PI()*(fi_h/1000)^2/4)*SQRT(2*9.81*(O1235/100-fi_h/2/1000))*1000))</f>
        <v>4.6881501933525982</v>
      </c>
      <c r="Q1235" s="38">
        <f ca="1">IF(O1235="","",IF(Tipo_Vertedor="Retangular",IF(O1235&lt;=cota_s*100,0,IF(Tipo_Vertedor="Retangular",Cd_sr*Lef_sr*((O1235/100-cota_s)^(3/2))*1000)),IF(O1235&lt;=cota_s*100+fi_s/20,0,(OFFSET('Base de dados'!$A$4,IF(O1235&lt;20,1,IF(O1235&gt;1000,10,MATCH(O1235,Cargas,1))),Coluna_fis,1,1))*(PI()*(fi_s/1000)^2/4)*(2*9.81*(O1235/100-cota_s-fi_s/2/1000))^0.5*1000)))</f>
        <v>3.6579266049438175</v>
      </c>
      <c r="R1235" s="38">
        <f t="shared" ca="1" si="180"/>
        <v>8.3460767982964157</v>
      </c>
      <c r="S1235" s="38">
        <f t="shared" ca="1" si="181"/>
        <v>385.625</v>
      </c>
    </row>
    <row r="1236" spans="13:19">
      <c r="M1236" s="132">
        <f t="shared" ca="1" si="178"/>
        <v>394.28793460665912</v>
      </c>
      <c r="N1236" s="38">
        <f t="shared" si="179"/>
        <v>11.578125</v>
      </c>
      <c r="O1236" s="36">
        <f t="shared" si="182"/>
        <v>308.75</v>
      </c>
      <c r="P1236" s="38">
        <f ca="1">IF(ISERROR(IF(O1236&lt;fi_h/20,0,(OFFSET('Base de dados'!$A$5,IF(O1236&lt;20,1,IF(O1236&gt;1000,10,MATCH(O1236,Cargas,1))),Coluna_fih,1,1))*(1+0.13*0.25)*(PI()*(fi_h/1000)^2/4)*SQRT(2*9.81*(O1236/100-fi_h/2/1000))*1000)),"",IF(O1236&lt;fi_h/20,0,(OFFSET('Base de dados'!$A$5,IF(O1236&lt;20,1,IF(O1236&gt;1000,10,MATCH(O1236,Cargas,1))),Coluna_fih,1,1))*(PI()*(fi_h/1000)^2/4)*SQRT(2*9.81*(O1236/100-fi_h/2/1000))*1000))</f>
        <v>4.6900602781742133</v>
      </c>
      <c r="Q1236" s="38">
        <f ca="1">IF(O1236="","",IF(Tipo_Vertedor="Retangular",IF(O1236&lt;=cota_s*100,0,IF(Tipo_Vertedor="Retangular",Cd_sr*Lef_sr*((O1236/100-cota_s)^(3/2))*1000)),IF(O1236&lt;=cota_s*100+fi_s/20,0,(OFFSET('Base de dados'!$A$4,IF(O1236&lt;20,1,IF(O1236&gt;1000,10,MATCH(O1236,Cargas,1))),Coluna_fis,1,1))*(PI()*(fi_s/1000)^2/4)*(2*9.81*(O1236/100-cota_s-fi_s/2/1000))^0.5*1000)))</f>
        <v>3.6603743284849135</v>
      </c>
      <c r="R1236" s="38">
        <f t="shared" ca="1" si="180"/>
        <v>8.3504346066591264</v>
      </c>
      <c r="S1236" s="38">
        <f t="shared" ca="1" si="181"/>
        <v>385.9375</v>
      </c>
    </row>
    <row r="1237" spans="13:19">
      <c r="M1237" s="132">
        <f t="shared" ca="1" si="178"/>
        <v>394.60479000171267</v>
      </c>
      <c r="N1237" s="38">
        <f t="shared" si="179"/>
        <v>11.587499999999999</v>
      </c>
      <c r="O1237" s="36">
        <f t="shared" si="182"/>
        <v>309</v>
      </c>
      <c r="P1237" s="38">
        <f ca="1">IF(ISERROR(IF(O1237&lt;fi_h/20,0,(OFFSET('Base de dados'!$A$5,IF(O1237&lt;20,1,IF(O1237&gt;1000,10,MATCH(O1237,Cargas,1))),Coluna_fih,1,1))*(1+0.13*0.25)*(PI()*(fi_h/1000)^2/4)*SQRT(2*9.81*(O1237/100-fi_h/2/1000))*1000)),"",IF(O1237&lt;fi_h/20,0,(OFFSET('Base de dados'!$A$5,IF(O1237&lt;20,1,IF(O1237&gt;1000,10,MATCH(O1237,Cargas,1))),Coluna_fih,1,1))*(PI()*(fi_h/1000)^2/4)*SQRT(2*9.81*(O1237/100-fi_h/2/1000))*1000))</f>
        <v>4.6919695854068735</v>
      </c>
      <c r="Q1237" s="38">
        <f ca="1">IF(O1237="","",IF(Tipo_Vertedor="Retangular",IF(O1237&lt;=cota_s*100,0,IF(Tipo_Vertedor="Retangular",Cd_sr*Lef_sr*((O1237/100-cota_s)^(3/2))*1000)),IF(O1237&lt;=cota_s*100+fi_s/20,0,(OFFSET('Base de dados'!$A$4,IF(O1237&lt;20,1,IF(O1237&gt;1000,10,MATCH(O1237,Cargas,1))),Coluna_fis,1,1))*(PI()*(fi_s/1000)^2/4)*(2*9.81*(O1237/100-cota_s-fi_s/2/1000))^0.5*1000)))</f>
        <v>3.6628204163058493</v>
      </c>
      <c r="R1237" s="38">
        <f t="shared" ca="1" si="180"/>
        <v>8.3547900017127219</v>
      </c>
      <c r="S1237" s="38">
        <f t="shared" ca="1" si="181"/>
        <v>386.24999999999994</v>
      </c>
    </row>
    <row r="1238" spans="13:19">
      <c r="M1238" s="132">
        <f t="shared" ca="1" si="178"/>
        <v>394.92164298768091</v>
      </c>
      <c r="N1238" s="38">
        <f t="shared" si="179"/>
        <v>11.596874999999999</v>
      </c>
      <c r="O1238" s="36">
        <f t="shared" si="182"/>
        <v>309.25</v>
      </c>
      <c r="P1238" s="38">
        <f ca="1">IF(ISERROR(IF(O1238&lt;fi_h/20,0,(OFFSET('Base de dados'!$A$5,IF(O1238&lt;20,1,IF(O1238&gt;1000,10,MATCH(O1238,Cargas,1))),Coluna_fih,1,1))*(1+0.13*0.25)*(PI()*(fi_h/1000)^2/4)*SQRT(2*9.81*(O1238/100-fi_h/2/1000))*1000)),"",IF(O1238&lt;fi_h/20,0,(OFFSET('Base de dados'!$A$5,IF(O1238&lt;20,1,IF(O1238&gt;1000,10,MATCH(O1238,Cargas,1))),Coluna_fih,1,1))*(PI()*(fi_h/1000)^2/4)*SQRT(2*9.81*(O1238/100-fi_h/2/1000))*1000))</f>
        <v>4.6938781159994694</v>
      </c>
      <c r="Q1238" s="38">
        <f ca="1">IF(O1238="","",IF(Tipo_Vertedor="Retangular",IF(O1238&lt;=cota_s*100,0,IF(Tipo_Vertedor="Retangular",Cd_sr*Lef_sr*((O1238/100-cota_s)^(3/2))*1000)),IF(O1238&lt;=cota_s*100+fi_s/20,0,(OFFSET('Base de dados'!$A$4,IF(O1238&lt;20,1,IF(O1238&gt;1000,10,MATCH(O1238,Cargas,1))),Coluna_fis,1,1))*(PI()*(fi_s/1000)^2/4)*(2*9.81*(O1238/100-cota_s-fi_s/2/1000))^0.5*1000)))</f>
        <v>3.6652648716815168</v>
      </c>
      <c r="R1238" s="38">
        <f t="shared" ca="1" si="180"/>
        <v>8.3591429876809862</v>
      </c>
      <c r="S1238" s="38">
        <f t="shared" ca="1" si="181"/>
        <v>386.56249999999994</v>
      </c>
    </row>
    <row r="1239" spans="13:19">
      <c r="M1239" s="132">
        <f t="shared" ref="M1239:M1302" ca="1" si="183">IF(O1239="","",2*N1239*1000/(Passo*60)+R1239)</f>
        <v>395.23849356877491</v>
      </c>
      <c r="N1239" s="38">
        <f t="shared" ref="N1239:N1302" si="184">IF(O1239="","",b_0*(O1239/100)^c_0)</f>
        <v>11.606250000000001</v>
      </c>
      <c r="O1239" s="36">
        <f t="shared" si="182"/>
        <v>309.5</v>
      </c>
      <c r="P1239" s="38">
        <f ca="1">IF(ISERROR(IF(O1239&lt;fi_h/20,0,(OFFSET('Base de dados'!$A$5,IF(O1239&lt;20,1,IF(O1239&gt;1000,10,MATCH(O1239,Cargas,1))),Coluna_fih,1,1))*(1+0.13*0.25)*(PI()*(fi_h/1000)^2/4)*SQRT(2*9.81*(O1239/100-fi_h/2/1000))*1000)),"",IF(O1239&lt;fi_h/20,0,(OFFSET('Base de dados'!$A$5,IF(O1239&lt;20,1,IF(O1239&gt;1000,10,MATCH(O1239,Cargas,1))),Coluna_fih,1,1))*(PI()*(fi_h/1000)^2/4)*SQRT(2*9.81*(O1239/100-fi_h/2/1000))*1000))</f>
        <v>4.6957858708989599</v>
      </c>
      <c r="Q1239" s="38">
        <f ca="1">IF(O1239="","",IF(Tipo_Vertedor="Retangular",IF(O1239&lt;=cota_s*100,0,IF(Tipo_Vertedor="Retangular",Cd_sr*Lef_sr*((O1239/100-cota_s)^(3/2))*1000)),IF(O1239&lt;=cota_s*100+fi_s/20,0,(OFFSET('Base de dados'!$A$4,IF(O1239&lt;20,1,IF(O1239&gt;1000,10,MATCH(O1239,Cargas,1))),Coluna_fis,1,1))*(PI()*(fi_s/1000)^2/4)*(2*9.81*(O1239/100-cota_s-fi_s/2/1000))^0.5*1000)))</f>
        <v>3.6677076978758967</v>
      </c>
      <c r="R1239" s="38">
        <f t="shared" ref="R1239:R1302" ca="1" si="185">IF(O1239="","",Q1239+P1239)</f>
        <v>8.3634935687748566</v>
      </c>
      <c r="S1239" s="38">
        <f t="shared" ref="S1239:S1302" ca="1" si="186">IF(M1239="","",2*N1239*1000/(Passo*60))</f>
        <v>386.87500000000006</v>
      </c>
    </row>
    <row r="1240" spans="13:19">
      <c r="M1240" s="132">
        <f t="shared" ca="1" si="183"/>
        <v>395.55534174919256</v>
      </c>
      <c r="N1240" s="38">
        <f t="shared" si="184"/>
        <v>11.615625000000001</v>
      </c>
      <c r="O1240" s="36">
        <f t="shared" si="182"/>
        <v>309.75</v>
      </c>
      <c r="P1240" s="38">
        <f ca="1">IF(ISERROR(IF(O1240&lt;fi_h/20,0,(OFFSET('Base de dados'!$A$5,IF(O1240&lt;20,1,IF(O1240&gt;1000,10,MATCH(O1240,Cargas,1))),Coluna_fih,1,1))*(1+0.13*0.25)*(PI()*(fi_h/1000)^2/4)*SQRT(2*9.81*(O1240/100-fi_h/2/1000))*1000)),"",IF(O1240&lt;fi_h/20,0,(OFFSET('Base de dados'!$A$5,IF(O1240&lt;20,1,IF(O1240&gt;1000,10,MATCH(O1240,Cargas,1))),Coluna_fih,1,1))*(PI()*(fi_h/1000)^2/4)*SQRT(2*9.81*(O1240/100-fi_h/2/1000))*1000))</f>
        <v>4.697692851050383</v>
      </c>
      <c r="Q1240" s="38">
        <f ca="1">IF(O1240="","",IF(Tipo_Vertedor="Retangular",IF(O1240&lt;=cota_s*100,0,IF(Tipo_Vertedor="Retangular",Cd_sr*Lef_sr*((O1240/100-cota_s)^(3/2))*1000)),IF(O1240&lt;=cota_s*100+fi_s/20,0,(OFFSET('Base de dados'!$A$4,IF(O1240&lt;20,1,IF(O1240&gt;1000,10,MATCH(O1240,Cargas,1))),Coluna_fis,1,1))*(PI()*(fi_s/1000)^2/4)*(2*9.81*(O1240/100-cota_s-fi_s/2/1000))^0.5*1000)))</f>
        <v>3.6701488981421018</v>
      </c>
      <c r="R1240" s="38">
        <f t="shared" ca="1" si="185"/>
        <v>8.3678417491924844</v>
      </c>
      <c r="S1240" s="38">
        <f t="shared" ca="1" si="186"/>
        <v>387.18750000000006</v>
      </c>
    </row>
    <row r="1241" spans="13:19">
      <c r="M1241" s="132">
        <f t="shared" ca="1" si="183"/>
        <v>395.8721875331193</v>
      </c>
      <c r="N1241" s="38">
        <f t="shared" si="184"/>
        <v>11.625</v>
      </c>
      <c r="O1241" s="36">
        <f t="shared" si="182"/>
        <v>310</v>
      </c>
      <c r="P1241" s="38">
        <f ca="1">IF(ISERROR(IF(O1241&lt;fi_h/20,0,(OFFSET('Base de dados'!$A$5,IF(O1241&lt;20,1,IF(O1241&gt;1000,10,MATCH(O1241,Cargas,1))),Coluna_fih,1,1))*(1+0.13*0.25)*(PI()*(fi_h/1000)^2/4)*SQRT(2*9.81*(O1241/100-fi_h/2/1000))*1000)),"",IF(O1241&lt;fi_h/20,0,(OFFSET('Base de dados'!$A$5,IF(O1241&lt;20,1,IF(O1241&gt;1000,10,MATCH(O1241,Cargas,1))),Coluna_fih,1,1))*(PI()*(fi_h/1000)^2/4)*SQRT(2*9.81*(O1241/100-fi_h/2/1000))*1000))</f>
        <v>4.6995990573968607</v>
      </c>
      <c r="Q1241" s="38">
        <f ca="1">IF(O1241="","",IF(Tipo_Vertedor="Retangular",IF(O1241&lt;=cota_s*100,0,IF(Tipo_Vertedor="Retangular",Cd_sr*Lef_sr*((O1241/100-cota_s)^(3/2))*1000)),IF(O1241&lt;=cota_s*100+fi_s/20,0,(OFFSET('Base de dados'!$A$4,IF(O1241&lt;20,1,IF(O1241&gt;1000,10,MATCH(O1241,Cargas,1))),Coluna_fis,1,1))*(PI()*(fi_s/1000)^2/4)*(2*9.81*(O1241/100-cota_s-fi_s/2/1000))^0.5*1000)))</f>
        <v>3.6725884757224381</v>
      </c>
      <c r="R1241" s="38">
        <f t="shared" ca="1" si="185"/>
        <v>8.3721875331192983</v>
      </c>
      <c r="S1241" s="38">
        <f t="shared" ca="1" si="186"/>
        <v>387.5</v>
      </c>
    </row>
    <row r="1242" spans="13:19">
      <c r="M1242" s="132">
        <f t="shared" ca="1" si="183"/>
        <v>396.18903092472806</v>
      </c>
      <c r="N1242" s="38">
        <f t="shared" si="184"/>
        <v>11.634375</v>
      </c>
      <c r="O1242" s="36">
        <f t="shared" si="182"/>
        <v>310.25</v>
      </c>
      <c r="P1242" s="38">
        <f ca="1">IF(ISERROR(IF(O1242&lt;fi_h/20,0,(OFFSET('Base de dados'!$A$5,IF(O1242&lt;20,1,IF(O1242&gt;1000,10,MATCH(O1242,Cargas,1))),Coluna_fih,1,1))*(1+0.13*0.25)*(PI()*(fi_h/1000)^2/4)*SQRT(2*9.81*(O1242/100-fi_h/2/1000))*1000)),"",IF(O1242&lt;fi_h/20,0,(OFFSET('Base de dados'!$A$5,IF(O1242&lt;20,1,IF(O1242&gt;1000,10,MATCH(O1242,Cargas,1))),Coluna_fih,1,1))*(PI()*(fi_h/1000)^2/4)*SQRT(2*9.81*(O1242/100-fi_h/2/1000))*1000))</f>
        <v>4.7015044908795991</v>
      </c>
      <c r="Q1242" s="38">
        <f ca="1">IF(O1242="","",IF(Tipo_Vertedor="Retangular",IF(O1242&lt;=cota_s*100,0,IF(Tipo_Vertedor="Retangular",Cd_sr*Lef_sr*((O1242/100-cota_s)^(3/2))*1000)),IF(O1242&lt;=cota_s*100+fi_s/20,0,(OFFSET('Base de dados'!$A$4,IF(O1242&lt;20,1,IF(O1242&gt;1000,10,MATCH(O1242,Cargas,1))),Coluna_fis,1,1))*(PI()*(fi_s/1000)^2/4)*(2*9.81*(O1242/100-cota_s-fi_s/2/1000))^0.5*1000)))</f>
        <v>3.6750264338484473</v>
      </c>
      <c r="R1242" s="38">
        <f t="shared" ca="1" si="185"/>
        <v>8.3765309247280459</v>
      </c>
      <c r="S1242" s="38">
        <f t="shared" ca="1" si="186"/>
        <v>387.8125</v>
      </c>
    </row>
    <row r="1243" spans="13:19">
      <c r="M1243" s="132">
        <f t="shared" ca="1" si="183"/>
        <v>396.50587192817886</v>
      </c>
      <c r="N1243" s="38">
        <f t="shared" si="184"/>
        <v>11.643750000000001</v>
      </c>
      <c r="O1243" s="36">
        <f t="shared" si="182"/>
        <v>310.5</v>
      </c>
      <c r="P1243" s="38">
        <f ca="1">IF(ISERROR(IF(O1243&lt;fi_h/20,0,(OFFSET('Base de dados'!$A$5,IF(O1243&lt;20,1,IF(O1243&gt;1000,10,MATCH(O1243,Cargas,1))),Coluna_fih,1,1))*(1+0.13*0.25)*(PI()*(fi_h/1000)^2/4)*SQRT(2*9.81*(O1243/100-fi_h/2/1000))*1000)),"",IF(O1243&lt;fi_h/20,0,(OFFSET('Base de dados'!$A$5,IF(O1243&lt;20,1,IF(O1243&gt;1000,10,MATCH(O1243,Cargas,1))),Coluna_fih,1,1))*(PI()*(fi_h/1000)^2/4)*SQRT(2*9.81*(O1243/100-fi_h/2/1000))*1000))</f>
        <v>4.7034091524379003</v>
      </c>
      <c r="Q1243" s="38">
        <f ca="1">IF(O1243="","",IF(Tipo_Vertedor="Retangular",IF(O1243&lt;=cota_s*100,0,IF(Tipo_Vertedor="Retangular",Cd_sr*Lef_sr*((O1243/100-cota_s)^(3/2))*1000)),IF(O1243&lt;=cota_s*100+fi_s/20,0,(OFFSET('Base de dados'!$A$4,IF(O1243&lt;20,1,IF(O1243&gt;1000,10,MATCH(O1243,Cargas,1))),Coluna_fis,1,1))*(PI()*(fi_s/1000)^2/4)*(2*9.81*(O1243/100-cota_s-fi_s/2/1000))^0.5*1000)))</f>
        <v>3.6774627757409606</v>
      </c>
      <c r="R1243" s="38">
        <f t="shared" ca="1" si="185"/>
        <v>8.3808719281788608</v>
      </c>
      <c r="S1243" s="38">
        <f t="shared" ca="1" si="186"/>
        <v>388.125</v>
      </c>
    </row>
    <row r="1244" spans="13:19">
      <c r="M1244" s="132">
        <f t="shared" ca="1" si="183"/>
        <v>396.82271054761929</v>
      </c>
      <c r="N1244" s="38">
        <f t="shared" si="184"/>
        <v>11.653124999999999</v>
      </c>
      <c r="O1244" s="36">
        <f t="shared" si="182"/>
        <v>310.75</v>
      </c>
      <c r="P1244" s="38">
        <f ca="1">IF(ISERROR(IF(O1244&lt;fi_h/20,0,(OFFSET('Base de dados'!$A$5,IF(O1244&lt;20,1,IF(O1244&gt;1000,10,MATCH(O1244,Cargas,1))),Coluna_fih,1,1))*(1+0.13*0.25)*(PI()*(fi_h/1000)^2/4)*SQRT(2*9.81*(O1244/100-fi_h/2/1000))*1000)),"",IF(O1244&lt;fi_h/20,0,(OFFSET('Base de dados'!$A$5,IF(O1244&lt;20,1,IF(O1244&gt;1000,10,MATCH(O1244,Cargas,1))),Coluna_fih,1,1))*(PI()*(fi_h/1000)^2/4)*SQRT(2*9.81*(O1244/100-fi_h/2/1000))*1000))</f>
        <v>4.7053130430091663</v>
      </c>
      <c r="Q1244" s="38">
        <f ca="1">IF(O1244="","",IF(Tipo_Vertedor="Retangular",IF(O1244&lt;=cota_s*100,0,IF(Tipo_Vertedor="Retangular",Cd_sr*Lef_sr*((O1244/100-cota_s)^(3/2))*1000)),IF(O1244&lt;=cota_s*100+fi_s/20,0,(OFFSET('Base de dados'!$A$4,IF(O1244&lt;20,1,IF(O1244&gt;1000,10,MATCH(O1244,Cargas,1))),Coluna_fis,1,1))*(PI()*(fi_s/1000)^2/4)*(2*9.81*(O1244/100-cota_s-fi_s/2/1000))^0.5*1000)))</f>
        <v>3.679897504610147</v>
      </c>
      <c r="R1244" s="38">
        <f t="shared" ca="1" si="185"/>
        <v>8.3852105476193124</v>
      </c>
      <c r="S1244" s="38">
        <f t="shared" ca="1" si="186"/>
        <v>388.4375</v>
      </c>
    </row>
    <row r="1245" spans="13:19">
      <c r="M1245" s="132">
        <f t="shared" ca="1" si="183"/>
        <v>397.13954678718449</v>
      </c>
      <c r="N1245" s="38">
        <f t="shared" si="184"/>
        <v>11.6625</v>
      </c>
      <c r="O1245" s="36">
        <f t="shared" si="182"/>
        <v>311</v>
      </c>
      <c r="P1245" s="38">
        <f ca="1">IF(ISERROR(IF(O1245&lt;fi_h/20,0,(OFFSET('Base de dados'!$A$5,IF(O1245&lt;20,1,IF(O1245&gt;1000,10,MATCH(O1245,Cargas,1))),Coluna_fih,1,1))*(1+0.13*0.25)*(PI()*(fi_h/1000)^2/4)*SQRT(2*9.81*(O1245/100-fi_h/2/1000))*1000)),"",IF(O1245&lt;fi_h/20,0,(OFFSET('Base de dados'!$A$5,IF(O1245&lt;20,1,IF(O1245&gt;1000,10,MATCH(O1245,Cargas,1))),Coluna_fih,1,1))*(PI()*(fi_h/1000)^2/4)*SQRT(2*9.81*(O1245/100-fi_h/2/1000))*1000))</f>
        <v>4.7072161635289014</v>
      </c>
      <c r="Q1245" s="38">
        <f ca="1">IF(O1245="","",IF(Tipo_Vertedor="Retangular",IF(O1245&lt;=cota_s*100,0,IF(Tipo_Vertedor="Retangular",Cd_sr*Lef_sr*((O1245/100-cota_s)^(3/2))*1000)),IF(O1245&lt;=cota_s*100+fi_s/20,0,(OFFSET('Base de dados'!$A$4,IF(O1245&lt;20,1,IF(O1245&gt;1000,10,MATCH(O1245,Cargas,1))),Coluna_fis,1,1))*(PI()*(fi_s/1000)^2/4)*(2*9.81*(O1245/100-cota_s-fi_s/2/1000))^0.5*1000)))</f>
        <v>3.6823306236555617</v>
      </c>
      <c r="R1245" s="38">
        <f t="shared" ca="1" si="185"/>
        <v>8.3895467871844627</v>
      </c>
      <c r="S1245" s="38">
        <f t="shared" ca="1" si="186"/>
        <v>388.75</v>
      </c>
    </row>
    <row r="1246" spans="13:19">
      <c r="M1246" s="132">
        <f t="shared" ca="1" si="183"/>
        <v>397.45638065099695</v>
      </c>
      <c r="N1246" s="38">
        <f t="shared" si="184"/>
        <v>11.671875</v>
      </c>
      <c r="O1246" s="36">
        <f t="shared" si="182"/>
        <v>311.25</v>
      </c>
      <c r="P1246" s="38">
        <f ca="1">IF(ISERROR(IF(O1246&lt;fi_h/20,0,(OFFSET('Base de dados'!$A$5,IF(O1246&lt;20,1,IF(O1246&gt;1000,10,MATCH(O1246,Cargas,1))),Coluna_fih,1,1))*(1+0.13*0.25)*(PI()*(fi_h/1000)^2/4)*SQRT(2*9.81*(O1246/100-fi_h/2/1000))*1000)),"",IF(O1246&lt;fi_h/20,0,(OFFSET('Base de dados'!$A$5,IF(O1246&lt;20,1,IF(O1246&gt;1000,10,MATCH(O1246,Cargas,1))),Coluna_fih,1,1))*(PI()*(fi_h/1000)^2/4)*SQRT(2*9.81*(O1246/100-fi_h/2/1000))*1000))</f>
        <v>4.7091185149307222</v>
      </c>
      <c r="Q1246" s="38">
        <f ca="1">IF(O1246="","",IF(Tipo_Vertedor="Retangular",IF(O1246&lt;=cota_s*100,0,IF(Tipo_Vertedor="Retangular",Cd_sr*Lef_sr*((O1246/100-cota_s)^(3/2))*1000)),IF(O1246&lt;=cota_s*100+fi_s/20,0,(OFFSET('Base de dados'!$A$4,IF(O1246&lt;20,1,IF(O1246&gt;1000,10,MATCH(O1246,Cargas,1))),Coluna_fis,1,1))*(PI()*(fi_s/1000)^2/4)*(2*9.81*(O1246/100-cota_s-fi_s/2/1000))^0.5*1000)))</f>
        <v>3.6847621360661984</v>
      </c>
      <c r="R1246" s="38">
        <f t="shared" ca="1" si="185"/>
        <v>8.3938806509969197</v>
      </c>
      <c r="S1246" s="38">
        <f t="shared" ca="1" si="186"/>
        <v>389.0625</v>
      </c>
    </row>
    <row r="1247" spans="13:19">
      <c r="M1247" s="132">
        <f t="shared" ca="1" si="183"/>
        <v>397.77321214316692</v>
      </c>
      <c r="N1247" s="38">
        <f t="shared" si="184"/>
        <v>11.68125</v>
      </c>
      <c r="O1247" s="36">
        <f t="shared" si="182"/>
        <v>311.5</v>
      </c>
      <c r="P1247" s="38">
        <f ca="1">IF(ISERROR(IF(O1247&lt;fi_h/20,0,(OFFSET('Base de dados'!$A$5,IF(O1247&lt;20,1,IF(O1247&gt;1000,10,MATCH(O1247,Cargas,1))),Coluna_fih,1,1))*(1+0.13*0.25)*(PI()*(fi_h/1000)^2/4)*SQRT(2*9.81*(O1247/100-fi_h/2/1000))*1000)),"",IF(O1247&lt;fi_h/20,0,(OFFSET('Base de dados'!$A$5,IF(O1247&lt;20,1,IF(O1247&gt;1000,10,MATCH(O1247,Cargas,1))),Coluna_fih,1,1))*(PI()*(fi_h/1000)^2/4)*SQRT(2*9.81*(O1247/100-fi_h/2/1000))*1000))</f>
        <v>4.7110200981463572</v>
      </c>
      <c r="Q1247" s="38">
        <f ca="1">IF(O1247="","",IF(Tipo_Vertedor="Retangular",IF(O1247&lt;=cota_s*100,0,IF(Tipo_Vertedor="Retangular",Cd_sr*Lef_sr*((O1247/100-cota_s)^(3/2))*1000)),IF(O1247&lt;=cota_s*100+fi_s/20,0,(OFFSET('Base de dados'!$A$4,IF(O1247&lt;20,1,IF(O1247&gt;1000,10,MATCH(O1247,Cargas,1))),Coluna_fis,1,1))*(PI()*(fi_s/1000)^2/4)*(2*9.81*(O1247/100-cota_s-fi_s/2/1000))^0.5*1000)))</f>
        <v>3.6871920450205344</v>
      </c>
      <c r="R1247" s="38">
        <f t="shared" ca="1" si="185"/>
        <v>8.3982121431668908</v>
      </c>
      <c r="S1247" s="38">
        <f t="shared" ca="1" si="186"/>
        <v>389.375</v>
      </c>
    </row>
    <row r="1248" spans="13:19">
      <c r="M1248" s="132">
        <f t="shared" ca="1" si="183"/>
        <v>398.09004126779223</v>
      </c>
      <c r="N1248" s="38">
        <f t="shared" si="184"/>
        <v>11.690625000000001</v>
      </c>
      <c r="O1248" s="36">
        <f t="shared" si="182"/>
        <v>311.75</v>
      </c>
      <c r="P1248" s="38">
        <f ca="1">IF(ISERROR(IF(O1248&lt;fi_h/20,0,(OFFSET('Base de dados'!$A$5,IF(O1248&lt;20,1,IF(O1248&gt;1000,10,MATCH(O1248,Cargas,1))),Coluna_fih,1,1))*(1+0.13*0.25)*(PI()*(fi_h/1000)^2/4)*SQRT(2*9.81*(O1248/100-fi_h/2/1000))*1000)),"",IF(O1248&lt;fi_h/20,0,(OFFSET('Base de dados'!$A$5,IF(O1248&lt;20,1,IF(O1248&gt;1000,10,MATCH(O1248,Cargas,1))),Coluna_fih,1,1))*(PI()*(fi_h/1000)^2/4)*SQRT(2*9.81*(O1248/100-fi_h/2/1000))*1000))</f>
        <v>4.7129209141056547</v>
      </c>
      <c r="Q1248" s="38">
        <f ca="1">IF(O1248="","",IF(Tipo_Vertedor="Retangular",IF(O1248&lt;=cota_s*100,0,IF(Tipo_Vertedor="Retangular",Cd_sr*Lef_sr*((O1248/100-cota_s)^(3/2))*1000)),IF(O1248&lt;=cota_s*100+fi_s/20,0,(OFFSET('Base de dados'!$A$4,IF(O1248&lt;20,1,IF(O1248&gt;1000,10,MATCH(O1248,Cargas,1))),Coluna_fis,1,1))*(PI()*(fi_s/1000)^2/4)*(2*9.81*(O1248/100-cota_s-fi_s/2/1000))^0.5*1000)))</f>
        <v>3.6896203536865806</v>
      </c>
      <c r="R1248" s="38">
        <f t="shared" ca="1" si="185"/>
        <v>8.4025412677922358</v>
      </c>
      <c r="S1248" s="38">
        <f t="shared" ca="1" si="186"/>
        <v>389.6875</v>
      </c>
    </row>
    <row r="1249" spans="13:19">
      <c r="M1249" s="132">
        <f t="shared" ca="1" si="183"/>
        <v>398.40686802895857</v>
      </c>
      <c r="N1249" s="38">
        <f t="shared" si="184"/>
        <v>11.700000000000001</v>
      </c>
      <c r="O1249" s="36">
        <f t="shared" si="182"/>
        <v>312</v>
      </c>
      <c r="P1249" s="38">
        <f ca="1">IF(ISERROR(IF(O1249&lt;fi_h/20,0,(OFFSET('Base de dados'!$A$5,IF(O1249&lt;20,1,IF(O1249&gt;1000,10,MATCH(O1249,Cargas,1))),Coluna_fih,1,1))*(1+0.13*0.25)*(PI()*(fi_h/1000)^2/4)*SQRT(2*9.81*(O1249/100-fi_h/2/1000))*1000)),"",IF(O1249&lt;fi_h/20,0,(OFFSET('Base de dados'!$A$5,IF(O1249&lt;20,1,IF(O1249&gt;1000,10,MATCH(O1249,Cargas,1))),Coluna_fih,1,1))*(PI()*(fi_h/1000)^2/4)*SQRT(2*9.81*(O1249/100-fi_h/2/1000))*1000))</f>
        <v>4.7148209637365932</v>
      </c>
      <c r="Q1249" s="38">
        <f ca="1">IF(O1249="","",IF(Tipo_Vertedor="Retangular",IF(O1249&lt;=cota_s*100,0,IF(Tipo_Vertedor="Retangular",Cd_sr*Lef_sr*((O1249/100-cota_s)^(3/2))*1000)),IF(O1249&lt;=cota_s*100+fi_s/20,0,(OFFSET('Base de dados'!$A$4,IF(O1249&lt;20,1,IF(O1249&gt;1000,10,MATCH(O1249,Cargas,1))),Coluna_fis,1,1))*(PI()*(fi_s/1000)^2/4)*(2*9.81*(O1249/100-cota_s-fi_s/2/1000))^0.5*1000)))</f>
        <v>3.6920470652219293</v>
      </c>
      <c r="R1249" s="38">
        <f t="shared" ca="1" si="185"/>
        <v>8.406868028958522</v>
      </c>
      <c r="S1249" s="38">
        <f t="shared" ca="1" si="186"/>
        <v>390.00000000000006</v>
      </c>
    </row>
    <row r="1250" spans="13:19">
      <c r="M1250" s="132">
        <f t="shared" ca="1" si="183"/>
        <v>398.72369243073911</v>
      </c>
      <c r="N1250" s="38">
        <f t="shared" si="184"/>
        <v>11.709375</v>
      </c>
      <c r="O1250" s="36">
        <f t="shared" si="182"/>
        <v>312.25</v>
      </c>
      <c r="P1250" s="38">
        <f ca="1">IF(ISERROR(IF(O1250&lt;fi_h/20,0,(OFFSET('Base de dados'!$A$5,IF(O1250&lt;20,1,IF(O1250&gt;1000,10,MATCH(O1250,Cargas,1))),Coluna_fih,1,1))*(1+0.13*0.25)*(PI()*(fi_h/1000)^2/4)*SQRT(2*9.81*(O1250/100-fi_h/2/1000))*1000)),"",IF(O1250&lt;fi_h/20,0,(OFFSET('Base de dados'!$A$5,IF(O1250&lt;20,1,IF(O1250&gt;1000,10,MATCH(O1250,Cargas,1))),Coluna_fih,1,1))*(PI()*(fi_h/1000)^2/4)*SQRT(2*9.81*(O1250/100-fi_h/2/1000))*1000))</f>
        <v>4.7167202479652781</v>
      </c>
      <c r="Q1250" s="38">
        <f ca="1">IF(O1250="","",IF(Tipo_Vertedor="Retangular",IF(O1250&lt;=cota_s*100,0,IF(Tipo_Vertedor="Retangular",Cd_sr*Lef_sr*((O1250/100-cota_s)^(3/2))*1000)),IF(O1250&lt;=cota_s*100+fi_s/20,0,(OFFSET('Base de dados'!$A$4,IF(O1250&lt;20,1,IF(O1250&gt;1000,10,MATCH(O1250,Cargas,1))),Coluna_fis,1,1))*(PI()*(fi_s/1000)^2/4)*(2*9.81*(O1250/100-cota_s-fi_s/2/1000))^0.5*1000)))</f>
        <v>3.6944721827738043</v>
      </c>
      <c r="R1250" s="38">
        <f t="shared" ca="1" si="185"/>
        <v>8.4111924307390815</v>
      </c>
      <c r="S1250" s="38">
        <f t="shared" ca="1" si="186"/>
        <v>390.3125</v>
      </c>
    </row>
    <row r="1251" spans="13:19">
      <c r="M1251" s="132">
        <f t="shared" ca="1" si="183"/>
        <v>399.04051447719507</v>
      </c>
      <c r="N1251" s="38">
        <f t="shared" si="184"/>
        <v>11.71875</v>
      </c>
      <c r="O1251" s="36">
        <f t="shared" si="182"/>
        <v>312.5</v>
      </c>
      <c r="P1251" s="38">
        <f ca="1">IF(ISERROR(IF(O1251&lt;fi_h/20,0,(OFFSET('Base de dados'!$A$5,IF(O1251&lt;20,1,IF(O1251&gt;1000,10,MATCH(O1251,Cargas,1))),Coluna_fih,1,1))*(1+0.13*0.25)*(PI()*(fi_h/1000)^2/4)*SQRT(2*9.81*(O1251/100-fi_h/2/1000))*1000)),"",IF(O1251&lt;fi_h/20,0,(OFFSET('Base de dados'!$A$5,IF(O1251&lt;20,1,IF(O1251&gt;1000,10,MATCH(O1251,Cargas,1))),Coluna_fih,1,1))*(PI()*(fi_h/1000)^2/4)*SQRT(2*9.81*(O1251/100-fi_h/2/1000))*1000))</f>
        <v>4.7186187677159515</v>
      </c>
      <c r="Q1251" s="38">
        <f ca="1">IF(O1251="","",IF(Tipo_Vertedor="Retangular",IF(O1251&lt;=cota_s*100,0,IF(Tipo_Vertedor="Retangular",Cd_sr*Lef_sr*((O1251/100-cota_s)^(3/2))*1000)),IF(O1251&lt;=cota_s*100+fi_s/20,0,(OFFSET('Base de dados'!$A$4,IF(O1251&lt;20,1,IF(O1251&gt;1000,10,MATCH(O1251,Cargas,1))),Coluna_fis,1,1))*(PI()*(fi_s/1000)^2/4)*(2*9.81*(O1251/100-cota_s-fi_s/2/1000))^0.5*1000)))</f>
        <v>3.6968957094791044</v>
      </c>
      <c r="R1251" s="38">
        <f t="shared" ca="1" si="185"/>
        <v>8.4155144771950567</v>
      </c>
      <c r="S1251" s="38">
        <f t="shared" ca="1" si="186"/>
        <v>390.625</v>
      </c>
    </row>
    <row r="1252" spans="13:19">
      <c r="M1252" s="132">
        <f t="shared" ca="1" si="183"/>
        <v>399.35733417237543</v>
      </c>
      <c r="N1252" s="38">
        <f t="shared" si="184"/>
        <v>11.728125</v>
      </c>
      <c r="O1252" s="36">
        <f t="shared" si="182"/>
        <v>312.75</v>
      </c>
      <c r="P1252" s="38">
        <f ca="1">IF(ISERROR(IF(O1252&lt;fi_h/20,0,(OFFSET('Base de dados'!$A$5,IF(O1252&lt;20,1,IF(O1252&gt;1000,10,MATCH(O1252,Cargas,1))),Coluna_fih,1,1))*(1+0.13*0.25)*(PI()*(fi_h/1000)^2/4)*SQRT(2*9.81*(O1252/100-fi_h/2/1000))*1000)),"",IF(O1252&lt;fi_h/20,0,(OFFSET('Base de dados'!$A$5,IF(O1252&lt;20,1,IF(O1252&gt;1000,10,MATCH(O1252,Cargas,1))),Coluna_fih,1,1))*(PI()*(fi_h/1000)^2/4)*SQRT(2*9.81*(O1252/100-fi_h/2/1000))*1000))</f>
        <v>4.720516523910999</v>
      </c>
      <c r="Q1252" s="38">
        <f ca="1">IF(O1252="","",IF(Tipo_Vertedor="Retangular",IF(O1252&lt;=cota_s*100,0,IF(Tipo_Vertedor="Retangular",Cd_sr*Lef_sr*((O1252/100-cota_s)^(3/2))*1000)),IF(O1252&lt;=cota_s*100+fi_s/20,0,(OFFSET('Base de dados'!$A$4,IF(O1252&lt;20,1,IF(O1252&gt;1000,10,MATCH(O1252,Cargas,1))),Coluna_fis,1,1))*(PI()*(fi_s/1000)^2/4)*(2*9.81*(O1252/100-cota_s-fi_s/2/1000))^0.5*1000)))</f>
        <v>3.6993176484644552</v>
      </c>
      <c r="R1252" s="38">
        <f t="shared" ca="1" si="185"/>
        <v>8.4198341723754542</v>
      </c>
      <c r="S1252" s="38">
        <f t="shared" ca="1" si="186"/>
        <v>390.9375</v>
      </c>
    </row>
    <row r="1253" spans="13:19">
      <c r="M1253" s="132">
        <f t="shared" ca="1" si="183"/>
        <v>399.67415152031714</v>
      </c>
      <c r="N1253" s="38">
        <f t="shared" si="184"/>
        <v>11.737499999999999</v>
      </c>
      <c r="O1253" s="36">
        <f t="shared" si="182"/>
        <v>313</v>
      </c>
      <c r="P1253" s="38">
        <f ca="1">IF(ISERROR(IF(O1253&lt;fi_h/20,0,(OFFSET('Base de dados'!$A$5,IF(O1253&lt;20,1,IF(O1253&gt;1000,10,MATCH(O1253,Cargas,1))),Coluna_fih,1,1))*(1+0.13*0.25)*(PI()*(fi_h/1000)^2/4)*SQRT(2*9.81*(O1253/100-fi_h/2/1000))*1000)),"",IF(O1253&lt;fi_h/20,0,(OFFSET('Base de dados'!$A$5,IF(O1253&lt;20,1,IF(O1253&gt;1000,10,MATCH(O1253,Cargas,1))),Coluna_fih,1,1))*(PI()*(fi_h/1000)^2/4)*SQRT(2*9.81*(O1253/100-fi_h/2/1000))*1000))</f>
        <v>4.7224135174709509</v>
      </c>
      <c r="Q1253" s="38">
        <f ca="1">IF(O1253="","",IF(Tipo_Vertedor="Retangular",IF(O1253&lt;=cota_s*100,0,IF(Tipo_Vertedor="Retangular",Cd_sr*Lef_sr*((O1253/100-cota_s)^(3/2))*1000)),IF(O1253&lt;=cota_s*100+fi_s/20,0,(OFFSET('Base de dados'!$A$4,IF(O1253&lt;20,1,IF(O1253&gt;1000,10,MATCH(O1253,Cargas,1))),Coluna_fis,1,1))*(PI()*(fi_s/1000)^2/4)*(2*9.81*(O1253/100-cota_s-fi_s/2/1000))^0.5*1000)))</f>
        <v>3.7017380028462523</v>
      </c>
      <c r="R1253" s="38">
        <f t="shared" ca="1" si="185"/>
        <v>8.4241515203172028</v>
      </c>
      <c r="S1253" s="38">
        <f t="shared" ca="1" si="186"/>
        <v>391.24999999999994</v>
      </c>
    </row>
    <row r="1254" spans="13:19">
      <c r="M1254" s="132">
        <f t="shared" ca="1" si="183"/>
        <v>399.99096652504522</v>
      </c>
      <c r="N1254" s="38">
        <f t="shared" si="184"/>
        <v>11.746874999999999</v>
      </c>
      <c r="O1254" s="36">
        <f t="shared" si="182"/>
        <v>313.25</v>
      </c>
      <c r="P1254" s="38">
        <f ca="1">IF(ISERROR(IF(O1254&lt;fi_h/20,0,(OFFSET('Base de dados'!$A$5,IF(O1254&lt;20,1,IF(O1254&gt;1000,10,MATCH(O1254,Cargas,1))),Coluna_fih,1,1))*(1+0.13*0.25)*(PI()*(fi_h/1000)^2/4)*SQRT(2*9.81*(O1254/100-fi_h/2/1000))*1000)),"",IF(O1254&lt;fi_h/20,0,(OFFSET('Base de dados'!$A$5,IF(O1254&lt;20,1,IF(O1254&gt;1000,10,MATCH(O1254,Cargas,1))),Coluna_fih,1,1))*(PI()*(fi_h/1000)^2/4)*SQRT(2*9.81*(O1254/100-fi_h/2/1000))*1000))</f>
        <v>4.7243097493144894</v>
      </c>
      <c r="Q1254" s="38">
        <f ca="1">IF(O1254="","",IF(Tipo_Vertedor="Retangular",IF(O1254&lt;=cota_s*100,0,IF(Tipo_Vertedor="Retangular",Cd_sr*Lef_sr*((O1254/100-cota_s)^(3/2))*1000)),IF(O1254&lt;=cota_s*100+fi_s/20,0,(OFFSET('Base de dados'!$A$4,IF(O1254&lt;20,1,IF(O1254&gt;1000,10,MATCH(O1254,Cargas,1))),Coluna_fis,1,1))*(PI()*(fi_s/1000)^2/4)*(2*9.81*(O1254/100-cota_s-fi_s/2/1000))^0.5*1000)))</f>
        <v>3.704156775730711</v>
      </c>
      <c r="R1254" s="38">
        <f t="shared" ca="1" si="185"/>
        <v>8.4284665250452004</v>
      </c>
      <c r="S1254" s="38">
        <f t="shared" ca="1" si="186"/>
        <v>391.5625</v>
      </c>
    </row>
    <row r="1255" spans="13:19">
      <c r="M1255" s="132">
        <f t="shared" ca="1" si="183"/>
        <v>400.30777919057238</v>
      </c>
      <c r="N1255" s="38">
        <f t="shared" si="184"/>
        <v>11.75625</v>
      </c>
      <c r="O1255" s="36">
        <f t="shared" si="182"/>
        <v>313.5</v>
      </c>
      <c r="P1255" s="38">
        <f ca="1">IF(ISERROR(IF(O1255&lt;fi_h/20,0,(OFFSET('Base de dados'!$A$5,IF(O1255&lt;20,1,IF(O1255&gt;1000,10,MATCH(O1255,Cargas,1))),Coluna_fih,1,1))*(1+0.13*0.25)*(PI()*(fi_h/1000)^2/4)*SQRT(2*9.81*(O1255/100-fi_h/2/1000))*1000)),"",IF(O1255&lt;fi_h/20,0,(OFFSET('Base de dados'!$A$5,IF(O1255&lt;20,1,IF(O1255&gt;1000,10,MATCH(O1255,Cargas,1))),Coluna_fih,1,1))*(PI()*(fi_h/1000)^2/4)*SQRT(2*9.81*(O1255/100-fi_h/2/1000))*1000))</f>
        <v>4.7262052203584553</v>
      </c>
      <c r="Q1255" s="38">
        <f ca="1">IF(O1255="","",IF(Tipo_Vertedor="Retangular",IF(O1255&lt;=cota_s*100,0,IF(Tipo_Vertedor="Retangular",Cd_sr*Lef_sr*((O1255/100-cota_s)^(3/2))*1000)),IF(O1255&lt;=cota_s*100+fi_s/20,0,(OFFSET('Base de dados'!$A$4,IF(O1255&lt;20,1,IF(O1255&gt;1000,10,MATCH(O1255,Cargas,1))),Coluna_fis,1,1))*(PI()*(fi_s/1000)^2/4)*(2*9.81*(O1255/100-cota_s-fi_s/2/1000))^0.5*1000)))</f>
        <v>3.7065739702139107</v>
      </c>
      <c r="R1255" s="38">
        <f t="shared" ca="1" si="185"/>
        <v>8.432779190572365</v>
      </c>
      <c r="S1255" s="38">
        <f t="shared" ca="1" si="186"/>
        <v>391.875</v>
      </c>
    </row>
    <row r="1256" spans="13:19">
      <c r="M1256" s="132">
        <f t="shared" ca="1" si="183"/>
        <v>400.62458952089969</v>
      </c>
      <c r="N1256" s="38">
        <f t="shared" si="184"/>
        <v>11.765625</v>
      </c>
      <c r="O1256" s="36">
        <f t="shared" si="182"/>
        <v>313.75</v>
      </c>
      <c r="P1256" s="38">
        <f ca="1">IF(ISERROR(IF(O1256&lt;fi_h/20,0,(OFFSET('Base de dados'!$A$5,IF(O1256&lt;20,1,IF(O1256&gt;1000,10,MATCH(O1256,Cargas,1))),Coluna_fih,1,1))*(1+0.13*0.25)*(PI()*(fi_h/1000)^2/4)*SQRT(2*9.81*(O1256/100-fi_h/2/1000))*1000)),"",IF(O1256&lt;fi_h/20,0,(OFFSET('Base de dados'!$A$5,IF(O1256&lt;20,1,IF(O1256&gt;1000,10,MATCH(O1256,Cargas,1))),Coluna_fih,1,1))*(PI()*(fi_h/1000)^2/4)*SQRT(2*9.81*(O1256/100-fi_h/2/1000))*1000))</f>
        <v>4.7280999315178489</v>
      </c>
      <c r="Q1256" s="38">
        <f ca="1">IF(O1256="","",IF(Tipo_Vertedor="Retangular",IF(O1256&lt;=cota_s*100,0,IF(Tipo_Vertedor="Retangular",Cd_sr*Lef_sr*((O1256/100-cota_s)^(3/2))*1000)),IF(O1256&lt;=cota_s*100+fi_s/20,0,(OFFSET('Base de dados'!$A$4,IF(O1256&lt;20,1,IF(O1256&gt;1000,10,MATCH(O1256,Cargas,1))),Coluna_fis,1,1))*(PI()*(fi_s/1000)^2/4)*(2*9.81*(O1256/100-cota_s-fi_s/2/1000))^0.5*1000)))</f>
        <v>3.7089895893818428</v>
      </c>
      <c r="R1256" s="38">
        <f t="shared" ca="1" si="185"/>
        <v>8.4370895208996917</v>
      </c>
      <c r="S1256" s="38">
        <f t="shared" ca="1" si="186"/>
        <v>392.1875</v>
      </c>
    </row>
    <row r="1257" spans="13:19">
      <c r="M1257" s="132">
        <f t="shared" ca="1" si="183"/>
        <v>400.94139752001627</v>
      </c>
      <c r="N1257" s="38">
        <f t="shared" si="184"/>
        <v>11.775</v>
      </c>
      <c r="O1257" s="36">
        <f t="shared" si="182"/>
        <v>314</v>
      </c>
      <c r="P1257" s="38">
        <f ca="1">IF(ISERROR(IF(O1257&lt;fi_h/20,0,(OFFSET('Base de dados'!$A$5,IF(O1257&lt;20,1,IF(O1257&gt;1000,10,MATCH(O1257,Cargas,1))),Coluna_fih,1,1))*(1+0.13*0.25)*(PI()*(fi_h/1000)^2/4)*SQRT(2*9.81*(O1257/100-fi_h/2/1000))*1000)),"",IF(O1257&lt;fi_h/20,0,(OFFSET('Base de dados'!$A$5,IF(O1257&lt;20,1,IF(O1257&gt;1000,10,MATCH(O1257,Cargas,1))),Coluna_fih,1,1))*(PI()*(fi_h/1000)^2/4)*SQRT(2*9.81*(O1257/100-fi_h/2/1000))*1000))</f>
        <v>4.7299938837058404</v>
      </c>
      <c r="Q1257" s="38">
        <f ca="1">IF(O1257="","",IF(Tipo_Vertedor="Retangular",IF(O1257&lt;=cota_s*100,0,IF(Tipo_Vertedor="Retangular",Cd_sr*Lef_sr*((O1257/100-cota_s)^(3/2))*1000)),IF(O1257&lt;=cota_s*100+fi_s/20,0,(OFFSET('Base de dados'!$A$4,IF(O1257&lt;20,1,IF(O1257&gt;1000,10,MATCH(O1257,Cargas,1))),Coluna_fis,1,1))*(PI()*(fi_s/1000)^2/4)*(2*9.81*(O1257/100-cota_s-fi_s/2/1000))^0.5*1000)))</f>
        <v>3.7114036363104548</v>
      </c>
      <c r="R1257" s="38">
        <f t="shared" ca="1" si="185"/>
        <v>8.4413975200162952</v>
      </c>
      <c r="S1257" s="38">
        <f t="shared" ca="1" si="186"/>
        <v>392.5</v>
      </c>
    </row>
    <row r="1258" spans="13:19">
      <c r="M1258" s="132">
        <f t="shared" ca="1" si="183"/>
        <v>401.2582031918995</v>
      </c>
      <c r="N1258" s="38">
        <f t="shared" si="184"/>
        <v>11.784375000000001</v>
      </c>
      <c r="O1258" s="36">
        <f t="shared" si="182"/>
        <v>314.25</v>
      </c>
      <c r="P1258" s="38">
        <f ca="1">IF(ISERROR(IF(O1258&lt;fi_h/20,0,(OFFSET('Base de dados'!$A$5,IF(O1258&lt;20,1,IF(O1258&gt;1000,10,MATCH(O1258,Cargas,1))),Coluna_fih,1,1))*(1+0.13*0.25)*(PI()*(fi_h/1000)^2/4)*SQRT(2*9.81*(O1258/100-fi_h/2/1000))*1000)),"",IF(O1258&lt;fi_h/20,0,(OFFSET('Base de dados'!$A$5,IF(O1258&lt;20,1,IF(O1258&gt;1000,10,MATCH(O1258,Cargas,1))),Coluna_fih,1,1))*(PI()*(fi_h/1000)^2/4)*SQRT(2*9.81*(O1258/100-fi_h/2/1000))*1000))</f>
        <v>4.7318870778337718</v>
      </c>
      <c r="Q1258" s="38">
        <f ca="1">IF(O1258="","",IF(Tipo_Vertedor="Retangular",IF(O1258&lt;=cota_s*100,0,IF(Tipo_Vertedor="Retangular",Cd_sr*Lef_sr*((O1258/100-cota_s)^(3/2))*1000)),IF(O1258&lt;=cota_s*100+fi_s/20,0,(OFFSET('Base de dados'!$A$4,IF(O1258&lt;20,1,IF(O1258&gt;1000,10,MATCH(O1258,Cargas,1))),Coluna_fis,1,1))*(PI()*(fi_s/1000)^2/4)*(2*9.81*(O1258/100-cota_s-fi_s/2/1000))^0.5*1000)))</f>
        <v>3.7138161140656978</v>
      </c>
      <c r="R1258" s="38">
        <f t="shared" ca="1" si="185"/>
        <v>8.4457031918994687</v>
      </c>
      <c r="S1258" s="38">
        <f t="shared" ca="1" si="186"/>
        <v>392.8125</v>
      </c>
    </row>
    <row r="1259" spans="13:19">
      <c r="M1259" s="132">
        <f t="shared" ca="1" si="183"/>
        <v>401.57500654051472</v>
      </c>
      <c r="N1259" s="38">
        <f t="shared" si="184"/>
        <v>11.793749999999999</v>
      </c>
      <c r="O1259" s="36">
        <f t="shared" si="182"/>
        <v>314.5</v>
      </c>
      <c r="P1259" s="38">
        <f ca="1">IF(ISERROR(IF(O1259&lt;fi_h/20,0,(OFFSET('Base de dados'!$A$5,IF(O1259&lt;20,1,IF(O1259&gt;1000,10,MATCH(O1259,Cargas,1))),Coluna_fih,1,1))*(1+0.13*0.25)*(PI()*(fi_h/1000)^2/4)*SQRT(2*9.81*(O1259/100-fi_h/2/1000))*1000)),"",IF(O1259&lt;fi_h/20,0,(OFFSET('Base de dados'!$A$5,IF(O1259&lt;20,1,IF(O1259&gt;1000,10,MATCH(O1259,Cargas,1))),Coluna_fih,1,1))*(PI()*(fi_h/1000)^2/4)*SQRT(2*9.81*(O1259/100-fi_h/2/1000))*1000))</f>
        <v>4.7337795148111637</v>
      </c>
      <c r="Q1259" s="38">
        <f ca="1">IF(O1259="","",IF(Tipo_Vertedor="Retangular",IF(O1259&lt;=cota_s*100,0,IF(Tipo_Vertedor="Retangular",Cd_sr*Lef_sr*((O1259/100-cota_s)^(3/2))*1000)),IF(O1259&lt;=cota_s*100+fi_s/20,0,(OFFSET('Base de dados'!$A$4,IF(O1259&lt;20,1,IF(O1259&gt;1000,10,MATCH(O1259,Cargas,1))),Coluna_fis,1,1))*(PI()*(fi_s/1000)^2/4)*(2*9.81*(O1259/100-cota_s-fi_s/2/1000))^0.5*1000)))</f>
        <v>3.7162270257035717</v>
      </c>
      <c r="R1259" s="38">
        <f t="shared" ca="1" si="185"/>
        <v>8.4500065405147353</v>
      </c>
      <c r="S1259" s="38">
        <f t="shared" ca="1" si="186"/>
        <v>393.125</v>
      </c>
    </row>
    <row r="1260" spans="13:19">
      <c r="M1260" s="132">
        <f t="shared" ca="1" si="183"/>
        <v>401.89180756981591</v>
      </c>
      <c r="N1260" s="38">
        <f t="shared" si="184"/>
        <v>11.803125</v>
      </c>
      <c r="O1260" s="36">
        <f t="shared" si="182"/>
        <v>314.75</v>
      </c>
      <c r="P1260" s="38">
        <f ca="1">IF(ISERROR(IF(O1260&lt;fi_h/20,0,(OFFSET('Base de dados'!$A$5,IF(O1260&lt;20,1,IF(O1260&gt;1000,10,MATCH(O1260,Cargas,1))),Coluna_fih,1,1))*(1+0.13*0.25)*(PI()*(fi_h/1000)^2/4)*SQRT(2*9.81*(O1260/100-fi_h/2/1000))*1000)),"",IF(O1260&lt;fi_h/20,0,(OFFSET('Base de dados'!$A$5,IF(O1260&lt;20,1,IF(O1260&gt;1000,10,MATCH(O1260,Cargas,1))),Coluna_fih,1,1))*(PI()*(fi_h/1000)^2/4)*SQRT(2*9.81*(O1260/100-fi_h/2/1000))*1000))</f>
        <v>4.7356711955457156</v>
      </c>
      <c r="Q1260" s="38">
        <f ca="1">IF(O1260="","",IF(Tipo_Vertedor="Retangular",IF(O1260&lt;=cota_s*100,0,IF(Tipo_Vertedor="Retangular",Cd_sr*Lef_sr*((O1260/100-cota_s)^(3/2))*1000)),IF(O1260&lt;=cota_s*100+fi_s/20,0,(OFFSET('Base de dados'!$A$4,IF(O1260&lt;20,1,IF(O1260&gt;1000,10,MATCH(O1260,Cargas,1))),Coluna_fis,1,1))*(PI()*(fi_s/1000)^2/4)*(2*9.81*(O1260/100-cota_s-fi_s/2/1000))^0.5*1000)))</f>
        <v>3.7186363742701691</v>
      </c>
      <c r="R1260" s="38">
        <f t="shared" ca="1" si="185"/>
        <v>8.4543075698158852</v>
      </c>
      <c r="S1260" s="38">
        <f t="shared" ca="1" si="186"/>
        <v>393.4375</v>
      </c>
    </row>
    <row r="1261" spans="13:19">
      <c r="M1261" s="132">
        <f t="shared" ca="1" si="183"/>
        <v>402.20860628374504</v>
      </c>
      <c r="N1261" s="38">
        <f t="shared" si="184"/>
        <v>11.8125</v>
      </c>
      <c r="O1261" s="36">
        <f t="shared" si="182"/>
        <v>315</v>
      </c>
      <c r="P1261" s="38">
        <f ca="1">IF(ISERROR(IF(O1261&lt;fi_h/20,0,(OFFSET('Base de dados'!$A$5,IF(O1261&lt;20,1,IF(O1261&gt;1000,10,MATCH(O1261,Cargas,1))),Coluna_fih,1,1))*(1+0.13*0.25)*(PI()*(fi_h/1000)^2/4)*SQRT(2*9.81*(O1261/100-fi_h/2/1000))*1000)),"",IF(O1261&lt;fi_h/20,0,(OFFSET('Base de dados'!$A$5,IF(O1261&lt;20,1,IF(O1261&gt;1000,10,MATCH(O1261,Cargas,1))),Coluna_fih,1,1))*(PI()*(fi_h/1000)^2/4)*SQRT(2*9.81*(O1261/100-fi_h/2/1000))*1000))</f>
        <v>4.7375621209433199</v>
      </c>
      <c r="Q1261" s="38">
        <f ca="1">IF(O1261="","",IF(Tipo_Vertedor="Retangular",IF(O1261&lt;=cota_s*100,0,IF(Tipo_Vertedor="Retangular",Cd_sr*Lef_sr*((O1261/100-cota_s)^(3/2))*1000)),IF(O1261&lt;=cota_s*100+fi_s/20,0,(OFFSET('Base de dados'!$A$4,IF(O1261&lt;20,1,IF(O1261&gt;1000,10,MATCH(O1261,Cargas,1))),Coluna_fis,1,1))*(PI()*(fi_s/1000)^2/4)*(2*9.81*(O1261/100-cota_s-fi_s/2/1000))^0.5*1000)))</f>
        <v>3.7210441628017215</v>
      </c>
      <c r="R1261" s="38">
        <f t="shared" ca="1" si="185"/>
        <v>8.4586062837450413</v>
      </c>
      <c r="S1261" s="38">
        <f t="shared" ca="1" si="186"/>
        <v>393.75</v>
      </c>
    </row>
    <row r="1262" spans="13:19">
      <c r="M1262" s="132">
        <f t="shared" ca="1" si="183"/>
        <v>402.52540268623267</v>
      </c>
      <c r="N1262" s="38">
        <f t="shared" si="184"/>
        <v>11.821874999999999</v>
      </c>
      <c r="O1262" s="36">
        <f t="shared" si="182"/>
        <v>315.25</v>
      </c>
      <c r="P1262" s="38">
        <f ca="1">IF(ISERROR(IF(O1262&lt;fi_h/20,0,(OFFSET('Base de dados'!$A$5,IF(O1262&lt;20,1,IF(O1262&gt;1000,10,MATCH(O1262,Cargas,1))),Coluna_fih,1,1))*(1+0.13*0.25)*(PI()*(fi_h/1000)^2/4)*SQRT(2*9.81*(O1262/100-fi_h/2/1000))*1000)),"",IF(O1262&lt;fi_h/20,0,(OFFSET('Base de dados'!$A$5,IF(O1262&lt;20,1,IF(O1262&gt;1000,10,MATCH(O1262,Cargas,1))),Coluna_fih,1,1))*(PI()*(fi_h/1000)^2/4)*SQRT(2*9.81*(O1262/100-fi_h/2/1000))*1000))</f>
        <v>4.7394522919080577</v>
      </c>
      <c r="Q1262" s="38">
        <f ca="1">IF(O1262="","",IF(Tipo_Vertedor="Retangular",IF(O1262&lt;=cota_s*100,0,IF(Tipo_Vertedor="Retangular",Cd_sr*Lef_sr*((O1262/100-cota_s)^(3/2))*1000)),IF(O1262&lt;=cota_s*100+fi_s/20,0,(OFFSET('Base de dados'!$A$4,IF(O1262&lt;20,1,IF(O1262&gt;1000,10,MATCH(O1262,Cargas,1))),Coluna_fis,1,1))*(PI()*(fi_s/1000)^2/4)*(2*9.81*(O1262/100-cota_s-fi_s/2/1000))^0.5*1000)))</f>
        <v>3.7234503943246429</v>
      </c>
      <c r="R1262" s="38">
        <f t="shared" ca="1" si="185"/>
        <v>8.4629026862327006</v>
      </c>
      <c r="S1262" s="38">
        <f t="shared" ca="1" si="186"/>
        <v>394.06249999999994</v>
      </c>
    </row>
    <row r="1263" spans="13:19">
      <c r="M1263" s="132">
        <f t="shared" ca="1" si="183"/>
        <v>402.84219678119774</v>
      </c>
      <c r="N1263" s="38">
        <f t="shared" si="184"/>
        <v>11.831249999999999</v>
      </c>
      <c r="O1263" s="36">
        <f t="shared" si="182"/>
        <v>315.5</v>
      </c>
      <c r="P1263" s="38">
        <f ca="1">IF(ISERROR(IF(O1263&lt;fi_h/20,0,(OFFSET('Base de dados'!$A$5,IF(O1263&lt;20,1,IF(O1263&gt;1000,10,MATCH(O1263,Cargas,1))),Coluna_fih,1,1))*(1+0.13*0.25)*(PI()*(fi_h/1000)^2/4)*SQRT(2*9.81*(O1263/100-fi_h/2/1000))*1000)),"",IF(O1263&lt;fi_h/20,0,(OFFSET('Base de dados'!$A$5,IF(O1263&lt;20,1,IF(O1263&gt;1000,10,MATCH(O1263,Cargas,1))),Coluna_fih,1,1))*(PI()*(fi_h/1000)^2/4)*SQRT(2*9.81*(O1263/100-fi_h/2/1000))*1000))</f>
        <v>4.7413417093422101</v>
      </c>
      <c r="Q1263" s="38">
        <f ca="1">IF(O1263="","",IF(Tipo_Vertedor="Retangular",IF(O1263&lt;=cota_s*100,0,IF(Tipo_Vertedor="Retangular",Cd_sr*Lef_sr*((O1263/100-cota_s)^(3/2))*1000)),IF(O1263&lt;=cota_s*100+fi_s/20,0,(OFFSET('Base de dados'!$A$4,IF(O1263&lt;20,1,IF(O1263&gt;1000,10,MATCH(O1263,Cargas,1))),Coluna_fis,1,1))*(PI()*(fi_s/1000)^2/4)*(2*9.81*(O1263/100-cota_s-fi_s/2/1000))^0.5*1000)))</f>
        <v>3.7258550718555754</v>
      </c>
      <c r="R1263" s="38">
        <f t="shared" ca="1" si="185"/>
        <v>8.4671967811977851</v>
      </c>
      <c r="S1263" s="38">
        <f t="shared" ca="1" si="186"/>
        <v>394.37499999999994</v>
      </c>
    </row>
    <row r="1264" spans="13:19">
      <c r="M1264" s="132">
        <f t="shared" ca="1" si="183"/>
        <v>403.15898857254774</v>
      </c>
      <c r="N1264" s="38">
        <f t="shared" si="184"/>
        <v>11.840625000000001</v>
      </c>
      <c r="O1264" s="36">
        <f t="shared" si="182"/>
        <v>315.75</v>
      </c>
      <c r="P1264" s="38">
        <f ca="1">IF(ISERROR(IF(O1264&lt;fi_h/20,0,(OFFSET('Base de dados'!$A$5,IF(O1264&lt;20,1,IF(O1264&gt;1000,10,MATCH(O1264,Cargas,1))),Coluna_fih,1,1))*(1+0.13*0.25)*(PI()*(fi_h/1000)^2/4)*SQRT(2*9.81*(O1264/100-fi_h/2/1000))*1000)),"",IF(O1264&lt;fi_h/20,0,(OFFSET('Base de dados'!$A$5,IF(O1264&lt;20,1,IF(O1264&gt;1000,10,MATCH(O1264,Cargas,1))),Coluna_fih,1,1))*(PI()*(fi_h/1000)^2/4)*SQRT(2*9.81*(O1264/100-fi_h/2/1000))*1000))</f>
        <v>4.743230374146262</v>
      </c>
      <c r="Q1264" s="38">
        <f ca="1">IF(O1264="","",IF(Tipo_Vertedor="Retangular",IF(O1264&lt;=cota_s*100,0,IF(Tipo_Vertedor="Retangular",Cd_sr*Lef_sr*((O1264/100-cota_s)^(3/2))*1000)),IF(O1264&lt;=cota_s*100+fi_s/20,0,(OFFSET('Base de dados'!$A$4,IF(O1264&lt;20,1,IF(O1264&gt;1000,10,MATCH(O1264,Cargas,1))),Coluna_fis,1,1))*(PI()*(fi_s/1000)^2/4)*(2*9.81*(O1264/100-cota_s-fi_s/2/1000))^0.5*1000)))</f>
        <v>3.7282581984014325</v>
      </c>
      <c r="R1264" s="38">
        <f t="shared" ca="1" si="185"/>
        <v>8.4714885725476954</v>
      </c>
      <c r="S1264" s="38">
        <f t="shared" ca="1" si="186"/>
        <v>394.68750000000006</v>
      </c>
    </row>
    <row r="1265" spans="13:19">
      <c r="M1265" s="132">
        <f t="shared" ca="1" si="183"/>
        <v>403.47577806417843</v>
      </c>
      <c r="N1265" s="38">
        <f t="shared" si="184"/>
        <v>11.850000000000001</v>
      </c>
      <c r="O1265" s="36">
        <f t="shared" si="182"/>
        <v>316</v>
      </c>
      <c r="P1265" s="38">
        <f ca="1">IF(ISERROR(IF(O1265&lt;fi_h/20,0,(OFFSET('Base de dados'!$A$5,IF(O1265&lt;20,1,IF(O1265&gt;1000,10,MATCH(O1265,Cargas,1))),Coluna_fih,1,1))*(1+0.13*0.25)*(PI()*(fi_h/1000)^2/4)*SQRT(2*9.81*(O1265/100-fi_h/2/1000))*1000)),"",IF(O1265&lt;fi_h/20,0,(OFFSET('Base de dados'!$A$5,IF(O1265&lt;20,1,IF(O1265&gt;1000,10,MATCH(O1265,Cargas,1))),Coluna_fih,1,1))*(PI()*(fi_h/1000)^2/4)*SQRT(2*9.81*(O1265/100-fi_h/2/1000))*1000))</f>
        <v>4.7451182872189035</v>
      </c>
      <c r="Q1265" s="38">
        <f ca="1">IF(O1265="","",IF(Tipo_Vertedor="Retangular",IF(O1265&lt;=cota_s*100,0,IF(Tipo_Vertedor="Retangular",Cd_sr*Lef_sr*((O1265/100-cota_s)^(3/2))*1000)),IF(O1265&lt;=cota_s*100+fi_s/20,0,(OFFSET('Base de dados'!$A$4,IF(O1265&lt;20,1,IF(O1265&gt;1000,10,MATCH(O1265,Cargas,1))),Coluna_fis,1,1))*(PI()*(fi_s/1000)^2/4)*(2*9.81*(O1265/100-cota_s-fi_s/2/1000))^0.5*1000)))</f>
        <v>3.730659776959441</v>
      </c>
      <c r="R1265" s="38">
        <f t="shared" ca="1" si="185"/>
        <v>8.4757780641783445</v>
      </c>
      <c r="S1265" s="38">
        <f t="shared" ca="1" si="186"/>
        <v>395.00000000000006</v>
      </c>
    </row>
    <row r="1266" spans="13:19">
      <c r="M1266" s="132">
        <f t="shared" ca="1" si="183"/>
        <v>403.79256525997425</v>
      </c>
      <c r="N1266" s="38">
        <f t="shared" si="184"/>
        <v>11.859375</v>
      </c>
      <c r="O1266" s="36">
        <f t="shared" si="182"/>
        <v>316.25</v>
      </c>
      <c r="P1266" s="38">
        <f ca="1">IF(ISERROR(IF(O1266&lt;fi_h/20,0,(OFFSET('Base de dados'!$A$5,IF(O1266&lt;20,1,IF(O1266&gt;1000,10,MATCH(O1266,Cargas,1))),Coluna_fih,1,1))*(1+0.13*0.25)*(PI()*(fi_h/1000)^2/4)*SQRT(2*9.81*(O1266/100-fi_h/2/1000))*1000)),"",IF(O1266&lt;fi_h/20,0,(OFFSET('Base de dados'!$A$5,IF(O1266&lt;20,1,IF(O1266&gt;1000,10,MATCH(O1266,Cargas,1))),Coluna_fih,1,1))*(PI()*(fi_h/1000)^2/4)*SQRT(2*9.81*(O1266/100-fi_h/2/1000))*1000))</f>
        <v>4.7470054494570402</v>
      </c>
      <c r="Q1266" s="38">
        <f ca="1">IF(O1266="","",IF(Tipo_Vertedor="Retangular",IF(O1266&lt;=cota_s*100,0,IF(Tipo_Vertedor="Retangular",Cd_sr*Lef_sr*((O1266/100-cota_s)^(3/2))*1000)),IF(O1266&lt;=cota_s*100+fi_s/20,0,(OFFSET('Base de dados'!$A$4,IF(O1266&lt;20,1,IF(O1266&gt;1000,10,MATCH(O1266,Cargas,1))),Coluna_fis,1,1))*(PI()*(fi_s/1000)^2/4)*(2*9.81*(O1266/100-cota_s-fi_s/2/1000))^0.5*1000)))</f>
        <v>3.733059810517191</v>
      </c>
      <c r="R1266" s="38">
        <f t="shared" ca="1" si="185"/>
        <v>8.4800652599742321</v>
      </c>
      <c r="S1266" s="38">
        <f t="shared" ca="1" si="186"/>
        <v>395.3125</v>
      </c>
    </row>
    <row r="1267" spans="13:19">
      <c r="M1267" s="132">
        <f t="shared" ca="1" si="183"/>
        <v>404.10935016380847</v>
      </c>
      <c r="N1267" s="38">
        <f t="shared" si="184"/>
        <v>11.86875</v>
      </c>
      <c r="O1267" s="36">
        <f t="shared" si="182"/>
        <v>316.5</v>
      </c>
      <c r="P1267" s="38">
        <f ca="1">IF(ISERROR(IF(O1267&lt;fi_h/20,0,(OFFSET('Base de dados'!$A$5,IF(O1267&lt;20,1,IF(O1267&gt;1000,10,MATCH(O1267,Cargas,1))),Coluna_fih,1,1))*(1+0.13*0.25)*(PI()*(fi_h/1000)^2/4)*SQRT(2*9.81*(O1267/100-fi_h/2/1000))*1000)),"",IF(O1267&lt;fi_h/20,0,(OFFSET('Base de dados'!$A$5,IF(O1267&lt;20,1,IF(O1267&gt;1000,10,MATCH(O1267,Cargas,1))),Coluna_fih,1,1))*(PI()*(fi_h/1000)^2/4)*SQRT(2*9.81*(O1267/100-fi_h/2/1000))*1000))</f>
        <v>4.7488918617557943</v>
      </c>
      <c r="Q1267" s="38">
        <f ca="1">IF(O1267="","",IF(Tipo_Vertedor="Retangular",IF(O1267&lt;=cota_s*100,0,IF(Tipo_Vertedor="Retangular",Cd_sr*Lef_sr*((O1267/100-cota_s)^(3/2))*1000)),IF(O1267&lt;=cota_s*100+fi_s/20,0,(OFFSET('Base de dados'!$A$4,IF(O1267&lt;20,1,IF(O1267&gt;1000,10,MATCH(O1267,Cargas,1))),Coluna_fis,1,1))*(PI()*(fi_s/1000)^2/4)*(2*9.81*(O1267/100-cota_s-fi_s/2/1000))^0.5*1000)))</f>
        <v>3.7354583020526704</v>
      </c>
      <c r="R1267" s="38">
        <f t="shared" ca="1" si="185"/>
        <v>8.4843501638084646</v>
      </c>
      <c r="S1267" s="38">
        <f t="shared" ca="1" si="186"/>
        <v>395.625</v>
      </c>
    </row>
    <row r="1268" spans="13:19">
      <c r="M1268" s="132">
        <f t="shared" ca="1" si="183"/>
        <v>404.42613277954285</v>
      </c>
      <c r="N1268" s="38">
        <f t="shared" si="184"/>
        <v>11.878125000000001</v>
      </c>
      <c r="O1268" s="36">
        <f t="shared" si="182"/>
        <v>316.75</v>
      </c>
      <c r="P1268" s="38">
        <f ca="1">IF(ISERROR(IF(O1268&lt;fi_h/20,0,(OFFSET('Base de dados'!$A$5,IF(O1268&lt;20,1,IF(O1268&gt;1000,10,MATCH(O1268,Cargas,1))),Coluna_fih,1,1))*(1+0.13*0.25)*(PI()*(fi_h/1000)^2/4)*SQRT(2*9.81*(O1268/100-fi_h/2/1000))*1000)),"",IF(O1268&lt;fi_h/20,0,(OFFSET('Base de dados'!$A$5,IF(O1268&lt;20,1,IF(O1268&gt;1000,10,MATCH(O1268,Cargas,1))),Coluna_fih,1,1))*(PI()*(fi_h/1000)^2/4)*SQRT(2*9.81*(O1268/100-fi_h/2/1000))*1000))</f>
        <v>4.7507775250085107</v>
      </c>
      <c r="Q1268" s="38">
        <f ca="1">IF(O1268="","",IF(Tipo_Vertedor="Retangular",IF(O1268&lt;=cota_s*100,0,IF(Tipo_Vertedor="Retangular",Cd_sr*Lef_sr*((O1268/100-cota_s)^(3/2))*1000)),IF(O1268&lt;=cota_s*100+fi_s/20,0,(OFFSET('Base de dados'!$A$4,IF(O1268&lt;20,1,IF(O1268&gt;1000,10,MATCH(O1268,Cargas,1))),Coluna_fis,1,1))*(PI()*(fi_s/1000)^2/4)*(2*9.81*(O1268/100-cota_s-fi_s/2/1000))^0.5*1000)))</f>
        <v>3.7378552545343156</v>
      </c>
      <c r="R1268" s="38">
        <f t="shared" ca="1" si="185"/>
        <v>8.4886327795428258</v>
      </c>
      <c r="S1268" s="38">
        <f t="shared" ca="1" si="186"/>
        <v>395.9375</v>
      </c>
    </row>
    <row r="1269" spans="13:19">
      <c r="M1269" s="132">
        <f t="shared" ca="1" si="183"/>
        <v>404.7429131110278</v>
      </c>
      <c r="N1269" s="38">
        <f t="shared" si="184"/>
        <v>11.887499999999999</v>
      </c>
      <c r="O1269" s="36">
        <f t="shared" si="182"/>
        <v>317</v>
      </c>
      <c r="P1269" s="38">
        <f ca="1">IF(ISERROR(IF(O1269&lt;fi_h/20,0,(OFFSET('Base de dados'!$A$5,IF(O1269&lt;20,1,IF(O1269&gt;1000,10,MATCH(O1269,Cargas,1))),Coluna_fih,1,1))*(1+0.13*0.25)*(PI()*(fi_h/1000)^2/4)*SQRT(2*9.81*(O1269/100-fi_h/2/1000))*1000)),"",IF(O1269&lt;fi_h/20,0,(OFFSET('Base de dados'!$A$5,IF(O1269&lt;20,1,IF(O1269&gt;1000,10,MATCH(O1269,Cargas,1))),Coluna_fih,1,1))*(PI()*(fi_h/1000)^2/4)*SQRT(2*9.81*(O1269/100-fi_h/2/1000))*1000))</f>
        <v>4.7526624401067625</v>
      </c>
      <c r="Q1269" s="38">
        <f ca="1">IF(O1269="","",IF(Tipo_Vertedor="Retangular",IF(O1269&lt;=cota_s*100,0,IF(Tipo_Vertedor="Retangular",Cd_sr*Lef_sr*((O1269/100-cota_s)^(3/2))*1000)),IF(O1269&lt;=cota_s*100+fi_s/20,0,(OFFSET('Base de dados'!$A$4,IF(O1269&lt;20,1,IF(O1269&gt;1000,10,MATCH(O1269,Cargas,1))),Coluna_fis,1,1))*(PI()*(fi_s/1000)^2/4)*(2*9.81*(O1269/100-cota_s-fi_s/2/1000))^0.5*1000)))</f>
        <v>3.7402506709210508</v>
      </c>
      <c r="R1269" s="38">
        <f t="shared" ca="1" si="185"/>
        <v>8.4929131110278142</v>
      </c>
      <c r="S1269" s="38">
        <f t="shared" ca="1" si="186"/>
        <v>396.25</v>
      </c>
    </row>
    <row r="1270" spans="13:19">
      <c r="M1270" s="132">
        <f t="shared" ca="1" si="183"/>
        <v>405.05969116210269</v>
      </c>
      <c r="N1270" s="38">
        <f t="shared" si="184"/>
        <v>11.896875</v>
      </c>
      <c r="O1270" s="36">
        <f t="shared" si="182"/>
        <v>317.25</v>
      </c>
      <c r="P1270" s="38">
        <f ca="1">IF(ISERROR(IF(O1270&lt;fi_h/20,0,(OFFSET('Base de dados'!$A$5,IF(O1270&lt;20,1,IF(O1270&gt;1000,10,MATCH(O1270,Cargas,1))),Coluna_fih,1,1))*(1+0.13*0.25)*(PI()*(fi_h/1000)^2/4)*SQRT(2*9.81*(O1270/100-fi_h/2/1000))*1000)),"",IF(O1270&lt;fi_h/20,0,(OFFSET('Base de dados'!$A$5,IF(O1270&lt;20,1,IF(O1270&gt;1000,10,MATCH(O1270,Cargas,1))),Coluna_fih,1,1))*(PI()*(fi_h/1000)^2/4)*SQRT(2*9.81*(O1270/100-fi_h/2/1000))*1000))</f>
        <v>4.7545466079403553</v>
      </c>
      <c r="Q1270" s="38">
        <f ca="1">IF(O1270="","",IF(Tipo_Vertedor="Retangular",IF(O1270&lt;=cota_s*100,0,IF(Tipo_Vertedor="Retangular",Cd_sr*Lef_sr*((O1270/100-cota_s)^(3/2))*1000)),IF(O1270&lt;=cota_s*100+fi_s/20,0,(OFFSET('Base de dados'!$A$4,IF(O1270&lt;20,1,IF(O1270&gt;1000,10,MATCH(O1270,Cargas,1))),Coluna_fis,1,1))*(PI()*(fi_s/1000)^2/4)*(2*9.81*(O1270/100-cota_s-fi_s/2/1000))^0.5*1000)))</f>
        <v>3.7426445541623297</v>
      </c>
      <c r="R1270" s="38">
        <f t="shared" ca="1" si="185"/>
        <v>8.4971911621026841</v>
      </c>
      <c r="S1270" s="38">
        <f t="shared" ca="1" si="186"/>
        <v>396.5625</v>
      </c>
    </row>
    <row r="1271" spans="13:19">
      <c r="M1271" s="132">
        <f t="shared" ca="1" si="183"/>
        <v>405.37646693659553</v>
      </c>
      <c r="N1271" s="38">
        <f t="shared" si="184"/>
        <v>11.90625</v>
      </c>
      <c r="O1271" s="36">
        <f t="shared" si="182"/>
        <v>317.5</v>
      </c>
      <c r="P1271" s="38">
        <f ca="1">IF(ISERROR(IF(O1271&lt;fi_h/20,0,(OFFSET('Base de dados'!$A$5,IF(O1271&lt;20,1,IF(O1271&gt;1000,10,MATCH(O1271,Cargas,1))),Coluna_fih,1,1))*(1+0.13*0.25)*(PI()*(fi_h/1000)^2/4)*SQRT(2*9.81*(O1271/100-fi_h/2/1000))*1000)),"",IF(O1271&lt;fi_h/20,0,(OFFSET('Base de dados'!$A$5,IF(O1271&lt;20,1,IF(O1271&gt;1000,10,MATCH(O1271,Cargas,1))),Coluna_fih,1,1))*(PI()*(fi_h/1000)^2/4)*SQRT(2*9.81*(O1271/100-fi_h/2/1000))*1000))</f>
        <v>4.7564300293973334</v>
      </c>
      <c r="Q1271" s="38">
        <f ca="1">IF(O1271="","",IF(Tipo_Vertedor="Retangular",IF(O1271&lt;=cota_s*100,0,IF(Tipo_Vertedor="Retangular",Cd_sr*Lef_sr*((O1271/100-cota_s)^(3/2))*1000)),IF(O1271&lt;=cota_s*100+fi_s/20,0,(OFFSET('Base de dados'!$A$4,IF(O1271&lt;20,1,IF(O1271&gt;1000,10,MATCH(O1271,Cargas,1))),Coluna_fis,1,1))*(PI()*(fi_s/1000)^2/4)*(2*9.81*(O1271/100-cota_s-fi_s/2/1000))^0.5*1000)))</f>
        <v>3.7450369071981808</v>
      </c>
      <c r="R1271" s="38">
        <f t="shared" ca="1" si="185"/>
        <v>8.5014669365955147</v>
      </c>
      <c r="S1271" s="38">
        <f t="shared" ca="1" si="186"/>
        <v>396.875</v>
      </c>
    </row>
    <row r="1272" spans="13:19">
      <c r="M1272" s="132">
        <f t="shared" ca="1" si="183"/>
        <v>405.69324043832324</v>
      </c>
      <c r="N1272" s="38">
        <f t="shared" si="184"/>
        <v>11.915625</v>
      </c>
      <c r="O1272" s="36">
        <f t="shared" si="182"/>
        <v>317.75</v>
      </c>
      <c r="P1272" s="38">
        <f ca="1">IF(ISERROR(IF(O1272&lt;fi_h/20,0,(OFFSET('Base de dados'!$A$5,IF(O1272&lt;20,1,IF(O1272&gt;1000,10,MATCH(O1272,Cargas,1))),Coluna_fih,1,1))*(1+0.13*0.25)*(PI()*(fi_h/1000)^2/4)*SQRT(2*9.81*(O1272/100-fi_h/2/1000))*1000)),"",IF(O1272&lt;fi_h/20,0,(OFFSET('Base de dados'!$A$5,IF(O1272&lt;20,1,IF(O1272&gt;1000,10,MATCH(O1272,Cargas,1))),Coluna_fih,1,1))*(PI()*(fi_h/1000)^2/4)*SQRT(2*9.81*(O1272/100-fi_h/2/1000))*1000))</f>
        <v>4.7583127053639815</v>
      </c>
      <c r="Q1272" s="38">
        <f ca="1">IF(O1272="","",IF(Tipo_Vertedor="Retangular",IF(O1272&lt;=cota_s*100,0,IF(Tipo_Vertedor="Retangular",Cd_sr*Lef_sr*((O1272/100-cota_s)^(3/2))*1000)),IF(O1272&lt;=cota_s*100+fi_s/20,0,(OFFSET('Base de dados'!$A$4,IF(O1272&lt;20,1,IF(O1272&gt;1000,10,MATCH(O1272,Cargas,1))),Coluna_fis,1,1))*(PI()*(fi_s/1000)^2/4)*(2*9.81*(O1272/100-cota_s-fi_s/2/1000))^0.5*1000)))</f>
        <v>3.7474277329592489</v>
      </c>
      <c r="R1272" s="38">
        <f t="shared" ca="1" si="185"/>
        <v>8.5057404383232296</v>
      </c>
      <c r="S1272" s="38">
        <f t="shared" ca="1" si="186"/>
        <v>397.1875</v>
      </c>
    </row>
    <row r="1273" spans="13:19">
      <c r="M1273" s="132">
        <f t="shared" ca="1" si="183"/>
        <v>406.01001167109166</v>
      </c>
      <c r="N1273" s="38">
        <f t="shared" si="184"/>
        <v>11.925000000000001</v>
      </c>
      <c r="O1273" s="36">
        <f t="shared" si="182"/>
        <v>318</v>
      </c>
      <c r="P1273" s="38">
        <f ca="1">IF(ISERROR(IF(O1273&lt;fi_h/20,0,(OFFSET('Base de dados'!$A$5,IF(O1273&lt;20,1,IF(O1273&gt;1000,10,MATCH(O1273,Cargas,1))),Coluna_fih,1,1))*(1+0.13*0.25)*(PI()*(fi_h/1000)^2/4)*SQRT(2*9.81*(O1273/100-fi_h/2/1000))*1000)),"",IF(O1273&lt;fi_h/20,0,(OFFSET('Base de dados'!$A$5,IF(O1273&lt;20,1,IF(O1273&gt;1000,10,MATCH(O1273,Cargas,1))),Coluna_fih,1,1))*(PI()*(fi_h/1000)^2/4)*SQRT(2*9.81*(O1273/100-fi_h/2/1000))*1000))</f>
        <v>4.7601946367248331</v>
      </c>
      <c r="Q1273" s="38">
        <f ca="1">IF(O1273="","",IF(Tipo_Vertedor="Retangular",IF(O1273&lt;=cota_s*100,0,IF(Tipo_Vertedor="Retangular",Cd_sr*Lef_sr*((O1273/100-cota_s)^(3/2))*1000)),IF(O1273&lt;=cota_s*100+fi_s/20,0,(OFFSET('Base de dados'!$A$4,IF(O1273&lt;20,1,IF(O1273&gt;1000,10,MATCH(O1273,Cargas,1))),Coluna_fis,1,1))*(PI()*(fi_s/1000)^2/4)*(2*9.81*(O1273/100-cota_s-fi_s/2/1000))^0.5*1000)))</f>
        <v>3.7498170343668336</v>
      </c>
      <c r="R1273" s="38">
        <f t="shared" ca="1" si="185"/>
        <v>8.5100116710916662</v>
      </c>
      <c r="S1273" s="38">
        <f t="shared" ca="1" si="186"/>
        <v>397.5</v>
      </c>
    </row>
    <row r="1274" spans="13:19">
      <c r="M1274" s="132">
        <f t="shared" ca="1" si="183"/>
        <v>406.32678063869565</v>
      </c>
      <c r="N1274" s="38">
        <f t="shared" si="184"/>
        <v>11.934375000000001</v>
      </c>
      <c r="O1274" s="36">
        <f t="shared" si="182"/>
        <v>318.25</v>
      </c>
      <c r="P1274" s="38">
        <f ca="1">IF(ISERROR(IF(O1274&lt;fi_h/20,0,(OFFSET('Base de dados'!$A$5,IF(O1274&lt;20,1,IF(O1274&gt;1000,10,MATCH(O1274,Cargas,1))),Coluna_fih,1,1))*(1+0.13*0.25)*(PI()*(fi_h/1000)^2/4)*SQRT(2*9.81*(O1274/100-fi_h/2/1000))*1000)),"",IF(O1274&lt;fi_h/20,0,(OFFSET('Base de dados'!$A$5,IF(O1274&lt;20,1,IF(O1274&gt;1000,10,MATCH(O1274,Cargas,1))),Coluna_fih,1,1))*(PI()*(fi_h/1000)^2/4)*SQRT(2*9.81*(O1274/100-fi_h/2/1000))*1000))</f>
        <v>4.7620758243626744</v>
      </c>
      <c r="Q1274" s="38">
        <f ca="1">IF(O1274="","",IF(Tipo_Vertedor="Retangular",IF(O1274&lt;=cota_s*100,0,IF(Tipo_Vertedor="Retangular",Cd_sr*Lef_sr*((O1274/100-cota_s)^(3/2))*1000)),IF(O1274&lt;=cota_s*100+fi_s/20,0,(OFFSET('Base de dados'!$A$4,IF(O1274&lt;20,1,IF(O1274&gt;1000,10,MATCH(O1274,Cargas,1))),Coluna_fis,1,1))*(PI()*(fi_s/1000)^2/4)*(2*9.81*(O1274/100-cota_s-fi_s/2/1000))^0.5*1000)))</f>
        <v>3.7522048143329338</v>
      </c>
      <c r="R1274" s="38">
        <f t="shared" ca="1" si="185"/>
        <v>8.5142806386956078</v>
      </c>
      <c r="S1274" s="38">
        <f t="shared" ca="1" si="186"/>
        <v>397.81250000000006</v>
      </c>
    </row>
    <row r="1275" spans="13:19">
      <c r="M1275" s="132">
        <f t="shared" ca="1" si="183"/>
        <v>406.64354734491883</v>
      </c>
      <c r="N1275" s="38">
        <f t="shared" si="184"/>
        <v>11.94375</v>
      </c>
      <c r="O1275" s="36">
        <f t="shared" si="182"/>
        <v>318.5</v>
      </c>
      <c r="P1275" s="38">
        <f ca="1">IF(ISERROR(IF(O1275&lt;fi_h/20,0,(OFFSET('Base de dados'!$A$5,IF(O1275&lt;20,1,IF(O1275&gt;1000,10,MATCH(O1275,Cargas,1))),Coluna_fih,1,1))*(1+0.13*0.25)*(PI()*(fi_h/1000)^2/4)*SQRT(2*9.81*(O1275/100-fi_h/2/1000))*1000)),"",IF(O1275&lt;fi_h/20,0,(OFFSET('Base de dados'!$A$5,IF(O1275&lt;20,1,IF(O1275&gt;1000,10,MATCH(O1275,Cargas,1))),Coluna_fih,1,1))*(PI()*(fi_h/1000)^2/4)*SQRT(2*9.81*(O1275/100-fi_h/2/1000))*1000))</f>
        <v>4.7639562691585464</v>
      </c>
      <c r="Q1275" s="38">
        <f ca="1">IF(O1275="","",IF(Tipo_Vertedor="Retangular",IF(O1275&lt;=cota_s*100,0,IF(Tipo_Vertedor="Retangular",Cd_sr*Lef_sr*((O1275/100-cota_s)^(3/2))*1000)),IF(O1275&lt;=cota_s*100+fi_s/20,0,(OFFSET('Base de dados'!$A$4,IF(O1275&lt;20,1,IF(O1275&gt;1000,10,MATCH(O1275,Cargas,1))),Coluna_fis,1,1))*(PI()*(fi_s/1000)^2/4)*(2*9.81*(O1275/100-cota_s-fi_s/2/1000))^0.5*1000)))</f>
        <v>3.7545910757602909</v>
      </c>
      <c r="R1275" s="38">
        <f t="shared" ca="1" si="185"/>
        <v>8.5185473449188365</v>
      </c>
      <c r="S1275" s="38">
        <f t="shared" ca="1" si="186"/>
        <v>398.125</v>
      </c>
    </row>
    <row r="1276" spans="13:19">
      <c r="M1276" s="132">
        <f t="shared" ca="1" si="183"/>
        <v>406.96031179353417</v>
      </c>
      <c r="N1276" s="38">
        <f t="shared" si="184"/>
        <v>11.953125</v>
      </c>
      <c r="O1276" s="36">
        <f t="shared" si="182"/>
        <v>318.75</v>
      </c>
      <c r="P1276" s="38">
        <f ca="1">IF(ISERROR(IF(O1276&lt;fi_h/20,0,(OFFSET('Base de dados'!$A$5,IF(O1276&lt;20,1,IF(O1276&gt;1000,10,MATCH(O1276,Cargas,1))),Coluna_fih,1,1))*(1+0.13*0.25)*(PI()*(fi_h/1000)^2/4)*SQRT(2*9.81*(O1276/100-fi_h/2/1000))*1000)),"",IF(O1276&lt;fi_h/20,0,(OFFSET('Base de dados'!$A$5,IF(O1276&lt;20,1,IF(O1276&gt;1000,10,MATCH(O1276,Cargas,1))),Coluna_fih,1,1))*(PI()*(fi_h/1000)^2/4)*SQRT(2*9.81*(O1276/100-fi_h/2/1000))*1000))</f>
        <v>4.7658359719917547</v>
      </c>
      <c r="Q1276" s="38">
        <f ca="1">IF(O1276="","",IF(Tipo_Vertedor="Retangular",IF(O1276&lt;=cota_s*100,0,IF(Tipo_Vertedor="Retangular",Cd_sr*Lef_sr*((O1276/100-cota_s)^(3/2))*1000)),IF(O1276&lt;=cota_s*100+fi_s/20,0,(OFFSET('Base de dados'!$A$4,IF(O1276&lt;20,1,IF(O1276&gt;1000,10,MATCH(O1276,Cargas,1))),Coluna_fis,1,1))*(PI()*(fi_s/1000)^2/4)*(2*9.81*(O1276/100-cota_s-fi_s/2/1000))^0.5*1000)))</f>
        <v>3.7569758215424276</v>
      </c>
      <c r="R1276" s="38">
        <f t="shared" ca="1" si="185"/>
        <v>8.5228117935341814</v>
      </c>
      <c r="S1276" s="38">
        <f t="shared" ca="1" si="186"/>
        <v>398.4375</v>
      </c>
    </row>
    <row r="1277" spans="13:19">
      <c r="M1277" s="132">
        <f t="shared" ca="1" si="183"/>
        <v>407.27707398830353</v>
      </c>
      <c r="N1277" s="38">
        <f t="shared" si="184"/>
        <v>11.9625</v>
      </c>
      <c r="O1277" s="36">
        <f t="shared" si="182"/>
        <v>319</v>
      </c>
      <c r="P1277" s="38">
        <f ca="1">IF(ISERROR(IF(O1277&lt;fi_h/20,0,(OFFSET('Base de dados'!$A$5,IF(O1277&lt;20,1,IF(O1277&gt;1000,10,MATCH(O1277,Cargas,1))),Coluna_fih,1,1))*(1+0.13*0.25)*(PI()*(fi_h/1000)^2/4)*SQRT(2*9.81*(O1277/100-fi_h/2/1000))*1000)),"",IF(O1277&lt;fi_h/20,0,(OFFSET('Base de dados'!$A$5,IF(O1277&lt;20,1,IF(O1277&gt;1000,10,MATCH(O1277,Cargas,1))),Coluna_fih,1,1))*(PI()*(fi_h/1000)^2/4)*SQRT(2*9.81*(O1277/100-fi_h/2/1000))*1000))</f>
        <v>4.7677149337398692</v>
      </c>
      <c r="Q1277" s="38">
        <f ca="1">IF(O1277="","",IF(Tipo_Vertedor="Retangular",IF(O1277&lt;=cota_s*100,0,IF(Tipo_Vertedor="Retangular",Cd_sr*Lef_sr*((O1277/100-cota_s)^(3/2))*1000)),IF(O1277&lt;=cota_s*100+fi_s/20,0,(OFFSET('Base de dados'!$A$4,IF(O1277&lt;20,1,IF(O1277&gt;1000,10,MATCH(O1277,Cargas,1))),Coluna_fis,1,1))*(PI()*(fi_s/1000)^2/4)*(2*9.81*(O1277/100-cota_s-fi_s/2/1000))^0.5*1000)))</f>
        <v>3.7593590545636859</v>
      </c>
      <c r="R1277" s="38">
        <f t="shared" ca="1" si="185"/>
        <v>8.527073988303556</v>
      </c>
      <c r="S1277" s="38">
        <f t="shared" ca="1" si="186"/>
        <v>398.75</v>
      </c>
    </row>
    <row r="1278" spans="13:19">
      <c r="M1278" s="132">
        <f t="shared" ca="1" si="183"/>
        <v>407.59383393297793</v>
      </c>
      <c r="N1278" s="38">
        <f t="shared" si="184"/>
        <v>11.971874999999999</v>
      </c>
      <c r="O1278" s="36">
        <f t="shared" si="182"/>
        <v>319.25</v>
      </c>
      <c r="P1278" s="38">
        <f ca="1">IF(ISERROR(IF(O1278&lt;fi_h/20,0,(OFFSET('Base de dados'!$A$5,IF(O1278&lt;20,1,IF(O1278&gt;1000,10,MATCH(O1278,Cargas,1))),Coluna_fih,1,1))*(1+0.13*0.25)*(PI()*(fi_h/1000)^2/4)*SQRT(2*9.81*(O1278/100-fi_h/2/1000))*1000)),"",IF(O1278&lt;fi_h/20,0,(OFFSET('Base de dados'!$A$5,IF(O1278&lt;20,1,IF(O1278&gt;1000,10,MATCH(O1278,Cargas,1))),Coluna_fih,1,1))*(PI()*(fi_h/1000)^2/4)*SQRT(2*9.81*(O1278/100-fi_h/2/1000))*1000))</f>
        <v>4.7695931552787334</v>
      </c>
      <c r="Q1278" s="38">
        <f ca="1">IF(O1278="","",IF(Tipo_Vertedor="Retangular",IF(O1278&lt;=cota_s*100,0,IF(Tipo_Vertedor="Retangular",Cd_sr*Lef_sr*((O1278/100-cota_s)^(3/2))*1000)),IF(O1278&lt;=cota_s*100+fi_s/20,0,(OFFSET('Base de dados'!$A$4,IF(O1278&lt;20,1,IF(O1278&gt;1000,10,MATCH(O1278,Cargas,1))),Coluna_fis,1,1))*(PI()*(fi_s/1000)^2/4)*(2*9.81*(O1278/100-cota_s-fi_s/2/1000))^0.5*1000)))</f>
        <v>3.7617407776992753</v>
      </c>
      <c r="R1278" s="38">
        <f t="shared" ca="1" si="185"/>
        <v>8.5313339329780078</v>
      </c>
      <c r="S1278" s="38">
        <f t="shared" ca="1" si="186"/>
        <v>399.06249999999994</v>
      </c>
    </row>
    <row r="1279" spans="13:19">
      <c r="M1279" s="132">
        <f t="shared" ca="1" si="183"/>
        <v>407.91059163129779</v>
      </c>
      <c r="N1279" s="38">
        <f t="shared" si="184"/>
        <v>11.981249999999999</v>
      </c>
      <c r="O1279" s="36">
        <f t="shared" si="182"/>
        <v>319.5</v>
      </c>
      <c r="P1279" s="38">
        <f ca="1">IF(ISERROR(IF(O1279&lt;fi_h/20,0,(OFFSET('Base de dados'!$A$5,IF(O1279&lt;20,1,IF(O1279&gt;1000,10,MATCH(O1279,Cargas,1))),Coluna_fih,1,1))*(1+0.13*0.25)*(PI()*(fi_h/1000)^2/4)*SQRT(2*9.81*(O1279/100-fi_h/2/1000))*1000)),"",IF(O1279&lt;fi_h/20,0,(OFFSET('Base de dados'!$A$5,IF(O1279&lt;20,1,IF(O1279&gt;1000,10,MATCH(O1279,Cargas,1))),Coluna_fih,1,1))*(PI()*(fi_h/1000)^2/4)*SQRT(2*9.81*(O1279/100-fi_h/2/1000))*1000))</f>
        <v>4.771470637482464</v>
      </c>
      <c r="Q1279" s="38">
        <f ca="1">IF(O1279="","",IF(Tipo_Vertedor="Retangular",IF(O1279&lt;=cota_s*100,0,IF(Tipo_Vertedor="Retangular",Cd_sr*Lef_sr*((O1279/100-cota_s)^(3/2))*1000)),IF(O1279&lt;=cota_s*100+fi_s/20,0,(OFFSET('Base de dados'!$A$4,IF(O1279&lt;20,1,IF(O1279&gt;1000,10,MATCH(O1279,Cargas,1))),Coluna_fis,1,1))*(PI()*(fi_s/1000)^2/4)*(2*9.81*(O1279/100-cota_s-fi_s/2/1000))^0.5*1000)))</f>
        <v>3.7641209938153053</v>
      </c>
      <c r="R1279" s="38">
        <f t="shared" ca="1" si="185"/>
        <v>8.5355916312977698</v>
      </c>
      <c r="S1279" s="38">
        <f t="shared" ca="1" si="186"/>
        <v>399.375</v>
      </c>
    </row>
    <row r="1280" spans="13:19">
      <c r="M1280" s="132">
        <f t="shared" ca="1" si="183"/>
        <v>408.22734708699227</v>
      </c>
      <c r="N1280" s="38">
        <f t="shared" si="184"/>
        <v>11.990625</v>
      </c>
      <c r="O1280" s="36">
        <f t="shared" si="182"/>
        <v>319.75</v>
      </c>
      <c r="P1280" s="38">
        <f ca="1">IF(ISERROR(IF(O1280&lt;fi_h/20,0,(OFFSET('Base de dados'!$A$5,IF(O1280&lt;20,1,IF(O1280&gt;1000,10,MATCH(O1280,Cargas,1))),Coluna_fih,1,1))*(1+0.13*0.25)*(PI()*(fi_h/1000)^2/4)*SQRT(2*9.81*(O1280/100-fi_h/2/1000))*1000)),"",IF(O1280&lt;fi_h/20,0,(OFFSET('Base de dados'!$A$5,IF(O1280&lt;20,1,IF(O1280&gt;1000,10,MATCH(O1280,Cargas,1))),Coluna_fih,1,1))*(PI()*(fi_h/1000)^2/4)*SQRT(2*9.81*(O1280/100-fi_h/2/1000))*1000))</f>
        <v>4.7733473812234628</v>
      </c>
      <c r="Q1280" s="38">
        <f ca="1">IF(O1280="","",IF(Tipo_Vertedor="Retangular",IF(O1280&lt;=cota_s*100,0,IF(Tipo_Vertedor="Retangular",Cd_sr*Lef_sr*((O1280/100-cota_s)^(3/2))*1000)),IF(O1280&lt;=cota_s*100+fi_s/20,0,(OFFSET('Base de dados'!$A$4,IF(O1280&lt;20,1,IF(O1280&gt;1000,10,MATCH(O1280,Cargas,1))),Coluna_fis,1,1))*(PI()*(fi_s/1000)^2/4)*(2*9.81*(O1280/100-cota_s-fi_s/2/1000))^0.5*1000)))</f>
        <v>3.7664997057688323</v>
      </c>
      <c r="R1280" s="38">
        <f t="shared" ca="1" si="185"/>
        <v>8.539847086992296</v>
      </c>
      <c r="S1280" s="38">
        <f t="shared" ca="1" si="186"/>
        <v>399.6875</v>
      </c>
    </row>
    <row r="1281" spans="13:19">
      <c r="M1281" s="132">
        <f t="shared" ca="1" si="183"/>
        <v>408.54410030378028</v>
      </c>
      <c r="N1281" s="38">
        <f t="shared" si="184"/>
        <v>12</v>
      </c>
      <c r="O1281" s="36">
        <f t="shared" si="182"/>
        <v>320</v>
      </c>
      <c r="P1281" s="38">
        <f ca="1">IF(ISERROR(IF(O1281&lt;fi_h/20,0,(OFFSET('Base de dados'!$A$5,IF(O1281&lt;20,1,IF(O1281&gt;1000,10,MATCH(O1281,Cargas,1))),Coluna_fih,1,1))*(1+0.13*0.25)*(PI()*(fi_h/1000)^2/4)*SQRT(2*9.81*(O1281/100-fi_h/2/1000))*1000)),"",IF(O1281&lt;fi_h/20,0,(OFFSET('Base de dados'!$A$5,IF(O1281&lt;20,1,IF(O1281&gt;1000,10,MATCH(O1281,Cargas,1))),Coluna_fih,1,1))*(PI()*(fi_h/1000)^2/4)*SQRT(2*9.81*(O1281/100-fi_h/2/1000))*1000))</f>
        <v>4.7752233873724137</v>
      </c>
      <c r="Q1281" s="38">
        <f ca="1">IF(O1281="","",IF(Tipo_Vertedor="Retangular",IF(O1281&lt;=cota_s*100,0,IF(Tipo_Vertedor="Retangular",Cd_sr*Lef_sr*((O1281/100-cota_s)^(3/2))*1000)),IF(O1281&lt;=cota_s*100+fi_s/20,0,(OFFSET('Base de dados'!$A$4,IF(O1281&lt;20,1,IF(O1281&gt;1000,10,MATCH(O1281,Cargas,1))),Coluna_fis,1,1))*(PI()*(fi_s/1000)^2/4)*(2*9.81*(O1281/100-cota_s-fi_s/2/1000))^0.5*1000)))</f>
        <v>3.7688769164078941</v>
      </c>
      <c r="R1281" s="38">
        <f t="shared" ca="1" si="185"/>
        <v>8.5441003037803078</v>
      </c>
      <c r="S1281" s="38">
        <f t="shared" ca="1" si="186"/>
        <v>400</v>
      </c>
    </row>
    <row r="1282" spans="13:19">
      <c r="M1282" s="132">
        <f t="shared" ca="1" si="183"/>
        <v>408.86085128536985</v>
      </c>
      <c r="N1282" s="38">
        <f t="shared" si="184"/>
        <v>12.009375</v>
      </c>
      <c r="O1282" s="36">
        <f t="shared" si="182"/>
        <v>320.25</v>
      </c>
      <c r="P1282" s="38">
        <f ca="1">IF(ISERROR(IF(O1282&lt;fi_h/20,0,(OFFSET('Base de dados'!$A$5,IF(O1282&lt;20,1,IF(O1282&gt;1000,10,MATCH(O1282,Cargas,1))),Coluna_fih,1,1))*(1+0.13*0.25)*(PI()*(fi_h/1000)^2/4)*SQRT(2*9.81*(O1282/100-fi_h/2/1000))*1000)),"",IF(O1282&lt;fi_h/20,0,(OFFSET('Base de dados'!$A$5,IF(O1282&lt;20,1,IF(O1282&gt;1000,10,MATCH(O1282,Cargas,1))),Coluna_fih,1,1))*(PI()*(fi_h/1000)^2/4)*SQRT(2*9.81*(O1282/100-fi_h/2/1000))*1000))</f>
        <v>4.7770986567982927</v>
      </c>
      <c r="Q1282" s="38">
        <f ca="1">IF(O1282="","",IF(Tipo_Vertedor="Retangular",IF(O1282&lt;=cota_s*100,0,IF(Tipo_Vertedor="Retangular",Cd_sr*Lef_sr*((O1282/100-cota_s)^(3/2))*1000)),IF(O1282&lt;=cota_s*100+fi_s/20,0,(OFFSET('Base de dados'!$A$4,IF(O1282&lt;20,1,IF(O1282&gt;1000,10,MATCH(O1282,Cargas,1))),Coluna_fis,1,1))*(PI()*(fi_s/1000)^2/4)*(2*9.81*(O1282/100-cota_s-fi_s/2/1000))^0.5*1000)))</f>
        <v>3.771252628571554</v>
      </c>
      <c r="R1282" s="38">
        <f t="shared" ca="1" si="185"/>
        <v>8.5483512853698471</v>
      </c>
      <c r="S1282" s="38">
        <f t="shared" ca="1" si="186"/>
        <v>400.3125</v>
      </c>
    </row>
    <row r="1283" spans="13:19">
      <c r="M1283" s="132">
        <f t="shared" ca="1" si="183"/>
        <v>409.17760003545828</v>
      </c>
      <c r="N1283" s="38">
        <f t="shared" si="184"/>
        <v>12.018750000000001</v>
      </c>
      <c r="O1283" s="36">
        <f t="shared" si="182"/>
        <v>320.5</v>
      </c>
      <c r="P1283" s="38">
        <f ca="1">IF(ISERROR(IF(O1283&lt;fi_h/20,0,(OFFSET('Base de dados'!$A$5,IF(O1283&lt;20,1,IF(O1283&gt;1000,10,MATCH(O1283,Cargas,1))),Coluna_fih,1,1))*(1+0.13*0.25)*(PI()*(fi_h/1000)^2/4)*SQRT(2*9.81*(O1283/100-fi_h/2/1000))*1000)),"",IF(O1283&lt;fi_h/20,0,(OFFSET('Base de dados'!$A$5,IF(O1283&lt;20,1,IF(O1283&gt;1000,10,MATCH(O1283,Cargas,1))),Coluna_fih,1,1))*(PI()*(fi_h/1000)^2/4)*SQRT(2*9.81*(O1283/100-fi_h/2/1000))*1000))</f>
        <v>4.7789731903683688</v>
      </c>
      <c r="Q1283" s="38">
        <f ca="1">IF(O1283="","",IF(Tipo_Vertedor="Retangular",IF(O1283&lt;=cota_s*100,0,IF(Tipo_Vertedor="Retangular",Cd_sr*Lef_sr*((O1283/100-cota_s)^(3/2))*1000)),IF(O1283&lt;=cota_s*100+fi_s/20,0,(OFFSET('Base de dados'!$A$4,IF(O1283&lt;20,1,IF(O1283&gt;1000,10,MATCH(O1283,Cargas,1))),Coluna_fis,1,1))*(PI()*(fi_s/1000)^2/4)*(2*9.81*(O1283/100-cota_s-fi_s/2/1000))^0.5*1000)))</f>
        <v>3.773626845089936</v>
      </c>
      <c r="R1283" s="38">
        <f t="shared" ca="1" si="185"/>
        <v>8.5526000354583047</v>
      </c>
      <c r="S1283" s="38">
        <f t="shared" ca="1" si="186"/>
        <v>400.625</v>
      </c>
    </row>
    <row r="1284" spans="13:19">
      <c r="M1284" s="132">
        <f t="shared" ca="1" si="183"/>
        <v>409.49434655773246</v>
      </c>
      <c r="N1284" s="38">
        <f t="shared" si="184"/>
        <v>12.028124999999999</v>
      </c>
      <c r="O1284" s="36">
        <f t="shared" si="182"/>
        <v>320.75</v>
      </c>
      <c r="P1284" s="38">
        <f ca="1">IF(ISERROR(IF(O1284&lt;fi_h/20,0,(OFFSET('Base de dados'!$A$5,IF(O1284&lt;20,1,IF(O1284&gt;1000,10,MATCH(O1284,Cargas,1))),Coluna_fih,1,1))*(1+0.13*0.25)*(PI()*(fi_h/1000)^2/4)*SQRT(2*9.81*(O1284/100-fi_h/2/1000))*1000)),"",IF(O1284&lt;fi_h/20,0,(OFFSET('Base de dados'!$A$5,IF(O1284&lt;20,1,IF(O1284&gt;1000,10,MATCH(O1284,Cargas,1))),Coluna_fih,1,1))*(PI()*(fi_h/1000)^2/4)*SQRT(2*9.81*(O1284/100-fi_h/2/1000))*1000))</f>
        <v>4.7808469889482135</v>
      </c>
      <c r="Q1284" s="38">
        <f ca="1">IF(O1284="","",IF(Tipo_Vertedor="Retangular",IF(O1284&lt;=cota_s*100,0,IF(Tipo_Vertedor="Retangular",Cd_sr*Lef_sr*((O1284/100-cota_s)^(3/2))*1000)),IF(O1284&lt;=cota_s*100+fi_s/20,0,(OFFSET('Base de dados'!$A$4,IF(O1284&lt;20,1,IF(O1284&gt;1000,10,MATCH(O1284,Cargas,1))),Coluna_fis,1,1))*(PI()*(fi_s/1000)^2/4)*(2*9.81*(O1284/100-cota_s-fi_s/2/1000))^0.5*1000)))</f>
        <v>3.7759995687842713</v>
      </c>
      <c r="R1284" s="38">
        <f t="shared" ca="1" si="185"/>
        <v>8.5568465577324844</v>
      </c>
      <c r="S1284" s="38">
        <f t="shared" ca="1" si="186"/>
        <v>400.9375</v>
      </c>
    </row>
    <row r="1285" spans="13:19">
      <c r="M1285" s="132">
        <f t="shared" ca="1" si="183"/>
        <v>409.81109085586866</v>
      </c>
      <c r="N1285" s="38">
        <f t="shared" si="184"/>
        <v>12.0375</v>
      </c>
      <c r="O1285" s="36">
        <f t="shared" si="182"/>
        <v>321</v>
      </c>
      <c r="P1285" s="38">
        <f ca="1">IF(ISERROR(IF(O1285&lt;fi_h/20,0,(OFFSET('Base de dados'!$A$5,IF(O1285&lt;20,1,IF(O1285&gt;1000,10,MATCH(O1285,Cargas,1))),Coluna_fih,1,1))*(1+0.13*0.25)*(PI()*(fi_h/1000)^2/4)*SQRT(2*9.81*(O1285/100-fi_h/2/1000))*1000)),"",IF(O1285&lt;fi_h/20,0,(OFFSET('Base de dados'!$A$5,IF(O1285&lt;20,1,IF(O1285&gt;1000,10,MATCH(O1285,Cargas,1))),Coluna_fih,1,1))*(PI()*(fi_h/1000)^2/4)*SQRT(2*9.81*(O1285/100-fi_h/2/1000))*1000))</f>
        <v>4.7827200534017011</v>
      </c>
      <c r="Q1285" s="38">
        <f ca="1">IF(O1285="","",IF(Tipo_Vertedor="Retangular",IF(O1285&lt;=cota_s*100,0,IF(Tipo_Vertedor="Retangular",Cd_sr*Lef_sr*((O1285/100-cota_s)^(3/2))*1000)),IF(O1285&lt;=cota_s*100+fi_s/20,0,(OFFSET('Base de dados'!$A$4,IF(O1285&lt;20,1,IF(O1285&gt;1000,10,MATCH(O1285,Cargas,1))),Coluna_fis,1,1))*(PI()*(fi_s/1000)^2/4)*(2*9.81*(O1285/100-cota_s-fi_s/2/1000))^0.5*1000)))</f>
        <v>3.7783708024669278</v>
      </c>
      <c r="R1285" s="38">
        <f t="shared" ca="1" si="185"/>
        <v>8.5610908558686294</v>
      </c>
      <c r="S1285" s="38">
        <f t="shared" ca="1" si="186"/>
        <v>401.25</v>
      </c>
    </row>
    <row r="1286" spans="13:19">
      <c r="M1286" s="132">
        <f t="shared" ca="1" si="183"/>
        <v>410.12783293353249</v>
      </c>
      <c r="N1286" s="38">
        <f t="shared" si="184"/>
        <v>12.046875</v>
      </c>
      <c r="O1286" s="36">
        <f t="shared" si="182"/>
        <v>321.25</v>
      </c>
      <c r="P1286" s="38">
        <f ca="1">IF(ISERROR(IF(O1286&lt;fi_h/20,0,(OFFSET('Base de dados'!$A$5,IF(O1286&lt;20,1,IF(O1286&gt;1000,10,MATCH(O1286,Cargas,1))),Coluna_fih,1,1))*(1+0.13*0.25)*(PI()*(fi_h/1000)^2/4)*SQRT(2*9.81*(O1286/100-fi_h/2/1000))*1000)),"",IF(O1286&lt;fi_h/20,0,(OFFSET('Base de dados'!$A$5,IF(O1286&lt;20,1,IF(O1286&gt;1000,10,MATCH(O1286,Cargas,1))),Coluna_fih,1,1))*(PI()*(fi_h/1000)^2/4)*SQRT(2*9.81*(O1286/100-fi_h/2/1000))*1000))</f>
        <v>4.7845923845910159</v>
      </c>
      <c r="Q1286" s="38">
        <f ca="1">IF(O1286="","",IF(Tipo_Vertedor="Retangular",IF(O1286&lt;=cota_s*100,0,IF(Tipo_Vertedor="Retangular",Cd_sr*Lef_sr*((O1286/100-cota_s)^(3/2))*1000)),IF(O1286&lt;=cota_s*100+fi_s/20,0,(OFFSET('Base de dados'!$A$4,IF(O1286&lt;20,1,IF(O1286&gt;1000,10,MATCH(O1286,Cargas,1))),Coluna_fis,1,1))*(PI()*(fi_s/1000)^2/4)*(2*9.81*(O1286/100-cota_s-fi_s/2/1000))^0.5*1000)))</f>
        <v>3.7807405489414574</v>
      </c>
      <c r="R1286" s="38">
        <f t="shared" ca="1" si="185"/>
        <v>8.5653329335324742</v>
      </c>
      <c r="S1286" s="38">
        <f t="shared" ca="1" si="186"/>
        <v>401.5625</v>
      </c>
    </row>
    <row r="1287" spans="13:19">
      <c r="M1287" s="132">
        <f t="shared" ca="1" si="183"/>
        <v>410.44457279437921</v>
      </c>
      <c r="N1287" s="38">
        <f t="shared" si="184"/>
        <v>12.056249999999999</v>
      </c>
      <c r="O1287" s="36">
        <f t="shared" si="182"/>
        <v>321.5</v>
      </c>
      <c r="P1287" s="38">
        <f ca="1">IF(ISERROR(IF(O1287&lt;fi_h/20,0,(OFFSET('Base de dados'!$A$5,IF(O1287&lt;20,1,IF(O1287&gt;1000,10,MATCH(O1287,Cargas,1))),Coluna_fih,1,1))*(1+0.13*0.25)*(PI()*(fi_h/1000)^2/4)*SQRT(2*9.81*(O1287/100-fi_h/2/1000))*1000)),"",IF(O1287&lt;fi_h/20,0,(OFFSET('Base de dados'!$A$5,IF(O1287&lt;20,1,IF(O1287&gt;1000,10,MATCH(O1287,Cargas,1))),Coluna_fih,1,1))*(PI()*(fi_h/1000)^2/4)*SQRT(2*9.81*(O1287/100-fi_h/2/1000))*1000))</f>
        <v>4.786463983376656</v>
      </c>
      <c r="Q1287" s="38">
        <f ca="1">IF(O1287="","",IF(Tipo_Vertedor="Retangular",IF(O1287&lt;=cota_s*100,0,IF(Tipo_Vertedor="Retangular",Cd_sr*Lef_sr*((O1287/100-cota_s)^(3/2))*1000)),IF(O1287&lt;=cota_s*100+fi_s/20,0,(OFFSET('Base de dados'!$A$4,IF(O1287&lt;20,1,IF(O1287&gt;1000,10,MATCH(O1287,Cargas,1))),Coluna_fis,1,1))*(PI()*(fi_s/1000)^2/4)*(2*9.81*(O1287/100-cota_s-fi_s/2/1000))^0.5*1000)))</f>
        <v>3.783108811002629</v>
      </c>
      <c r="R1287" s="38">
        <f t="shared" ca="1" si="185"/>
        <v>8.569572794379285</v>
      </c>
      <c r="S1287" s="38">
        <f t="shared" ca="1" si="186"/>
        <v>401.87499999999994</v>
      </c>
    </row>
    <row r="1288" spans="13:19">
      <c r="M1288" s="132">
        <f t="shared" ca="1" si="183"/>
        <v>410.76131044205385</v>
      </c>
      <c r="N1288" s="38">
        <f t="shared" si="184"/>
        <v>12.065624999999999</v>
      </c>
      <c r="O1288" s="36">
        <f t="shared" si="182"/>
        <v>321.75</v>
      </c>
      <c r="P1288" s="38">
        <f ca="1">IF(ISERROR(IF(O1288&lt;fi_h/20,0,(OFFSET('Base de dados'!$A$5,IF(O1288&lt;20,1,IF(O1288&gt;1000,10,MATCH(O1288,Cargas,1))),Coluna_fih,1,1))*(1+0.13*0.25)*(PI()*(fi_h/1000)^2/4)*SQRT(2*9.81*(O1288/100-fi_h/2/1000))*1000)),"",IF(O1288&lt;fi_h/20,0,(OFFSET('Base de dados'!$A$5,IF(O1288&lt;20,1,IF(O1288&gt;1000,10,MATCH(O1288,Cargas,1))),Coluna_fih,1,1))*(PI()*(fi_h/1000)^2/4)*SQRT(2*9.81*(O1288/100-fi_h/2/1000))*1000))</f>
        <v>4.788334850617435</v>
      </c>
      <c r="Q1288" s="38">
        <f ca="1">IF(O1288="","",IF(Tipo_Vertedor="Retangular",IF(O1288&lt;=cota_s*100,0,IF(Tipo_Vertedor="Retangular",Cd_sr*Lef_sr*((O1288/100-cota_s)^(3/2))*1000)),IF(O1288&lt;=cota_s*100+fi_s/20,0,(OFFSET('Base de dados'!$A$4,IF(O1288&lt;20,1,IF(O1288&gt;1000,10,MATCH(O1288,Cargas,1))),Coluna_fis,1,1))*(PI()*(fi_s/1000)^2/4)*(2*9.81*(O1288/100-cota_s-fi_s/2/1000))^0.5*1000)))</f>
        <v>3.7854755914364713</v>
      </c>
      <c r="R1288" s="38">
        <f t="shared" ca="1" si="185"/>
        <v>8.5738104420539063</v>
      </c>
      <c r="S1288" s="38">
        <f t="shared" ca="1" si="186"/>
        <v>402.18749999999994</v>
      </c>
    </row>
    <row r="1289" spans="13:19">
      <c r="M1289" s="132">
        <f t="shared" ca="1" si="183"/>
        <v>411.07804588019087</v>
      </c>
      <c r="N1289" s="38">
        <f t="shared" si="184"/>
        <v>12.075000000000001</v>
      </c>
      <c r="O1289" s="36">
        <f t="shared" si="182"/>
        <v>322</v>
      </c>
      <c r="P1289" s="38">
        <f ca="1">IF(ISERROR(IF(O1289&lt;fi_h/20,0,(OFFSET('Base de dados'!$A$5,IF(O1289&lt;20,1,IF(O1289&gt;1000,10,MATCH(O1289,Cargas,1))),Coluna_fih,1,1))*(1+0.13*0.25)*(PI()*(fi_h/1000)^2/4)*SQRT(2*9.81*(O1289/100-fi_h/2/1000))*1000)),"",IF(O1289&lt;fi_h/20,0,(OFFSET('Base de dados'!$A$5,IF(O1289&lt;20,1,IF(O1289&gt;1000,10,MATCH(O1289,Cargas,1))),Coluna_fih,1,1))*(PI()*(fi_h/1000)^2/4)*SQRT(2*9.81*(O1289/100-fi_h/2/1000))*1000))</f>
        <v>4.7902049871704939</v>
      </c>
      <c r="Q1289" s="38">
        <f ca="1">IF(O1289="","",IF(Tipo_Vertedor="Retangular",IF(O1289&lt;=cota_s*100,0,IF(Tipo_Vertedor="Retangular",Cd_sr*Lef_sr*((O1289/100-cota_s)^(3/2))*1000)),IF(O1289&lt;=cota_s*100+fi_s/20,0,(OFFSET('Base de dados'!$A$4,IF(O1289&lt;20,1,IF(O1289&gt;1000,10,MATCH(O1289,Cargas,1))),Coluna_fis,1,1))*(PI()*(fi_s/1000)^2/4)*(2*9.81*(O1289/100-cota_s-fi_s/2/1000))^0.5*1000)))</f>
        <v>3.7878408930203076</v>
      </c>
      <c r="R1289" s="38">
        <f t="shared" ca="1" si="185"/>
        <v>8.5780458801908015</v>
      </c>
      <c r="S1289" s="38">
        <f t="shared" ca="1" si="186"/>
        <v>402.50000000000006</v>
      </c>
    </row>
    <row r="1290" spans="13:19">
      <c r="M1290" s="132">
        <f t="shared" ca="1" si="183"/>
        <v>411.39477911241414</v>
      </c>
      <c r="N1290" s="38">
        <f t="shared" si="184"/>
        <v>12.084375000000001</v>
      </c>
      <c r="O1290" s="36">
        <f t="shared" si="182"/>
        <v>322.25</v>
      </c>
      <c r="P1290" s="38">
        <f ca="1">IF(ISERROR(IF(O1290&lt;fi_h/20,0,(OFFSET('Base de dados'!$A$5,IF(O1290&lt;20,1,IF(O1290&gt;1000,10,MATCH(O1290,Cargas,1))),Coluna_fih,1,1))*(1+0.13*0.25)*(PI()*(fi_h/1000)^2/4)*SQRT(2*9.81*(O1290/100-fi_h/2/1000))*1000)),"",IF(O1290&lt;fi_h/20,0,(OFFSET('Base de dados'!$A$5,IF(O1290&lt;20,1,IF(O1290&gt;1000,10,MATCH(O1290,Cargas,1))),Coluna_fih,1,1))*(PI()*(fi_h/1000)^2/4)*SQRT(2*9.81*(O1290/100-fi_h/2/1000))*1000))</f>
        <v>4.7920743938912986</v>
      </c>
      <c r="Q1290" s="38">
        <f ca="1">IF(O1290="","",IF(Tipo_Vertedor="Retangular",IF(O1290&lt;=cota_s*100,0,IF(Tipo_Vertedor="Retangular",Cd_sr*Lef_sr*((O1290/100-cota_s)^(3/2))*1000)),IF(O1290&lt;=cota_s*100+fi_s/20,0,(OFFSET('Base de dados'!$A$4,IF(O1290&lt;20,1,IF(O1290&gt;1000,10,MATCH(O1290,Cargas,1))),Coluna_fis,1,1))*(PI()*(fi_s/1000)^2/4)*(2*9.81*(O1290/100-cota_s-fi_s/2/1000))^0.5*1000)))</f>
        <v>3.7902047185227943</v>
      </c>
      <c r="R1290" s="38">
        <f t="shared" ca="1" si="185"/>
        <v>8.582279112414092</v>
      </c>
      <c r="S1290" s="38">
        <f t="shared" ca="1" si="186"/>
        <v>402.81250000000006</v>
      </c>
    </row>
    <row r="1291" spans="13:19">
      <c r="M1291" s="132">
        <f t="shared" ca="1" si="183"/>
        <v>411.7115101423376</v>
      </c>
      <c r="N1291" s="38">
        <f t="shared" si="184"/>
        <v>12.09375</v>
      </c>
      <c r="O1291" s="36">
        <f t="shared" si="182"/>
        <v>322.5</v>
      </c>
      <c r="P1291" s="38">
        <f ca="1">IF(ISERROR(IF(O1291&lt;fi_h/20,0,(OFFSET('Base de dados'!$A$5,IF(O1291&lt;20,1,IF(O1291&gt;1000,10,MATCH(O1291,Cargas,1))),Coluna_fih,1,1))*(1+0.13*0.25)*(PI()*(fi_h/1000)^2/4)*SQRT(2*9.81*(O1291/100-fi_h/2/1000))*1000)),"",IF(O1291&lt;fi_h/20,0,(OFFSET('Base de dados'!$A$5,IF(O1291&lt;20,1,IF(O1291&gt;1000,10,MATCH(O1291,Cargas,1))),Coluna_fih,1,1))*(PI()*(fi_h/1000)^2/4)*SQRT(2*9.81*(O1291/100-fi_h/2/1000))*1000))</f>
        <v>4.7939430716336444</v>
      </c>
      <c r="Q1291" s="38">
        <f ca="1">IF(O1291="","",IF(Tipo_Vertedor="Retangular",IF(O1291&lt;=cota_s*100,0,IF(Tipo_Vertedor="Retangular",Cd_sr*Lef_sr*((O1291/100-cota_s)^(3/2))*1000)),IF(O1291&lt;=cota_s*100+fi_s/20,0,(OFFSET('Base de dados'!$A$4,IF(O1291&lt;20,1,IF(O1291&gt;1000,10,MATCH(O1291,Cargas,1))),Coluna_fis,1,1))*(PI()*(fi_s/1000)^2/4)*(2*9.81*(O1291/100-cota_s-fi_s/2/1000))^0.5*1000)))</f>
        <v>3.7925670707039618</v>
      </c>
      <c r="R1291" s="38">
        <f t="shared" ca="1" si="185"/>
        <v>8.5865101423376053</v>
      </c>
      <c r="S1291" s="38">
        <f t="shared" ca="1" si="186"/>
        <v>403.125</v>
      </c>
    </row>
    <row r="1292" spans="13:19">
      <c r="M1292" s="132">
        <f t="shared" ca="1" si="183"/>
        <v>412.0282389735649</v>
      </c>
      <c r="N1292" s="38">
        <f t="shared" si="184"/>
        <v>12.103125</v>
      </c>
      <c r="O1292" s="36">
        <f t="shared" si="182"/>
        <v>322.75</v>
      </c>
      <c r="P1292" s="38">
        <f ca="1">IF(ISERROR(IF(O1292&lt;fi_h/20,0,(OFFSET('Base de dados'!$A$5,IF(O1292&lt;20,1,IF(O1292&gt;1000,10,MATCH(O1292,Cargas,1))),Coluna_fih,1,1))*(1+0.13*0.25)*(PI()*(fi_h/1000)^2/4)*SQRT(2*9.81*(O1292/100-fi_h/2/1000))*1000)),"",IF(O1292&lt;fi_h/20,0,(OFFSET('Base de dados'!$A$5,IF(O1292&lt;20,1,IF(O1292&gt;1000,10,MATCH(O1292,Cargas,1))),Coluna_fih,1,1))*(PI()*(fi_h/1000)^2/4)*SQRT(2*9.81*(O1292/100-fi_h/2/1000))*1000))</f>
        <v>4.7958110212496701</v>
      </c>
      <c r="Q1292" s="38">
        <f ca="1">IF(O1292="","",IF(Tipo_Vertedor="Retangular",IF(O1292&lt;=cota_s*100,0,IF(Tipo_Vertedor="Retangular",Cd_sr*Lef_sr*((O1292/100-cota_s)^(3/2))*1000)),IF(O1292&lt;=cota_s*100+fi_s/20,0,(OFFSET('Base de dados'!$A$4,IF(O1292&lt;20,1,IF(O1292&gt;1000,10,MATCH(O1292,Cargas,1))),Coluna_fis,1,1))*(PI()*(fi_s/1000)^2/4)*(2*9.81*(O1292/100-cota_s-fi_s/2/1000))^0.5*1000)))</f>
        <v>3.7949279523152484</v>
      </c>
      <c r="R1292" s="38">
        <f t="shared" ca="1" si="185"/>
        <v>8.5907389735649176</v>
      </c>
      <c r="S1292" s="38">
        <f t="shared" ca="1" si="186"/>
        <v>403.4375</v>
      </c>
    </row>
    <row r="1293" spans="13:19">
      <c r="M1293" s="132">
        <f t="shared" ca="1" si="183"/>
        <v>412.34496560968938</v>
      </c>
      <c r="N1293" s="38">
        <f t="shared" si="184"/>
        <v>12.112500000000001</v>
      </c>
      <c r="O1293" s="36">
        <f t="shared" si="182"/>
        <v>323</v>
      </c>
      <c r="P1293" s="38">
        <f ca="1">IF(ISERROR(IF(O1293&lt;fi_h/20,0,(OFFSET('Base de dados'!$A$5,IF(O1293&lt;20,1,IF(O1293&gt;1000,10,MATCH(O1293,Cargas,1))),Coluna_fih,1,1))*(1+0.13*0.25)*(PI()*(fi_h/1000)^2/4)*SQRT(2*9.81*(O1293/100-fi_h/2/1000))*1000)),"",IF(O1293&lt;fi_h/20,0,(OFFSET('Base de dados'!$A$5,IF(O1293&lt;20,1,IF(O1293&gt;1000,10,MATCH(O1293,Cargas,1))),Coluna_fih,1,1))*(PI()*(fi_h/1000)^2/4)*SQRT(2*9.81*(O1293/100-fi_h/2/1000))*1000))</f>
        <v>4.7976782435898482</v>
      </c>
      <c r="Q1293" s="38">
        <f ca="1">IF(O1293="","",IF(Tipo_Vertedor="Retangular",IF(O1293&lt;=cota_s*100,0,IF(Tipo_Vertedor="Retangular",Cd_sr*Lef_sr*((O1293/100-cota_s)^(3/2))*1000)),IF(O1293&lt;=cota_s*100+fi_s/20,0,(OFFSET('Base de dados'!$A$4,IF(O1293&lt;20,1,IF(O1293&gt;1000,10,MATCH(O1293,Cargas,1))),Coluna_fis,1,1))*(PI()*(fi_s/1000)^2/4)*(2*9.81*(O1293/100-cota_s-fi_s/2/1000))^0.5*1000)))</f>
        <v>3.7972873660995403</v>
      </c>
      <c r="R1293" s="38">
        <f t="shared" ca="1" si="185"/>
        <v>8.5949656096893889</v>
      </c>
      <c r="S1293" s="38">
        <f t="shared" ca="1" si="186"/>
        <v>403.75</v>
      </c>
    </row>
    <row r="1294" spans="13:19">
      <c r="M1294" s="132">
        <f t="shared" ca="1" si="183"/>
        <v>412.66169005429418</v>
      </c>
      <c r="N1294" s="38">
        <f t="shared" si="184"/>
        <v>12.121874999999999</v>
      </c>
      <c r="O1294" s="36">
        <f t="shared" si="182"/>
        <v>323.25</v>
      </c>
      <c r="P1294" s="38">
        <f ca="1">IF(ISERROR(IF(O1294&lt;fi_h/20,0,(OFFSET('Base de dados'!$A$5,IF(O1294&lt;20,1,IF(O1294&gt;1000,10,MATCH(O1294,Cargas,1))),Coluna_fih,1,1))*(1+0.13*0.25)*(PI()*(fi_h/1000)^2/4)*SQRT(2*9.81*(O1294/100-fi_h/2/1000))*1000)),"",IF(O1294&lt;fi_h/20,0,(OFFSET('Base de dados'!$A$5,IF(O1294&lt;20,1,IF(O1294&gt;1000,10,MATCH(O1294,Cargas,1))),Coluna_fih,1,1))*(PI()*(fi_h/1000)^2/4)*SQRT(2*9.81*(O1294/100-fi_h/2/1000))*1000))</f>
        <v>4.7995447395030038</v>
      </c>
      <c r="Q1294" s="38">
        <f ca="1">IF(O1294="","",IF(Tipo_Vertedor="Retangular",IF(O1294&lt;=cota_s*100,0,IF(Tipo_Vertedor="Retangular",Cd_sr*Lef_sr*((O1294/100-cota_s)^(3/2))*1000)),IF(O1294&lt;=cota_s*100+fi_s/20,0,(OFFSET('Base de dados'!$A$4,IF(O1294&lt;20,1,IF(O1294&gt;1000,10,MATCH(O1294,Cargas,1))),Coluna_fis,1,1))*(PI()*(fi_s/1000)^2/4)*(2*9.81*(O1294/100-cota_s-fi_s/2/1000))^0.5*1000)))</f>
        <v>3.799645314791205</v>
      </c>
      <c r="R1294" s="38">
        <f t="shared" ca="1" si="185"/>
        <v>8.5991900542942084</v>
      </c>
      <c r="S1294" s="38">
        <f t="shared" ca="1" si="186"/>
        <v>404.0625</v>
      </c>
    </row>
    <row r="1295" spans="13:19">
      <c r="M1295" s="132">
        <f t="shared" ca="1" si="183"/>
        <v>412.97841231095242</v>
      </c>
      <c r="N1295" s="38">
        <f t="shared" si="184"/>
        <v>12.13125</v>
      </c>
      <c r="O1295" s="36">
        <f t="shared" si="182"/>
        <v>323.5</v>
      </c>
      <c r="P1295" s="38">
        <f ca="1">IF(ISERROR(IF(O1295&lt;fi_h/20,0,(OFFSET('Base de dados'!$A$5,IF(O1295&lt;20,1,IF(O1295&gt;1000,10,MATCH(O1295,Cargas,1))),Coluna_fih,1,1))*(1+0.13*0.25)*(PI()*(fi_h/1000)^2/4)*SQRT(2*9.81*(O1295/100-fi_h/2/1000))*1000)),"",IF(O1295&lt;fi_h/20,0,(OFFSET('Base de dados'!$A$5,IF(O1295&lt;20,1,IF(O1295&gt;1000,10,MATCH(O1295,Cargas,1))),Coluna_fih,1,1))*(PI()*(fi_h/1000)^2/4)*SQRT(2*9.81*(O1295/100-fi_h/2/1000))*1000))</f>
        <v>4.8014105098363054</v>
      </c>
      <c r="Q1295" s="38">
        <f ca="1">IF(O1295="","",IF(Tipo_Vertedor="Retangular",IF(O1295&lt;=cota_s*100,0,IF(Tipo_Vertedor="Retangular",Cd_sr*Lef_sr*((O1295/100-cota_s)^(3/2))*1000)),IF(O1295&lt;=cota_s*100+fi_s/20,0,(OFFSET('Base de dados'!$A$4,IF(O1295&lt;20,1,IF(O1295&gt;1000,10,MATCH(O1295,Cargas,1))),Coluna_fis,1,1))*(PI()*(fi_s/1000)^2/4)*(2*9.81*(O1295/100-cota_s-fi_s/2/1000))^0.5*1000)))</f>
        <v>3.8020018011161349</v>
      </c>
      <c r="R1295" s="38">
        <f t="shared" ca="1" si="185"/>
        <v>8.6034123109524394</v>
      </c>
      <c r="S1295" s="38">
        <f t="shared" ca="1" si="186"/>
        <v>404.375</v>
      </c>
    </row>
    <row r="1296" spans="13:19">
      <c r="M1296" s="132">
        <f t="shared" ca="1" si="183"/>
        <v>413.29513238322704</v>
      </c>
      <c r="N1296" s="38">
        <f t="shared" si="184"/>
        <v>12.140625</v>
      </c>
      <c r="O1296" s="36">
        <f t="shared" si="182"/>
        <v>323.75</v>
      </c>
      <c r="P1296" s="38">
        <f ca="1">IF(ISERROR(IF(O1296&lt;fi_h/20,0,(OFFSET('Base de dados'!$A$5,IF(O1296&lt;20,1,IF(O1296&gt;1000,10,MATCH(O1296,Cargas,1))),Coluna_fih,1,1))*(1+0.13*0.25)*(PI()*(fi_h/1000)^2/4)*SQRT(2*9.81*(O1296/100-fi_h/2/1000))*1000)),"",IF(O1296&lt;fi_h/20,0,(OFFSET('Base de dados'!$A$5,IF(O1296&lt;20,1,IF(O1296&gt;1000,10,MATCH(O1296,Cargas,1))),Coluna_fih,1,1))*(PI()*(fi_h/1000)^2/4)*SQRT(2*9.81*(O1296/100-fi_h/2/1000))*1000))</f>
        <v>4.8032755554352802</v>
      </c>
      <c r="Q1296" s="38">
        <f ca="1">IF(O1296="","",IF(Tipo_Vertedor="Retangular",IF(O1296&lt;=cota_s*100,0,IF(Tipo_Vertedor="Retangular",Cd_sr*Lef_sr*((O1296/100-cota_s)^(3/2))*1000)),IF(O1296&lt;=cota_s*100+fi_s/20,0,(OFFSET('Base de dados'!$A$4,IF(O1296&lt;20,1,IF(O1296&gt;1000,10,MATCH(O1296,Cargas,1))),Coluna_fis,1,1))*(PI()*(fi_s/1000)^2/4)*(2*9.81*(O1296/100-cota_s-fi_s/2/1000))^0.5*1000)))</f>
        <v>3.8043568277917763</v>
      </c>
      <c r="R1296" s="38">
        <f t="shared" ca="1" si="185"/>
        <v>8.607632383227056</v>
      </c>
      <c r="S1296" s="38">
        <f t="shared" ca="1" si="186"/>
        <v>404.6875</v>
      </c>
    </row>
    <row r="1297" spans="13:19">
      <c r="M1297" s="132">
        <f t="shared" ca="1" si="183"/>
        <v>413.61185027467099</v>
      </c>
      <c r="N1297" s="38">
        <f t="shared" si="184"/>
        <v>12.15</v>
      </c>
      <c r="O1297" s="36">
        <f t="shared" si="182"/>
        <v>324</v>
      </c>
      <c r="P1297" s="38">
        <f ca="1">IF(ISERROR(IF(O1297&lt;fi_h/20,0,(OFFSET('Base de dados'!$A$5,IF(O1297&lt;20,1,IF(O1297&gt;1000,10,MATCH(O1297,Cargas,1))),Coluna_fih,1,1))*(1+0.13*0.25)*(PI()*(fi_h/1000)^2/4)*SQRT(2*9.81*(O1297/100-fi_h/2/1000))*1000)),"",IF(O1297&lt;fi_h/20,0,(OFFSET('Base de dados'!$A$5,IF(O1297&lt;20,1,IF(O1297&gt;1000,10,MATCH(O1297,Cargas,1))),Coluna_fih,1,1))*(PI()*(fi_h/1000)^2/4)*SQRT(2*9.81*(O1297/100-fi_h/2/1000))*1000))</f>
        <v>4.805139877143815</v>
      </c>
      <c r="Q1297" s="38">
        <f ca="1">IF(O1297="","",IF(Tipo_Vertedor="Retangular",IF(O1297&lt;=cota_s*100,0,IF(Tipo_Vertedor="Retangular",Cd_sr*Lef_sr*((O1297/100-cota_s)^(3/2))*1000)),IF(O1297&lt;=cota_s*100+fi_s/20,0,(OFFSET('Base de dados'!$A$4,IF(O1297&lt;20,1,IF(O1297&gt;1000,10,MATCH(O1297,Cargas,1))),Coluna_fis,1,1))*(PI()*(fi_s/1000)^2/4)*(2*9.81*(O1297/100-cota_s-fi_s/2/1000))^0.5*1000)))</f>
        <v>3.8067103975271728</v>
      </c>
      <c r="R1297" s="38">
        <f t="shared" ca="1" si="185"/>
        <v>8.6118502746709886</v>
      </c>
      <c r="S1297" s="38">
        <f t="shared" ca="1" si="186"/>
        <v>405</v>
      </c>
    </row>
    <row r="1298" spans="13:19">
      <c r="M1298" s="132">
        <f t="shared" ca="1" si="183"/>
        <v>413.92856598882713</v>
      </c>
      <c r="N1298" s="38">
        <f t="shared" si="184"/>
        <v>12.159375000000001</v>
      </c>
      <c r="O1298" s="36">
        <f t="shared" si="182"/>
        <v>324.25</v>
      </c>
      <c r="P1298" s="38">
        <f ca="1">IF(ISERROR(IF(O1298&lt;fi_h/20,0,(OFFSET('Base de dados'!$A$5,IF(O1298&lt;20,1,IF(O1298&gt;1000,10,MATCH(O1298,Cargas,1))),Coluna_fih,1,1))*(1+0.13*0.25)*(PI()*(fi_h/1000)^2/4)*SQRT(2*9.81*(O1298/100-fi_h/2/1000))*1000)),"",IF(O1298&lt;fi_h/20,0,(OFFSET('Base de dados'!$A$5,IF(O1298&lt;20,1,IF(O1298&gt;1000,10,MATCH(O1298,Cargas,1))),Coluna_fih,1,1))*(PI()*(fi_h/1000)^2/4)*SQRT(2*9.81*(O1298/100-fi_h/2/1000))*1000))</f>
        <v>4.8070034758041578</v>
      </c>
      <c r="Q1298" s="38">
        <f ca="1">IF(O1298="","",IF(Tipo_Vertedor="Retangular",IF(O1298&lt;=cota_s*100,0,IF(Tipo_Vertedor="Retangular",Cd_sr*Lef_sr*((O1298/100-cota_s)^(3/2))*1000)),IF(O1298&lt;=cota_s*100+fi_s/20,0,(OFFSET('Base de dados'!$A$4,IF(O1298&lt;20,1,IF(O1298&gt;1000,10,MATCH(O1298,Cargas,1))),Coluna_fis,1,1))*(PI()*(fi_s/1000)^2/4)*(2*9.81*(O1298/100-cota_s-fi_s/2/1000))^0.5*1000)))</f>
        <v>3.8090625130229965</v>
      </c>
      <c r="R1298" s="38">
        <f t="shared" ca="1" si="185"/>
        <v>8.6160659888271542</v>
      </c>
      <c r="S1298" s="38">
        <f t="shared" ca="1" si="186"/>
        <v>405.3125</v>
      </c>
    </row>
    <row r="1299" spans="13:19">
      <c r="M1299" s="132">
        <f t="shared" ca="1" si="183"/>
        <v>414.24527952922858</v>
      </c>
      <c r="N1299" s="38">
        <f t="shared" si="184"/>
        <v>12.168750000000001</v>
      </c>
      <c r="O1299" s="36">
        <f t="shared" ref="O1299:O1362" si="187">IF(ISERROR(IF(O1298+passo_altura&gt;h_max_puls*100,"",O1298+passo_altura)),"",IF(O1298+passo_altura&gt;h_max_puls*100,"",O1298+passo_altura))</f>
        <v>324.5</v>
      </c>
      <c r="P1299" s="38">
        <f ca="1">IF(ISERROR(IF(O1299&lt;fi_h/20,0,(OFFSET('Base de dados'!$A$5,IF(O1299&lt;20,1,IF(O1299&gt;1000,10,MATCH(O1299,Cargas,1))),Coluna_fih,1,1))*(1+0.13*0.25)*(PI()*(fi_h/1000)^2/4)*SQRT(2*9.81*(O1299/100-fi_h/2/1000))*1000)),"",IF(O1299&lt;fi_h/20,0,(OFFSET('Base de dados'!$A$5,IF(O1299&lt;20,1,IF(O1299&gt;1000,10,MATCH(O1299,Cargas,1))),Coluna_fih,1,1))*(PI()*(fi_h/1000)^2/4)*SQRT(2*9.81*(O1299/100-fi_h/2/1000))*1000))</f>
        <v>4.808866352256925</v>
      </c>
      <c r="Q1299" s="38">
        <f ca="1">IF(O1299="","",IF(Tipo_Vertedor="Retangular",IF(O1299&lt;=cota_s*100,0,IF(Tipo_Vertedor="Retangular",Cd_sr*Lef_sr*((O1299/100-cota_s)^(3/2))*1000)),IF(O1299&lt;=cota_s*100+fi_s/20,0,(OFFSET('Base de dados'!$A$4,IF(O1299&lt;20,1,IF(O1299&gt;1000,10,MATCH(O1299,Cargas,1))),Coluna_fis,1,1))*(PI()*(fi_s/1000)^2/4)*(2*9.81*(O1299/100-cota_s-fi_s/2/1000))^0.5*1000)))</f>
        <v>3.8114131769715849</v>
      </c>
      <c r="R1299" s="38">
        <f t="shared" ca="1" si="185"/>
        <v>8.6202795292285099</v>
      </c>
      <c r="S1299" s="38">
        <f t="shared" ca="1" si="186"/>
        <v>405.62500000000006</v>
      </c>
    </row>
    <row r="1300" spans="13:19">
      <c r="M1300" s="132">
        <f t="shared" ca="1" si="183"/>
        <v>414.5619908993981</v>
      </c>
      <c r="N1300" s="38">
        <f t="shared" si="184"/>
        <v>12.178125</v>
      </c>
      <c r="O1300" s="36">
        <f t="shared" si="187"/>
        <v>324.75</v>
      </c>
      <c r="P1300" s="38">
        <f ca="1">IF(ISERROR(IF(O1300&lt;fi_h/20,0,(OFFSET('Base de dados'!$A$5,IF(O1300&lt;20,1,IF(O1300&gt;1000,10,MATCH(O1300,Cargas,1))),Coluna_fih,1,1))*(1+0.13*0.25)*(PI()*(fi_h/1000)^2/4)*SQRT(2*9.81*(O1300/100-fi_h/2/1000))*1000)),"",IF(O1300&lt;fi_h/20,0,(OFFSET('Base de dados'!$A$5,IF(O1300&lt;20,1,IF(O1300&gt;1000,10,MATCH(O1300,Cargas,1))),Coluna_fih,1,1))*(PI()*(fi_h/1000)^2/4)*SQRT(2*9.81*(O1300/100-fi_h/2/1000))*1000))</f>
        <v>4.8107285073411079</v>
      </c>
      <c r="Q1300" s="38">
        <f ca="1">IF(O1300="","",IF(Tipo_Vertedor="Retangular",IF(O1300&lt;=cota_s*100,0,IF(Tipo_Vertedor="Retangular",Cd_sr*Lef_sr*((O1300/100-cota_s)^(3/2))*1000)),IF(O1300&lt;=cota_s*100+fi_s/20,0,(OFFSET('Base de dados'!$A$4,IF(O1300&lt;20,1,IF(O1300&gt;1000,10,MATCH(O1300,Cargas,1))),Coluna_fis,1,1))*(PI()*(fi_s/1000)^2/4)*(2*9.81*(O1300/100-cota_s-fi_s/2/1000))^0.5*1000)))</f>
        <v>3.8137623920569843</v>
      </c>
      <c r="R1300" s="38">
        <f t="shared" ca="1" si="185"/>
        <v>8.6244908993980918</v>
      </c>
      <c r="S1300" s="38">
        <f t="shared" ca="1" si="186"/>
        <v>405.9375</v>
      </c>
    </row>
    <row r="1301" spans="13:19">
      <c r="M1301" s="132">
        <f t="shared" ca="1" si="183"/>
        <v>414.87870010284905</v>
      </c>
      <c r="N1301" s="38">
        <f t="shared" si="184"/>
        <v>12.1875</v>
      </c>
      <c r="O1301" s="36">
        <f t="shared" si="187"/>
        <v>325</v>
      </c>
      <c r="P1301" s="38">
        <f ca="1">IF(ISERROR(IF(O1301&lt;fi_h/20,0,(OFFSET('Base de dados'!$A$5,IF(O1301&lt;20,1,IF(O1301&gt;1000,10,MATCH(O1301,Cargas,1))),Coluna_fih,1,1))*(1+0.13*0.25)*(PI()*(fi_h/1000)^2/4)*SQRT(2*9.81*(O1301/100-fi_h/2/1000))*1000)),"",IF(O1301&lt;fi_h/20,0,(OFFSET('Base de dados'!$A$5,IF(O1301&lt;20,1,IF(O1301&gt;1000,10,MATCH(O1301,Cargas,1))),Coluna_fih,1,1))*(PI()*(fi_h/1000)^2/4)*SQRT(2*9.81*(O1301/100-fi_h/2/1000))*1000))</f>
        <v>4.8125899418940712</v>
      </c>
      <c r="Q1301" s="38">
        <f ca="1">IF(O1301="","",IF(Tipo_Vertedor="Retangular",IF(O1301&lt;=cota_s*100,0,IF(Tipo_Vertedor="Retangular",Cd_sr*Lef_sr*((O1301/100-cota_s)^(3/2))*1000)),IF(O1301&lt;=cota_s*100+fi_s/20,0,(OFFSET('Base de dados'!$A$4,IF(O1301&lt;20,1,IF(O1301&gt;1000,10,MATCH(O1301,Cargas,1))),Coluna_fis,1,1))*(PI()*(fi_s/1000)^2/4)*(2*9.81*(O1301/100-cota_s-fi_s/2/1000))^0.5*1000)))</f>
        <v>3.8161101609549721</v>
      </c>
      <c r="R1301" s="38">
        <f t="shared" ca="1" si="185"/>
        <v>8.6287001028490433</v>
      </c>
      <c r="S1301" s="38">
        <f t="shared" ca="1" si="186"/>
        <v>406.25</v>
      </c>
    </row>
    <row r="1302" spans="13:19">
      <c r="M1302" s="132">
        <f t="shared" ca="1" si="183"/>
        <v>415.19540714308465</v>
      </c>
      <c r="N1302" s="38">
        <f t="shared" si="184"/>
        <v>12.196875</v>
      </c>
      <c r="O1302" s="36">
        <f t="shared" si="187"/>
        <v>325.25</v>
      </c>
      <c r="P1302" s="38">
        <f ca="1">IF(ISERROR(IF(O1302&lt;fi_h/20,0,(OFFSET('Base de dados'!$A$5,IF(O1302&lt;20,1,IF(O1302&gt;1000,10,MATCH(O1302,Cargas,1))),Coluna_fih,1,1))*(1+0.13*0.25)*(PI()*(fi_h/1000)^2/4)*SQRT(2*9.81*(O1302/100-fi_h/2/1000))*1000)),"",IF(O1302&lt;fi_h/20,0,(OFFSET('Base de dados'!$A$5,IF(O1302&lt;20,1,IF(O1302&gt;1000,10,MATCH(O1302,Cargas,1))),Coluna_fih,1,1))*(PI()*(fi_h/1000)^2/4)*SQRT(2*9.81*(O1302/100-fi_h/2/1000))*1000))</f>
        <v>4.8144506567515624</v>
      </c>
      <c r="Q1302" s="38">
        <f ca="1">IF(O1302="","",IF(Tipo_Vertedor="Retangular",IF(O1302&lt;=cota_s*100,0,IF(Tipo_Vertedor="Retangular",Cd_sr*Lef_sr*((O1302/100-cota_s)^(3/2))*1000)),IF(O1302&lt;=cota_s*100+fi_s/20,0,(OFFSET('Base de dados'!$A$4,IF(O1302&lt;20,1,IF(O1302&gt;1000,10,MATCH(O1302,Cargas,1))),Coluna_fis,1,1))*(PI()*(fi_s/1000)^2/4)*(2*9.81*(O1302/100-cota_s-fi_s/2/1000))^0.5*1000)))</f>
        <v>3.8184564863331047</v>
      </c>
      <c r="R1302" s="38">
        <f t="shared" ca="1" si="185"/>
        <v>8.6329071430846671</v>
      </c>
      <c r="S1302" s="38">
        <f t="shared" ca="1" si="186"/>
        <v>406.5625</v>
      </c>
    </row>
    <row r="1303" spans="13:19">
      <c r="M1303" s="132">
        <f t="shared" ref="M1303:M1366" ca="1" si="188">IF(O1303="","",2*N1303*1000/(Passo*60)+R1303)</f>
        <v>415.51211202359843</v>
      </c>
      <c r="N1303" s="38">
        <f t="shared" ref="N1303:N1366" si="189">IF(O1303="","",b_0*(O1303/100)^c_0)</f>
        <v>12.206249999999999</v>
      </c>
      <c r="O1303" s="36">
        <f t="shared" si="187"/>
        <v>325.5</v>
      </c>
      <c r="P1303" s="38">
        <f ca="1">IF(ISERROR(IF(O1303&lt;fi_h/20,0,(OFFSET('Base de dados'!$A$5,IF(O1303&lt;20,1,IF(O1303&gt;1000,10,MATCH(O1303,Cargas,1))),Coluna_fih,1,1))*(1+0.13*0.25)*(PI()*(fi_h/1000)^2/4)*SQRT(2*9.81*(O1303/100-fi_h/2/1000))*1000)),"",IF(O1303&lt;fi_h/20,0,(OFFSET('Base de dados'!$A$5,IF(O1303&lt;20,1,IF(O1303&gt;1000,10,MATCH(O1303,Cargas,1))),Coluna_fih,1,1))*(PI()*(fi_h/1000)^2/4)*SQRT(2*9.81*(O1303/100-fi_h/2/1000))*1000))</f>
        <v>4.816310652747716</v>
      </c>
      <c r="Q1303" s="38">
        <f ca="1">IF(O1303="","",IF(Tipo_Vertedor="Retangular",IF(O1303&lt;=cota_s*100,0,IF(Tipo_Vertedor="Retangular",Cd_sr*Lef_sr*((O1303/100-cota_s)^(3/2))*1000)),IF(O1303&lt;=cota_s*100+fi_s/20,0,(OFFSET('Base de dados'!$A$4,IF(O1303&lt;20,1,IF(O1303&gt;1000,10,MATCH(O1303,Cargas,1))),Coluna_fis,1,1))*(PI()*(fi_s/1000)^2/4)*(2*9.81*(O1303/100-cota_s-fi_s/2/1000))^0.5*1000)))</f>
        <v>3.8208013708507451</v>
      </c>
      <c r="R1303" s="38">
        <f t="shared" ref="R1303:R1366" ca="1" si="190">IF(O1303="","",Q1303+P1303)</f>
        <v>8.637112023598462</v>
      </c>
      <c r="S1303" s="38">
        <f t="shared" ref="S1303:S1366" ca="1" si="191">IF(M1303="","",2*N1303*1000/(Passo*60))</f>
        <v>406.87499999999994</v>
      </c>
    </row>
    <row r="1304" spans="13:19">
      <c r="M1304" s="132">
        <f t="shared" ca="1" si="188"/>
        <v>415.82881474787416</v>
      </c>
      <c r="N1304" s="38">
        <f t="shared" si="189"/>
        <v>12.215624999999999</v>
      </c>
      <c r="O1304" s="36">
        <f t="shared" si="187"/>
        <v>325.75</v>
      </c>
      <c r="P1304" s="38">
        <f ca="1">IF(ISERROR(IF(O1304&lt;fi_h/20,0,(OFFSET('Base de dados'!$A$5,IF(O1304&lt;20,1,IF(O1304&gt;1000,10,MATCH(O1304,Cargas,1))),Coluna_fih,1,1))*(1+0.13*0.25)*(PI()*(fi_h/1000)^2/4)*SQRT(2*9.81*(O1304/100-fi_h/2/1000))*1000)),"",IF(O1304&lt;fi_h/20,0,(OFFSET('Base de dados'!$A$5,IF(O1304&lt;20,1,IF(O1304&gt;1000,10,MATCH(O1304,Cargas,1))),Coluna_fih,1,1))*(PI()*(fi_h/1000)^2/4)*SQRT(2*9.81*(O1304/100-fi_h/2/1000))*1000))</f>
        <v>4.8181699307150536</v>
      </c>
      <c r="Q1304" s="38">
        <f ca="1">IF(O1304="","",IF(Tipo_Vertedor="Retangular",IF(O1304&lt;=cota_s*100,0,IF(Tipo_Vertedor="Retangular",Cd_sr*Lef_sr*((O1304/100-cota_s)^(3/2))*1000)),IF(O1304&lt;=cota_s*100+fi_s/20,0,(OFFSET('Base de dados'!$A$4,IF(O1304&lt;20,1,IF(O1304&gt;1000,10,MATCH(O1304,Cargas,1))),Coluna_fis,1,1))*(PI()*(fi_s/1000)^2/4)*(2*9.81*(O1304/100-cota_s-fi_s/2/1000))^0.5*1000)))</f>
        <v>3.8231448171591031</v>
      </c>
      <c r="R1304" s="38">
        <f t="shared" ca="1" si="190"/>
        <v>8.6413147478741568</v>
      </c>
      <c r="S1304" s="38">
        <f t="shared" ca="1" si="191"/>
        <v>407.1875</v>
      </c>
    </row>
    <row r="1305" spans="13:19">
      <c r="M1305" s="132">
        <f t="shared" ca="1" si="188"/>
        <v>416.14551531938577</v>
      </c>
      <c r="N1305" s="38">
        <f t="shared" si="189"/>
        <v>12.225</v>
      </c>
      <c r="O1305" s="36">
        <f t="shared" si="187"/>
        <v>326</v>
      </c>
      <c r="P1305" s="38">
        <f ca="1">IF(ISERROR(IF(O1305&lt;fi_h/20,0,(OFFSET('Base de dados'!$A$5,IF(O1305&lt;20,1,IF(O1305&gt;1000,10,MATCH(O1305,Cargas,1))),Coluna_fih,1,1))*(1+0.13*0.25)*(PI()*(fi_h/1000)^2/4)*SQRT(2*9.81*(O1305/100-fi_h/2/1000))*1000)),"",IF(O1305&lt;fi_h/20,0,(OFFSET('Base de dados'!$A$5,IF(O1305&lt;20,1,IF(O1305&gt;1000,10,MATCH(O1305,Cargas,1))),Coluna_fih,1,1))*(PI()*(fi_h/1000)^2/4)*SQRT(2*9.81*(O1305/100-fi_h/2/1000))*1000))</f>
        <v>4.8200284914844937</v>
      </c>
      <c r="Q1305" s="38">
        <f ca="1">IF(O1305="","",IF(Tipo_Vertedor="Retangular",IF(O1305&lt;=cota_s*100,0,IF(Tipo_Vertedor="Retangular",Cd_sr*Lef_sr*((O1305/100-cota_s)^(3/2))*1000)),IF(O1305&lt;=cota_s*100+fi_s/20,0,(OFFSET('Base de dados'!$A$4,IF(O1305&lt;20,1,IF(O1305&gt;1000,10,MATCH(O1305,Cargas,1))),Coluna_fis,1,1))*(PI()*(fi_s/1000)^2/4)*(2*9.81*(O1305/100-cota_s-fi_s/2/1000))^0.5*1000)))</f>
        <v>3.8254868279012646</v>
      </c>
      <c r="R1305" s="38">
        <f t="shared" ca="1" si="190"/>
        <v>8.6455153193857583</v>
      </c>
      <c r="S1305" s="38">
        <f t="shared" ca="1" si="191"/>
        <v>407.5</v>
      </c>
    </row>
    <row r="1306" spans="13:19">
      <c r="M1306" s="132">
        <f t="shared" ca="1" si="188"/>
        <v>416.46221374159757</v>
      </c>
      <c r="N1306" s="38">
        <f t="shared" si="189"/>
        <v>12.234375</v>
      </c>
      <c r="O1306" s="36">
        <f t="shared" si="187"/>
        <v>326.25</v>
      </c>
      <c r="P1306" s="38">
        <f ca="1">IF(ISERROR(IF(O1306&lt;fi_h/20,0,(OFFSET('Base de dados'!$A$5,IF(O1306&lt;20,1,IF(O1306&gt;1000,10,MATCH(O1306,Cargas,1))),Coluna_fih,1,1))*(1+0.13*0.25)*(PI()*(fi_h/1000)^2/4)*SQRT(2*9.81*(O1306/100-fi_h/2/1000))*1000)),"",IF(O1306&lt;fi_h/20,0,(OFFSET('Base de dados'!$A$5,IF(O1306&lt;20,1,IF(O1306&gt;1000,10,MATCH(O1306,Cargas,1))),Coluna_fih,1,1))*(PI()*(fi_h/1000)^2/4)*SQRT(2*9.81*(O1306/100-fi_h/2/1000))*1000))</f>
        <v>4.8218863358853508</v>
      </c>
      <c r="Q1306" s="38">
        <f ca="1">IF(O1306="","",IF(Tipo_Vertedor="Retangular",IF(O1306&lt;=cota_s*100,0,IF(Tipo_Vertedor="Retangular",Cd_sr*Lef_sr*((O1306/100-cota_s)^(3/2))*1000)),IF(O1306&lt;=cota_s*100+fi_s/20,0,(OFFSET('Base de dados'!$A$4,IF(O1306&lt;20,1,IF(O1306&gt;1000,10,MATCH(O1306,Cargas,1))),Coluna_fis,1,1))*(PI()*(fi_s/1000)^2/4)*(2*9.81*(O1306/100-cota_s-fi_s/2/1000))^0.5*1000)))</f>
        <v>3.8278274057122355</v>
      </c>
      <c r="R1306" s="38">
        <f t="shared" ca="1" si="190"/>
        <v>8.6497137415975871</v>
      </c>
      <c r="S1306" s="38">
        <f t="shared" ca="1" si="191"/>
        <v>407.8125</v>
      </c>
    </row>
    <row r="1307" spans="13:19">
      <c r="M1307" s="132">
        <f t="shared" ca="1" si="188"/>
        <v>416.77891001796434</v>
      </c>
      <c r="N1307" s="38">
        <f t="shared" si="189"/>
        <v>12.24375</v>
      </c>
      <c r="O1307" s="36">
        <f t="shared" si="187"/>
        <v>326.5</v>
      </c>
      <c r="P1307" s="38">
        <f ca="1">IF(ISERROR(IF(O1307&lt;fi_h/20,0,(OFFSET('Base de dados'!$A$5,IF(O1307&lt;20,1,IF(O1307&gt;1000,10,MATCH(O1307,Cargas,1))),Coluna_fih,1,1))*(1+0.13*0.25)*(PI()*(fi_h/1000)^2/4)*SQRT(2*9.81*(O1307/100-fi_h/2/1000))*1000)),"",IF(O1307&lt;fi_h/20,0,(OFFSET('Base de dados'!$A$5,IF(O1307&lt;20,1,IF(O1307&gt;1000,10,MATCH(O1307,Cargas,1))),Coluna_fih,1,1))*(PI()*(fi_h/1000)^2/4)*SQRT(2*9.81*(O1307/100-fi_h/2/1000))*1000))</f>
        <v>4.8237434647453457</v>
      </c>
      <c r="Q1307" s="38">
        <f ca="1">IF(O1307="","",IF(Tipo_Vertedor="Retangular",IF(O1307&lt;=cota_s*100,0,IF(Tipo_Vertedor="Retangular",Cd_sr*Lef_sr*((O1307/100-cota_s)^(3/2))*1000)),IF(O1307&lt;=cota_s*100+fi_s/20,0,(OFFSET('Base de dados'!$A$4,IF(O1307&lt;20,1,IF(O1307&gt;1000,10,MATCH(O1307,Cargas,1))),Coluna_fis,1,1))*(PI()*(fi_s/1000)^2/4)*(2*9.81*(O1307/100-cota_s-fi_s/2/1000))^0.5*1000)))</f>
        <v>3.8301665532189642</v>
      </c>
      <c r="R1307" s="38">
        <f t="shared" ca="1" si="190"/>
        <v>8.6539100179643107</v>
      </c>
      <c r="S1307" s="38">
        <f t="shared" ca="1" si="191"/>
        <v>408.125</v>
      </c>
    </row>
    <row r="1308" spans="13:19">
      <c r="M1308" s="132">
        <f t="shared" ca="1" si="188"/>
        <v>417.09560415193101</v>
      </c>
      <c r="N1308" s="38">
        <f t="shared" si="189"/>
        <v>12.253125000000001</v>
      </c>
      <c r="O1308" s="36">
        <f t="shared" si="187"/>
        <v>326.75</v>
      </c>
      <c r="P1308" s="38">
        <f ca="1">IF(ISERROR(IF(O1308&lt;fi_h/20,0,(OFFSET('Base de dados'!$A$5,IF(O1308&lt;20,1,IF(O1308&gt;1000,10,MATCH(O1308,Cargas,1))),Coluna_fih,1,1))*(1+0.13*0.25)*(PI()*(fi_h/1000)^2/4)*SQRT(2*9.81*(O1308/100-fi_h/2/1000))*1000)),"",IF(O1308&lt;fi_h/20,0,(OFFSET('Base de dados'!$A$5,IF(O1308&lt;20,1,IF(O1308&gt;1000,10,MATCH(O1308,Cargas,1))),Coluna_fih,1,1))*(PI()*(fi_h/1000)^2/4)*SQRT(2*9.81*(O1308/100-fi_h/2/1000))*1000))</f>
        <v>4.8255998788906034</v>
      </c>
      <c r="Q1308" s="38">
        <f ca="1">IF(O1308="","",IF(Tipo_Vertedor="Retangular",IF(O1308&lt;=cota_s*100,0,IF(Tipo_Vertedor="Retangular",Cd_sr*Lef_sr*((O1308/100-cota_s)^(3/2))*1000)),IF(O1308&lt;=cota_s*100+fi_s/20,0,(OFFSET('Base de dados'!$A$4,IF(O1308&lt;20,1,IF(O1308&gt;1000,10,MATCH(O1308,Cargas,1))),Coluna_fis,1,1))*(PI()*(fi_s/1000)^2/4)*(2*9.81*(O1308/100-cota_s-fi_s/2/1000))^0.5*1000)))</f>
        <v>3.8325042730403851</v>
      </c>
      <c r="R1308" s="38">
        <f t="shared" ca="1" si="190"/>
        <v>8.6581041519309885</v>
      </c>
      <c r="S1308" s="38">
        <f t="shared" ca="1" si="191"/>
        <v>408.4375</v>
      </c>
    </row>
    <row r="1309" spans="13:19">
      <c r="M1309" s="132">
        <f t="shared" ca="1" si="188"/>
        <v>417.4122961469331</v>
      </c>
      <c r="N1309" s="38">
        <f t="shared" si="189"/>
        <v>12.262499999999999</v>
      </c>
      <c r="O1309" s="36">
        <f t="shared" si="187"/>
        <v>327</v>
      </c>
      <c r="P1309" s="38">
        <f ca="1">IF(ISERROR(IF(O1309&lt;fi_h/20,0,(OFFSET('Base de dados'!$A$5,IF(O1309&lt;20,1,IF(O1309&gt;1000,10,MATCH(O1309,Cargas,1))),Coluna_fih,1,1))*(1+0.13*0.25)*(PI()*(fi_h/1000)^2/4)*SQRT(2*9.81*(O1309/100-fi_h/2/1000))*1000)),"",IF(O1309&lt;fi_h/20,0,(OFFSET('Base de dados'!$A$5,IF(O1309&lt;20,1,IF(O1309&gt;1000,10,MATCH(O1309,Cargas,1))),Coluna_fih,1,1))*(PI()*(fi_h/1000)^2/4)*SQRT(2*9.81*(O1309/100-fi_h/2/1000))*1000))</f>
        <v>4.8274555791456626</v>
      </c>
      <c r="Q1309" s="38">
        <f ca="1">IF(O1309="","",IF(Tipo_Vertedor="Retangular",IF(O1309&lt;=cota_s*100,0,IF(Tipo_Vertedor="Retangular",Cd_sr*Lef_sr*((O1309/100-cota_s)^(3/2))*1000)),IF(O1309&lt;=cota_s*100+fi_s/20,0,(OFFSET('Base de dados'!$A$4,IF(O1309&lt;20,1,IF(O1309&gt;1000,10,MATCH(O1309,Cargas,1))),Coluna_fis,1,1))*(PI()*(fi_s/1000)^2/4)*(2*9.81*(O1309/100-cota_s-fi_s/2/1000))^0.5*1000)))</f>
        <v>3.834840567787452</v>
      </c>
      <c r="R1309" s="38">
        <f t="shared" ca="1" si="190"/>
        <v>8.6622961469331141</v>
      </c>
      <c r="S1309" s="38">
        <f t="shared" ca="1" si="191"/>
        <v>408.75</v>
      </c>
    </row>
    <row r="1310" spans="13:19">
      <c r="M1310" s="132">
        <f t="shared" ca="1" si="188"/>
        <v>417.72898600639667</v>
      </c>
      <c r="N1310" s="38">
        <f t="shared" si="189"/>
        <v>12.271875</v>
      </c>
      <c r="O1310" s="36">
        <f t="shared" si="187"/>
        <v>327.25</v>
      </c>
      <c r="P1310" s="38">
        <f ca="1">IF(ISERROR(IF(O1310&lt;fi_h/20,0,(OFFSET('Base de dados'!$A$5,IF(O1310&lt;20,1,IF(O1310&gt;1000,10,MATCH(O1310,Cargas,1))),Coluna_fih,1,1))*(1+0.13*0.25)*(PI()*(fi_h/1000)^2/4)*SQRT(2*9.81*(O1310/100-fi_h/2/1000))*1000)),"",IF(O1310&lt;fi_h/20,0,(OFFSET('Base de dados'!$A$5,IF(O1310&lt;20,1,IF(O1310&gt;1000,10,MATCH(O1310,Cargas,1))),Coluna_fih,1,1))*(PI()*(fi_h/1000)^2/4)*SQRT(2*9.81*(O1310/100-fi_h/2/1000))*1000))</f>
        <v>4.8293105663334757</v>
      </c>
      <c r="Q1310" s="38">
        <f ca="1">IF(O1310="","",IF(Tipo_Vertedor="Retangular",IF(O1310&lt;=cota_s*100,0,IF(Tipo_Vertedor="Retangular",Cd_sr*Lef_sr*((O1310/100-cota_s)^(3/2))*1000)),IF(O1310&lt;=cota_s*100+fi_s/20,0,(OFFSET('Base de dados'!$A$4,IF(O1310&lt;20,1,IF(O1310&gt;1000,10,MATCH(O1310,Cargas,1))),Coluna_fis,1,1))*(PI()*(fi_s/1000)^2/4)*(2*9.81*(O1310/100-cota_s-fi_s/2/1000))^0.5*1000)))</f>
        <v>3.837175440063167</v>
      </c>
      <c r="R1310" s="38">
        <f t="shared" ca="1" si="190"/>
        <v>8.6664860063966422</v>
      </c>
      <c r="S1310" s="38">
        <f t="shared" ca="1" si="191"/>
        <v>409.0625</v>
      </c>
    </row>
    <row r="1311" spans="13:19">
      <c r="M1311" s="132">
        <f t="shared" ca="1" si="188"/>
        <v>418.04567373373806</v>
      </c>
      <c r="N1311" s="38">
        <f t="shared" si="189"/>
        <v>12.28125</v>
      </c>
      <c r="O1311" s="36">
        <f t="shared" si="187"/>
        <v>327.5</v>
      </c>
      <c r="P1311" s="38">
        <f ca="1">IF(ISERROR(IF(O1311&lt;fi_h/20,0,(OFFSET('Base de dados'!$A$5,IF(O1311&lt;20,1,IF(O1311&gt;1000,10,MATCH(O1311,Cargas,1))),Coluna_fih,1,1))*(1+0.13*0.25)*(PI()*(fi_h/1000)^2/4)*SQRT(2*9.81*(O1311/100-fi_h/2/1000))*1000)),"",IF(O1311&lt;fi_h/20,0,(OFFSET('Base de dados'!$A$5,IF(O1311&lt;20,1,IF(O1311&gt;1000,10,MATCH(O1311,Cargas,1))),Coluna_fih,1,1))*(PI()*(fi_h/1000)^2/4)*SQRT(2*9.81*(O1311/100-fi_h/2/1000))*1000))</f>
        <v>4.8311648412754185</v>
      </c>
      <c r="Q1311" s="38">
        <f ca="1">IF(O1311="","",IF(Tipo_Vertedor="Retangular",IF(O1311&lt;=cota_s*100,0,IF(Tipo_Vertedor="Retangular",Cd_sr*Lef_sr*((O1311/100-cota_s)^(3/2))*1000)),IF(O1311&lt;=cota_s*100+fi_s/20,0,(OFFSET('Base de dados'!$A$4,IF(O1311&lt;20,1,IF(O1311&gt;1000,10,MATCH(O1311,Cargas,1))),Coluna_fis,1,1))*(PI()*(fi_s/1000)^2/4)*(2*9.81*(O1311/100-cota_s-fi_s/2/1000))^0.5*1000)))</f>
        <v>3.8395088924626206</v>
      </c>
      <c r="R1311" s="38">
        <f t="shared" ca="1" si="190"/>
        <v>8.6706737337380382</v>
      </c>
      <c r="S1311" s="38">
        <f t="shared" ca="1" si="191"/>
        <v>409.375</v>
      </c>
    </row>
    <row r="1312" spans="13:19">
      <c r="M1312" s="132">
        <f t="shared" ca="1" si="188"/>
        <v>418.36235933236424</v>
      </c>
      <c r="N1312" s="38">
        <f t="shared" si="189"/>
        <v>12.290624999999999</v>
      </c>
      <c r="O1312" s="36">
        <f t="shared" si="187"/>
        <v>327.75</v>
      </c>
      <c r="P1312" s="38">
        <f ca="1">IF(ISERROR(IF(O1312&lt;fi_h/20,0,(OFFSET('Base de dados'!$A$5,IF(O1312&lt;20,1,IF(O1312&gt;1000,10,MATCH(O1312,Cargas,1))),Coluna_fih,1,1))*(1+0.13*0.25)*(PI()*(fi_h/1000)^2/4)*SQRT(2*9.81*(O1312/100-fi_h/2/1000))*1000)),"",IF(O1312&lt;fi_h/20,0,(OFFSET('Base de dados'!$A$5,IF(O1312&lt;20,1,IF(O1312&gt;1000,10,MATCH(O1312,Cargas,1))),Coluna_fih,1,1))*(PI()*(fi_h/1000)^2/4)*SQRT(2*9.81*(O1312/100-fi_h/2/1000))*1000))</f>
        <v>4.8330184047912859</v>
      </c>
      <c r="Q1312" s="38">
        <f ca="1">IF(O1312="","",IF(Tipo_Vertedor="Retangular",IF(O1312&lt;=cota_s*100,0,IF(Tipo_Vertedor="Retangular",Cd_sr*Lef_sr*((O1312/100-cota_s)^(3/2))*1000)),IF(O1312&lt;=cota_s*100+fi_s/20,0,(OFFSET('Base de dados'!$A$4,IF(O1312&lt;20,1,IF(O1312&gt;1000,10,MATCH(O1312,Cargas,1))),Coluna_fis,1,1))*(PI()*(fi_s/1000)^2/4)*(2*9.81*(O1312/100-cota_s-fi_s/2/1000))^0.5*1000)))</f>
        <v>3.8418409275730183</v>
      </c>
      <c r="R1312" s="38">
        <f t="shared" ca="1" si="190"/>
        <v>8.6748593323643046</v>
      </c>
      <c r="S1312" s="38">
        <f t="shared" ca="1" si="191"/>
        <v>409.68749999999994</v>
      </c>
    </row>
    <row r="1313" spans="13:19">
      <c r="M1313" s="132">
        <f t="shared" ca="1" si="188"/>
        <v>418.67904280567296</v>
      </c>
      <c r="N1313" s="38">
        <f t="shared" si="189"/>
        <v>12.299999999999999</v>
      </c>
      <c r="O1313" s="36">
        <f t="shared" si="187"/>
        <v>328</v>
      </c>
      <c r="P1313" s="38">
        <f ca="1">IF(ISERROR(IF(O1313&lt;fi_h/20,0,(OFFSET('Base de dados'!$A$5,IF(O1313&lt;20,1,IF(O1313&gt;1000,10,MATCH(O1313,Cargas,1))),Coluna_fih,1,1))*(1+0.13*0.25)*(PI()*(fi_h/1000)^2/4)*SQRT(2*9.81*(O1313/100-fi_h/2/1000))*1000)),"",IF(O1313&lt;fi_h/20,0,(OFFSET('Base de dados'!$A$5,IF(O1313&lt;20,1,IF(O1313&gt;1000,10,MATCH(O1313,Cargas,1))),Coluna_fih,1,1))*(PI()*(fi_h/1000)^2/4)*SQRT(2*9.81*(O1313/100-fi_h/2/1000))*1000))</f>
        <v>4.8348712576993069</v>
      </c>
      <c r="Q1313" s="38">
        <f ca="1">IF(O1313="","",IF(Tipo_Vertedor="Retangular",IF(O1313&lt;=cota_s*100,0,IF(Tipo_Vertedor="Retangular",Cd_sr*Lef_sr*((O1313/100-cota_s)^(3/2))*1000)),IF(O1313&lt;=cota_s*100+fi_s/20,0,(OFFSET('Base de dados'!$A$4,IF(O1313&lt;20,1,IF(O1313&gt;1000,10,MATCH(O1313,Cargas,1))),Coluna_fis,1,1))*(PI()*(fi_s/1000)^2/4)*(2*9.81*(O1313/100-cota_s-fi_s/2/1000))^0.5*1000)))</f>
        <v>3.8441715479737226</v>
      </c>
      <c r="R1313" s="38">
        <f t="shared" ca="1" si="190"/>
        <v>8.6790428056730295</v>
      </c>
      <c r="S1313" s="38">
        <f t="shared" ca="1" si="191"/>
        <v>409.99999999999994</v>
      </c>
    </row>
    <row r="1314" spans="13:19">
      <c r="M1314" s="132">
        <f t="shared" ca="1" si="188"/>
        <v>418.99572415705245</v>
      </c>
      <c r="N1314" s="38">
        <f t="shared" si="189"/>
        <v>12.309375000000001</v>
      </c>
      <c r="O1314" s="36">
        <f t="shared" si="187"/>
        <v>328.25</v>
      </c>
      <c r="P1314" s="38">
        <f ca="1">IF(ISERROR(IF(O1314&lt;fi_h/20,0,(OFFSET('Base de dados'!$A$5,IF(O1314&lt;20,1,IF(O1314&gt;1000,10,MATCH(O1314,Cargas,1))),Coluna_fih,1,1))*(1+0.13*0.25)*(PI()*(fi_h/1000)^2/4)*SQRT(2*9.81*(O1314/100-fi_h/2/1000))*1000)),"",IF(O1314&lt;fi_h/20,0,(OFFSET('Base de dados'!$A$5,IF(O1314&lt;20,1,IF(O1314&gt;1000,10,MATCH(O1314,Cargas,1))),Coluna_fih,1,1))*(PI()*(fi_h/1000)^2/4)*SQRT(2*9.81*(O1314/100-fi_h/2/1000))*1000))</f>
        <v>4.8367234008161413</v>
      </c>
      <c r="Q1314" s="38">
        <f ca="1">IF(O1314="","",IF(Tipo_Vertedor="Retangular",IF(O1314&lt;=cota_s*100,0,IF(Tipo_Vertedor="Retangular",Cd_sr*Lef_sr*((O1314/100-cota_s)^(3/2))*1000)),IF(O1314&lt;=cota_s*100+fi_s/20,0,(OFFSET('Base de dados'!$A$4,IF(O1314&lt;20,1,IF(O1314&gt;1000,10,MATCH(O1314,Cargas,1))),Coluna_fis,1,1))*(PI()*(fi_s/1000)^2/4)*(2*9.81*(O1314/100-cota_s-fi_s/2/1000))^0.5*1000)))</f>
        <v>3.8465007562362792</v>
      </c>
      <c r="R1314" s="38">
        <f t="shared" ca="1" si="190"/>
        <v>8.68322415705242</v>
      </c>
      <c r="S1314" s="38">
        <f t="shared" ca="1" si="191"/>
        <v>410.31250000000006</v>
      </c>
    </row>
    <row r="1315" spans="13:19">
      <c r="M1315" s="132">
        <f t="shared" ca="1" si="188"/>
        <v>419.31240338988141</v>
      </c>
      <c r="N1315" s="38">
        <f t="shared" si="189"/>
        <v>12.318750000000001</v>
      </c>
      <c r="O1315" s="36">
        <f t="shared" si="187"/>
        <v>328.5</v>
      </c>
      <c r="P1315" s="38">
        <f ca="1">IF(ISERROR(IF(O1315&lt;fi_h/20,0,(OFFSET('Base de dados'!$A$5,IF(O1315&lt;20,1,IF(O1315&gt;1000,10,MATCH(O1315,Cargas,1))),Coluna_fih,1,1))*(1+0.13*0.25)*(PI()*(fi_h/1000)^2/4)*SQRT(2*9.81*(O1315/100-fi_h/2/1000))*1000)),"",IF(O1315&lt;fi_h/20,0,(OFFSET('Base de dados'!$A$5,IF(O1315&lt;20,1,IF(O1315&gt;1000,10,MATCH(O1315,Cargas,1))),Coluna_fih,1,1))*(PI()*(fi_h/1000)^2/4)*SQRT(2*9.81*(O1315/100-fi_h/2/1000))*1000))</f>
        <v>4.8385748349568845</v>
      </c>
      <c r="Q1315" s="38">
        <f ca="1">IF(O1315="","",IF(Tipo_Vertedor="Retangular",IF(O1315&lt;=cota_s*100,0,IF(Tipo_Vertedor="Retangular",Cd_sr*Lef_sr*((O1315/100-cota_s)^(3/2))*1000)),IF(O1315&lt;=cota_s*100+fi_s/20,0,(OFFSET('Base de dados'!$A$4,IF(O1315&lt;20,1,IF(O1315&gt;1000,10,MATCH(O1315,Cargas,1))),Coluna_fis,1,1))*(PI()*(fi_s/1000)^2/4)*(2*9.81*(O1315/100-cota_s-fi_s/2/1000))^0.5*1000)))</f>
        <v>3.8488285549244514</v>
      </c>
      <c r="R1315" s="38">
        <f t="shared" ca="1" si="190"/>
        <v>8.6874033898813359</v>
      </c>
      <c r="S1315" s="38">
        <f t="shared" ca="1" si="191"/>
        <v>410.62500000000006</v>
      </c>
    </row>
    <row r="1316" spans="13:19">
      <c r="M1316" s="132">
        <f t="shared" ca="1" si="188"/>
        <v>419.62908050752935</v>
      </c>
      <c r="N1316" s="38">
        <f t="shared" si="189"/>
        <v>12.328125</v>
      </c>
      <c r="O1316" s="36">
        <f t="shared" si="187"/>
        <v>328.75</v>
      </c>
      <c r="P1316" s="38">
        <f ca="1">IF(ISERROR(IF(O1316&lt;fi_h/20,0,(OFFSET('Base de dados'!$A$5,IF(O1316&lt;20,1,IF(O1316&gt;1000,10,MATCH(O1316,Cargas,1))),Coluna_fih,1,1))*(1+0.13*0.25)*(PI()*(fi_h/1000)^2/4)*SQRT(2*9.81*(O1316/100-fi_h/2/1000))*1000)),"",IF(O1316&lt;fi_h/20,0,(OFFSET('Base de dados'!$A$5,IF(O1316&lt;20,1,IF(O1316&gt;1000,10,MATCH(O1316,Cargas,1))),Coluna_fih,1,1))*(PI()*(fi_h/1000)^2/4)*SQRT(2*9.81*(O1316/100-fi_h/2/1000))*1000))</f>
        <v>4.8404255609350724</v>
      </c>
      <c r="Q1316" s="38">
        <f ca="1">IF(O1316="","",IF(Tipo_Vertedor="Retangular",IF(O1316&lt;=cota_s*100,0,IF(Tipo_Vertedor="Retangular",Cd_sr*Lef_sr*((O1316/100-cota_s)^(3/2))*1000)),IF(O1316&lt;=cota_s*100+fi_s/20,0,(OFFSET('Base de dados'!$A$4,IF(O1316&lt;20,1,IF(O1316&gt;1000,10,MATCH(O1316,Cargas,1))),Coluna_fis,1,1))*(PI()*(fi_s/1000)^2/4)*(2*9.81*(O1316/100-cota_s-fi_s/2/1000))^0.5*1000)))</f>
        <v>3.8511549465942578</v>
      </c>
      <c r="R1316" s="38">
        <f t="shared" ca="1" si="190"/>
        <v>8.6915805075293306</v>
      </c>
      <c r="S1316" s="38">
        <f t="shared" ca="1" si="191"/>
        <v>410.9375</v>
      </c>
    </row>
    <row r="1317" spans="13:19">
      <c r="M1317" s="132">
        <f t="shared" ca="1" si="188"/>
        <v>419.94575551335669</v>
      </c>
      <c r="N1317" s="38">
        <f t="shared" si="189"/>
        <v>12.3375</v>
      </c>
      <c r="O1317" s="36">
        <f t="shared" si="187"/>
        <v>329</v>
      </c>
      <c r="P1317" s="38">
        <f ca="1">IF(ISERROR(IF(O1317&lt;fi_h/20,0,(OFFSET('Base de dados'!$A$5,IF(O1317&lt;20,1,IF(O1317&gt;1000,10,MATCH(O1317,Cargas,1))),Coluna_fih,1,1))*(1+0.13*0.25)*(PI()*(fi_h/1000)^2/4)*SQRT(2*9.81*(O1317/100-fi_h/2/1000))*1000)),"",IF(O1317&lt;fi_h/20,0,(OFFSET('Base de dados'!$A$5,IF(O1317&lt;20,1,IF(O1317&gt;1000,10,MATCH(O1317,Cargas,1))),Coluna_fih,1,1))*(PI()*(fi_h/1000)^2/4)*SQRT(2*9.81*(O1317/100-fi_h/2/1000))*1000))</f>
        <v>4.8422755795626902</v>
      </c>
      <c r="Q1317" s="38">
        <f ca="1">IF(O1317="","",IF(Tipo_Vertedor="Retangular",IF(O1317&lt;=cota_s*100,0,IF(Tipo_Vertedor="Retangular",Cd_sr*Lef_sr*((O1317/100-cota_s)^(3/2))*1000)),IF(O1317&lt;=cota_s*100+fi_s/20,0,(OFFSET('Base de dados'!$A$4,IF(O1317&lt;20,1,IF(O1317&gt;1000,10,MATCH(O1317,Cargas,1))),Coluna_fis,1,1))*(PI()*(fi_s/1000)^2/4)*(2*9.81*(O1317/100-cota_s-fi_s/2/1000))^0.5*1000)))</f>
        <v>3.8534799337939973</v>
      </c>
      <c r="R1317" s="38">
        <f t="shared" ca="1" si="190"/>
        <v>8.6957555133566871</v>
      </c>
      <c r="S1317" s="38">
        <f t="shared" ca="1" si="191"/>
        <v>411.25</v>
      </c>
    </row>
    <row r="1318" spans="13:19">
      <c r="M1318" s="132">
        <f t="shared" ca="1" si="188"/>
        <v>420.26242841071445</v>
      </c>
      <c r="N1318" s="38">
        <f t="shared" si="189"/>
        <v>12.346875000000001</v>
      </c>
      <c r="O1318" s="36">
        <f t="shared" si="187"/>
        <v>329.25</v>
      </c>
      <c r="P1318" s="38">
        <f ca="1">IF(ISERROR(IF(O1318&lt;fi_h/20,0,(OFFSET('Base de dados'!$A$5,IF(O1318&lt;20,1,IF(O1318&gt;1000,10,MATCH(O1318,Cargas,1))),Coluna_fih,1,1))*(1+0.13*0.25)*(PI()*(fi_h/1000)^2/4)*SQRT(2*9.81*(O1318/100-fi_h/2/1000))*1000)),"",IF(O1318&lt;fi_h/20,0,(OFFSET('Base de dados'!$A$5,IF(O1318&lt;20,1,IF(O1318&gt;1000,10,MATCH(O1318,Cargas,1))),Coluna_fih,1,1))*(PI()*(fi_h/1000)^2/4)*SQRT(2*9.81*(O1318/100-fi_h/2/1000))*1000))</f>
        <v>4.8441248916501687</v>
      </c>
      <c r="Q1318" s="38">
        <f ca="1">IF(O1318="","",IF(Tipo_Vertedor="Retangular",IF(O1318&lt;=cota_s*100,0,IF(Tipo_Vertedor="Retangular",Cd_sr*Lef_sr*((O1318/100-cota_s)^(3/2))*1000)),IF(O1318&lt;=cota_s*100+fi_s/20,0,(OFFSET('Base de dados'!$A$4,IF(O1318&lt;20,1,IF(O1318&gt;1000,10,MATCH(O1318,Cargas,1))),Coluna_fis,1,1))*(PI()*(fi_s/1000)^2/4)*(2*9.81*(O1318/100-cota_s-fi_s/2/1000))^0.5*1000)))</f>
        <v>3.8558035190642905</v>
      </c>
      <c r="R1318" s="38">
        <f t="shared" ca="1" si="190"/>
        <v>8.6999284107144597</v>
      </c>
      <c r="S1318" s="38">
        <f t="shared" ca="1" si="191"/>
        <v>411.5625</v>
      </c>
    </row>
    <row r="1319" spans="13:19">
      <c r="M1319" s="132">
        <f t="shared" ca="1" si="188"/>
        <v>420.57909920294452</v>
      </c>
      <c r="N1319" s="38">
        <f t="shared" si="189"/>
        <v>12.356249999999999</v>
      </c>
      <c r="O1319" s="36">
        <f t="shared" si="187"/>
        <v>329.5</v>
      </c>
      <c r="P1319" s="38">
        <f ca="1">IF(ISERROR(IF(O1319&lt;fi_h/20,0,(OFFSET('Base de dados'!$A$5,IF(O1319&lt;20,1,IF(O1319&gt;1000,10,MATCH(O1319,Cargas,1))),Coluna_fih,1,1))*(1+0.13*0.25)*(PI()*(fi_h/1000)^2/4)*SQRT(2*9.81*(O1319/100-fi_h/2/1000))*1000)),"",IF(O1319&lt;fi_h/20,0,(OFFSET('Base de dados'!$A$5,IF(O1319&lt;20,1,IF(O1319&gt;1000,10,MATCH(O1319,Cargas,1))),Coluna_fih,1,1))*(PI()*(fi_h/1000)^2/4)*SQRT(2*9.81*(O1319/100-fi_h/2/1000))*1000))</f>
        <v>4.845973498006396</v>
      </c>
      <c r="Q1319" s="38">
        <f ca="1">IF(O1319="","",IF(Tipo_Vertedor="Retangular",IF(O1319&lt;=cota_s*100,0,IF(Tipo_Vertedor="Retangular",Cd_sr*Lef_sr*((O1319/100-cota_s)^(3/2))*1000)),IF(O1319&lt;=cota_s*100+fi_s/20,0,(OFFSET('Base de dados'!$A$4,IF(O1319&lt;20,1,IF(O1319&gt;1000,10,MATCH(O1319,Cargas,1))),Coluna_fis,1,1))*(PI()*(fi_s/1000)^2/4)*(2*9.81*(O1319/100-cota_s-fi_s/2/1000))^0.5*1000)))</f>
        <v>3.8581257049381041</v>
      </c>
      <c r="R1319" s="38">
        <f t="shared" ca="1" si="190"/>
        <v>8.7040992029444997</v>
      </c>
      <c r="S1319" s="38">
        <f t="shared" ca="1" si="191"/>
        <v>411.875</v>
      </c>
    </row>
    <row r="1320" spans="13:19">
      <c r="M1320" s="132">
        <f t="shared" ca="1" si="188"/>
        <v>420.89576789337951</v>
      </c>
      <c r="N1320" s="38">
        <f t="shared" si="189"/>
        <v>12.365625</v>
      </c>
      <c r="O1320" s="36">
        <f t="shared" si="187"/>
        <v>329.75</v>
      </c>
      <c r="P1320" s="38">
        <f ca="1">IF(ISERROR(IF(O1320&lt;fi_h/20,0,(OFFSET('Base de dados'!$A$5,IF(O1320&lt;20,1,IF(O1320&gt;1000,10,MATCH(O1320,Cargas,1))),Coluna_fih,1,1))*(1+0.13*0.25)*(PI()*(fi_h/1000)^2/4)*SQRT(2*9.81*(O1320/100-fi_h/2/1000))*1000)),"",IF(O1320&lt;fi_h/20,0,(OFFSET('Base de dados'!$A$5,IF(O1320&lt;20,1,IF(O1320&gt;1000,10,MATCH(O1320,Cargas,1))),Coluna_fih,1,1))*(PI()*(fi_h/1000)^2/4)*SQRT(2*9.81*(O1320/100-fi_h/2/1000))*1000))</f>
        <v>4.847821399438712</v>
      </c>
      <c r="Q1320" s="38">
        <f ca="1">IF(O1320="","",IF(Tipo_Vertedor="Retangular",IF(O1320&lt;=cota_s*100,0,IF(Tipo_Vertedor="Retangular",Cd_sr*Lef_sr*((O1320/100-cota_s)^(3/2))*1000)),IF(O1320&lt;=cota_s*100+fi_s/20,0,(OFFSET('Base de dados'!$A$4,IF(O1320&lt;20,1,IF(O1320&gt;1000,10,MATCH(O1320,Cargas,1))),Coluna_fis,1,1))*(PI()*(fi_s/1000)^2/4)*(2*9.81*(O1320/100-cota_s-fi_s/2/1000))^0.5*1000)))</f>
        <v>3.8604464939407874</v>
      </c>
      <c r="R1320" s="38">
        <f t="shared" ca="1" si="190"/>
        <v>8.7082678933794995</v>
      </c>
      <c r="S1320" s="38">
        <f t="shared" ca="1" si="191"/>
        <v>412.1875</v>
      </c>
    </row>
    <row r="1321" spans="13:19">
      <c r="M1321" s="132">
        <f t="shared" ca="1" si="188"/>
        <v>421.21243448534301</v>
      </c>
      <c r="N1321" s="38">
        <f t="shared" si="189"/>
        <v>12.375</v>
      </c>
      <c r="O1321" s="36">
        <f t="shared" si="187"/>
        <v>330</v>
      </c>
      <c r="P1321" s="38">
        <f ca="1">IF(ISERROR(IF(O1321&lt;fi_h/20,0,(OFFSET('Base de dados'!$A$5,IF(O1321&lt;20,1,IF(O1321&gt;1000,10,MATCH(O1321,Cargas,1))),Coluna_fih,1,1))*(1+0.13*0.25)*(PI()*(fi_h/1000)^2/4)*SQRT(2*9.81*(O1321/100-fi_h/2/1000))*1000)),"",IF(O1321&lt;fi_h/20,0,(OFFSET('Base de dados'!$A$5,IF(O1321&lt;20,1,IF(O1321&gt;1000,10,MATCH(O1321,Cargas,1))),Coluna_fih,1,1))*(PI()*(fi_h/1000)^2/4)*SQRT(2*9.81*(O1321/100-fi_h/2/1000))*1000))</f>
        <v>4.8496685967529256</v>
      </c>
      <c r="Q1321" s="38">
        <f ca="1">IF(O1321="","",IF(Tipo_Vertedor="Retangular",IF(O1321&lt;=cota_s*100,0,IF(Tipo_Vertedor="Retangular",Cd_sr*Lef_sr*((O1321/100-cota_s)^(3/2))*1000)),IF(O1321&lt;=cota_s*100+fi_s/20,0,(OFFSET('Base de dados'!$A$4,IF(O1321&lt;20,1,IF(O1321&gt;1000,10,MATCH(O1321,Cargas,1))),Coluna_fis,1,1))*(PI()*(fi_s/1000)^2/4)*(2*9.81*(O1321/100-cota_s-fi_s/2/1000))^0.5*1000)))</f>
        <v>3.8627658885901028</v>
      </c>
      <c r="R1321" s="38">
        <f t="shared" ca="1" si="190"/>
        <v>8.712434485343028</v>
      </c>
      <c r="S1321" s="38">
        <f t="shared" ca="1" si="191"/>
        <v>412.5</v>
      </c>
    </row>
    <row r="1322" spans="13:19">
      <c r="M1322" s="132">
        <f t="shared" ca="1" si="188"/>
        <v>421.52909898214955</v>
      </c>
      <c r="N1322" s="38">
        <f t="shared" si="189"/>
        <v>12.384375</v>
      </c>
      <c r="O1322" s="36">
        <f t="shared" si="187"/>
        <v>330.25</v>
      </c>
      <c r="P1322" s="38">
        <f ca="1">IF(ISERROR(IF(O1322&lt;fi_h/20,0,(OFFSET('Base de dados'!$A$5,IF(O1322&lt;20,1,IF(O1322&gt;1000,10,MATCH(O1322,Cargas,1))),Coluna_fih,1,1))*(1+0.13*0.25)*(PI()*(fi_h/1000)^2/4)*SQRT(2*9.81*(O1322/100-fi_h/2/1000))*1000)),"",IF(O1322&lt;fi_h/20,0,(OFFSET('Base de dados'!$A$5,IF(O1322&lt;20,1,IF(O1322&gt;1000,10,MATCH(O1322,Cargas,1))),Coluna_fih,1,1))*(PI()*(fi_h/1000)^2/4)*SQRT(2*9.81*(O1322/100-fi_h/2/1000))*1000))</f>
        <v>4.8515150907533062</v>
      </c>
      <c r="Q1322" s="38">
        <f ca="1">IF(O1322="","",IF(Tipo_Vertedor="Retangular",IF(O1322&lt;=cota_s*100,0,IF(Tipo_Vertedor="Retangular",Cd_sr*Lef_sr*((O1322/100-cota_s)^(3/2))*1000)),IF(O1322&lt;=cota_s*100+fi_s/20,0,(OFFSET('Base de dados'!$A$4,IF(O1322&lt;20,1,IF(O1322&gt;1000,10,MATCH(O1322,Cargas,1))),Coluna_fis,1,1))*(PI()*(fi_s/1000)^2/4)*(2*9.81*(O1322/100-cota_s-fi_s/2/1000))^0.5*1000)))</f>
        <v>3.8650838913962611</v>
      </c>
      <c r="R1322" s="38">
        <f t="shared" ca="1" si="190"/>
        <v>8.7165989821495664</v>
      </c>
      <c r="S1322" s="38">
        <f t="shared" ca="1" si="191"/>
        <v>412.8125</v>
      </c>
    </row>
    <row r="1323" spans="13:19">
      <c r="M1323" s="132">
        <f t="shared" ca="1" si="188"/>
        <v>421.84576138710452</v>
      </c>
      <c r="N1323" s="38">
        <f t="shared" si="189"/>
        <v>12.393750000000001</v>
      </c>
      <c r="O1323" s="36">
        <f t="shared" si="187"/>
        <v>330.5</v>
      </c>
      <c r="P1323" s="38">
        <f ca="1">IF(ISERROR(IF(O1323&lt;fi_h/20,0,(OFFSET('Base de dados'!$A$5,IF(O1323&lt;20,1,IF(O1323&gt;1000,10,MATCH(O1323,Cargas,1))),Coluna_fih,1,1))*(1+0.13*0.25)*(PI()*(fi_h/1000)^2/4)*SQRT(2*9.81*(O1323/100-fi_h/2/1000))*1000)),"",IF(O1323&lt;fi_h/20,0,(OFFSET('Base de dados'!$A$5,IF(O1323&lt;20,1,IF(O1323&gt;1000,10,MATCH(O1323,Cargas,1))),Coluna_fih,1,1))*(PI()*(fi_h/1000)^2/4)*SQRT(2*9.81*(O1323/100-fi_h/2/1000))*1000))</f>
        <v>4.8533608822425967</v>
      </c>
      <c r="Q1323" s="38">
        <f ca="1">IF(O1323="","",IF(Tipo_Vertedor="Retangular",IF(O1323&lt;=cota_s*100,0,IF(Tipo_Vertedor="Retangular",Cd_sr*Lef_sr*((O1323/100-cota_s)^(3/2))*1000)),IF(O1323&lt;=cota_s*100+fi_s/20,0,(OFFSET('Base de dados'!$A$4,IF(O1323&lt;20,1,IF(O1323&gt;1000,10,MATCH(O1323,Cargas,1))),Coluna_fis,1,1))*(PI()*(fi_s/1000)^2/4)*(2*9.81*(O1323/100-cota_s-fi_s/2/1000))^0.5*1000)))</f>
        <v>3.8674005048619473</v>
      </c>
      <c r="R1323" s="38">
        <f t="shared" ca="1" si="190"/>
        <v>8.7207613871045435</v>
      </c>
      <c r="S1323" s="38">
        <f t="shared" ca="1" si="191"/>
        <v>413.125</v>
      </c>
    </row>
    <row r="1324" spans="13:19">
      <c r="M1324" s="132">
        <f t="shared" ca="1" si="188"/>
        <v>422.16242170350444</v>
      </c>
      <c r="N1324" s="38">
        <f t="shared" si="189"/>
        <v>12.403125000000001</v>
      </c>
      <c r="O1324" s="36">
        <f t="shared" si="187"/>
        <v>330.75</v>
      </c>
      <c r="P1324" s="38">
        <f ca="1">IF(ISERROR(IF(O1324&lt;fi_h/20,0,(OFFSET('Base de dados'!$A$5,IF(O1324&lt;20,1,IF(O1324&gt;1000,10,MATCH(O1324,Cargas,1))),Coluna_fih,1,1))*(1+0.13*0.25)*(PI()*(fi_h/1000)^2/4)*SQRT(2*9.81*(O1324/100-fi_h/2/1000))*1000)),"",IF(O1324&lt;fi_h/20,0,(OFFSET('Base de dados'!$A$5,IF(O1324&lt;20,1,IF(O1324&gt;1000,10,MATCH(O1324,Cargas,1))),Coluna_fih,1,1))*(PI()*(fi_h/1000)^2/4)*SQRT(2*9.81*(O1324/100-fi_h/2/1000))*1000))</f>
        <v>4.8552059720220129</v>
      </c>
      <c r="Q1324" s="38">
        <f ca="1">IF(O1324="","",IF(Tipo_Vertedor="Retangular",IF(O1324&lt;=cota_s*100,0,IF(Tipo_Vertedor="Retangular",Cd_sr*Lef_sr*((O1324/100-cota_s)^(3/2))*1000)),IF(O1324&lt;=cota_s*100+fi_s/20,0,(OFFSET('Base de dados'!$A$4,IF(O1324&lt;20,1,IF(O1324&gt;1000,10,MATCH(O1324,Cargas,1))),Coluna_fis,1,1))*(PI()*(fi_s/1000)^2/4)*(2*9.81*(O1324/100-cota_s-fi_s/2/1000))^0.5*1000)))</f>
        <v>3.8697157314823549</v>
      </c>
      <c r="R1324" s="38">
        <f t="shared" ca="1" si="190"/>
        <v>8.7249217035043678</v>
      </c>
      <c r="S1324" s="38">
        <f t="shared" ca="1" si="191"/>
        <v>413.43750000000006</v>
      </c>
    </row>
    <row r="1325" spans="13:19">
      <c r="M1325" s="132">
        <f t="shared" ca="1" si="188"/>
        <v>422.47907993463645</v>
      </c>
      <c r="N1325" s="38">
        <f t="shared" si="189"/>
        <v>12.4125</v>
      </c>
      <c r="O1325" s="36">
        <f t="shared" si="187"/>
        <v>331</v>
      </c>
      <c r="P1325" s="38">
        <f ca="1">IF(ISERROR(IF(O1325&lt;fi_h/20,0,(OFFSET('Base de dados'!$A$5,IF(O1325&lt;20,1,IF(O1325&gt;1000,10,MATCH(O1325,Cargas,1))),Coluna_fih,1,1))*(1+0.13*0.25)*(PI()*(fi_h/1000)^2/4)*SQRT(2*9.81*(O1325/100-fi_h/2/1000))*1000)),"",IF(O1325&lt;fi_h/20,0,(OFFSET('Base de dados'!$A$5,IF(O1325&lt;20,1,IF(O1325&gt;1000,10,MATCH(O1325,Cargas,1))),Coluna_fih,1,1))*(PI()*(fi_h/1000)^2/4)*SQRT(2*9.81*(O1325/100-fi_h/2/1000))*1000))</f>
        <v>4.8570503608912468</v>
      </c>
      <c r="Q1325" s="38">
        <f ca="1">IF(O1325="","",IF(Tipo_Vertedor="Retangular",IF(O1325&lt;=cota_s*100,0,IF(Tipo_Vertedor="Retangular",Cd_sr*Lef_sr*((O1325/100-cota_s)^(3/2))*1000)),IF(O1325&lt;=cota_s*100+fi_s/20,0,(OFFSET('Base de dados'!$A$4,IF(O1325&lt;20,1,IF(O1325&gt;1000,10,MATCH(O1325,Cargas,1))),Coluna_fis,1,1))*(PI()*(fi_s/1000)^2/4)*(2*9.81*(O1325/100-cota_s-fi_s/2/1000))^0.5*1000)))</f>
        <v>3.8720295737452211</v>
      </c>
      <c r="R1325" s="38">
        <f t="shared" ca="1" si="190"/>
        <v>8.7290799346364683</v>
      </c>
      <c r="S1325" s="38">
        <f t="shared" ca="1" si="191"/>
        <v>413.75</v>
      </c>
    </row>
    <row r="1326" spans="13:19">
      <c r="M1326" s="132">
        <f t="shared" ca="1" si="188"/>
        <v>422.79573608377933</v>
      </c>
      <c r="N1326" s="38">
        <f t="shared" si="189"/>
        <v>12.421875</v>
      </c>
      <c r="O1326" s="36">
        <f t="shared" si="187"/>
        <v>331.25</v>
      </c>
      <c r="P1326" s="38">
        <f ca="1">IF(ISERROR(IF(O1326&lt;fi_h/20,0,(OFFSET('Base de dados'!$A$5,IF(O1326&lt;20,1,IF(O1326&gt;1000,10,MATCH(O1326,Cargas,1))),Coluna_fih,1,1))*(1+0.13*0.25)*(PI()*(fi_h/1000)^2/4)*SQRT(2*9.81*(O1326/100-fi_h/2/1000))*1000)),"",IF(O1326&lt;fi_h/20,0,(OFFSET('Base de dados'!$A$5,IF(O1326&lt;20,1,IF(O1326&gt;1000,10,MATCH(O1326,Cargas,1))),Coluna_fih,1,1))*(PI()*(fi_h/1000)^2/4)*SQRT(2*9.81*(O1326/100-fi_h/2/1000))*1000))</f>
        <v>4.8588940496484749</v>
      </c>
      <c r="Q1326" s="38">
        <f ca="1">IF(O1326="","",IF(Tipo_Vertedor="Retangular",IF(O1326&lt;=cota_s*100,0,IF(Tipo_Vertedor="Retangular",Cd_sr*Lef_sr*((O1326/100-cota_s)^(3/2))*1000)),IF(O1326&lt;=cota_s*100+fi_s/20,0,(OFFSET('Base de dados'!$A$4,IF(O1326&lt;20,1,IF(O1326&gt;1000,10,MATCH(O1326,Cargas,1))),Coluna_fis,1,1))*(PI()*(fi_s/1000)^2/4)*(2*9.81*(O1326/100-cota_s-fi_s/2/1000))^0.5*1000)))</f>
        <v>3.8743420341308492</v>
      </c>
      <c r="R1326" s="38">
        <f t="shared" ca="1" si="190"/>
        <v>8.7332360837793246</v>
      </c>
      <c r="S1326" s="38">
        <f t="shared" ca="1" si="191"/>
        <v>414.0625</v>
      </c>
    </row>
    <row r="1327" spans="13:19">
      <c r="M1327" s="132">
        <f t="shared" ca="1" si="188"/>
        <v>423.1123901542025</v>
      </c>
      <c r="N1327" s="38">
        <f t="shared" si="189"/>
        <v>12.43125</v>
      </c>
      <c r="O1327" s="36">
        <f t="shared" si="187"/>
        <v>331.5</v>
      </c>
      <c r="P1327" s="38">
        <f ca="1">IF(ISERROR(IF(O1327&lt;fi_h/20,0,(OFFSET('Base de dados'!$A$5,IF(O1327&lt;20,1,IF(O1327&gt;1000,10,MATCH(O1327,Cargas,1))),Coluna_fih,1,1))*(1+0.13*0.25)*(PI()*(fi_h/1000)^2/4)*SQRT(2*9.81*(O1327/100-fi_h/2/1000))*1000)),"",IF(O1327&lt;fi_h/20,0,(OFFSET('Base de dados'!$A$5,IF(O1327&lt;20,1,IF(O1327&gt;1000,10,MATCH(O1327,Cargas,1))),Coluna_fih,1,1))*(PI()*(fi_h/1000)^2/4)*SQRT(2*9.81*(O1327/100-fi_h/2/1000))*1000))</f>
        <v>4.8607370390903624</v>
      </c>
      <c r="Q1327" s="38">
        <f ca="1">IF(O1327="","",IF(Tipo_Vertedor="Retangular",IF(O1327&lt;=cota_s*100,0,IF(Tipo_Vertedor="Retangular",Cd_sr*Lef_sr*((O1327/100-cota_s)^(3/2))*1000)),IF(O1327&lt;=cota_s*100+fi_s/20,0,(OFFSET('Base de dados'!$A$4,IF(O1327&lt;20,1,IF(O1327&gt;1000,10,MATCH(O1327,Cargas,1))),Coluna_fis,1,1))*(PI()*(fi_s/1000)^2/4)*(2*9.81*(O1327/100-cota_s-fi_s/2/1000))^0.5*1000)))</f>
        <v>3.876653115112151</v>
      </c>
      <c r="R1327" s="38">
        <f t="shared" ca="1" si="190"/>
        <v>8.7373901542025134</v>
      </c>
      <c r="S1327" s="38">
        <f t="shared" ca="1" si="191"/>
        <v>414.375</v>
      </c>
    </row>
    <row r="1328" spans="13:19">
      <c r="M1328" s="132">
        <f t="shared" ca="1" si="188"/>
        <v>423.42904214916666</v>
      </c>
      <c r="N1328" s="38">
        <f t="shared" si="189"/>
        <v>12.440624999999999</v>
      </c>
      <c r="O1328" s="36">
        <f t="shared" si="187"/>
        <v>331.75</v>
      </c>
      <c r="P1328" s="38">
        <f ca="1">IF(ISERROR(IF(O1328&lt;fi_h/20,0,(OFFSET('Base de dados'!$A$5,IF(O1328&lt;20,1,IF(O1328&gt;1000,10,MATCH(O1328,Cargas,1))),Coluna_fih,1,1))*(1+0.13*0.25)*(PI()*(fi_h/1000)^2/4)*SQRT(2*9.81*(O1328/100-fi_h/2/1000))*1000)),"",IF(O1328&lt;fi_h/20,0,(OFFSET('Base de dados'!$A$5,IF(O1328&lt;20,1,IF(O1328&gt;1000,10,MATCH(O1328,Cargas,1))),Coluna_fih,1,1))*(PI()*(fi_h/1000)^2/4)*SQRT(2*9.81*(O1328/100-fi_h/2/1000))*1000))</f>
        <v>4.8625793300120579</v>
      </c>
      <c r="Q1328" s="38">
        <f ca="1">IF(O1328="","",IF(Tipo_Vertedor="Retangular",IF(O1328&lt;=cota_s*100,0,IF(Tipo_Vertedor="Retangular",Cd_sr*Lef_sr*((O1328/100-cota_s)^(3/2))*1000)),IF(O1328&lt;=cota_s*100+fi_s/20,0,(OFFSET('Base de dados'!$A$4,IF(O1328&lt;20,1,IF(O1328&gt;1000,10,MATCH(O1328,Cargas,1))),Coluna_fis,1,1))*(PI()*(fi_s/1000)^2/4)*(2*9.81*(O1328/100-cota_s-fi_s/2/1000))^0.5*1000)))</f>
        <v>3.8789628191546663</v>
      </c>
      <c r="R1328" s="38">
        <f t="shared" ca="1" si="190"/>
        <v>8.7415421491667242</v>
      </c>
      <c r="S1328" s="38">
        <f t="shared" ca="1" si="191"/>
        <v>414.68749999999994</v>
      </c>
    </row>
    <row r="1329" spans="13:19">
      <c r="M1329" s="132">
        <f t="shared" ca="1" si="188"/>
        <v>423.74569207192383</v>
      </c>
      <c r="N1329" s="38">
        <f t="shared" si="189"/>
        <v>12.45</v>
      </c>
      <c r="O1329" s="36">
        <f t="shared" si="187"/>
        <v>332</v>
      </c>
      <c r="P1329" s="38">
        <f ca="1">IF(ISERROR(IF(O1329&lt;fi_h/20,0,(OFFSET('Base de dados'!$A$5,IF(O1329&lt;20,1,IF(O1329&gt;1000,10,MATCH(O1329,Cargas,1))),Coluna_fih,1,1))*(1+0.13*0.25)*(PI()*(fi_h/1000)^2/4)*SQRT(2*9.81*(O1329/100-fi_h/2/1000))*1000)),"",IF(O1329&lt;fi_h/20,0,(OFFSET('Base de dados'!$A$5,IF(O1329&lt;20,1,IF(O1329&gt;1000,10,MATCH(O1329,Cargas,1))),Coluna_fih,1,1))*(PI()*(fi_h/1000)^2/4)*SQRT(2*9.81*(O1329/100-fi_h/2/1000))*1000))</f>
        <v>4.8644209232072102</v>
      </c>
      <c r="Q1329" s="38">
        <f ca="1">IF(O1329="","",IF(Tipo_Vertedor="Retangular",IF(O1329&lt;=cota_s*100,0,IF(Tipo_Vertedor="Retangular",Cd_sr*Lef_sr*((O1329/100-cota_s)^(3/2))*1000)),IF(O1329&lt;=cota_s*100+fi_s/20,0,(OFFSET('Base de dados'!$A$4,IF(O1329&lt;20,1,IF(O1329&gt;1000,10,MATCH(O1329,Cargas,1))),Coluna_fis,1,1))*(PI()*(fi_s/1000)^2/4)*(2*9.81*(O1329/100-cota_s-fi_s/2/1000))^0.5*1000)))</f>
        <v>3.8812711487166029</v>
      </c>
      <c r="R1329" s="38">
        <f t="shared" ca="1" si="190"/>
        <v>8.7456920719238127</v>
      </c>
      <c r="S1329" s="38">
        <f t="shared" ca="1" si="191"/>
        <v>415</v>
      </c>
    </row>
    <row r="1330" spans="13:19">
      <c r="M1330" s="132">
        <f t="shared" ca="1" si="188"/>
        <v>424.0623399257168</v>
      </c>
      <c r="N1330" s="38">
        <f t="shared" si="189"/>
        <v>12.459375</v>
      </c>
      <c r="O1330" s="36">
        <f t="shared" si="187"/>
        <v>332.25</v>
      </c>
      <c r="P1330" s="38">
        <f ca="1">IF(ISERROR(IF(O1330&lt;fi_h/20,0,(OFFSET('Base de dados'!$A$5,IF(O1330&lt;20,1,IF(O1330&gt;1000,10,MATCH(O1330,Cargas,1))),Coluna_fih,1,1))*(1+0.13*0.25)*(PI()*(fi_h/1000)^2/4)*SQRT(2*9.81*(O1330/100-fi_h/2/1000))*1000)),"",IF(O1330&lt;fi_h/20,0,(OFFSET('Base de dados'!$A$5,IF(O1330&lt;20,1,IF(O1330&gt;1000,10,MATCH(O1330,Cargas,1))),Coluna_fih,1,1))*(PI()*(fi_h/1000)^2/4)*SQRT(2*9.81*(O1330/100-fi_h/2/1000))*1000))</f>
        <v>4.8662618194679652</v>
      </c>
      <c r="Q1330" s="38">
        <f ca="1">IF(O1330="","",IF(Tipo_Vertedor="Retangular",IF(O1330&lt;=cota_s*100,0,IF(Tipo_Vertedor="Retangular",Cd_sr*Lef_sr*((O1330/100-cota_s)^(3/2))*1000)),IF(O1330&lt;=cota_s*100+fi_s/20,0,(OFFSET('Base de dados'!$A$4,IF(O1330&lt;20,1,IF(O1330&gt;1000,10,MATCH(O1330,Cargas,1))),Coluna_fis,1,1))*(PI()*(fi_s/1000)^2/4)*(2*9.81*(O1330/100-cota_s-fi_s/2/1000))^0.5*1000)))</f>
        <v>3.8835781062488581</v>
      </c>
      <c r="R1330" s="38">
        <f t="shared" ca="1" si="190"/>
        <v>8.7498399257168238</v>
      </c>
      <c r="S1330" s="38">
        <f t="shared" ca="1" si="191"/>
        <v>415.3125</v>
      </c>
    </row>
    <row r="1331" spans="13:19">
      <c r="M1331" s="132">
        <f t="shared" ca="1" si="188"/>
        <v>424.37898571378003</v>
      </c>
      <c r="N1331" s="38">
        <f t="shared" si="189"/>
        <v>12.46875</v>
      </c>
      <c r="O1331" s="36">
        <f t="shared" si="187"/>
        <v>332.5</v>
      </c>
      <c r="P1331" s="38">
        <f ca="1">IF(ISERROR(IF(O1331&lt;fi_h/20,0,(OFFSET('Base de dados'!$A$5,IF(O1331&lt;20,1,IF(O1331&gt;1000,10,MATCH(O1331,Cargas,1))),Coluna_fih,1,1))*(1+0.13*0.25)*(PI()*(fi_h/1000)^2/4)*SQRT(2*9.81*(O1331/100-fi_h/2/1000))*1000)),"",IF(O1331&lt;fi_h/20,0,(OFFSET('Base de dados'!$A$5,IF(O1331&lt;20,1,IF(O1331&gt;1000,10,MATCH(O1331,Cargas,1))),Coluna_fih,1,1))*(PI()*(fi_h/1000)^2/4)*SQRT(2*9.81*(O1331/100-fi_h/2/1000))*1000))</f>
        <v>4.8681020195849669</v>
      </c>
      <c r="Q1331" s="38">
        <f ca="1">IF(O1331="","",IF(Tipo_Vertedor="Retangular",IF(O1331&lt;=cota_s*100,0,IF(Tipo_Vertedor="Retangular",Cd_sr*Lef_sr*((O1331/100-cota_s)^(3/2))*1000)),IF(O1331&lt;=cota_s*100+fi_s/20,0,(OFFSET('Base de dados'!$A$4,IF(O1331&lt;20,1,IF(O1331&gt;1000,10,MATCH(O1331,Cargas,1))),Coluna_fis,1,1))*(PI()*(fi_s/1000)^2/4)*(2*9.81*(O1331/100-cota_s-fi_s/2/1000))^0.5*1000)))</f>
        <v>3.8858836941950599</v>
      </c>
      <c r="R1331" s="38">
        <f t="shared" ca="1" si="190"/>
        <v>8.7539857137800272</v>
      </c>
      <c r="S1331" s="38">
        <f t="shared" ca="1" si="191"/>
        <v>415.625</v>
      </c>
    </row>
    <row r="1332" spans="13:19">
      <c r="M1332" s="132">
        <f t="shared" ca="1" si="188"/>
        <v>424.69562943933897</v>
      </c>
      <c r="N1332" s="38">
        <f t="shared" si="189"/>
        <v>12.478125</v>
      </c>
      <c r="O1332" s="36">
        <f t="shared" si="187"/>
        <v>332.75</v>
      </c>
      <c r="P1332" s="38">
        <f ca="1">IF(ISERROR(IF(O1332&lt;fi_h/20,0,(OFFSET('Base de dados'!$A$5,IF(O1332&lt;20,1,IF(O1332&gt;1000,10,MATCH(O1332,Cargas,1))),Coluna_fih,1,1))*(1+0.13*0.25)*(PI()*(fi_h/1000)^2/4)*SQRT(2*9.81*(O1332/100-fi_h/2/1000))*1000)),"",IF(O1332&lt;fi_h/20,0,(OFFSET('Base de dados'!$A$5,IF(O1332&lt;20,1,IF(O1332&gt;1000,10,MATCH(O1332,Cargas,1))),Coluna_fih,1,1))*(PI()*(fi_h/1000)^2/4)*SQRT(2*9.81*(O1332/100-fi_h/2/1000))*1000))</f>
        <v>4.8699415243473725</v>
      </c>
      <c r="Q1332" s="38">
        <f ca="1">IF(O1332="","",IF(Tipo_Vertedor="Retangular",IF(O1332&lt;=cota_s*100,0,IF(Tipo_Vertedor="Retangular",Cd_sr*Lef_sr*((O1332/100-cota_s)^(3/2))*1000)),IF(O1332&lt;=cota_s*100+fi_s/20,0,(OFFSET('Base de dados'!$A$4,IF(O1332&lt;20,1,IF(O1332&gt;1000,10,MATCH(O1332,Cargas,1))),Coluna_fis,1,1))*(PI()*(fi_s/1000)^2/4)*(2*9.81*(O1332/100-cota_s-fi_s/2/1000))^0.5*1000)))</f>
        <v>3.8881879149915868</v>
      </c>
      <c r="R1332" s="38">
        <f t="shared" ca="1" si="190"/>
        <v>8.7581294393389584</v>
      </c>
      <c r="S1332" s="38">
        <f t="shared" ca="1" si="191"/>
        <v>415.9375</v>
      </c>
    </row>
    <row r="1333" spans="13:19">
      <c r="M1333" s="132">
        <f t="shared" ca="1" si="188"/>
        <v>425.01227110561047</v>
      </c>
      <c r="N1333" s="38">
        <f t="shared" si="189"/>
        <v>12.487500000000001</v>
      </c>
      <c r="O1333" s="36">
        <f t="shared" si="187"/>
        <v>333</v>
      </c>
      <c r="P1333" s="38">
        <f ca="1">IF(ISERROR(IF(O1333&lt;fi_h/20,0,(OFFSET('Base de dados'!$A$5,IF(O1333&lt;20,1,IF(O1333&gt;1000,10,MATCH(O1333,Cargas,1))),Coluna_fih,1,1))*(1+0.13*0.25)*(PI()*(fi_h/1000)^2/4)*SQRT(2*9.81*(O1333/100-fi_h/2/1000))*1000)),"",IF(O1333&lt;fi_h/20,0,(OFFSET('Base de dados'!$A$5,IF(O1333&lt;20,1,IF(O1333&gt;1000,10,MATCH(O1333,Cargas,1))),Coluna_fih,1,1))*(PI()*(fi_h/1000)^2/4)*SQRT(2*9.81*(O1333/100-fi_h/2/1000))*1000))</f>
        <v>4.8717803345428443</v>
      </c>
      <c r="Q1333" s="38">
        <f ca="1">IF(O1333="","",IF(Tipo_Vertedor="Retangular",IF(O1333&lt;=cota_s*100,0,IF(Tipo_Vertedor="Retangular",Cd_sr*Lef_sr*((O1333/100-cota_s)^(3/2))*1000)),IF(O1333&lt;=cota_s*100+fi_s/20,0,(OFFSET('Base de dados'!$A$4,IF(O1333&lt;20,1,IF(O1333&gt;1000,10,MATCH(O1333,Cargas,1))),Coluna_fis,1,1))*(PI()*(fi_s/1000)^2/4)*(2*9.81*(O1333/100-cota_s-fi_s/2/1000))^0.5*1000)))</f>
        <v>3.8904907710676033</v>
      </c>
      <c r="R1333" s="38">
        <f t="shared" ca="1" si="190"/>
        <v>8.7622711056104485</v>
      </c>
      <c r="S1333" s="38">
        <f t="shared" ca="1" si="191"/>
        <v>416.25</v>
      </c>
    </row>
    <row r="1334" spans="13:19">
      <c r="M1334" s="132">
        <f t="shared" ca="1" si="188"/>
        <v>425.32891071580264</v>
      </c>
      <c r="N1334" s="38">
        <f t="shared" si="189"/>
        <v>12.496874999999999</v>
      </c>
      <c r="O1334" s="36">
        <f t="shared" si="187"/>
        <v>333.25</v>
      </c>
      <c r="P1334" s="38">
        <f ca="1">IF(ISERROR(IF(O1334&lt;fi_h/20,0,(OFFSET('Base de dados'!$A$5,IF(O1334&lt;20,1,IF(O1334&gt;1000,10,MATCH(O1334,Cargas,1))),Coluna_fih,1,1))*(1+0.13*0.25)*(PI()*(fi_h/1000)^2/4)*SQRT(2*9.81*(O1334/100-fi_h/2/1000))*1000)),"",IF(O1334&lt;fi_h/20,0,(OFFSET('Base de dados'!$A$5,IF(O1334&lt;20,1,IF(O1334&gt;1000,10,MATCH(O1334,Cargas,1))),Coluna_fih,1,1))*(PI()*(fi_h/1000)^2/4)*SQRT(2*9.81*(O1334/100-fi_h/2/1000))*1000))</f>
        <v>4.8736184509575597</v>
      </c>
      <c r="Q1334" s="38">
        <f ca="1">IF(O1334="","",IF(Tipo_Vertedor="Retangular",IF(O1334&lt;=cota_s*100,0,IF(Tipo_Vertedor="Retangular",Cd_sr*Lef_sr*((O1334/100-cota_s)^(3/2))*1000)),IF(O1334&lt;=cota_s*100+fi_s/20,0,(OFFSET('Base de dados'!$A$4,IF(O1334&lt;20,1,IF(O1334&gt;1000,10,MATCH(O1334,Cargas,1))),Coluna_fis,1,1))*(PI()*(fi_s/1000)^2/4)*(2*9.81*(O1334/100-cota_s-fi_s/2/1000))^0.5*1000)))</f>
        <v>3.8927922648450917</v>
      </c>
      <c r="R1334" s="38">
        <f t="shared" ca="1" si="190"/>
        <v>8.7664107158026514</v>
      </c>
      <c r="S1334" s="38">
        <f t="shared" ca="1" si="191"/>
        <v>416.5625</v>
      </c>
    </row>
    <row r="1335" spans="13:19">
      <c r="M1335" s="132">
        <f t="shared" ca="1" si="188"/>
        <v>425.64554827311508</v>
      </c>
      <c r="N1335" s="38">
        <f t="shared" si="189"/>
        <v>12.50625</v>
      </c>
      <c r="O1335" s="36">
        <f t="shared" si="187"/>
        <v>333.5</v>
      </c>
      <c r="P1335" s="38">
        <f ca="1">IF(ISERROR(IF(O1335&lt;fi_h/20,0,(OFFSET('Base de dados'!$A$5,IF(O1335&lt;20,1,IF(O1335&gt;1000,10,MATCH(O1335,Cargas,1))),Coluna_fih,1,1))*(1+0.13*0.25)*(PI()*(fi_h/1000)^2/4)*SQRT(2*9.81*(O1335/100-fi_h/2/1000))*1000)),"",IF(O1335&lt;fi_h/20,0,(OFFSET('Base de dados'!$A$5,IF(O1335&lt;20,1,IF(O1335&gt;1000,10,MATCH(O1335,Cargas,1))),Coluna_fih,1,1))*(PI()*(fi_h/1000)^2/4)*SQRT(2*9.81*(O1335/100-fi_h/2/1000))*1000))</f>
        <v>4.8754558743762155</v>
      </c>
      <c r="Q1335" s="38">
        <f ca="1">IF(O1335="","",IF(Tipo_Vertedor="Retangular",IF(O1335&lt;=cota_s*100,0,IF(Tipo_Vertedor="Retangular",Cd_sr*Lef_sr*((O1335/100-cota_s)^(3/2))*1000)),IF(O1335&lt;=cota_s*100+fi_s/20,0,(OFFSET('Base de dados'!$A$4,IF(O1335&lt;20,1,IF(O1335&gt;1000,10,MATCH(O1335,Cargas,1))),Coluna_fis,1,1))*(PI()*(fi_s/1000)^2/4)*(2*9.81*(O1335/100-cota_s-fi_s/2/1000))^0.5*1000)))</f>
        <v>3.895092398738873</v>
      </c>
      <c r="R1335" s="38">
        <f t="shared" ca="1" si="190"/>
        <v>8.7705482731150894</v>
      </c>
      <c r="S1335" s="38">
        <f t="shared" ca="1" si="191"/>
        <v>416.875</v>
      </c>
    </row>
    <row r="1336" spans="13:19">
      <c r="M1336" s="132">
        <f t="shared" ca="1" si="188"/>
        <v>425.96218378073866</v>
      </c>
      <c r="N1336" s="38">
        <f t="shared" si="189"/>
        <v>12.515625</v>
      </c>
      <c r="O1336" s="36">
        <f t="shared" si="187"/>
        <v>333.75</v>
      </c>
      <c r="P1336" s="38">
        <f ca="1">IF(ISERROR(IF(O1336&lt;fi_h/20,0,(OFFSET('Base de dados'!$A$5,IF(O1336&lt;20,1,IF(O1336&gt;1000,10,MATCH(O1336,Cargas,1))),Coluna_fih,1,1))*(1+0.13*0.25)*(PI()*(fi_h/1000)^2/4)*SQRT(2*9.81*(O1336/100-fi_h/2/1000))*1000)),"",IF(O1336&lt;fi_h/20,0,(OFFSET('Base de dados'!$A$5,IF(O1336&lt;20,1,IF(O1336&gt;1000,10,MATCH(O1336,Cargas,1))),Coluna_fih,1,1))*(PI()*(fi_h/1000)^2/4)*SQRT(2*9.81*(O1336/100-fi_h/2/1000))*1000))</f>
        <v>4.877292605582026</v>
      </c>
      <c r="Q1336" s="38">
        <f ca="1">IF(O1336="","",IF(Tipo_Vertedor="Retangular",IF(O1336&lt;=cota_s*100,0,IF(Tipo_Vertedor="Retangular",Cd_sr*Lef_sr*((O1336/100-cota_s)^(3/2))*1000)),IF(O1336&lt;=cota_s*100+fi_s/20,0,(OFFSET('Base de dados'!$A$4,IF(O1336&lt;20,1,IF(O1336&gt;1000,10,MATCH(O1336,Cargas,1))),Coluna_fis,1,1))*(PI()*(fi_s/1000)^2/4)*(2*9.81*(O1336/100-cota_s-fi_s/2/1000))^0.5*1000)))</f>
        <v>3.8973911751566486</v>
      </c>
      <c r="R1336" s="38">
        <f t="shared" ca="1" si="190"/>
        <v>8.7746837807386751</v>
      </c>
      <c r="S1336" s="38">
        <f t="shared" ca="1" si="191"/>
        <v>417.1875</v>
      </c>
    </row>
    <row r="1337" spans="13:19">
      <c r="M1337" s="132">
        <f t="shared" ca="1" si="188"/>
        <v>426.27881724185568</v>
      </c>
      <c r="N1337" s="38">
        <f t="shared" si="189"/>
        <v>12.524999999999999</v>
      </c>
      <c r="O1337" s="36">
        <f t="shared" si="187"/>
        <v>334</v>
      </c>
      <c r="P1337" s="38">
        <f ca="1">IF(ISERROR(IF(O1337&lt;fi_h/20,0,(OFFSET('Base de dados'!$A$5,IF(O1337&lt;20,1,IF(O1337&gt;1000,10,MATCH(O1337,Cargas,1))),Coluna_fih,1,1))*(1+0.13*0.25)*(PI()*(fi_h/1000)^2/4)*SQRT(2*9.81*(O1337/100-fi_h/2/1000))*1000)),"",IF(O1337&lt;fi_h/20,0,(OFFSET('Base de dados'!$A$5,IF(O1337&lt;20,1,IF(O1337&gt;1000,10,MATCH(O1337,Cargas,1))),Coluna_fih,1,1))*(PI()*(fi_h/1000)^2/4)*SQRT(2*9.81*(O1337/100-fi_h/2/1000))*1000))</f>
        <v>4.8791286453567402</v>
      </c>
      <c r="Q1337" s="38">
        <f ca="1">IF(O1337="","",IF(Tipo_Vertedor="Retangular",IF(O1337&lt;=cota_s*100,0,IF(Tipo_Vertedor="Retangular",Cd_sr*Lef_sr*((O1337/100-cota_s)^(3/2))*1000)),IF(O1337&lt;=cota_s*100+fi_s/20,0,(OFFSET('Base de dados'!$A$4,IF(O1337&lt;20,1,IF(O1337&gt;1000,10,MATCH(O1337,Cargas,1))),Coluna_fis,1,1))*(PI()*(fi_s/1000)^2/4)*(2*9.81*(O1337/100-cota_s-fi_s/2/1000))^0.5*1000)))</f>
        <v>3.8996885964990198</v>
      </c>
      <c r="R1337" s="38">
        <f t="shared" ca="1" si="190"/>
        <v>8.7788172418557604</v>
      </c>
      <c r="S1337" s="38">
        <f t="shared" ca="1" si="191"/>
        <v>417.49999999999994</v>
      </c>
    </row>
    <row r="1338" spans="13:19">
      <c r="M1338" s="132">
        <f t="shared" ca="1" si="188"/>
        <v>426.59544865964011</v>
      </c>
      <c r="N1338" s="38">
        <f t="shared" si="189"/>
        <v>12.534374999999999</v>
      </c>
      <c r="O1338" s="36">
        <f t="shared" si="187"/>
        <v>334.25</v>
      </c>
      <c r="P1338" s="38">
        <f ca="1">IF(ISERROR(IF(O1338&lt;fi_h/20,0,(OFFSET('Base de dados'!$A$5,IF(O1338&lt;20,1,IF(O1338&gt;1000,10,MATCH(O1338,Cargas,1))),Coluna_fih,1,1))*(1+0.13*0.25)*(PI()*(fi_h/1000)^2/4)*SQRT(2*9.81*(O1338/100-fi_h/2/1000))*1000)),"",IF(O1338&lt;fi_h/20,0,(OFFSET('Base de dados'!$A$5,IF(O1338&lt;20,1,IF(O1338&gt;1000,10,MATCH(O1338,Cargas,1))),Coluna_fih,1,1))*(PI()*(fi_h/1000)^2/4)*SQRT(2*9.81*(O1338/100-fi_h/2/1000))*1000))</f>
        <v>4.8809639944806253</v>
      </c>
      <c r="Q1338" s="38">
        <f ca="1">IF(O1338="","",IF(Tipo_Vertedor="Retangular",IF(O1338&lt;=cota_s*100,0,IF(Tipo_Vertedor="Retangular",Cd_sr*Lef_sr*((O1338/100-cota_s)^(3/2))*1000)),IF(O1338&lt;=cota_s*100+fi_s/20,0,(OFFSET('Base de dados'!$A$4,IF(O1338&lt;20,1,IF(O1338&gt;1000,10,MATCH(O1338,Cargas,1))),Coluna_fis,1,1))*(PI()*(fi_s/1000)^2/4)*(2*9.81*(O1338/100-cota_s-fi_s/2/1000))^0.5*1000)))</f>
        <v>3.9019846651595227</v>
      </c>
      <c r="R1338" s="38">
        <f t="shared" ca="1" si="190"/>
        <v>8.782948659640148</v>
      </c>
      <c r="S1338" s="38">
        <f t="shared" ca="1" si="191"/>
        <v>417.81249999999994</v>
      </c>
    </row>
    <row r="1339" spans="13:19">
      <c r="M1339" s="132">
        <f t="shared" ca="1" si="188"/>
        <v>426.91207803725717</v>
      </c>
      <c r="N1339" s="38">
        <f t="shared" si="189"/>
        <v>12.543750000000001</v>
      </c>
      <c r="O1339" s="36">
        <f t="shared" si="187"/>
        <v>334.5</v>
      </c>
      <c r="P1339" s="38">
        <f ca="1">IF(ISERROR(IF(O1339&lt;fi_h/20,0,(OFFSET('Base de dados'!$A$5,IF(O1339&lt;20,1,IF(O1339&gt;1000,10,MATCH(O1339,Cargas,1))),Coluna_fih,1,1))*(1+0.13*0.25)*(PI()*(fi_h/1000)^2/4)*SQRT(2*9.81*(O1339/100-fi_h/2/1000))*1000)),"",IF(O1339&lt;fi_h/20,0,(OFFSET('Base de dados'!$A$5,IF(O1339&lt;20,1,IF(O1339&gt;1000,10,MATCH(O1339,Cargas,1))),Coluna_fih,1,1))*(PI()*(fi_h/1000)^2/4)*SQRT(2*9.81*(O1339/100-fi_h/2/1000))*1000))</f>
        <v>4.8827986537324923</v>
      </c>
      <c r="Q1339" s="38">
        <f ca="1">IF(O1339="","",IF(Tipo_Vertedor="Retangular",IF(O1339&lt;=cota_s*100,0,IF(Tipo_Vertedor="Retangular",Cd_sr*Lef_sr*((O1339/100-cota_s)^(3/2))*1000)),IF(O1339&lt;=cota_s*100+fi_s/20,0,(OFFSET('Base de dados'!$A$4,IF(O1339&lt;20,1,IF(O1339&gt;1000,10,MATCH(O1339,Cargas,1))),Coluna_fis,1,1))*(PI()*(fi_s/1000)^2/4)*(2*9.81*(O1339/100-cota_s-fi_s/2/1000))^0.5*1000)))</f>
        <v>3.9042793835246536</v>
      </c>
      <c r="R1339" s="38">
        <f t="shared" ca="1" si="190"/>
        <v>8.787078037257146</v>
      </c>
      <c r="S1339" s="38">
        <f t="shared" ca="1" si="191"/>
        <v>418.12500000000006</v>
      </c>
    </row>
    <row r="1340" spans="13:19">
      <c r="M1340" s="132">
        <f t="shared" ca="1" si="188"/>
        <v>427.22870537786366</v>
      </c>
      <c r="N1340" s="38">
        <f t="shared" si="189"/>
        <v>12.553125000000001</v>
      </c>
      <c r="O1340" s="36">
        <f t="shared" si="187"/>
        <v>334.75</v>
      </c>
      <c r="P1340" s="38">
        <f ca="1">IF(ISERROR(IF(O1340&lt;fi_h/20,0,(OFFSET('Base de dados'!$A$5,IF(O1340&lt;20,1,IF(O1340&gt;1000,10,MATCH(O1340,Cargas,1))),Coluna_fih,1,1))*(1+0.13*0.25)*(PI()*(fi_h/1000)^2/4)*SQRT(2*9.81*(O1340/100-fi_h/2/1000))*1000)),"",IF(O1340&lt;fi_h/20,0,(OFFSET('Base de dados'!$A$5,IF(O1340&lt;20,1,IF(O1340&gt;1000,10,MATCH(O1340,Cargas,1))),Coluna_fih,1,1))*(PI()*(fi_h/1000)^2/4)*SQRT(2*9.81*(O1340/100-fi_h/2/1000))*1000))</f>
        <v>4.8846326238896847</v>
      </c>
      <c r="Q1340" s="38">
        <f ca="1">IF(O1340="","",IF(Tipo_Vertedor="Retangular",IF(O1340&lt;=cota_s*100,0,IF(Tipo_Vertedor="Retangular",Cd_sr*Lef_sr*((O1340/100-cota_s)^(3/2))*1000)),IF(O1340&lt;=cota_s*100+fi_s/20,0,(OFFSET('Base de dados'!$A$4,IF(O1340&lt;20,1,IF(O1340&gt;1000,10,MATCH(O1340,Cargas,1))),Coluna_fis,1,1))*(PI()*(fi_s/1000)^2/4)*(2*9.81*(O1340/100-cota_s-fi_s/2/1000))^0.5*1000)))</f>
        <v>3.9065727539739004</v>
      </c>
      <c r="R1340" s="38">
        <f t="shared" ca="1" si="190"/>
        <v>8.7912053778635855</v>
      </c>
      <c r="S1340" s="38">
        <f t="shared" ca="1" si="191"/>
        <v>418.43750000000006</v>
      </c>
    </row>
    <row r="1341" spans="13:19">
      <c r="M1341" s="132">
        <f t="shared" ca="1" si="188"/>
        <v>427.54533068460785</v>
      </c>
      <c r="N1341" s="38">
        <f t="shared" si="189"/>
        <v>12.5625</v>
      </c>
      <c r="O1341" s="36">
        <f t="shared" si="187"/>
        <v>335</v>
      </c>
      <c r="P1341" s="38">
        <f ca="1">IF(ISERROR(IF(O1341&lt;fi_h/20,0,(OFFSET('Base de dados'!$A$5,IF(O1341&lt;20,1,IF(O1341&gt;1000,10,MATCH(O1341,Cargas,1))),Coluna_fih,1,1))*(1+0.13*0.25)*(PI()*(fi_h/1000)^2/4)*SQRT(2*9.81*(O1341/100-fi_h/2/1000))*1000)),"",IF(O1341&lt;fi_h/20,0,(OFFSET('Base de dados'!$A$5,IF(O1341&lt;20,1,IF(O1341&gt;1000,10,MATCH(O1341,Cargas,1))),Coluna_fih,1,1))*(PI()*(fi_h/1000)^2/4)*SQRT(2*9.81*(O1341/100-fi_h/2/1000))*1000))</f>
        <v>4.8864659057280848</v>
      </c>
      <c r="Q1341" s="38">
        <f ca="1">IF(O1341="","",IF(Tipo_Vertedor="Retangular",IF(O1341&lt;=cota_s*100,0,IF(Tipo_Vertedor="Retangular",Cd_sr*Lef_sr*((O1341/100-cota_s)^(3/2))*1000)),IF(O1341&lt;=cota_s*100+fi_s/20,0,(OFFSET('Base de dados'!$A$4,IF(O1341&lt;20,1,IF(O1341&gt;1000,10,MATCH(O1341,Cargas,1))),Coluna_fis,1,1))*(PI()*(fi_s/1000)^2/4)*(2*9.81*(O1341/100-cota_s-fi_s/2/1000))^0.5*1000)))</f>
        <v>3.9088647788797712</v>
      </c>
      <c r="R1341" s="38">
        <f t="shared" ca="1" si="190"/>
        <v>8.7953306846078565</v>
      </c>
      <c r="S1341" s="38">
        <f t="shared" ca="1" si="191"/>
        <v>418.75</v>
      </c>
    </row>
    <row r="1342" spans="13:19">
      <c r="M1342" s="132">
        <f t="shared" ca="1" si="188"/>
        <v>427.86195396062993</v>
      </c>
      <c r="N1342" s="38">
        <f t="shared" si="189"/>
        <v>12.571875</v>
      </c>
      <c r="O1342" s="36">
        <f t="shared" si="187"/>
        <v>335.25</v>
      </c>
      <c r="P1342" s="38">
        <f ca="1">IF(ISERROR(IF(O1342&lt;fi_h/20,0,(OFFSET('Base de dados'!$A$5,IF(O1342&lt;20,1,IF(O1342&gt;1000,10,MATCH(O1342,Cargas,1))),Coluna_fih,1,1))*(1+0.13*0.25)*(PI()*(fi_h/1000)^2/4)*SQRT(2*9.81*(O1342/100-fi_h/2/1000))*1000)),"",IF(O1342&lt;fi_h/20,0,(OFFSET('Base de dados'!$A$5,IF(O1342&lt;20,1,IF(O1342&gt;1000,10,MATCH(O1342,Cargas,1))),Coluna_fih,1,1))*(PI()*(fi_h/1000)^2/4)*SQRT(2*9.81*(O1342/100-fi_h/2/1000))*1000))</f>
        <v>4.8882985000221275</v>
      </c>
      <c r="Q1342" s="38">
        <f ca="1">IF(O1342="","",IF(Tipo_Vertedor="Retangular",IF(O1342&lt;=cota_s*100,0,IF(Tipo_Vertedor="Retangular",Cd_sr*Lef_sr*((O1342/100-cota_s)^(3/2))*1000)),IF(O1342&lt;=cota_s*100+fi_s/20,0,(OFFSET('Base de dados'!$A$4,IF(O1342&lt;20,1,IF(O1342&gt;1000,10,MATCH(O1342,Cargas,1))),Coluna_fis,1,1))*(PI()*(fi_s/1000)^2/4)*(2*9.81*(O1342/100-cota_s-fi_s/2/1000))^0.5*1000)))</f>
        <v>3.9111554606078203</v>
      </c>
      <c r="R1342" s="38">
        <f t="shared" ca="1" si="190"/>
        <v>8.7994539606299469</v>
      </c>
      <c r="S1342" s="38">
        <f t="shared" ca="1" si="191"/>
        <v>419.0625</v>
      </c>
    </row>
    <row r="1343" spans="13:19">
      <c r="M1343" s="132">
        <f t="shared" ca="1" si="188"/>
        <v>428.17857520906148</v>
      </c>
      <c r="N1343" s="38">
        <f t="shared" si="189"/>
        <v>12.581250000000001</v>
      </c>
      <c r="O1343" s="36">
        <f t="shared" si="187"/>
        <v>335.5</v>
      </c>
      <c r="P1343" s="38">
        <f ca="1">IF(ISERROR(IF(O1343&lt;fi_h/20,0,(OFFSET('Base de dados'!$A$5,IF(O1343&lt;20,1,IF(O1343&gt;1000,10,MATCH(O1343,Cargas,1))),Coluna_fih,1,1))*(1+0.13*0.25)*(PI()*(fi_h/1000)^2/4)*SQRT(2*9.81*(O1343/100-fi_h/2/1000))*1000)),"",IF(O1343&lt;fi_h/20,0,(OFFSET('Base de dados'!$A$5,IF(O1343&lt;20,1,IF(O1343&gt;1000,10,MATCH(O1343,Cargas,1))),Coluna_fih,1,1))*(PI()*(fi_h/1000)^2/4)*SQRT(2*9.81*(O1343/100-fi_h/2/1000))*1000))</f>
        <v>4.8901304075447873</v>
      </c>
      <c r="Q1343" s="38">
        <f ca="1">IF(O1343="","",IF(Tipo_Vertedor="Retangular",IF(O1343&lt;=cota_s*100,0,IF(Tipo_Vertedor="Retangular",Cd_sr*Lef_sr*((O1343/100-cota_s)^(3/2))*1000)),IF(O1343&lt;=cota_s*100+fi_s/20,0,(OFFSET('Base de dados'!$A$4,IF(O1343&lt;20,1,IF(O1343&gt;1000,10,MATCH(O1343,Cargas,1))),Coluna_fis,1,1))*(PI()*(fi_s/1000)^2/4)*(2*9.81*(O1343/100-cota_s-fi_s/2/1000))^0.5*1000)))</f>
        <v>3.9134448015166834</v>
      </c>
      <c r="R1343" s="38">
        <f t="shared" ca="1" si="190"/>
        <v>8.8035752090614707</v>
      </c>
      <c r="S1343" s="38">
        <f t="shared" ca="1" si="191"/>
        <v>419.375</v>
      </c>
    </row>
    <row r="1344" spans="13:19">
      <c r="M1344" s="132">
        <f t="shared" ca="1" si="188"/>
        <v>428.49519443302569</v>
      </c>
      <c r="N1344" s="38">
        <f t="shared" si="189"/>
        <v>12.590624999999999</v>
      </c>
      <c r="O1344" s="36">
        <f t="shared" si="187"/>
        <v>335.75</v>
      </c>
      <c r="P1344" s="38">
        <f ca="1">IF(ISERROR(IF(O1344&lt;fi_h/20,0,(OFFSET('Base de dados'!$A$5,IF(O1344&lt;20,1,IF(O1344&gt;1000,10,MATCH(O1344,Cargas,1))),Coluna_fih,1,1))*(1+0.13*0.25)*(PI()*(fi_h/1000)^2/4)*SQRT(2*9.81*(O1344/100-fi_h/2/1000))*1000)),"",IF(O1344&lt;fi_h/20,0,(OFFSET('Base de dados'!$A$5,IF(O1344&lt;20,1,IF(O1344&gt;1000,10,MATCH(O1344,Cargas,1))),Coluna_fih,1,1))*(PI()*(fi_h/1000)^2/4)*SQRT(2*9.81*(O1344/100-fi_h/2/1000))*1000))</f>
        <v>4.8919616290675991</v>
      </c>
      <c r="Q1344" s="38">
        <f ca="1">IF(O1344="","",IF(Tipo_Vertedor="Retangular",IF(O1344&lt;=cota_s*100,0,IF(Tipo_Vertedor="Retangular",Cd_sr*Lef_sr*((O1344/100-cota_s)^(3/2))*1000)),IF(O1344&lt;=cota_s*100+fi_s/20,0,(OFFSET('Base de dados'!$A$4,IF(O1344&lt;20,1,IF(O1344&gt;1000,10,MATCH(O1344,Cargas,1))),Coluna_fis,1,1))*(PI()*(fi_s/1000)^2/4)*(2*9.81*(O1344/100-cota_s-fi_s/2/1000))^0.5*1000)))</f>
        <v>3.9157328039580954</v>
      </c>
      <c r="R1344" s="38">
        <f t="shared" ca="1" si="190"/>
        <v>8.807694433025695</v>
      </c>
      <c r="S1344" s="38">
        <f t="shared" ca="1" si="191"/>
        <v>419.6875</v>
      </c>
    </row>
    <row r="1345" spans="13:19">
      <c r="M1345" s="132">
        <f t="shared" ca="1" si="188"/>
        <v>428.81181163563758</v>
      </c>
      <c r="N1345" s="38">
        <f t="shared" si="189"/>
        <v>12.6</v>
      </c>
      <c r="O1345" s="36">
        <f t="shared" si="187"/>
        <v>336</v>
      </c>
      <c r="P1345" s="38">
        <f ca="1">IF(ISERROR(IF(O1345&lt;fi_h/20,0,(OFFSET('Base de dados'!$A$5,IF(O1345&lt;20,1,IF(O1345&gt;1000,10,MATCH(O1345,Cargas,1))),Coluna_fih,1,1))*(1+0.13*0.25)*(PI()*(fi_h/1000)^2/4)*SQRT(2*9.81*(O1345/100-fi_h/2/1000))*1000)),"",IF(O1345&lt;fi_h/20,0,(OFFSET('Base de dados'!$A$5,IF(O1345&lt;20,1,IF(O1345&gt;1000,10,MATCH(O1345,Cargas,1))),Coluna_fih,1,1))*(PI()*(fi_h/1000)^2/4)*SQRT(2*9.81*(O1345/100-fi_h/2/1000))*1000))</f>
        <v>4.8937921653606518</v>
      </c>
      <c r="Q1345" s="38">
        <f ca="1">IF(O1345="","",IF(Tipo_Vertedor="Retangular",IF(O1345&lt;=cota_s*100,0,IF(Tipo_Vertedor="Retangular",Cd_sr*Lef_sr*((O1345/100-cota_s)^(3/2))*1000)),IF(O1345&lt;=cota_s*100+fi_s/20,0,(OFFSET('Base de dados'!$A$4,IF(O1345&lt;20,1,IF(O1345&gt;1000,10,MATCH(O1345,Cargas,1))),Coluna_fis,1,1))*(PI()*(fi_s/1000)^2/4)*(2*9.81*(O1345/100-cota_s-fi_s/2/1000))^0.5*1000)))</f>
        <v>3.9180194702769278</v>
      </c>
      <c r="R1345" s="38">
        <f t="shared" ca="1" si="190"/>
        <v>8.8118116356375786</v>
      </c>
      <c r="S1345" s="38">
        <f t="shared" ca="1" si="191"/>
        <v>420</v>
      </c>
    </row>
    <row r="1346" spans="13:19">
      <c r="M1346" s="132">
        <f t="shared" ca="1" si="188"/>
        <v>429.12842682000382</v>
      </c>
      <c r="N1346" s="38">
        <f t="shared" si="189"/>
        <v>12.609375</v>
      </c>
      <c r="O1346" s="36">
        <f t="shared" si="187"/>
        <v>336.25</v>
      </c>
      <c r="P1346" s="38">
        <f ca="1">IF(ISERROR(IF(O1346&lt;fi_h/20,0,(OFFSET('Base de dados'!$A$5,IF(O1346&lt;20,1,IF(O1346&gt;1000,10,MATCH(O1346,Cargas,1))),Coluna_fih,1,1))*(1+0.13*0.25)*(PI()*(fi_h/1000)^2/4)*SQRT(2*9.81*(O1346/100-fi_h/2/1000))*1000)),"",IF(O1346&lt;fi_h/20,0,(OFFSET('Base de dados'!$A$5,IF(O1346&lt;20,1,IF(O1346&gt;1000,10,MATCH(O1346,Cargas,1))),Coluna_fih,1,1))*(PI()*(fi_h/1000)^2/4)*SQRT(2*9.81*(O1346/100-fi_h/2/1000))*1000))</f>
        <v>4.8956220171925935</v>
      </c>
      <c r="Q1346" s="38">
        <f ca="1">IF(O1346="","",IF(Tipo_Vertedor="Retangular",IF(O1346&lt;=cota_s*100,0,IF(Tipo_Vertedor="Retangular",Cd_sr*Lef_sr*((O1346/100-cota_s)^(3/2))*1000)),IF(O1346&lt;=cota_s*100+fi_s/20,0,(OFFSET('Base de dados'!$A$4,IF(O1346&lt;20,1,IF(O1346&gt;1000,10,MATCH(O1346,Cargas,1))),Coluna_fis,1,1))*(PI()*(fi_s/1000)^2/4)*(2*9.81*(O1346/100-cota_s-fi_s/2/1000))^0.5*1000)))</f>
        <v>3.9203048028112146</v>
      </c>
      <c r="R1346" s="38">
        <f t="shared" ca="1" si="190"/>
        <v>8.8159268200038081</v>
      </c>
      <c r="S1346" s="38">
        <f t="shared" ca="1" si="191"/>
        <v>420.3125</v>
      </c>
    </row>
    <row r="1347" spans="13:19">
      <c r="M1347" s="132">
        <f t="shared" ca="1" si="188"/>
        <v>429.44503998922283</v>
      </c>
      <c r="N1347" s="38">
        <f t="shared" si="189"/>
        <v>12.61875</v>
      </c>
      <c r="O1347" s="36">
        <f t="shared" si="187"/>
        <v>336.5</v>
      </c>
      <c r="P1347" s="38">
        <f ca="1">IF(ISERROR(IF(O1347&lt;fi_h/20,0,(OFFSET('Base de dados'!$A$5,IF(O1347&lt;20,1,IF(O1347&gt;1000,10,MATCH(O1347,Cargas,1))),Coluna_fih,1,1))*(1+0.13*0.25)*(PI()*(fi_h/1000)^2/4)*SQRT(2*9.81*(O1347/100-fi_h/2/1000))*1000)),"",IF(O1347&lt;fi_h/20,0,(OFFSET('Base de dados'!$A$5,IF(O1347&lt;20,1,IF(O1347&gt;1000,10,MATCH(O1347,Cargas,1))),Coluna_fih,1,1))*(PI()*(fi_h/1000)^2/4)*SQRT(2*9.81*(O1347/100-fi_h/2/1000))*1000))</f>
        <v>4.8974511853306364</v>
      </c>
      <c r="Q1347" s="38">
        <f ca="1">IF(O1347="","",IF(Tipo_Vertedor="Retangular",IF(O1347&lt;=cota_s*100,0,IF(Tipo_Vertedor="Retangular",Cd_sr*Lef_sr*((O1347/100-cota_s)^(3/2))*1000)),IF(O1347&lt;=cota_s*100+fi_s/20,0,(OFFSET('Base de dados'!$A$4,IF(O1347&lt;20,1,IF(O1347&gt;1000,10,MATCH(O1347,Cargas,1))),Coluna_fis,1,1))*(PI()*(fi_s/1000)^2/4)*(2*9.81*(O1347/100-cota_s-fi_s/2/1000))^0.5*1000)))</f>
        <v>3.9225888038921761</v>
      </c>
      <c r="R1347" s="38">
        <f t="shared" ca="1" si="190"/>
        <v>8.8200399892228134</v>
      </c>
      <c r="S1347" s="38">
        <f t="shared" ca="1" si="191"/>
        <v>420.625</v>
      </c>
    </row>
    <row r="1348" spans="13:19">
      <c r="M1348" s="132">
        <f t="shared" ca="1" si="188"/>
        <v>429.76165114638479</v>
      </c>
      <c r="N1348" s="38">
        <f t="shared" si="189"/>
        <v>12.628125000000001</v>
      </c>
      <c r="O1348" s="36">
        <f t="shared" si="187"/>
        <v>336.75</v>
      </c>
      <c r="P1348" s="38">
        <f ca="1">IF(ISERROR(IF(O1348&lt;fi_h/20,0,(OFFSET('Base de dados'!$A$5,IF(O1348&lt;20,1,IF(O1348&gt;1000,10,MATCH(O1348,Cargas,1))),Coluna_fih,1,1))*(1+0.13*0.25)*(PI()*(fi_h/1000)^2/4)*SQRT(2*9.81*(O1348/100-fi_h/2/1000))*1000)),"",IF(O1348&lt;fi_h/20,0,(OFFSET('Base de dados'!$A$5,IF(O1348&lt;20,1,IF(O1348&gt;1000,10,MATCH(O1348,Cargas,1))),Coluna_fih,1,1))*(PI()*(fi_h/1000)^2/4)*SQRT(2*9.81*(O1348/100-fi_h/2/1000))*1000))</f>
        <v>4.8992796705405599</v>
      </c>
      <c r="Q1348" s="38">
        <f ca="1">IF(O1348="","",IF(Tipo_Vertedor="Retangular",IF(O1348&lt;=cota_s*100,0,IF(Tipo_Vertedor="Retangular",Cd_sr*Lef_sr*((O1348/100-cota_s)^(3/2))*1000)),IF(O1348&lt;=cota_s*100+fi_s/20,0,(OFFSET('Base de dados'!$A$4,IF(O1348&lt;20,1,IF(O1348&gt;1000,10,MATCH(O1348,Cargas,1))),Coluna_fis,1,1))*(PI()*(fi_s/1000)^2/4)*(2*9.81*(O1348/100-cota_s-fi_s/2/1000))^0.5*1000)))</f>
        <v>3.9248714758442511</v>
      </c>
      <c r="R1348" s="38">
        <f t="shared" ca="1" si="190"/>
        <v>8.8241511463848106</v>
      </c>
      <c r="S1348" s="38">
        <f t="shared" ca="1" si="191"/>
        <v>420.9375</v>
      </c>
    </row>
    <row r="1349" spans="13:19">
      <c r="M1349" s="132">
        <f t="shared" ca="1" si="188"/>
        <v>430.07826029457192</v>
      </c>
      <c r="N1349" s="38">
        <f t="shared" si="189"/>
        <v>12.637500000000001</v>
      </c>
      <c r="O1349" s="36">
        <f t="shared" si="187"/>
        <v>337</v>
      </c>
      <c r="P1349" s="38">
        <f ca="1">IF(ISERROR(IF(O1349&lt;fi_h/20,0,(OFFSET('Base de dados'!$A$5,IF(O1349&lt;20,1,IF(O1349&gt;1000,10,MATCH(O1349,Cargas,1))),Coluna_fih,1,1))*(1+0.13*0.25)*(PI()*(fi_h/1000)^2/4)*SQRT(2*9.81*(O1349/100-fi_h/2/1000))*1000)),"",IF(O1349&lt;fi_h/20,0,(OFFSET('Base de dados'!$A$5,IF(O1349&lt;20,1,IF(O1349&gt;1000,10,MATCH(O1349,Cargas,1))),Coluna_fih,1,1))*(PI()*(fi_h/1000)^2/4)*SQRT(2*9.81*(O1349/100-fi_h/2/1000))*1000))</f>
        <v>4.9011074735867197</v>
      </c>
      <c r="Q1349" s="38">
        <f ca="1">IF(O1349="","",IF(Tipo_Vertedor="Retangular",IF(O1349&lt;=cota_s*100,0,IF(Tipo_Vertedor="Retangular",Cd_sr*Lef_sr*((O1349/100-cota_s)^(3/2))*1000)),IF(O1349&lt;=cota_s*100+fi_s/20,0,(OFFSET('Base de dados'!$A$4,IF(O1349&lt;20,1,IF(O1349&gt;1000,10,MATCH(O1349,Cargas,1))),Coluna_fis,1,1))*(PI()*(fi_s/1000)^2/4)*(2*9.81*(O1349/100-cota_s-fi_s/2/1000))^0.5*1000)))</f>
        <v>3.9271528209851225</v>
      </c>
      <c r="R1349" s="38">
        <f t="shared" ca="1" si="190"/>
        <v>8.8282602945718427</v>
      </c>
      <c r="S1349" s="38">
        <f t="shared" ca="1" si="191"/>
        <v>421.25000000000006</v>
      </c>
    </row>
    <row r="1350" spans="13:19">
      <c r="M1350" s="132">
        <f t="shared" ca="1" si="188"/>
        <v>430.39486743685779</v>
      </c>
      <c r="N1350" s="38">
        <f t="shared" si="189"/>
        <v>12.646875</v>
      </c>
      <c r="O1350" s="36">
        <f t="shared" si="187"/>
        <v>337.25</v>
      </c>
      <c r="P1350" s="38">
        <f ca="1">IF(ISERROR(IF(O1350&lt;fi_h/20,0,(OFFSET('Base de dados'!$A$5,IF(O1350&lt;20,1,IF(O1350&gt;1000,10,MATCH(O1350,Cargas,1))),Coluna_fih,1,1))*(1+0.13*0.25)*(PI()*(fi_h/1000)^2/4)*SQRT(2*9.81*(O1350/100-fi_h/2/1000))*1000)),"",IF(O1350&lt;fi_h/20,0,(OFFSET('Base de dados'!$A$5,IF(O1350&lt;20,1,IF(O1350&gt;1000,10,MATCH(O1350,Cargas,1))),Coluna_fih,1,1))*(PI()*(fi_h/1000)^2/4)*SQRT(2*9.81*(O1350/100-fi_h/2/1000))*1000))</f>
        <v>4.9029345952320398</v>
      </c>
      <c r="Q1350" s="38">
        <f ca="1">IF(O1350="","",IF(Tipo_Vertedor="Retangular",IF(O1350&lt;=cota_s*100,0,IF(Tipo_Vertedor="Retangular",Cd_sr*Lef_sr*((O1350/100-cota_s)^(3/2))*1000)),IF(O1350&lt;=cota_s*100+fi_s/20,0,(OFFSET('Base de dados'!$A$4,IF(O1350&lt;20,1,IF(O1350&gt;1000,10,MATCH(O1350,Cargas,1))),Coluna_fis,1,1))*(PI()*(fi_s/1000)^2/4)*(2*9.81*(O1350/100-cota_s-fi_s/2/1000))^0.5*1000)))</f>
        <v>3.9294328416257458</v>
      </c>
      <c r="R1350" s="38">
        <f t="shared" ca="1" si="190"/>
        <v>8.8323674368577851</v>
      </c>
      <c r="S1350" s="38">
        <f t="shared" ca="1" si="191"/>
        <v>421.5625</v>
      </c>
    </row>
    <row r="1351" spans="13:19">
      <c r="M1351" s="132">
        <f t="shared" ca="1" si="188"/>
        <v>430.71147257630838</v>
      </c>
      <c r="N1351" s="38">
        <f t="shared" si="189"/>
        <v>12.65625</v>
      </c>
      <c r="O1351" s="36">
        <f t="shared" si="187"/>
        <v>337.5</v>
      </c>
      <c r="P1351" s="38">
        <f ca="1">IF(ISERROR(IF(O1351&lt;fi_h/20,0,(OFFSET('Base de dados'!$A$5,IF(O1351&lt;20,1,IF(O1351&gt;1000,10,MATCH(O1351,Cargas,1))),Coluna_fih,1,1))*(1+0.13*0.25)*(PI()*(fi_h/1000)^2/4)*SQRT(2*9.81*(O1351/100-fi_h/2/1000))*1000)),"",IF(O1351&lt;fi_h/20,0,(OFFSET('Base de dados'!$A$5,IF(O1351&lt;20,1,IF(O1351&gt;1000,10,MATCH(O1351,Cargas,1))),Coluna_fih,1,1))*(PI()*(fi_h/1000)^2/4)*SQRT(2*9.81*(O1351/100-fi_h/2/1000))*1000))</f>
        <v>4.9047610362380292</v>
      </c>
      <c r="Q1351" s="38">
        <f ca="1">IF(O1351="","",IF(Tipo_Vertedor="Retangular",IF(O1351&lt;=cota_s*100,0,IF(Tipo_Vertedor="Retangular",Cd_sr*Lef_sr*((O1351/100-cota_s)^(3/2))*1000)),IF(O1351&lt;=cota_s*100+fi_s/20,0,(OFFSET('Base de dados'!$A$4,IF(O1351&lt;20,1,IF(O1351&gt;1000,10,MATCH(O1351,Cargas,1))),Coluna_fis,1,1))*(PI()*(fi_s/1000)^2/4)*(2*9.81*(O1351/100-cota_s-fi_s/2/1000))^0.5*1000)))</f>
        <v>3.9317115400703737</v>
      </c>
      <c r="R1351" s="38">
        <f t="shared" ca="1" si="190"/>
        <v>8.8364725763084024</v>
      </c>
      <c r="S1351" s="38">
        <f t="shared" ca="1" si="191"/>
        <v>421.875</v>
      </c>
    </row>
    <row r="1352" spans="13:19">
      <c r="M1352" s="132">
        <f t="shared" ca="1" si="188"/>
        <v>431.02807571598134</v>
      </c>
      <c r="N1352" s="38">
        <f t="shared" si="189"/>
        <v>12.665625</v>
      </c>
      <c r="O1352" s="36">
        <f t="shared" si="187"/>
        <v>337.75</v>
      </c>
      <c r="P1352" s="38">
        <f ca="1">IF(ISERROR(IF(O1352&lt;fi_h/20,0,(OFFSET('Base de dados'!$A$5,IF(O1352&lt;20,1,IF(O1352&gt;1000,10,MATCH(O1352,Cargas,1))),Coluna_fih,1,1))*(1+0.13*0.25)*(PI()*(fi_h/1000)^2/4)*SQRT(2*9.81*(O1352/100-fi_h/2/1000))*1000)),"",IF(O1352&lt;fi_h/20,0,(OFFSET('Base de dados'!$A$5,IF(O1352&lt;20,1,IF(O1352&gt;1000,10,MATCH(O1352,Cargas,1))),Coluna_fih,1,1))*(PI()*(fi_h/1000)^2/4)*SQRT(2*9.81*(O1352/100-fi_h/2/1000))*1000))</f>
        <v>4.906586797364775</v>
      </c>
      <c r="Q1352" s="38">
        <f ca="1">IF(O1352="","",IF(Tipo_Vertedor="Retangular",IF(O1352&lt;=cota_s*100,0,IF(Tipo_Vertedor="Retangular",Cd_sr*Lef_sr*((O1352/100-cota_s)^(3/2))*1000)),IF(O1352&lt;=cota_s*100+fi_s/20,0,(OFFSET('Base de dados'!$A$4,IF(O1352&lt;20,1,IF(O1352&gt;1000,10,MATCH(O1352,Cargas,1))),Coluna_fis,1,1))*(PI()*(fi_s/1000)^2/4)*(2*9.81*(O1352/100-cota_s-fi_s/2/1000))^0.5*1000)))</f>
        <v>3.9339889186165911</v>
      </c>
      <c r="R1352" s="38">
        <f t="shared" ca="1" si="190"/>
        <v>8.840575715981366</v>
      </c>
      <c r="S1352" s="38">
        <f t="shared" ca="1" si="191"/>
        <v>422.1875</v>
      </c>
    </row>
    <row r="1353" spans="13:19">
      <c r="M1353" s="132">
        <f t="shared" ca="1" si="188"/>
        <v>431.34467685892622</v>
      </c>
      <c r="N1353" s="38">
        <f t="shared" si="189"/>
        <v>12.674999999999999</v>
      </c>
      <c r="O1353" s="36">
        <f t="shared" si="187"/>
        <v>338</v>
      </c>
      <c r="P1353" s="38">
        <f ca="1">IF(ISERROR(IF(O1353&lt;fi_h/20,0,(OFFSET('Base de dados'!$A$5,IF(O1353&lt;20,1,IF(O1353&gt;1000,10,MATCH(O1353,Cargas,1))),Coluna_fih,1,1))*(1+0.13*0.25)*(PI()*(fi_h/1000)^2/4)*SQRT(2*9.81*(O1353/100-fi_h/2/1000))*1000)),"",IF(O1353&lt;fi_h/20,0,(OFFSET('Base de dados'!$A$5,IF(O1353&lt;20,1,IF(O1353&gt;1000,10,MATCH(O1353,Cargas,1))),Coluna_fih,1,1))*(PI()*(fi_h/1000)^2/4)*SQRT(2*9.81*(O1353/100-fi_h/2/1000))*1000))</f>
        <v>4.9084118793709539</v>
      </c>
      <c r="Q1353" s="38">
        <f ca="1">IF(O1353="","",IF(Tipo_Vertedor="Retangular",IF(O1353&lt;=cota_s*100,0,IF(Tipo_Vertedor="Retangular",Cd_sr*Lef_sr*((O1353/100-cota_s)^(3/2))*1000)),IF(O1353&lt;=cota_s*100+fi_s/20,0,(OFFSET('Base de dados'!$A$4,IF(O1353&lt;20,1,IF(O1353&gt;1000,10,MATCH(O1353,Cargas,1))),Coluna_fis,1,1))*(PI()*(fi_s/1000)^2/4)*(2*9.81*(O1353/100-cota_s-fi_s/2/1000))^0.5*1000)))</f>
        <v>3.9362649795553275</v>
      </c>
      <c r="R1353" s="38">
        <f t="shared" ca="1" si="190"/>
        <v>8.844676858926281</v>
      </c>
      <c r="S1353" s="38">
        <f t="shared" ca="1" si="191"/>
        <v>422.49999999999994</v>
      </c>
    </row>
    <row r="1354" spans="13:19">
      <c r="M1354" s="132">
        <f t="shared" ca="1" si="188"/>
        <v>431.66127600818476</v>
      </c>
      <c r="N1354" s="38">
        <f t="shared" si="189"/>
        <v>12.684374999999999</v>
      </c>
      <c r="O1354" s="36">
        <f t="shared" si="187"/>
        <v>338.25</v>
      </c>
      <c r="P1354" s="38">
        <f ca="1">IF(ISERROR(IF(O1354&lt;fi_h/20,0,(OFFSET('Base de dados'!$A$5,IF(O1354&lt;20,1,IF(O1354&gt;1000,10,MATCH(O1354,Cargas,1))),Coluna_fih,1,1))*(1+0.13*0.25)*(PI()*(fi_h/1000)^2/4)*SQRT(2*9.81*(O1354/100-fi_h/2/1000))*1000)),"",IF(O1354&lt;fi_h/20,0,(OFFSET('Base de dados'!$A$5,IF(O1354&lt;20,1,IF(O1354&gt;1000,10,MATCH(O1354,Cargas,1))),Coluna_fih,1,1))*(PI()*(fi_h/1000)^2/4)*SQRT(2*9.81*(O1354/100-fi_h/2/1000))*1000))</f>
        <v>4.9102362830138295</v>
      </c>
      <c r="Q1354" s="38">
        <f ca="1">IF(O1354="","",IF(Tipo_Vertedor="Retangular",IF(O1354&lt;=cota_s*100,0,IF(Tipo_Vertedor="Retangular",Cd_sr*Lef_sr*((O1354/100-cota_s)^(3/2))*1000)),IF(O1354&lt;=cota_s*100+fi_s/20,0,(OFFSET('Base de dados'!$A$4,IF(O1354&lt;20,1,IF(O1354&gt;1000,10,MATCH(O1354,Cargas,1))),Coluna_fis,1,1))*(PI()*(fi_s/1000)^2/4)*(2*9.81*(O1354/100-cota_s-fi_s/2/1000))^0.5*1000)))</f>
        <v>3.938539725170902</v>
      </c>
      <c r="R1354" s="38">
        <f t="shared" ca="1" si="190"/>
        <v>8.848776008184732</v>
      </c>
      <c r="S1354" s="38">
        <f t="shared" ca="1" si="191"/>
        <v>422.8125</v>
      </c>
    </row>
    <row r="1355" spans="13:19">
      <c r="M1355" s="132">
        <f t="shared" ca="1" si="188"/>
        <v>431.97787316679029</v>
      </c>
      <c r="N1355" s="38">
        <f t="shared" si="189"/>
        <v>12.69375</v>
      </c>
      <c r="O1355" s="36">
        <f t="shared" si="187"/>
        <v>338.5</v>
      </c>
      <c r="P1355" s="38">
        <f ca="1">IF(ISERROR(IF(O1355&lt;fi_h/20,0,(OFFSET('Base de dados'!$A$5,IF(O1355&lt;20,1,IF(O1355&gt;1000,10,MATCH(O1355,Cargas,1))),Coluna_fih,1,1))*(1+0.13*0.25)*(PI()*(fi_h/1000)^2/4)*SQRT(2*9.81*(O1355/100-fi_h/2/1000))*1000)),"",IF(O1355&lt;fi_h/20,0,(OFFSET('Base de dados'!$A$5,IF(O1355&lt;20,1,IF(O1355&gt;1000,10,MATCH(O1355,Cargas,1))),Coluna_fih,1,1))*(PI()*(fi_h/1000)^2/4)*SQRT(2*9.81*(O1355/100-fi_h/2/1000))*1000))</f>
        <v>4.912060009049263</v>
      </c>
      <c r="Q1355" s="38">
        <f ca="1">IF(O1355="","",IF(Tipo_Vertedor="Retangular",IF(O1355&lt;=cota_s*100,0,IF(Tipo_Vertedor="Retangular",Cd_sr*Lef_sr*((O1355/100-cota_s)^(3/2))*1000)),IF(O1355&lt;=cota_s*100+fi_s/20,0,(OFFSET('Base de dados'!$A$4,IF(O1355&lt;20,1,IF(O1355&gt;1000,10,MATCH(O1355,Cargas,1))),Coluna_fis,1,1))*(PI()*(fi_s/1000)^2/4)*(2*9.81*(O1355/100-cota_s-fi_s/2/1000))^0.5*1000)))</f>
        <v>3.9408131577410335</v>
      </c>
      <c r="R1355" s="38">
        <f t="shared" ca="1" si="190"/>
        <v>8.852873166790296</v>
      </c>
      <c r="S1355" s="38">
        <f t="shared" ca="1" si="191"/>
        <v>423.125</v>
      </c>
    </row>
    <row r="1356" spans="13:19">
      <c r="M1356" s="132">
        <f t="shared" ca="1" si="188"/>
        <v>432.29446833776859</v>
      </c>
      <c r="N1356" s="38">
        <f t="shared" si="189"/>
        <v>12.703125</v>
      </c>
      <c r="O1356" s="36">
        <f t="shared" si="187"/>
        <v>338.75</v>
      </c>
      <c r="P1356" s="38">
        <f ca="1">IF(ISERROR(IF(O1356&lt;fi_h/20,0,(OFFSET('Base de dados'!$A$5,IF(O1356&lt;20,1,IF(O1356&gt;1000,10,MATCH(O1356,Cargas,1))),Coluna_fih,1,1))*(1+0.13*0.25)*(PI()*(fi_h/1000)^2/4)*SQRT(2*9.81*(O1356/100-fi_h/2/1000))*1000)),"",IF(O1356&lt;fi_h/20,0,(OFFSET('Base de dados'!$A$5,IF(O1356&lt;20,1,IF(O1356&gt;1000,10,MATCH(O1356,Cargas,1))),Coluna_fih,1,1))*(PI()*(fi_h/1000)^2/4)*SQRT(2*9.81*(O1356/100-fi_h/2/1000))*1000))</f>
        <v>4.9138830582317112</v>
      </c>
      <c r="Q1356" s="38">
        <f ca="1">IF(O1356="","",IF(Tipo_Vertedor="Retangular",IF(O1356&lt;=cota_s*100,0,IF(Tipo_Vertedor="Retangular",Cd_sr*Lef_sr*((O1356/100-cota_s)^(3/2))*1000)),IF(O1356&lt;=cota_s*100+fi_s/20,0,(OFFSET('Base de dados'!$A$4,IF(O1356&lt;20,1,IF(O1356&gt;1000,10,MATCH(O1356,Cargas,1))),Coluna_fis,1,1))*(PI()*(fi_s/1000)^2/4)*(2*9.81*(O1356/100-cota_s-fi_s/2/1000))^0.5*1000)))</f>
        <v>3.9430852795368794</v>
      </c>
      <c r="R1356" s="38">
        <f t="shared" ca="1" si="190"/>
        <v>8.8569683377685902</v>
      </c>
      <c r="S1356" s="38">
        <f t="shared" ca="1" si="191"/>
        <v>423.4375</v>
      </c>
    </row>
    <row r="1357" spans="13:19">
      <c r="M1357" s="132">
        <f t="shared" ca="1" si="188"/>
        <v>432.61106152413731</v>
      </c>
      <c r="N1357" s="38">
        <f t="shared" si="189"/>
        <v>12.7125</v>
      </c>
      <c r="O1357" s="36">
        <f t="shared" si="187"/>
        <v>339</v>
      </c>
      <c r="P1357" s="38">
        <f ca="1">IF(ISERROR(IF(O1357&lt;fi_h/20,0,(OFFSET('Base de dados'!$A$5,IF(O1357&lt;20,1,IF(O1357&gt;1000,10,MATCH(O1357,Cargas,1))),Coluna_fih,1,1))*(1+0.13*0.25)*(PI()*(fi_h/1000)^2/4)*SQRT(2*9.81*(O1357/100-fi_h/2/1000))*1000)),"",IF(O1357&lt;fi_h/20,0,(OFFSET('Base de dados'!$A$5,IF(O1357&lt;20,1,IF(O1357&gt;1000,10,MATCH(O1357,Cargas,1))),Coluna_fih,1,1))*(PI()*(fi_h/1000)^2/4)*SQRT(2*9.81*(O1357/100-fi_h/2/1000))*1000))</f>
        <v>4.9157054313142288</v>
      </c>
      <c r="Q1357" s="38">
        <f ca="1">IF(O1357="","",IF(Tipo_Vertedor="Retangular",IF(O1357&lt;=cota_s*100,0,IF(Tipo_Vertedor="Retangular",Cd_sr*Lef_sr*((O1357/100-cota_s)^(3/2))*1000)),IF(O1357&lt;=cota_s*100+fi_s/20,0,(OFFSET('Base de dados'!$A$4,IF(O1357&lt;20,1,IF(O1357&gt;1000,10,MATCH(O1357,Cargas,1))),Coluna_fis,1,1))*(PI()*(fi_s/1000)^2/4)*(2*9.81*(O1357/100-cota_s-fi_s/2/1000))^0.5*1000)))</f>
        <v>3.9453560928230553</v>
      </c>
      <c r="R1357" s="38">
        <f t="shared" ca="1" si="190"/>
        <v>8.8610615241372841</v>
      </c>
      <c r="S1357" s="38">
        <f t="shared" ca="1" si="191"/>
        <v>423.75</v>
      </c>
    </row>
    <row r="1358" spans="13:19">
      <c r="M1358" s="132">
        <f t="shared" ca="1" si="188"/>
        <v>432.92765272890614</v>
      </c>
      <c r="N1358" s="38">
        <f t="shared" si="189"/>
        <v>12.721875000000001</v>
      </c>
      <c r="O1358" s="36">
        <f t="shared" si="187"/>
        <v>339.25</v>
      </c>
      <c r="P1358" s="38">
        <f ca="1">IF(ISERROR(IF(O1358&lt;fi_h/20,0,(OFFSET('Base de dados'!$A$5,IF(O1358&lt;20,1,IF(O1358&gt;1000,10,MATCH(O1358,Cargas,1))),Coluna_fih,1,1))*(1+0.13*0.25)*(PI()*(fi_h/1000)^2/4)*SQRT(2*9.81*(O1358/100-fi_h/2/1000))*1000)),"",IF(O1358&lt;fi_h/20,0,(OFFSET('Base de dados'!$A$5,IF(O1358&lt;20,1,IF(O1358&gt;1000,10,MATCH(O1358,Cargas,1))),Coluna_fih,1,1))*(PI()*(fi_h/1000)^2/4)*SQRT(2*9.81*(O1358/100-fi_h/2/1000))*1000))</f>
        <v>4.9175271290484801</v>
      </c>
      <c r="Q1358" s="38">
        <f ca="1">IF(O1358="","",IF(Tipo_Vertedor="Retangular",IF(O1358&lt;=cota_s*100,0,IF(Tipo_Vertedor="Retangular",Cd_sr*Lef_sr*((O1358/100-cota_s)^(3/2))*1000)),IF(O1358&lt;=cota_s*100+fi_s/20,0,(OFFSET('Base de dados'!$A$4,IF(O1358&lt;20,1,IF(O1358&gt;1000,10,MATCH(O1358,Cargas,1))),Coluna_fis,1,1))*(PI()*(fi_s/1000)^2/4)*(2*9.81*(O1358/100-cota_s-fi_s/2/1000))^0.5*1000)))</f>
        <v>3.9476255998576644</v>
      </c>
      <c r="R1358" s="38">
        <f t="shared" ca="1" si="190"/>
        <v>8.8651527289061445</v>
      </c>
      <c r="S1358" s="38">
        <f t="shared" ca="1" si="191"/>
        <v>424.0625</v>
      </c>
    </row>
    <row r="1359" spans="13:19">
      <c r="M1359" s="132">
        <f t="shared" ca="1" si="188"/>
        <v>433.24424195507703</v>
      </c>
      <c r="N1359" s="38">
        <f t="shared" si="189"/>
        <v>12.731249999999999</v>
      </c>
      <c r="O1359" s="36">
        <f t="shared" si="187"/>
        <v>339.5</v>
      </c>
      <c r="P1359" s="38">
        <f ca="1">IF(ISERROR(IF(O1359&lt;fi_h/20,0,(OFFSET('Base de dados'!$A$5,IF(O1359&lt;20,1,IF(O1359&gt;1000,10,MATCH(O1359,Cargas,1))),Coluna_fih,1,1))*(1+0.13*0.25)*(PI()*(fi_h/1000)^2/4)*SQRT(2*9.81*(O1359/100-fi_h/2/1000))*1000)),"",IF(O1359&lt;fi_h/20,0,(OFFSET('Base de dados'!$A$5,IF(O1359&lt;20,1,IF(O1359&gt;1000,10,MATCH(O1359,Cargas,1))),Coluna_fih,1,1))*(PI()*(fi_h/1000)^2/4)*SQRT(2*9.81*(O1359/100-fi_h/2/1000))*1000))</f>
        <v>4.9193481521847335</v>
      </c>
      <c r="Q1359" s="38">
        <f ca="1">IF(O1359="","",IF(Tipo_Vertedor="Retangular",IF(O1359&lt;=cota_s*100,0,IF(Tipo_Vertedor="Retangular",Cd_sr*Lef_sr*((O1359/100-cota_s)^(3/2))*1000)),IF(O1359&lt;=cota_s*100+fi_s/20,0,(OFFSET('Base de dados'!$A$4,IF(O1359&lt;20,1,IF(O1359&gt;1000,10,MATCH(O1359,Cargas,1))),Coluna_fis,1,1))*(PI()*(fi_s/1000)^2/4)*(2*9.81*(O1359/100-cota_s-fi_s/2/1000))^0.5*1000)))</f>
        <v>3.9498938028923205</v>
      </c>
      <c r="R1359" s="38">
        <f t="shared" ca="1" si="190"/>
        <v>8.8692419550770545</v>
      </c>
      <c r="S1359" s="38">
        <f t="shared" ca="1" si="191"/>
        <v>424.375</v>
      </c>
    </row>
    <row r="1360" spans="13:19">
      <c r="M1360" s="132">
        <f t="shared" ca="1" si="188"/>
        <v>433.56082920564404</v>
      </c>
      <c r="N1360" s="38">
        <f t="shared" si="189"/>
        <v>12.740625</v>
      </c>
      <c r="O1360" s="36">
        <f t="shared" si="187"/>
        <v>339.75</v>
      </c>
      <c r="P1360" s="38">
        <f ca="1">IF(ISERROR(IF(O1360&lt;fi_h/20,0,(OFFSET('Base de dados'!$A$5,IF(O1360&lt;20,1,IF(O1360&gt;1000,10,MATCH(O1360,Cargas,1))),Coluna_fih,1,1))*(1+0.13*0.25)*(PI()*(fi_h/1000)^2/4)*SQRT(2*9.81*(O1360/100-fi_h/2/1000))*1000)),"",IF(O1360&lt;fi_h/20,0,(OFFSET('Base de dados'!$A$5,IF(O1360&lt;20,1,IF(O1360&gt;1000,10,MATCH(O1360,Cargas,1))),Coluna_fih,1,1))*(PI()*(fi_h/1000)^2/4)*SQRT(2*9.81*(O1360/100-fi_h/2/1000))*1000))</f>
        <v>4.9211685014718736</v>
      </c>
      <c r="Q1360" s="38">
        <f ca="1">IF(O1360="","",IF(Tipo_Vertedor="Retangular",IF(O1360&lt;=cota_s*100,0,IF(Tipo_Vertedor="Retangular",Cd_sr*Lef_sr*((O1360/100-cota_s)^(3/2))*1000)),IF(O1360&lt;=cota_s*100+fi_s/20,0,(OFFSET('Base de dados'!$A$4,IF(O1360&lt;20,1,IF(O1360&gt;1000,10,MATCH(O1360,Cargas,1))),Coluna_fis,1,1))*(PI()*(fi_s/1000)^2/4)*(2*9.81*(O1360/100-cota_s-fi_s/2/1000))^0.5*1000)))</f>
        <v>3.9521607041721785</v>
      </c>
      <c r="R1360" s="38">
        <f t="shared" ca="1" si="190"/>
        <v>8.8733292056440511</v>
      </c>
      <c r="S1360" s="38">
        <f t="shared" ca="1" si="191"/>
        <v>424.6875</v>
      </c>
    </row>
    <row r="1361" spans="13:19">
      <c r="M1361" s="132">
        <f t="shared" ca="1" si="188"/>
        <v>433.87741448359338</v>
      </c>
      <c r="N1361" s="38">
        <f t="shared" si="189"/>
        <v>12.75</v>
      </c>
      <c r="O1361" s="36">
        <f t="shared" si="187"/>
        <v>340</v>
      </c>
      <c r="P1361" s="38">
        <f ca="1">IF(ISERROR(IF(O1361&lt;fi_h/20,0,(OFFSET('Base de dados'!$A$5,IF(O1361&lt;20,1,IF(O1361&gt;1000,10,MATCH(O1361,Cargas,1))),Coluna_fih,1,1))*(1+0.13*0.25)*(PI()*(fi_h/1000)^2/4)*SQRT(2*9.81*(O1361/100-fi_h/2/1000))*1000)),"",IF(O1361&lt;fi_h/20,0,(OFFSET('Base de dados'!$A$5,IF(O1361&lt;20,1,IF(O1361&gt;1000,10,MATCH(O1361,Cargas,1))),Coluna_fih,1,1))*(PI()*(fi_h/1000)^2/4)*SQRT(2*9.81*(O1361/100-fi_h/2/1000))*1000))</f>
        <v>4.9229881776573974</v>
      </c>
      <c r="Q1361" s="38">
        <f ca="1">IF(O1361="","",IF(Tipo_Vertedor="Retangular",IF(O1361&lt;=cota_s*100,0,IF(Tipo_Vertedor="Retangular",Cd_sr*Lef_sr*((O1361/100-cota_s)^(3/2))*1000)),IF(O1361&lt;=cota_s*100+fi_s/20,0,(OFFSET('Base de dados'!$A$4,IF(O1361&lt;20,1,IF(O1361&gt;1000,10,MATCH(O1361,Cargas,1))),Coluna_fis,1,1))*(PI()*(fi_s/1000)^2/4)*(2*9.81*(O1361/100-cota_s-fi_s/2/1000))^0.5*1000)))</f>
        <v>3.9544263059359586</v>
      </c>
      <c r="R1361" s="38">
        <f t="shared" ca="1" si="190"/>
        <v>8.8774144835933555</v>
      </c>
      <c r="S1361" s="38">
        <f t="shared" ca="1" si="191"/>
        <v>425</v>
      </c>
    </row>
    <row r="1362" spans="13:19">
      <c r="M1362" s="132">
        <f t="shared" ca="1" si="188"/>
        <v>434.19399779190331</v>
      </c>
      <c r="N1362" s="38">
        <f t="shared" si="189"/>
        <v>12.759374999999999</v>
      </c>
      <c r="O1362" s="36">
        <f t="shared" si="187"/>
        <v>340.25</v>
      </c>
      <c r="P1362" s="38">
        <f ca="1">IF(ISERROR(IF(O1362&lt;fi_h/20,0,(OFFSET('Base de dados'!$A$5,IF(O1362&lt;20,1,IF(O1362&gt;1000,10,MATCH(O1362,Cargas,1))),Coluna_fih,1,1))*(1+0.13*0.25)*(PI()*(fi_h/1000)^2/4)*SQRT(2*9.81*(O1362/100-fi_h/2/1000))*1000)),"",IF(O1362&lt;fi_h/20,0,(OFFSET('Base de dados'!$A$5,IF(O1362&lt;20,1,IF(O1362&gt;1000,10,MATCH(O1362,Cargas,1))),Coluna_fih,1,1))*(PI()*(fi_h/1000)^2/4)*SQRT(2*9.81*(O1362/100-fi_h/2/1000))*1000))</f>
        <v>4.924807181487421</v>
      </c>
      <c r="Q1362" s="38">
        <f ca="1">IF(O1362="","",IF(Tipo_Vertedor="Retangular",IF(O1362&lt;=cota_s*100,0,IF(Tipo_Vertedor="Retangular",Cd_sr*Lef_sr*((O1362/100-cota_s)^(3/2))*1000)),IF(O1362&lt;=cota_s*100+fi_s/20,0,(OFFSET('Base de dados'!$A$4,IF(O1362&lt;20,1,IF(O1362&gt;1000,10,MATCH(O1362,Cargas,1))),Coluna_fis,1,1))*(PI()*(fi_s/1000)^2/4)*(2*9.81*(O1362/100-cota_s-fi_s/2/1000))^0.5*1000)))</f>
        <v>3.9566906104159676</v>
      </c>
      <c r="R1362" s="38">
        <f t="shared" ca="1" si="190"/>
        <v>8.8814977919033886</v>
      </c>
      <c r="S1362" s="38">
        <f t="shared" ca="1" si="191"/>
        <v>425.31249999999994</v>
      </c>
    </row>
    <row r="1363" spans="13:19">
      <c r="M1363" s="132">
        <f t="shared" ca="1" si="188"/>
        <v>434.51057913354475</v>
      </c>
      <c r="N1363" s="38">
        <f t="shared" si="189"/>
        <v>12.768749999999999</v>
      </c>
      <c r="O1363" s="36">
        <f t="shared" ref="O1363:O1426" si="192">IF(ISERROR(IF(O1362+passo_altura&gt;h_max_puls*100,"",O1362+passo_altura)),"",IF(O1362+passo_altura&gt;h_max_puls*100,"",O1362+passo_altura))</f>
        <v>340.5</v>
      </c>
      <c r="P1363" s="38">
        <f ca="1">IF(ISERROR(IF(O1363&lt;fi_h/20,0,(OFFSET('Base de dados'!$A$5,IF(O1363&lt;20,1,IF(O1363&gt;1000,10,MATCH(O1363,Cargas,1))),Coluna_fih,1,1))*(1+0.13*0.25)*(PI()*(fi_h/1000)^2/4)*SQRT(2*9.81*(O1363/100-fi_h/2/1000))*1000)),"",IF(O1363&lt;fi_h/20,0,(OFFSET('Base de dados'!$A$5,IF(O1363&lt;20,1,IF(O1363&gt;1000,10,MATCH(O1363,Cargas,1))),Coluna_fih,1,1))*(PI()*(fi_h/1000)^2/4)*SQRT(2*9.81*(O1363/100-fi_h/2/1000))*1000))</f>
        <v>4.9266255137066848</v>
      </c>
      <c r="Q1363" s="38">
        <f ca="1">IF(O1363="","",IF(Tipo_Vertedor="Retangular",IF(O1363&lt;=cota_s*100,0,IF(Tipo_Vertedor="Retangular",Cd_sr*Lef_sr*((O1363/100-cota_s)^(3/2))*1000)),IF(O1363&lt;=cota_s*100+fi_s/20,0,(OFFSET('Base de dados'!$A$4,IF(O1363&lt;20,1,IF(O1363&gt;1000,10,MATCH(O1363,Cargas,1))),Coluna_fis,1,1))*(PI()*(fi_s/1000)^2/4)*(2*9.81*(O1363/100-cota_s-fi_s/2/1000))^0.5*1000)))</f>
        <v>3.9589536198381334</v>
      </c>
      <c r="R1363" s="38">
        <f t="shared" ca="1" si="190"/>
        <v>8.8855791335448178</v>
      </c>
      <c r="S1363" s="38">
        <f t="shared" ca="1" si="191"/>
        <v>425.62499999999994</v>
      </c>
    </row>
    <row r="1364" spans="13:19">
      <c r="M1364" s="132">
        <f t="shared" ca="1" si="188"/>
        <v>434.82715851148066</v>
      </c>
      <c r="N1364" s="38">
        <f t="shared" si="189"/>
        <v>12.778125000000001</v>
      </c>
      <c r="O1364" s="36">
        <f t="shared" si="192"/>
        <v>340.75</v>
      </c>
      <c r="P1364" s="38">
        <f ca="1">IF(ISERROR(IF(O1364&lt;fi_h/20,0,(OFFSET('Base de dados'!$A$5,IF(O1364&lt;20,1,IF(O1364&gt;1000,10,MATCH(O1364,Cargas,1))),Coluna_fih,1,1))*(1+0.13*0.25)*(PI()*(fi_h/1000)^2/4)*SQRT(2*9.81*(O1364/100-fi_h/2/1000))*1000)),"",IF(O1364&lt;fi_h/20,0,(OFFSET('Base de dados'!$A$5,IF(O1364&lt;20,1,IF(O1364&gt;1000,10,MATCH(O1364,Cargas,1))),Coluna_fih,1,1))*(PI()*(fi_h/1000)^2/4)*SQRT(2*9.81*(O1364/100-fi_h/2/1000))*1000))</f>
        <v>4.928443175058554</v>
      </c>
      <c r="Q1364" s="38">
        <f ca="1">IF(O1364="","",IF(Tipo_Vertedor="Retangular",IF(O1364&lt;=cota_s*100,0,IF(Tipo_Vertedor="Retangular",Cd_sr*Lef_sr*((O1364/100-cota_s)^(3/2))*1000)),IF(O1364&lt;=cota_s*100+fi_s/20,0,(OFFSET('Base de dados'!$A$4,IF(O1364&lt;20,1,IF(O1364&gt;1000,10,MATCH(O1364,Cargas,1))),Coluna_fis,1,1))*(PI()*(fi_s/1000)^2/4)*(2*9.81*(O1364/100-cota_s-fi_s/2/1000))^0.5*1000)))</f>
        <v>3.9612153364220228</v>
      </c>
      <c r="R1364" s="38">
        <f t="shared" ca="1" si="190"/>
        <v>8.889658511480576</v>
      </c>
      <c r="S1364" s="38">
        <f t="shared" ca="1" si="191"/>
        <v>425.93750000000006</v>
      </c>
    </row>
    <row r="1365" spans="13:19">
      <c r="M1365" s="132">
        <f t="shared" ca="1" si="188"/>
        <v>435.14373592866593</v>
      </c>
      <c r="N1365" s="38">
        <f t="shared" si="189"/>
        <v>12.787500000000001</v>
      </c>
      <c r="O1365" s="36">
        <f t="shared" si="192"/>
        <v>341</v>
      </c>
      <c r="P1365" s="38">
        <f ca="1">IF(ISERROR(IF(O1365&lt;fi_h/20,0,(OFFSET('Base de dados'!$A$5,IF(O1365&lt;20,1,IF(O1365&gt;1000,10,MATCH(O1365,Cargas,1))),Coluna_fih,1,1))*(1+0.13*0.25)*(PI()*(fi_h/1000)^2/4)*SQRT(2*9.81*(O1365/100-fi_h/2/1000))*1000)),"",IF(O1365&lt;fi_h/20,0,(OFFSET('Base de dados'!$A$5,IF(O1365&lt;20,1,IF(O1365&gt;1000,10,MATCH(O1365,Cargas,1))),Coluna_fih,1,1))*(PI()*(fi_h/1000)^2/4)*SQRT(2*9.81*(O1365/100-fi_h/2/1000))*1000))</f>
        <v>4.9302601662850218</v>
      </c>
      <c r="Q1365" s="38">
        <f ca="1">IF(O1365="","",IF(Tipo_Vertedor="Retangular",IF(O1365&lt;=cota_s*100,0,IF(Tipo_Vertedor="Retangular",Cd_sr*Lef_sr*((O1365/100-cota_s)^(3/2))*1000)),IF(O1365&lt;=cota_s*100+fi_s/20,0,(OFFSET('Base de dados'!$A$4,IF(O1365&lt;20,1,IF(O1365&gt;1000,10,MATCH(O1365,Cargas,1))),Coluna_fis,1,1))*(PI()*(fi_s/1000)^2/4)*(2*9.81*(O1365/100-cota_s-fi_s/2/1000))^0.5*1000)))</f>
        <v>3.9634757623808685</v>
      </c>
      <c r="R1365" s="38">
        <f t="shared" ca="1" si="190"/>
        <v>8.8937359286658904</v>
      </c>
      <c r="S1365" s="38">
        <f t="shared" ca="1" si="191"/>
        <v>426.25000000000006</v>
      </c>
    </row>
    <row r="1366" spans="13:19">
      <c r="M1366" s="132">
        <f t="shared" ca="1" si="188"/>
        <v>435.4603113880483</v>
      </c>
      <c r="N1366" s="38">
        <f t="shared" si="189"/>
        <v>12.796875</v>
      </c>
      <c r="O1366" s="36">
        <f t="shared" si="192"/>
        <v>341.25</v>
      </c>
      <c r="P1366" s="38">
        <f ca="1">IF(ISERROR(IF(O1366&lt;fi_h/20,0,(OFFSET('Base de dados'!$A$5,IF(O1366&lt;20,1,IF(O1366&gt;1000,10,MATCH(O1366,Cargas,1))),Coluna_fih,1,1))*(1+0.13*0.25)*(PI()*(fi_h/1000)^2/4)*SQRT(2*9.81*(O1366/100-fi_h/2/1000))*1000)),"",IF(O1366&lt;fi_h/20,0,(OFFSET('Base de dados'!$A$5,IF(O1366&lt;20,1,IF(O1366&gt;1000,10,MATCH(O1366,Cargas,1))),Coluna_fih,1,1))*(PI()*(fi_h/1000)^2/4)*SQRT(2*9.81*(O1366/100-fi_h/2/1000))*1000))</f>
        <v>4.9320764881267181</v>
      </c>
      <c r="Q1366" s="38">
        <f ca="1">IF(O1366="","",IF(Tipo_Vertedor="Retangular",IF(O1366&lt;=cota_s*100,0,IF(Tipo_Vertedor="Retangular",Cd_sr*Lef_sr*((O1366/100-cota_s)^(3/2))*1000)),IF(O1366&lt;=cota_s*100+fi_s/20,0,(OFFSET('Base de dados'!$A$4,IF(O1366&lt;20,1,IF(O1366&gt;1000,10,MATCH(O1366,Cargas,1))),Coluna_fis,1,1))*(PI()*(fi_s/1000)^2/4)*(2*9.81*(O1366/100-cota_s-fi_s/2/1000))^0.5*1000)))</f>
        <v>3.9657348999216011</v>
      </c>
      <c r="R1366" s="38">
        <f t="shared" ca="1" si="190"/>
        <v>8.8978113880483196</v>
      </c>
      <c r="S1366" s="38">
        <f t="shared" ca="1" si="191"/>
        <v>426.5625</v>
      </c>
    </row>
    <row r="1367" spans="13:19">
      <c r="M1367" s="132">
        <f t="shared" ref="M1367:M1430" ca="1" si="193">IF(O1367="","",2*N1367*1000/(Passo*60)+R1367)</f>
        <v>435.77688489256775</v>
      </c>
      <c r="N1367" s="38">
        <f t="shared" ref="N1367:N1430" si="194">IF(O1367="","",b_0*(O1367/100)^c_0)</f>
        <v>12.80625</v>
      </c>
      <c r="O1367" s="36">
        <f t="shared" si="192"/>
        <v>341.5</v>
      </c>
      <c r="P1367" s="38">
        <f ca="1">IF(ISERROR(IF(O1367&lt;fi_h/20,0,(OFFSET('Base de dados'!$A$5,IF(O1367&lt;20,1,IF(O1367&gt;1000,10,MATCH(O1367,Cargas,1))),Coluna_fih,1,1))*(1+0.13*0.25)*(PI()*(fi_h/1000)^2/4)*SQRT(2*9.81*(O1367/100-fi_h/2/1000))*1000)),"",IF(O1367&lt;fi_h/20,0,(OFFSET('Base de dados'!$A$5,IF(O1367&lt;20,1,IF(O1367&gt;1000,10,MATCH(O1367,Cargas,1))),Coluna_fih,1,1))*(PI()*(fi_h/1000)^2/4)*SQRT(2*9.81*(O1367/100-fi_h/2/1000))*1000))</f>
        <v>4.9338921413229091</v>
      </c>
      <c r="Q1367" s="38">
        <f ca="1">IF(O1367="","",IF(Tipo_Vertedor="Retangular",IF(O1367&lt;=cota_s*100,0,IF(Tipo_Vertedor="Retangular",Cd_sr*Lef_sr*((O1367/100-cota_s)^(3/2))*1000)),IF(O1367&lt;=cota_s*100+fi_s/20,0,(OFFSET('Base de dados'!$A$4,IF(O1367&lt;20,1,IF(O1367&gt;1000,10,MATCH(O1367,Cargas,1))),Coluna_fis,1,1))*(PI()*(fi_s/1000)^2/4)*(2*9.81*(O1367/100-cota_s-fi_s/2/1000))^0.5*1000)))</f>
        <v>3.9679927512448607</v>
      </c>
      <c r="R1367" s="38">
        <f t="shared" ref="R1367:R1430" ca="1" si="195">IF(O1367="","",Q1367+P1367)</f>
        <v>8.9018848925677698</v>
      </c>
      <c r="S1367" s="38">
        <f t="shared" ref="S1367:S1430" ca="1" si="196">IF(M1367="","",2*N1367*1000/(Passo*60))</f>
        <v>426.875</v>
      </c>
    </row>
    <row r="1368" spans="13:19">
      <c r="M1368" s="132">
        <f t="shared" ca="1" si="193"/>
        <v>436.09345644515656</v>
      </c>
      <c r="N1368" s="38">
        <f t="shared" si="194"/>
        <v>12.815625000000001</v>
      </c>
      <c r="O1368" s="36">
        <f t="shared" si="192"/>
        <v>341.75</v>
      </c>
      <c r="P1368" s="38">
        <f ca="1">IF(ISERROR(IF(O1368&lt;fi_h/20,0,(OFFSET('Base de dados'!$A$5,IF(O1368&lt;20,1,IF(O1368&gt;1000,10,MATCH(O1368,Cargas,1))),Coluna_fih,1,1))*(1+0.13*0.25)*(PI()*(fi_h/1000)^2/4)*SQRT(2*9.81*(O1368/100-fi_h/2/1000))*1000)),"",IF(O1368&lt;fi_h/20,0,(OFFSET('Base de dados'!$A$5,IF(O1368&lt;20,1,IF(O1368&gt;1000,10,MATCH(O1368,Cargas,1))),Coluna_fih,1,1))*(PI()*(fi_h/1000)^2/4)*SQRT(2*9.81*(O1368/100-fi_h/2/1000))*1000))</f>
        <v>4.935707126611498</v>
      </c>
      <c r="Q1368" s="38">
        <f ca="1">IF(O1368="","",IF(Tipo_Vertedor="Retangular",IF(O1368&lt;=cota_s*100,0,IF(Tipo_Vertedor="Retangular",Cd_sr*Lef_sr*((O1368/100-cota_s)^(3/2))*1000)),IF(O1368&lt;=cota_s*100+fi_s/20,0,(OFFSET('Base de dados'!$A$4,IF(O1368&lt;20,1,IF(O1368&gt;1000,10,MATCH(O1368,Cargas,1))),Coluna_fis,1,1))*(PI()*(fi_s/1000)^2/4)*(2*9.81*(O1368/100-cota_s-fi_s/2/1000))^0.5*1000)))</f>
        <v>3.9702493185450378</v>
      </c>
      <c r="R1368" s="38">
        <f t="shared" ca="1" si="195"/>
        <v>8.9059564451565354</v>
      </c>
      <c r="S1368" s="38">
        <f t="shared" ca="1" si="196"/>
        <v>427.1875</v>
      </c>
    </row>
    <row r="1369" spans="13:19">
      <c r="M1369" s="132">
        <f t="shared" ca="1" si="193"/>
        <v>436.41002604873933</v>
      </c>
      <c r="N1369" s="38">
        <f t="shared" si="194"/>
        <v>12.824999999999999</v>
      </c>
      <c r="O1369" s="36">
        <f t="shared" si="192"/>
        <v>342</v>
      </c>
      <c r="P1369" s="38">
        <f ca="1">IF(ISERROR(IF(O1369&lt;fi_h/20,0,(OFFSET('Base de dados'!$A$5,IF(O1369&lt;20,1,IF(O1369&gt;1000,10,MATCH(O1369,Cargas,1))),Coluna_fih,1,1))*(1+0.13*0.25)*(PI()*(fi_h/1000)^2/4)*SQRT(2*9.81*(O1369/100-fi_h/2/1000))*1000)),"",IF(O1369&lt;fi_h/20,0,(OFFSET('Base de dados'!$A$5,IF(O1369&lt;20,1,IF(O1369&gt;1000,10,MATCH(O1369,Cargas,1))),Coluna_fih,1,1))*(PI()*(fi_h/1000)^2/4)*SQRT(2*9.81*(O1369/100-fi_h/2/1000))*1000))</f>
        <v>4.9375214447290361</v>
      </c>
      <c r="Q1369" s="38">
        <f ca="1">IF(O1369="","",IF(Tipo_Vertedor="Retangular",IF(O1369&lt;=cota_s*100,0,IF(Tipo_Vertedor="Retangular",Cd_sr*Lef_sr*((O1369/100-cota_s)^(3/2))*1000)),IF(O1369&lt;=cota_s*100+fi_s/20,0,(OFFSET('Base de dados'!$A$4,IF(O1369&lt;20,1,IF(O1369&gt;1000,10,MATCH(O1369,Cargas,1))),Coluna_fis,1,1))*(PI()*(fi_s/1000)^2/4)*(2*9.81*(O1369/100-cota_s-fi_s/2/1000))^0.5*1000)))</f>
        <v>3.9725046040102843</v>
      </c>
      <c r="R1369" s="38">
        <f t="shared" ca="1" si="195"/>
        <v>8.9100260487393204</v>
      </c>
      <c r="S1369" s="38">
        <f t="shared" ca="1" si="196"/>
        <v>427.5</v>
      </c>
    </row>
    <row r="1370" spans="13:19">
      <c r="M1370" s="132">
        <f t="shared" ca="1" si="193"/>
        <v>436.72659370623325</v>
      </c>
      <c r="N1370" s="38">
        <f t="shared" si="194"/>
        <v>12.834375</v>
      </c>
      <c r="O1370" s="36">
        <f t="shared" si="192"/>
        <v>342.25</v>
      </c>
      <c r="P1370" s="38">
        <f ca="1">IF(ISERROR(IF(O1370&lt;fi_h/20,0,(OFFSET('Base de dados'!$A$5,IF(O1370&lt;20,1,IF(O1370&gt;1000,10,MATCH(O1370,Cargas,1))),Coluna_fih,1,1))*(1+0.13*0.25)*(PI()*(fi_h/1000)^2/4)*SQRT(2*9.81*(O1370/100-fi_h/2/1000))*1000)),"",IF(O1370&lt;fi_h/20,0,(OFFSET('Base de dados'!$A$5,IF(O1370&lt;20,1,IF(O1370&gt;1000,10,MATCH(O1370,Cargas,1))),Coluna_fih,1,1))*(PI()*(fi_h/1000)^2/4)*SQRT(2*9.81*(O1370/100-fi_h/2/1000))*1000))</f>
        <v>4.9393350964107183</v>
      </c>
      <c r="Q1370" s="38">
        <f ca="1">IF(O1370="","",IF(Tipo_Vertedor="Retangular",IF(O1370&lt;=cota_s*100,0,IF(Tipo_Vertedor="Retangular",Cd_sr*Lef_sr*((O1370/100-cota_s)^(3/2))*1000)),IF(O1370&lt;=cota_s*100+fi_s/20,0,(OFFSET('Base de dados'!$A$4,IF(O1370&lt;20,1,IF(O1370&gt;1000,10,MATCH(O1370,Cargas,1))),Coluna_fis,1,1))*(PI()*(fi_s/1000)^2/4)*(2*9.81*(O1370/100-cota_s-fi_s/2/1000))^0.5*1000)))</f>
        <v>3.9747586098225494</v>
      </c>
      <c r="R1370" s="38">
        <f t="shared" ca="1" si="195"/>
        <v>8.9140937062332668</v>
      </c>
      <c r="S1370" s="38">
        <f t="shared" ca="1" si="196"/>
        <v>427.8125</v>
      </c>
    </row>
    <row r="1371" spans="13:19">
      <c r="M1371" s="132">
        <f t="shared" ca="1" si="193"/>
        <v>437.04315942054797</v>
      </c>
      <c r="N1371" s="38">
        <f t="shared" si="194"/>
        <v>12.84375</v>
      </c>
      <c r="O1371" s="36">
        <f t="shared" si="192"/>
        <v>342.5</v>
      </c>
      <c r="P1371" s="38">
        <f ca="1">IF(ISERROR(IF(O1371&lt;fi_h/20,0,(OFFSET('Base de dados'!$A$5,IF(O1371&lt;20,1,IF(O1371&gt;1000,10,MATCH(O1371,Cargas,1))),Coluna_fih,1,1))*(1+0.13*0.25)*(PI()*(fi_h/1000)^2/4)*SQRT(2*9.81*(O1371/100-fi_h/2/1000))*1000)),"",IF(O1371&lt;fi_h/20,0,(OFFSET('Base de dados'!$A$5,IF(O1371&lt;20,1,IF(O1371&gt;1000,10,MATCH(O1371,Cargas,1))),Coluna_fih,1,1))*(PI()*(fi_h/1000)^2/4)*SQRT(2*9.81*(O1371/100-fi_h/2/1000))*1000))</f>
        <v>4.9411480823903933</v>
      </c>
      <c r="Q1371" s="38">
        <f ca="1">IF(O1371="","",IF(Tipo_Vertedor="Retangular",IF(O1371&lt;=cota_s*100,0,IF(Tipo_Vertedor="Retangular",Cd_sr*Lef_sr*((O1371/100-cota_s)^(3/2))*1000)),IF(O1371&lt;=cota_s*100+fi_s/20,0,(OFFSET('Base de dados'!$A$4,IF(O1371&lt;20,1,IF(O1371&gt;1000,10,MATCH(O1371,Cargas,1))),Coluna_fis,1,1))*(PI()*(fi_s/1000)^2/4)*(2*9.81*(O1371/100-cota_s-fi_s/2/1000))^0.5*1000)))</f>
        <v>3.9770113381575949</v>
      </c>
      <c r="R1371" s="38">
        <f t="shared" ca="1" si="195"/>
        <v>8.9181594205479886</v>
      </c>
      <c r="S1371" s="38">
        <f t="shared" ca="1" si="196"/>
        <v>428.125</v>
      </c>
    </row>
    <row r="1372" spans="13:19">
      <c r="M1372" s="132">
        <f t="shared" ca="1" si="193"/>
        <v>437.35972319458557</v>
      </c>
      <c r="N1372" s="38">
        <f t="shared" si="194"/>
        <v>12.853125</v>
      </c>
      <c r="O1372" s="36">
        <f t="shared" si="192"/>
        <v>342.75</v>
      </c>
      <c r="P1372" s="38">
        <f ca="1">IF(ISERROR(IF(O1372&lt;fi_h/20,0,(OFFSET('Base de dados'!$A$5,IF(O1372&lt;20,1,IF(O1372&gt;1000,10,MATCH(O1372,Cargas,1))),Coluna_fih,1,1))*(1+0.13*0.25)*(PI()*(fi_h/1000)^2/4)*SQRT(2*9.81*(O1372/100-fi_h/2/1000))*1000)),"",IF(O1372&lt;fi_h/20,0,(OFFSET('Base de dados'!$A$5,IF(O1372&lt;20,1,IF(O1372&gt;1000,10,MATCH(O1372,Cargas,1))),Coluna_fih,1,1))*(PI()*(fi_h/1000)^2/4)*SQRT(2*9.81*(O1372/100-fi_h/2/1000))*1000))</f>
        <v>4.9429604034005612</v>
      </c>
      <c r="Q1372" s="38">
        <f ca="1">IF(O1372="","",IF(Tipo_Vertedor="Retangular",IF(O1372&lt;=cota_s*100,0,IF(Tipo_Vertedor="Retangular",Cd_sr*Lef_sr*((O1372/100-cota_s)^(3/2))*1000)),IF(O1372&lt;=cota_s*100+fi_s/20,0,(OFFSET('Base de dados'!$A$4,IF(O1372&lt;20,1,IF(O1372&gt;1000,10,MATCH(O1372,Cargas,1))),Coluna_fis,1,1))*(PI()*(fi_s/1000)^2/4)*(2*9.81*(O1372/100-cota_s-fi_s/2/1000))^0.5*1000)))</f>
        <v>3.9792627911850253</v>
      </c>
      <c r="R1372" s="38">
        <f t="shared" ca="1" si="195"/>
        <v>8.9222231945855874</v>
      </c>
      <c r="S1372" s="38">
        <f t="shared" ca="1" si="196"/>
        <v>428.4375</v>
      </c>
    </row>
    <row r="1373" spans="13:19">
      <c r="M1373" s="132">
        <f t="shared" ca="1" si="193"/>
        <v>437.6762850312407</v>
      </c>
      <c r="N1373" s="38">
        <f t="shared" si="194"/>
        <v>12.862500000000001</v>
      </c>
      <c r="O1373" s="36">
        <f t="shared" si="192"/>
        <v>343</v>
      </c>
      <c r="P1373" s="38">
        <f ca="1">IF(ISERROR(IF(O1373&lt;fi_h/20,0,(OFFSET('Base de dados'!$A$5,IF(O1373&lt;20,1,IF(O1373&gt;1000,10,MATCH(O1373,Cargas,1))),Coluna_fih,1,1))*(1+0.13*0.25)*(PI()*(fi_h/1000)^2/4)*SQRT(2*9.81*(O1373/100-fi_h/2/1000))*1000)),"",IF(O1373&lt;fi_h/20,0,(OFFSET('Base de dados'!$A$5,IF(O1373&lt;20,1,IF(O1373&gt;1000,10,MATCH(O1373,Cargas,1))),Coluna_fih,1,1))*(PI()*(fi_h/1000)^2/4)*SQRT(2*9.81*(O1373/100-fi_h/2/1000))*1000))</f>
        <v>4.9447720601723812</v>
      </c>
      <c r="Q1373" s="38">
        <f ca="1">IF(O1373="","",IF(Tipo_Vertedor="Retangular",IF(O1373&lt;=cota_s*100,0,IF(Tipo_Vertedor="Retangular",Cd_sr*Lef_sr*((O1373/100-cota_s)^(3/2))*1000)),IF(O1373&lt;=cota_s*100+fi_s/20,0,(OFFSET('Base de dados'!$A$4,IF(O1373&lt;20,1,IF(O1373&gt;1000,10,MATCH(O1373,Cargas,1))),Coluna_fis,1,1))*(PI()*(fi_s/1000)^2/4)*(2*9.81*(O1373/100-cota_s-fi_s/2/1000))^0.5*1000)))</f>
        <v>3.9815129710683119</v>
      </c>
      <c r="R1373" s="38">
        <f t="shared" ca="1" si="195"/>
        <v>8.9262850312406936</v>
      </c>
      <c r="S1373" s="38">
        <f t="shared" ca="1" si="196"/>
        <v>428.75</v>
      </c>
    </row>
    <row r="1374" spans="13:19">
      <c r="M1374" s="132">
        <f t="shared" ca="1" si="193"/>
        <v>437.99284493340053</v>
      </c>
      <c r="N1374" s="38">
        <f t="shared" si="194"/>
        <v>12.871875000000001</v>
      </c>
      <c r="O1374" s="36">
        <f t="shared" si="192"/>
        <v>343.25</v>
      </c>
      <c r="P1374" s="38">
        <f ca="1">IF(ISERROR(IF(O1374&lt;fi_h/20,0,(OFFSET('Base de dados'!$A$5,IF(O1374&lt;20,1,IF(O1374&gt;1000,10,MATCH(O1374,Cargas,1))),Coluna_fih,1,1))*(1+0.13*0.25)*(PI()*(fi_h/1000)^2/4)*SQRT(2*9.81*(O1374/100-fi_h/2/1000))*1000)),"",IF(O1374&lt;fi_h/20,0,(OFFSET('Base de dados'!$A$5,IF(O1374&lt;20,1,IF(O1374&gt;1000,10,MATCH(O1374,Cargas,1))),Coluna_fih,1,1))*(PI()*(fi_h/1000)^2/4)*SQRT(2*9.81*(O1374/100-fi_h/2/1000))*1000))</f>
        <v>4.9465830534356723</v>
      </c>
      <c r="Q1374" s="38">
        <f ca="1">IF(O1374="","",IF(Tipo_Vertedor="Retangular",IF(O1374&lt;=cota_s*100,0,IF(Tipo_Vertedor="Retangular",Cd_sr*Lef_sr*((O1374/100-cota_s)^(3/2))*1000)),IF(O1374&lt;=cota_s*100+fi_s/20,0,(OFFSET('Base de dados'!$A$4,IF(O1374&lt;20,1,IF(O1374&gt;1000,10,MATCH(O1374,Cargas,1))),Coluna_fis,1,1))*(PI()*(fi_s/1000)^2/4)*(2*9.81*(O1374/100-cota_s-fi_s/2/1000))^0.5*1000)))</f>
        <v>3.9837618799648133</v>
      </c>
      <c r="R1374" s="38">
        <f t="shared" ca="1" si="195"/>
        <v>8.9303449334004856</v>
      </c>
      <c r="S1374" s="38">
        <f t="shared" ca="1" si="196"/>
        <v>429.06250000000006</v>
      </c>
    </row>
    <row r="1375" spans="13:19">
      <c r="M1375" s="132">
        <f t="shared" ca="1" si="193"/>
        <v>438.30940290394472</v>
      </c>
      <c r="N1375" s="38">
        <f t="shared" si="194"/>
        <v>12.88125</v>
      </c>
      <c r="O1375" s="36">
        <f t="shared" si="192"/>
        <v>343.5</v>
      </c>
      <c r="P1375" s="38">
        <f ca="1">IF(ISERROR(IF(O1375&lt;fi_h/20,0,(OFFSET('Base de dados'!$A$5,IF(O1375&lt;20,1,IF(O1375&gt;1000,10,MATCH(O1375,Cargas,1))),Coluna_fih,1,1))*(1+0.13*0.25)*(PI()*(fi_h/1000)^2/4)*SQRT(2*9.81*(O1375/100-fi_h/2/1000))*1000)),"",IF(O1375&lt;fi_h/20,0,(OFFSET('Base de dados'!$A$5,IF(O1375&lt;20,1,IF(O1375&gt;1000,10,MATCH(O1375,Cargas,1))),Coluna_fih,1,1))*(PI()*(fi_h/1000)^2/4)*SQRT(2*9.81*(O1375/100-fi_h/2/1000))*1000))</f>
        <v>4.9483933839189218</v>
      </c>
      <c r="Q1375" s="38">
        <f ca="1">IF(O1375="","",IF(Tipo_Vertedor="Retangular",IF(O1375&lt;=cota_s*100,0,IF(Tipo_Vertedor="Retangular",Cd_sr*Lef_sr*((O1375/100-cota_s)^(3/2))*1000)),IF(O1375&lt;=cota_s*100+fi_s/20,0,(OFFSET('Base de dados'!$A$4,IF(O1375&lt;20,1,IF(O1375&gt;1000,10,MATCH(O1375,Cargas,1))),Coluna_fis,1,1))*(PI()*(fi_s/1000)^2/4)*(2*9.81*(O1375/100-cota_s-fi_s/2/1000))^0.5*1000)))</f>
        <v>3.9860095200258066</v>
      </c>
      <c r="R1375" s="38">
        <f t="shared" ca="1" si="195"/>
        <v>8.9344029039447292</v>
      </c>
      <c r="S1375" s="38">
        <f t="shared" ca="1" si="196"/>
        <v>429.375</v>
      </c>
    </row>
    <row r="1376" spans="13:19">
      <c r="M1376" s="132">
        <f t="shared" ca="1" si="193"/>
        <v>438.62595894574577</v>
      </c>
      <c r="N1376" s="38">
        <f t="shared" si="194"/>
        <v>12.890625</v>
      </c>
      <c r="O1376" s="36">
        <f t="shared" si="192"/>
        <v>343.75</v>
      </c>
      <c r="P1376" s="38">
        <f ca="1">IF(ISERROR(IF(O1376&lt;fi_h/20,0,(OFFSET('Base de dados'!$A$5,IF(O1376&lt;20,1,IF(O1376&gt;1000,10,MATCH(O1376,Cargas,1))),Coluna_fih,1,1))*(1+0.13*0.25)*(PI()*(fi_h/1000)^2/4)*SQRT(2*9.81*(O1376/100-fi_h/2/1000))*1000)),"",IF(O1376&lt;fi_h/20,0,(OFFSET('Base de dados'!$A$5,IF(O1376&lt;20,1,IF(O1376&gt;1000,10,MATCH(O1376,Cargas,1))),Coluna_fih,1,1))*(PI()*(fi_h/1000)^2/4)*SQRT(2*9.81*(O1376/100-fi_h/2/1000))*1000))</f>
        <v>4.9502030523492797</v>
      </c>
      <c r="Q1376" s="38">
        <f ca="1">IF(O1376="","",IF(Tipo_Vertedor="Retangular",IF(O1376&lt;=cota_s*100,0,IF(Tipo_Vertedor="Retangular",Cd_sr*Lef_sr*((O1376/100-cota_s)^(3/2))*1000)),IF(O1376&lt;=cota_s*100+fi_s/20,0,(OFFSET('Base de dados'!$A$4,IF(O1376&lt;20,1,IF(O1376&gt;1000,10,MATCH(O1376,Cargas,1))),Coluna_fis,1,1))*(PI()*(fi_s/1000)^2/4)*(2*9.81*(O1376/100-cota_s-fi_s/2/1000))^0.5*1000)))</f>
        <v>3.9882558933965031</v>
      </c>
      <c r="R1376" s="38">
        <f t="shared" ca="1" si="195"/>
        <v>8.9384589457457828</v>
      </c>
      <c r="S1376" s="38">
        <f t="shared" ca="1" si="196"/>
        <v>429.6875</v>
      </c>
    </row>
    <row r="1377" spans="13:19">
      <c r="M1377" s="132">
        <f t="shared" ca="1" si="193"/>
        <v>438.94251306166865</v>
      </c>
      <c r="N1377" s="38">
        <f t="shared" si="194"/>
        <v>12.9</v>
      </c>
      <c r="O1377" s="36">
        <f t="shared" si="192"/>
        <v>344</v>
      </c>
      <c r="P1377" s="38">
        <f ca="1">IF(ISERROR(IF(O1377&lt;fi_h/20,0,(OFFSET('Base de dados'!$A$5,IF(O1377&lt;20,1,IF(O1377&gt;1000,10,MATCH(O1377,Cargas,1))),Coluna_fih,1,1))*(1+0.13*0.25)*(PI()*(fi_h/1000)^2/4)*SQRT(2*9.81*(O1377/100-fi_h/2/1000))*1000)),"",IF(O1377&lt;fi_h/20,0,(OFFSET('Base de dados'!$A$5,IF(O1377&lt;20,1,IF(O1377&gt;1000,10,MATCH(O1377,Cargas,1))),Coluna_fih,1,1))*(PI()*(fi_h/1000)^2/4)*SQRT(2*9.81*(O1377/100-fi_h/2/1000))*1000))</f>
        <v>4.9520120594525734</v>
      </c>
      <c r="Q1377" s="38">
        <f ca="1">IF(O1377="","",IF(Tipo_Vertedor="Retangular",IF(O1377&lt;=cota_s*100,0,IF(Tipo_Vertedor="Retangular",Cd_sr*Lef_sr*((O1377/100-cota_s)^(3/2))*1000)),IF(O1377&lt;=cota_s*100+fi_s/20,0,(OFFSET('Base de dados'!$A$4,IF(O1377&lt;20,1,IF(O1377&gt;1000,10,MATCH(O1377,Cargas,1))),Coluna_fis,1,1))*(PI()*(fi_s/1000)^2/4)*(2*9.81*(O1377/100-cota_s-fi_s/2/1000))^0.5*1000)))</f>
        <v>3.9905010022160776</v>
      </c>
      <c r="R1377" s="38">
        <f t="shared" ca="1" si="195"/>
        <v>8.9425130616686506</v>
      </c>
      <c r="S1377" s="38">
        <f t="shared" ca="1" si="196"/>
        <v>430</v>
      </c>
    </row>
    <row r="1378" spans="13:19">
      <c r="M1378" s="132">
        <f t="shared" ca="1" si="193"/>
        <v>439.25906525457094</v>
      </c>
      <c r="N1378" s="38">
        <f t="shared" si="194"/>
        <v>12.909374999999999</v>
      </c>
      <c r="O1378" s="36">
        <f t="shared" si="192"/>
        <v>344.25</v>
      </c>
      <c r="P1378" s="38">
        <f ca="1">IF(ISERROR(IF(O1378&lt;fi_h/20,0,(OFFSET('Base de dados'!$A$5,IF(O1378&lt;20,1,IF(O1378&gt;1000,10,MATCH(O1378,Cargas,1))),Coluna_fih,1,1))*(1+0.13*0.25)*(PI()*(fi_h/1000)^2/4)*SQRT(2*9.81*(O1378/100-fi_h/2/1000))*1000)),"",IF(O1378&lt;fi_h/20,0,(OFFSET('Base de dados'!$A$5,IF(O1378&lt;20,1,IF(O1378&gt;1000,10,MATCH(O1378,Cargas,1))),Coluna_fih,1,1))*(PI()*(fi_h/1000)^2/4)*SQRT(2*9.81*(O1378/100-fi_h/2/1000))*1000))</f>
        <v>4.9538204059532971</v>
      </c>
      <c r="Q1378" s="38">
        <f ca="1">IF(O1378="","",IF(Tipo_Vertedor="Retangular",IF(O1378&lt;=cota_s*100,0,IF(Tipo_Vertedor="Retangular",Cd_sr*Lef_sr*((O1378/100-cota_s)^(3/2))*1000)),IF(O1378&lt;=cota_s*100+fi_s/20,0,(OFFSET('Base de dados'!$A$4,IF(O1378&lt;20,1,IF(O1378&gt;1000,10,MATCH(O1378,Cargas,1))),Coluna_fis,1,1))*(PI()*(fi_s/1000)^2/4)*(2*9.81*(O1378/100-cota_s-fi_s/2/1000))^0.5*1000)))</f>
        <v>3.9927448486176886</v>
      </c>
      <c r="R1378" s="38">
        <f t="shared" ca="1" si="195"/>
        <v>8.9465652545709862</v>
      </c>
      <c r="S1378" s="38">
        <f t="shared" ca="1" si="196"/>
        <v>430.31249999999994</v>
      </c>
    </row>
    <row r="1379" spans="13:19">
      <c r="M1379" s="132">
        <f t="shared" ca="1" si="193"/>
        <v>439.57561552730311</v>
      </c>
      <c r="N1379" s="38">
        <f t="shared" si="194"/>
        <v>12.918749999999999</v>
      </c>
      <c r="O1379" s="36">
        <f t="shared" si="192"/>
        <v>344.5</v>
      </c>
      <c r="P1379" s="38">
        <f ca="1">IF(ISERROR(IF(O1379&lt;fi_h/20,0,(OFFSET('Base de dados'!$A$5,IF(O1379&lt;20,1,IF(O1379&gt;1000,10,MATCH(O1379,Cargas,1))),Coluna_fih,1,1))*(1+0.13*0.25)*(PI()*(fi_h/1000)^2/4)*SQRT(2*9.81*(O1379/100-fi_h/2/1000))*1000)),"",IF(O1379&lt;fi_h/20,0,(OFFSET('Base de dados'!$A$5,IF(O1379&lt;20,1,IF(O1379&gt;1000,10,MATCH(O1379,Cargas,1))),Coluna_fih,1,1))*(PI()*(fi_h/1000)^2/4)*SQRT(2*9.81*(O1379/100-fi_h/2/1000))*1000))</f>
        <v>4.9556280925746297</v>
      </c>
      <c r="Q1379" s="38">
        <f ca="1">IF(O1379="","",IF(Tipo_Vertedor="Retangular",IF(O1379&lt;=cota_s*100,0,IF(Tipo_Vertedor="Retangular",Cd_sr*Lef_sr*((O1379/100-cota_s)^(3/2))*1000)),IF(O1379&lt;=cota_s*100+fi_s/20,0,(OFFSET('Base de dados'!$A$4,IF(O1379&lt;20,1,IF(O1379&gt;1000,10,MATCH(O1379,Cargas,1))),Coluna_fis,1,1))*(PI()*(fi_s/1000)^2/4)*(2*9.81*(O1379/100-cota_s-fi_s/2/1000))^0.5*1000)))</f>
        <v>3.9949874347285084</v>
      </c>
      <c r="R1379" s="38">
        <f t="shared" ca="1" si="195"/>
        <v>8.9506155273031389</v>
      </c>
      <c r="S1379" s="38">
        <f t="shared" ca="1" si="196"/>
        <v>430.625</v>
      </c>
    </row>
    <row r="1380" spans="13:19">
      <c r="M1380" s="132">
        <f t="shared" ca="1" si="193"/>
        <v>439.89216388270819</v>
      </c>
      <c r="N1380" s="38">
        <f t="shared" si="194"/>
        <v>12.928125</v>
      </c>
      <c r="O1380" s="36">
        <f t="shared" si="192"/>
        <v>344.75</v>
      </c>
      <c r="P1380" s="38">
        <f ca="1">IF(ISERROR(IF(O1380&lt;fi_h/20,0,(OFFSET('Base de dados'!$A$5,IF(O1380&lt;20,1,IF(O1380&gt;1000,10,MATCH(O1380,Cargas,1))),Coluna_fih,1,1))*(1+0.13*0.25)*(PI()*(fi_h/1000)^2/4)*SQRT(2*9.81*(O1380/100-fi_h/2/1000))*1000)),"",IF(O1380&lt;fi_h/20,0,(OFFSET('Base de dados'!$A$5,IF(O1380&lt;20,1,IF(O1380&gt;1000,10,MATCH(O1380,Cargas,1))),Coluna_fih,1,1))*(PI()*(fi_h/1000)^2/4)*SQRT(2*9.81*(O1380/100-fi_h/2/1000))*1000))</f>
        <v>4.9574351200384283</v>
      </c>
      <c r="Q1380" s="38">
        <f ca="1">IF(O1380="","",IF(Tipo_Vertedor="Retangular",IF(O1380&lt;=cota_s*100,0,IF(Tipo_Vertedor="Retangular",Cd_sr*Lef_sr*((O1380/100-cota_s)^(3/2))*1000)),IF(O1380&lt;=cota_s*100+fi_s/20,0,(OFFSET('Base de dados'!$A$4,IF(O1380&lt;20,1,IF(O1380&gt;1000,10,MATCH(O1380,Cargas,1))),Coluna_fis,1,1))*(PI()*(fi_s/1000)^2/4)*(2*9.81*(O1380/100-cota_s-fi_s/2/1000))^0.5*1000)))</f>
        <v>3.9972287626697374</v>
      </c>
      <c r="R1380" s="38">
        <f t="shared" ca="1" si="195"/>
        <v>8.9546638827081662</v>
      </c>
      <c r="S1380" s="38">
        <f t="shared" ca="1" si="196"/>
        <v>430.9375</v>
      </c>
    </row>
    <row r="1381" spans="13:19">
      <c r="M1381" s="132">
        <f t="shared" ca="1" si="193"/>
        <v>440.20871032362186</v>
      </c>
      <c r="N1381" s="38">
        <f t="shared" si="194"/>
        <v>12.9375</v>
      </c>
      <c r="O1381" s="36">
        <f t="shared" si="192"/>
        <v>345</v>
      </c>
      <c r="P1381" s="38">
        <f ca="1">IF(ISERROR(IF(O1381&lt;fi_h/20,0,(OFFSET('Base de dados'!$A$5,IF(O1381&lt;20,1,IF(O1381&gt;1000,10,MATCH(O1381,Cargas,1))),Coluna_fih,1,1))*(1+0.13*0.25)*(PI()*(fi_h/1000)^2/4)*SQRT(2*9.81*(O1381/100-fi_h/2/1000))*1000)),"",IF(O1381&lt;fi_h/20,0,(OFFSET('Base de dados'!$A$5,IF(O1381&lt;20,1,IF(O1381&gt;1000,10,MATCH(O1381,Cargas,1))),Coluna_fih,1,1))*(PI()*(fi_h/1000)^2/4)*SQRT(2*9.81*(O1381/100-fi_h/2/1000))*1000))</f>
        <v>4.9592414890652394</v>
      </c>
      <c r="Q1381" s="38">
        <f ca="1">IF(O1381="","",IF(Tipo_Vertedor="Retangular",IF(O1381&lt;=cota_s*100,0,IF(Tipo_Vertedor="Retangular",Cd_sr*Lef_sr*((O1381/100-cota_s)^(3/2))*1000)),IF(O1381&lt;=cota_s*100+fi_s/20,0,(OFFSET('Base de dados'!$A$4,IF(O1381&lt;20,1,IF(O1381&gt;1000,10,MATCH(O1381,Cargas,1))),Coluna_fis,1,1))*(PI()*(fi_s/1000)^2/4)*(2*9.81*(O1381/100-cota_s-fi_s/2/1000))^0.5*1000)))</f>
        <v>3.9994688345566365</v>
      </c>
      <c r="R1381" s="38">
        <f t="shared" ca="1" si="195"/>
        <v>8.9587103236218759</v>
      </c>
      <c r="S1381" s="38">
        <f t="shared" ca="1" si="196"/>
        <v>431.25</v>
      </c>
    </row>
    <row r="1382" spans="13:19">
      <c r="M1382" s="132">
        <f t="shared" ca="1" si="193"/>
        <v>440.52525485287282</v>
      </c>
      <c r="N1382" s="38">
        <f t="shared" si="194"/>
        <v>12.946875</v>
      </c>
      <c r="O1382" s="36">
        <f t="shared" si="192"/>
        <v>345.25</v>
      </c>
      <c r="P1382" s="38">
        <f ca="1">IF(ISERROR(IF(O1382&lt;fi_h/20,0,(OFFSET('Base de dados'!$A$5,IF(O1382&lt;20,1,IF(O1382&gt;1000,10,MATCH(O1382,Cargas,1))),Coluna_fih,1,1))*(1+0.13*0.25)*(PI()*(fi_h/1000)^2/4)*SQRT(2*9.81*(O1382/100-fi_h/2/1000))*1000)),"",IF(O1382&lt;fi_h/20,0,(OFFSET('Base de dados'!$A$5,IF(O1382&lt;20,1,IF(O1382&gt;1000,10,MATCH(O1382,Cargas,1))),Coluna_fih,1,1))*(PI()*(fi_h/1000)^2/4)*SQRT(2*9.81*(O1382/100-fi_h/2/1000))*1000))</f>
        <v>4.9610472003742903</v>
      </c>
      <c r="Q1382" s="38">
        <f ca="1">IF(O1382="","",IF(Tipo_Vertedor="Retangular",IF(O1382&lt;=cota_s*100,0,IF(Tipo_Vertedor="Retangular",Cd_sr*Lef_sr*((O1382/100-cota_s)^(3/2))*1000)),IF(O1382&lt;=cota_s*100+fi_s/20,0,(OFFSET('Base de dados'!$A$4,IF(O1382&lt;20,1,IF(O1382&gt;1000,10,MATCH(O1382,Cargas,1))),Coluna_fis,1,1))*(PI()*(fi_s/1000)^2/4)*(2*9.81*(O1382/100-cota_s-fi_s/2/1000))^0.5*1000)))</f>
        <v>4.001707652498542</v>
      </c>
      <c r="R1382" s="38">
        <f t="shared" ca="1" si="195"/>
        <v>8.9627548528728322</v>
      </c>
      <c r="S1382" s="38">
        <f t="shared" ca="1" si="196"/>
        <v>431.5625</v>
      </c>
    </row>
    <row r="1383" spans="13:19">
      <c r="M1383" s="132">
        <f t="shared" ca="1" si="193"/>
        <v>440.84179747328238</v>
      </c>
      <c r="N1383" s="38">
        <f t="shared" si="194"/>
        <v>12.956250000000001</v>
      </c>
      <c r="O1383" s="36">
        <f t="shared" si="192"/>
        <v>345.5</v>
      </c>
      <c r="P1383" s="38">
        <f ca="1">IF(ISERROR(IF(O1383&lt;fi_h/20,0,(OFFSET('Base de dados'!$A$5,IF(O1383&lt;20,1,IF(O1383&gt;1000,10,MATCH(O1383,Cargas,1))),Coluna_fih,1,1))*(1+0.13*0.25)*(PI()*(fi_h/1000)^2/4)*SQRT(2*9.81*(O1383/100-fi_h/2/1000))*1000)),"",IF(O1383&lt;fi_h/20,0,(OFFSET('Base de dados'!$A$5,IF(O1383&lt;20,1,IF(O1383&gt;1000,10,MATCH(O1383,Cargas,1))),Coluna_fih,1,1))*(PI()*(fi_h/1000)^2/4)*SQRT(2*9.81*(O1383/100-fi_h/2/1000))*1000))</f>
        <v>4.9628522546835052</v>
      </c>
      <c r="Q1383" s="38">
        <f ca="1">IF(O1383="","",IF(Tipo_Vertedor="Retangular",IF(O1383&lt;=cota_s*100,0,IF(Tipo_Vertedor="Retangular",Cd_sr*Lef_sr*((O1383/100-cota_s)^(3/2))*1000)),IF(O1383&lt;=cota_s*100+fi_s/20,0,(OFFSET('Base de dados'!$A$4,IF(O1383&lt;20,1,IF(O1383&gt;1000,10,MATCH(O1383,Cargas,1))),Coluna_fis,1,1))*(PI()*(fi_s/1000)^2/4)*(2*9.81*(O1383/100-cota_s-fi_s/2/1000))^0.5*1000)))</f>
        <v>4.0039452185988971</v>
      </c>
      <c r="R1383" s="38">
        <f t="shared" ca="1" si="195"/>
        <v>8.9667974732824014</v>
      </c>
      <c r="S1383" s="38">
        <f t="shared" ca="1" si="196"/>
        <v>431.875</v>
      </c>
    </row>
    <row r="1384" spans="13:19">
      <c r="M1384" s="132">
        <f t="shared" ca="1" si="193"/>
        <v>441.15833818766475</v>
      </c>
      <c r="N1384" s="38">
        <f t="shared" si="194"/>
        <v>12.965624999999999</v>
      </c>
      <c r="O1384" s="36">
        <f t="shared" si="192"/>
        <v>345.75</v>
      </c>
      <c r="P1384" s="38">
        <f ca="1">IF(ISERROR(IF(O1384&lt;fi_h/20,0,(OFFSET('Base de dados'!$A$5,IF(O1384&lt;20,1,IF(O1384&gt;1000,10,MATCH(O1384,Cargas,1))),Coluna_fih,1,1))*(1+0.13*0.25)*(PI()*(fi_h/1000)^2/4)*SQRT(2*9.81*(O1384/100-fi_h/2/1000))*1000)),"",IF(O1384&lt;fi_h/20,0,(OFFSET('Base de dados'!$A$5,IF(O1384&lt;20,1,IF(O1384&gt;1000,10,MATCH(O1384,Cargas,1))),Coluna_fih,1,1))*(PI()*(fi_h/1000)^2/4)*SQRT(2*9.81*(O1384/100-fi_h/2/1000))*1000))</f>
        <v>4.9646566527095048</v>
      </c>
      <c r="Q1384" s="38">
        <f ca="1">IF(O1384="","",IF(Tipo_Vertedor="Retangular",IF(O1384&lt;=cota_s*100,0,IF(Tipo_Vertedor="Retangular",Cd_sr*Lef_sr*((O1384/100-cota_s)^(3/2))*1000)),IF(O1384&lt;=cota_s*100+fi_s/20,0,(OFFSET('Base de dados'!$A$4,IF(O1384&lt;20,1,IF(O1384&gt;1000,10,MATCH(O1384,Cargas,1))),Coluna_fis,1,1))*(PI()*(fi_s/1000)^2/4)*(2*9.81*(O1384/100-cota_s-fi_s/2/1000))^0.5*1000)))</f>
        <v>4.0061815349552674</v>
      </c>
      <c r="R1384" s="38">
        <f t="shared" ca="1" si="195"/>
        <v>8.9708381876647714</v>
      </c>
      <c r="S1384" s="38">
        <f t="shared" ca="1" si="196"/>
        <v>432.1875</v>
      </c>
    </row>
    <row r="1385" spans="13:19">
      <c r="M1385" s="132">
        <f t="shared" ca="1" si="193"/>
        <v>441.47487699882697</v>
      </c>
      <c r="N1385" s="38">
        <f t="shared" si="194"/>
        <v>12.975</v>
      </c>
      <c r="O1385" s="36">
        <f t="shared" si="192"/>
        <v>346</v>
      </c>
      <c r="P1385" s="38">
        <f ca="1">IF(ISERROR(IF(O1385&lt;fi_h/20,0,(OFFSET('Base de dados'!$A$5,IF(O1385&lt;20,1,IF(O1385&gt;1000,10,MATCH(O1385,Cargas,1))),Coluna_fih,1,1))*(1+0.13*0.25)*(PI()*(fi_h/1000)^2/4)*SQRT(2*9.81*(O1385/100-fi_h/2/1000))*1000)),"",IF(O1385&lt;fi_h/20,0,(OFFSET('Base de dados'!$A$5,IF(O1385&lt;20,1,IF(O1385&gt;1000,10,MATCH(O1385,Cargas,1))),Coluna_fih,1,1))*(PI()*(fi_h/1000)^2/4)*SQRT(2*9.81*(O1385/100-fi_h/2/1000))*1000))</f>
        <v>4.9664603951676005</v>
      </c>
      <c r="Q1385" s="38">
        <f ca="1">IF(O1385="","",IF(Tipo_Vertedor="Retangular",IF(O1385&lt;=cota_s*100,0,IF(Tipo_Vertedor="Retangular",Cd_sr*Lef_sr*((O1385/100-cota_s)^(3/2))*1000)),IF(O1385&lt;=cota_s*100+fi_s/20,0,(OFFSET('Base de dados'!$A$4,IF(O1385&lt;20,1,IF(O1385&gt;1000,10,MATCH(O1385,Cargas,1))),Coluna_fis,1,1))*(PI()*(fi_s/1000)^2/4)*(2*9.81*(O1385/100-cota_s-fi_s/2/1000))^0.5*1000)))</f>
        <v>4.00841660365937</v>
      </c>
      <c r="R1385" s="38">
        <f t="shared" ca="1" si="195"/>
        <v>8.9748769988269714</v>
      </c>
      <c r="S1385" s="38">
        <f t="shared" ca="1" si="196"/>
        <v>432.5</v>
      </c>
    </row>
    <row r="1386" spans="13:19">
      <c r="M1386" s="132">
        <f t="shared" ca="1" si="193"/>
        <v>441.79141390956892</v>
      </c>
      <c r="N1386" s="38">
        <f t="shared" si="194"/>
        <v>12.984375</v>
      </c>
      <c r="O1386" s="36">
        <f t="shared" si="192"/>
        <v>346.25</v>
      </c>
      <c r="P1386" s="38">
        <f ca="1">IF(ISERROR(IF(O1386&lt;fi_h/20,0,(OFFSET('Base de dados'!$A$5,IF(O1386&lt;20,1,IF(O1386&gt;1000,10,MATCH(O1386,Cargas,1))),Coluna_fih,1,1))*(1+0.13*0.25)*(PI()*(fi_h/1000)^2/4)*SQRT(2*9.81*(O1386/100-fi_h/2/1000))*1000)),"",IF(O1386&lt;fi_h/20,0,(OFFSET('Base de dados'!$A$5,IF(O1386&lt;20,1,IF(O1386&gt;1000,10,MATCH(O1386,Cargas,1))),Coluna_fih,1,1))*(PI()*(fi_h/1000)^2/4)*SQRT(2*9.81*(O1386/100-fi_h/2/1000))*1000))</f>
        <v>4.9682634827718113</v>
      </c>
      <c r="Q1386" s="38">
        <f ca="1">IF(O1386="","",IF(Tipo_Vertedor="Retangular",IF(O1386&lt;=cota_s*100,0,IF(Tipo_Vertedor="Retangular",Cd_sr*Lef_sr*((O1386/100-cota_s)^(3/2))*1000)),IF(O1386&lt;=cota_s*100+fi_s/20,0,(OFFSET('Base de dados'!$A$4,IF(O1386&lt;20,1,IF(O1386&gt;1000,10,MATCH(O1386,Cargas,1))),Coluna_fis,1,1))*(PI()*(fi_s/1000)^2/4)*(2*9.81*(O1386/100-cota_s-fi_s/2/1000))^0.5*1000)))</f>
        <v>4.0106504267970919</v>
      </c>
      <c r="R1386" s="38">
        <f t="shared" ca="1" si="195"/>
        <v>8.9789139095689023</v>
      </c>
      <c r="S1386" s="38">
        <f t="shared" ca="1" si="196"/>
        <v>432.8125</v>
      </c>
    </row>
    <row r="1387" spans="13:19">
      <c r="M1387" s="132">
        <f t="shared" ca="1" si="193"/>
        <v>442.10794892268331</v>
      </c>
      <c r="N1387" s="38">
        <f t="shared" si="194"/>
        <v>12.993749999999999</v>
      </c>
      <c r="O1387" s="36">
        <f t="shared" si="192"/>
        <v>346.5</v>
      </c>
      <c r="P1387" s="38">
        <f ca="1">IF(ISERROR(IF(O1387&lt;fi_h/20,0,(OFFSET('Base de dados'!$A$5,IF(O1387&lt;20,1,IF(O1387&gt;1000,10,MATCH(O1387,Cargas,1))),Coluna_fih,1,1))*(1+0.13*0.25)*(PI()*(fi_h/1000)^2/4)*SQRT(2*9.81*(O1387/100-fi_h/2/1000))*1000)),"",IF(O1387&lt;fi_h/20,0,(OFFSET('Base de dados'!$A$5,IF(O1387&lt;20,1,IF(O1387&gt;1000,10,MATCH(O1387,Cargas,1))),Coluna_fih,1,1))*(PI()*(fi_h/1000)^2/4)*SQRT(2*9.81*(O1387/100-fi_h/2/1000))*1000))</f>
        <v>4.9700659162348604</v>
      </c>
      <c r="Q1387" s="38">
        <f ca="1">IF(O1387="","",IF(Tipo_Vertedor="Retangular",IF(O1387&lt;=cota_s*100,0,IF(Tipo_Vertedor="Retangular",Cd_sr*Lef_sr*((O1387/100-cota_s)^(3/2))*1000)),IF(O1387&lt;=cota_s*100+fi_s/20,0,(OFFSET('Base de dados'!$A$4,IF(O1387&lt;20,1,IF(O1387&gt;1000,10,MATCH(O1387,Cargas,1))),Coluna_fis,1,1))*(PI()*(fi_s/1000)^2/4)*(2*9.81*(O1387/100-cota_s-fi_s/2/1000))^0.5*1000)))</f>
        <v>4.0128830064485141</v>
      </c>
      <c r="R1387" s="38">
        <f t="shared" ca="1" si="195"/>
        <v>8.9829489226833736</v>
      </c>
      <c r="S1387" s="38">
        <f t="shared" ca="1" si="196"/>
        <v>433.12499999999994</v>
      </c>
    </row>
    <row r="1388" spans="13:19">
      <c r="M1388" s="132">
        <f t="shared" ca="1" si="193"/>
        <v>442.42448204095604</v>
      </c>
      <c r="N1388" s="38">
        <f t="shared" si="194"/>
        <v>13.003124999999999</v>
      </c>
      <c r="O1388" s="36">
        <f t="shared" si="192"/>
        <v>346.75</v>
      </c>
      <c r="P1388" s="38">
        <f ca="1">IF(ISERROR(IF(O1388&lt;fi_h/20,0,(OFFSET('Base de dados'!$A$5,IF(O1388&lt;20,1,IF(O1388&gt;1000,10,MATCH(O1388,Cargas,1))),Coluna_fih,1,1))*(1+0.13*0.25)*(PI()*(fi_h/1000)^2/4)*SQRT(2*9.81*(O1388/100-fi_h/2/1000))*1000)),"",IF(O1388&lt;fi_h/20,0,(OFFSET('Base de dados'!$A$5,IF(O1388&lt;20,1,IF(O1388&gt;1000,10,MATCH(O1388,Cargas,1))),Coluna_fih,1,1))*(PI()*(fi_h/1000)^2/4)*SQRT(2*9.81*(O1388/100-fi_h/2/1000))*1000))</f>
        <v>4.9718676962681778</v>
      </c>
      <c r="Q1388" s="38">
        <f ca="1">IF(O1388="","",IF(Tipo_Vertedor="Retangular",IF(O1388&lt;=cota_s*100,0,IF(Tipo_Vertedor="Retangular",Cd_sr*Lef_sr*((O1388/100-cota_s)^(3/2))*1000)),IF(O1388&lt;=cota_s*100+fi_s/20,0,(OFFSET('Base de dados'!$A$4,IF(O1388&lt;20,1,IF(O1388&gt;1000,10,MATCH(O1388,Cargas,1))),Coluna_fis,1,1))*(PI()*(fi_s/1000)^2/4)*(2*9.81*(O1388/100-cota_s-fi_s/2/1000))^0.5*1000)))</f>
        <v>4.0151143446879374</v>
      </c>
      <c r="R1388" s="38">
        <f t="shared" ca="1" si="195"/>
        <v>8.9869820409561143</v>
      </c>
      <c r="S1388" s="38">
        <f t="shared" ca="1" si="196"/>
        <v>433.43749999999994</v>
      </c>
    </row>
    <row r="1389" spans="13:19">
      <c r="M1389" s="132">
        <f t="shared" ca="1" si="193"/>
        <v>442.74101326716584</v>
      </c>
      <c r="N1389" s="38">
        <f t="shared" si="194"/>
        <v>13.012500000000001</v>
      </c>
      <c r="O1389" s="36">
        <f t="shared" si="192"/>
        <v>347</v>
      </c>
      <c r="P1389" s="38">
        <f ca="1">IF(ISERROR(IF(O1389&lt;fi_h/20,0,(OFFSET('Base de dados'!$A$5,IF(O1389&lt;20,1,IF(O1389&gt;1000,10,MATCH(O1389,Cargas,1))),Coluna_fih,1,1))*(1+0.13*0.25)*(PI()*(fi_h/1000)^2/4)*SQRT(2*9.81*(O1389/100-fi_h/2/1000))*1000)),"",IF(O1389&lt;fi_h/20,0,(OFFSET('Base de dados'!$A$5,IF(O1389&lt;20,1,IF(O1389&gt;1000,10,MATCH(O1389,Cargas,1))),Coluna_fih,1,1))*(PI()*(fi_h/1000)^2/4)*SQRT(2*9.81*(O1389/100-fi_h/2/1000))*1000))</f>
        <v>4.9736688235819058</v>
      </c>
      <c r="Q1389" s="38">
        <f ca="1">IF(O1389="","",IF(Tipo_Vertedor="Retangular",IF(O1389&lt;=cota_s*100,0,IF(Tipo_Vertedor="Retangular",Cd_sr*Lef_sr*((O1389/100-cota_s)^(3/2))*1000)),IF(O1389&lt;=cota_s*100+fi_s/20,0,(OFFSET('Base de dados'!$A$4,IF(O1389&lt;20,1,IF(O1389&gt;1000,10,MATCH(O1389,Cargas,1))),Coluna_fis,1,1))*(PI()*(fi_s/1000)^2/4)*(2*9.81*(O1389/100-cota_s-fi_s/2/1000))^0.5*1000)))</f>
        <v>4.017344443583899</v>
      </c>
      <c r="R1389" s="38">
        <f t="shared" ca="1" si="195"/>
        <v>8.9910132671658047</v>
      </c>
      <c r="S1389" s="38">
        <f t="shared" ca="1" si="196"/>
        <v>433.75000000000006</v>
      </c>
    </row>
    <row r="1390" spans="13:19">
      <c r="M1390" s="132">
        <f t="shared" ca="1" si="193"/>
        <v>443.05754260408418</v>
      </c>
      <c r="N1390" s="38">
        <f t="shared" si="194"/>
        <v>13.021875000000001</v>
      </c>
      <c r="O1390" s="36">
        <f t="shared" si="192"/>
        <v>347.25</v>
      </c>
      <c r="P1390" s="38">
        <f ca="1">IF(ISERROR(IF(O1390&lt;fi_h/20,0,(OFFSET('Base de dados'!$A$5,IF(O1390&lt;20,1,IF(O1390&gt;1000,10,MATCH(O1390,Cargas,1))),Coluna_fih,1,1))*(1+0.13*0.25)*(PI()*(fi_h/1000)^2/4)*SQRT(2*9.81*(O1390/100-fi_h/2/1000))*1000)),"",IF(O1390&lt;fi_h/20,0,(OFFSET('Base de dados'!$A$5,IF(O1390&lt;20,1,IF(O1390&gt;1000,10,MATCH(O1390,Cargas,1))),Coluna_fih,1,1))*(PI()*(fi_h/1000)^2/4)*SQRT(2*9.81*(O1390/100-fi_h/2/1000))*1000))</f>
        <v>4.9754692988848985</v>
      </c>
      <c r="Q1390" s="38">
        <f ca="1">IF(O1390="","",IF(Tipo_Vertedor="Retangular",IF(O1390&lt;=cota_s*100,0,IF(Tipo_Vertedor="Retangular",Cd_sr*Lef_sr*((O1390/100-cota_s)^(3/2))*1000)),IF(O1390&lt;=cota_s*100+fi_s/20,0,(OFFSET('Base de dados'!$A$4,IF(O1390&lt;20,1,IF(O1390&gt;1000,10,MATCH(O1390,Cargas,1))),Coluna_fis,1,1))*(PI()*(fi_s/1000)^2/4)*(2*9.81*(O1390/100-cota_s-fi_s/2/1000))^0.5*1000)))</f>
        <v>4.0195733051991969</v>
      </c>
      <c r="R1390" s="38">
        <f t="shared" ca="1" si="195"/>
        <v>8.9950426040840945</v>
      </c>
      <c r="S1390" s="38">
        <f t="shared" ca="1" si="196"/>
        <v>434.06250000000006</v>
      </c>
    </row>
    <row r="1391" spans="13:19">
      <c r="M1391" s="132">
        <f t="shared" ca="1" si="193"/>
        <v>443.37407005447562</v>
      </c>
      <c r="N1391" s="38">
        <f t="shared" si="194"/>
        <v>13.03125</v>
      </c>
      <c r="O1391" s="36">
        <f t="shared" si="192"/>
        <v>347.5</v>
      </c>
      <c r="P1391" s="38">
        <f ca="1">IF(ISERROR(IF(O1391&lt;fi_h/20,0,(OFFSET('Base de dados'!$A$5,IF(O1391&lt;20,1,IF(O1391&gt;1000,10,MATCH(O1391,Cargas,1))),Coluna_fih,1,1))*(1+0.13*0.25)*(PI()*(fi_h/1000)^2/4)*SQRT(2*9.81*(O1391/100-fi_h/2/1000))*1000)),"",IF(O1391&lt;fi_h/20,0,(OFFSET('Base de dados'!$A$5,IF(O1391&lt;20,1,IF(O1391&gt;1000,10,MATCH(O1391,Cargas,1))),Coluna_fih,1,1))*(PI()*(fi_h/1000)^2/4)*SQRT(2*9.81*(O1391/100-fi_h/2/1000))*1000))</f>
        <v>4.9772691228847341</v>
      </c>
      <c r="Q1391" s="38">
        <f ca="1">IF(O1391="","",IF(Tipo_Vertedor="Retangular",IF(O1391&lt;=cota_s*100,0,IF(Tipo_Vertedor="Retangular",Cd_sr*Lef_sr*((O1391/100-cota_s)^(3/2))*1000)),IF(O1391&lt;=cota_s*100+fi_s/20,0,(OFFSET('Base de dados'!$A$4,IF(O1391&lt;20,1,IF(O1391&gt;1000,10,MATCH(O1391,Cargas,1))),Coluna_fis,1,1))*(PI()*(fi_s/1000)^2/4)*(2*9.81*(O1391/100-cota_s-fi_s/2/1000))^0.5*1000)))</f>
        <v>4.021800931590918</v>
      </c>
      <c r="R1391" s="38">
        <f t="shared" ca="1" si="195"/>
        <v>8.9990700544756521</v>
      </c>
      <c r="S1391" s="38">
        <f t="shared" ca="1" si="196"/>
        <v>434.375</v>
      </c>
    </row>
    <row r="1392" spans="13:19">
      <c r="M1392" s="132">
        <f t="shared" ca="1" si="193"/>
        <v>443.69059562109817</v>
      </c>
      <c r="N1392" s="38">
        <f t="shared" si="194"/>
        <v>13.040625</v>
      </c>
      <c r="O1392" s="36">
        <f t="shared" si="192"/>
        <v>347.75</v>
      </c>
      <c r="P1392" s="38">
        <f ca="1">IF(ISERROR(IF(O1392&lt;fi_h/20,0,(OFFSET('Base de dados'!$A$5,IF(O1392&lt;20,1,IF(O1392&gt;1000,10,MATCH(O1392,Cargas,1))),Coluna_fih,1,1))*(1+0.13*0.25)*(PI()*(fi_h/1000)^2/4)*SQRT(2*9.81*(O1392/100-fi_h/2/1000))*1000)),"",IF(O1392&lt;fi_h/20,0,(OFFSET('Base de dados'!$A$5,IF(O1392&lt;20,1,IF(O1392&gt;1000,10,MATCH(O1392,Cargas,1))),Coluna_fih,1,1))*(PI()*(fi_h/1000)^2/4)*SQRT(2*9.81*(O1392/100-fi_h/2/1000))*1000))</f>
        <v>4.9790682962877035</v>
      </c>
      <c r="Q1392" s="38">
        <f ca="1">IF(O1392="","",IF(Tipo_Vertedor="Retangular",IF(O1392&lt;=cota_s*100,0,IF(Tipo_Vertedor="Retangular",Cd_sr*Lef_sr*((O1392/100-cota_s)^(3/2))*1000)),IF(O1392&lt;=cota_s*100+fi_s/20,0,(OFFSET('Base de dados'!$A$4,IF(O1392&lt;20,1,IF(O1392&gt;1000,10,MATCH(O1392,Cargas,1))),Coluna_fis,1,1))*(PI()*(fi_s/1000)^2/4)*(2*9.81*(O1392/100-cota_s-fi_s/2/1000))^0.5*1000)))</f>
        <v>4.0240273248104499</v>
      </c>
      <c r="R1392" s="38">
        <f t="shared" ca="1" si="195"/>
        <v>9.0030956210981543</v>
      </c>
      <c r="S1392" s="38">
        <f t="shared" ca="1" si="196"/>
        <v>434.6875</v>
      </c>
    </row>
    <row r="1393" spans="13:19">
      <c r="M1393" s="132">
        <f t="shared" ca="1" si="193"/>
        <v>444.00711930670235</v>
      </c>
      <c r="N1393" s="38">
        <f t="shared" si="194"/>
        <v>13.05</v>
      </c>
      <c r="O1393" s="36">
        <f t="shared" si="192"/>
        <v>348</v>
      </c>
      <c r="P1393" s="38">
        <f ca="1">IF(ISERROR(IF(O1393&lt;fi_h/20,0,(OFFSET('Base de dados'!$A$5,IF(O1393&lt;20,1,IF(O1393&gt;1000,10,MATCH(O1393,Cargas,1))),Coluna_fih,1,1))*(1+0.13*0.25)*(PI()*(fi_h/1000)^2/4)*SQRT(2*9.81*(O1393/100-fi_h/2/1000))*1000)),"",IF(O1393&lt;fi_h/20,0,(OFFSET('Base de dados'!$A$5,IF(O1393&lt;20,1,IF(O1393&gt;1000,10,MATCH(O1393,Cargas,1))),Coluna_fih,1,1))*(PI()*(fi_h/1000)^2/4)*SQRT(2*9.81*(O1393/100-fi_h/2/1000))*1000))</f>
        <v>4.9808668197988304</v>
      </c>
      <c r="Q1393" s="38">
        <f ca="1">IF(O1393="","",IF(Tipo_Vertedor="Retangular",IF(O1393&lt;=cota_s*100,0,IF(Tipo_Vertedor="Retangular",Cd_sr*Lef_sr*((O1393/100-cota_s)^(3/2))*1000)),IF(O1393&lt;=cota_s*100+fi_s/20,0,(OFFSET('Base de dados'!$A$4,IF(O1393&lt;20,1,IF(O1393&gt;1000,10,MATCH(O1393,Cargas,1))),Coluna_fis,1,1))*(PI()*(fi_s/1000)^2/4)*(2*9.81*(O1393/100-cota_s-fi_s/2/1000))^0.5*1000)))</f>
        <v>4.0262524869035126</v>
      </c>
      <c r="R1393" s="38">
        <f t="shared" ca="1" si="195"/>
        <v>9.007119306702343</v>
      </c>
      <c r="S1393" s="38">
        <f t="shared" ca="1" si="196"/>
        <v>435</v>
      </c>
    </row>
    <row r="1394" spans="13:19">
      <c r="M1394" s="132">
        <f t="shared" ca="1" si="193"/>
        <v>444.32364111403206</v>
      </c>
      <c r="N1394" s="38">
        <f t="shared" si="194"/>
        <v>13.059374999999999</v>
      </c>
      <c r="O1394" s="36">
        <f t="shared" si="192"/>
        <v>348.25</v>
      </c>
      <c r="P1394" s="38">
        <f ca="1">IF(ISERROR(IF(O1394&lt;fi_h/20,0,(OFFSET('Base de dados'!$A$5,IF(O1394&lt;20,1,IF(O1394&gt;1000,10,MATCH(O1394,Cargas,1))),Coluna_fih,1,1))*(1+0.13*0.25)*(PI()*(fi_h/1000)^2/4)*SQRT(2*9.81*(O1394/100-fi_h/2/1000))*1000)),"",IF(O1394&lt;fi_h/20,0,(OFFSET('Base de dados'!$A$5,IF(O1394&lt;20,1,IF(O1394&gt;1000,10,MATCH(O1394,Cargas,1))),Coluna_fih,1,1))*(PI()*(fi_h/1000)^2/4)*SQRT(2*9.81*(O1394/100-fi_h/2/1000))*1000))</f>
        <v>4.9826646941218602</v>
      </c>
      <c r="Q1394" s="38">
        <f ca="1">IF(O1394="","",IF(Tipo_Vertedor="Retangular",IF(O1394&lt;=cota_s*100,0,IF(Tipo_Vertedor="Retangular",Cd_sr*Lef_sr*((O1394/100-cota_s)^(3/2))*1000)),IF(O1394&lt;=cota_s*100+fi_s/20,0,(OFFSET('Base de dados'!$A$4,IF(O1394&lt;20,1,IF(O1394&gt;1000,10,MATCH(O1394,Cargas,1))),Coluna_fis,1,1))*(PI()*(fi_s/1000)^2/4)*(2*9.81*(O1394/100-cota_s-fi_s/2/1000))^0.5*1000)))</f>
        <v>4.0284764199101737</v>
      </c>
      <c r="R1394" s="38">
        <f t="shared" ca="1" si="195"/>
        <v>9.0111411140320339</v>
      </c>
      <c r="S1394" s="38">
        <f t="shared" ca="1" si="196"/>
        <v>435.3125</v>
      </c>
    </row>
    <row r="1395" spans="13:19">
      <c r="M1395" s="132">
        <f t="shared" ca="1" si="193"/>
        <v>444.64016104582413</v>
      </c>
      <c r="N1395" s="38">
        <f t="shared" si="194"/>
        <v>13.06875</v>
      </c>
      <c r="O1395" s="36">
        <f t="shared" si="192"/>
        <v>348.5</v>
      </c>
      <c r="P1395" s="38">
        <f ca="1">IF(ISERROR(IF(O1395&lt;fi_h/20,0,(OFFSET('Base de dados'!$A$5,IF(O1395&lt;20,1,IF(O1395&gt;1000,10,MATCH(O1395,Cargas,1))),Coluna_fih,1,1))*(1+0.13*0.25)*(PI()*(fi_h/1000)^2/4)*SQRT(2*9.81*(O1395/100-fi_h/2/1000))*1000)),"",IF(O1395&lt;fi_h/20,0,(OFFSET('Base de dados'!$A$5,IF(O1395&lt;20,1,IF(O1395&gt;1000,10,MATCH(O1395,Cargas,1))),Coluna_fih,1,1))*(PI()*(fi_h/1000)^2/4)*SQRT(2*9.81*(O1395/100-fi_h/2/1000))*1000))</f>
        <v>4.984461919959271</v>
      </c>
      <c r="Q1395" s="38">
        <f ca="1">IF(O1395="","",IF(Tipo_Vertedor="Retangular",IF(O1395&lt;=cota_s*100,0,IF(Tipo_Vertedor="Retangular",Cd_sr*Lef_sr*((O1395/100-cota_s)^(3/2))*1000)),IF(O1395&lt;=cota_s*100+fi_s/20,0,(OFFSET('Base de dados'!$A$4,IF(O1395&lt;20,1,IF(O1395&gt;1000,10,MATCH(O1395,Cargas,1))),Coluna_fis,1,1))*(PI()*(fi_s/1000)^2/4)*(2*9.81*(O1395/100-cota_s-fi_s/2/1000))^0.5*1000)))</f>
        <v>4.0306991258648752</v>
      </c>
      <c r="R1395" s="38">
        <f t="shared" ca="1" si="195"/>
        <v>9.0151610458241471</v>
      </c>
      <c r="S1395" s="38">
        <f t="shared" ca="1" si="196"/>
        <v>435.625</v>
      </c>
    </row>
    <row r="1396" spans="13:19">
      <c r="M1396" s="132">
        <f t="shared" ca="1" si="193"/>
        <v>444.9566791048087</v>
      </c>
      <c r="N1396" s="38">
        <f t="shared" si="194"/>
        <v>13.078125</v>
      </c>
      <c r="O1396" s="36">
        <f t="shared" si="192"/>
        <v>348.75</v>
      </c>
      <c r="P1396" s="38">
        <f ca="1">IF(ISERROR(IF(O1396&lt;fi_h/20,0,(OFFSET('Base de dados'!$A$5,IF(O1396&lt;20,1,IF(O1396&gt;1000,10,MATCH(O1396,Cargas,1))),Coluna_fih,1,1))*(1+0.13*0.25)*(PI()*(fi_h/1000)^2/4)*SQRT(2*9.81*(O1396/100-fi_h/2/1000))*1000)),"",IF(O1396&lt;fi_h/20,0,(OFFSET('Base de dados'!$A$5,IF(O1396&lt;20,1,IF(O1396&gt;1000,10,MATCH(O1396,Cargas,1))),Coluna_fih,1,1))*(PI()*(fi_h/1000)^2/4)*SQRT(2*9.81*(O1396/100-fi_h/2/1000))*1000))</f>
        <v>4.9862584980122762</v>
      </c>
      <c r="Q1396" s="38">
        <f ca="1">IF(O1396="","",IF(Tipo_Vertedor="Retangular",IF(O1396&lt;=cota_s*100,0,IF(Tipo_Vertedor="Retangular",Cd_sr*Lef_sr*((O1396/100-cota_s)^(3/2))*1000)),IF(O1396&lt;=cota_s*100+fi_s/20,0,(OFFSET('Base de dados'!$A$4,IF(O1396&lt;20,1,IF(O1396&gt;1000,10,MATCH(O1396,Cargas,1))),Coluna_fis,1,1))*(PI()*(fi_s/1000)^2/4)*(2*9.81*(O1396/100-cota_s-fi_s/2/1000))^0.5*1000)))</f>
        <v>4.0329206067964494</v>
      </c>
      <c r="R1396" s="38">
        <f t="shared" ca="1" si="195"/>
        <v>9.0191791048087246</v>
      </c>
      <c r="S1396" s="38">
        <f t="shared" ca="1" si="196"/>
        <v>435.9375</v>
      </c>
    </row>
    <row r="1397" spans="13:19">
      <c r="M1397" s="132">
        <f t="shared" ca="1" si="193"/>
        <v>445.27319529370897</v>
      </c>
      <c r="N1397" s="38">
        <f t="shared" si="194"/>
        <v>13.0875</v>
      </c>
      <c r="O1397" s="36">
        <f t="shared" si="192"/>
        <v>349</v>
      </c>
      <c r="P1397" s="38">
        <f ca="1">IF(ISERROR(IF(O1397&lt;fi_h/20,0,(OFFSET('Base de dados'!$A$5,IF(O1397&lt;20,1,IF(O1397&gt;1000,10,MATCH(O1397,Cargas,1))),Coluna_fih,1,1))*(1+0.13*0.25)*(PI()*(fi_h/1000)^2/4)*SQRT(2*9.81*(O1397/100-fi_h/2/1000))*1000)),"",IF(O1397&lt;fi_h/20,0,(OFFSET('Base de dados'!$A$5,IF(O1397&lt;20,1,IF(O1397&gt;1000,10,MATCH(O1397,Cargas,1))),Coluna_fih,1,1))*(PI()*(fi_h/1000)^2/4)*SQRT(2*9.81*(O1397/100-fi_h/2/1000))*1000))</f>
        <v>4.9880544289808242</v>
      </c>
      <c r="Q1397" s="38">
        <f ca="1">IF(O1397="","",IF(Tipo_Vertedor="Retangular",IF(O1397&lt;=cota_s*100,0,IF(Tipo_Vertedor="Retangular",Cd_sr*Lef_sr*((O1397/100-cota_s)^(3/2))*1000)),IF(O1397&lt;=cota_s*100+fi_s/20,0,(OFFSET('Base de dados'!$A$4,IF(O1397&lt;20,1,IF(O1397&gt;1000,10,MATCH(O1397,Cargas,1))),Coluna_fis,1,1))*(PI()*(fi_s/1000)^2/4)*(2*9.81*(O1397/100-cota_s-fi_s/2/1000))^0.5*1000)))</f>
        <v>4.0351408647281479</v>
      </c>
      <c r="R1397" s="38">
        <f t="shared" ca="1" si="195"/>
        <v>9.023195293708973</v>
      </c>
      <c r="S1397" s="38">
        <f t="shared" ca="1" si="196"/>
        <v>436.25</v>
      </c>
    </row>
    <row r="1398" spans="13:19">
      <c r="M1398" s="132">
        <f t="shared" ca="1" si="193"/>
        <v>445.58970961524125</v>
      </c>
      <c r="N1398" s="38">
        <f t="shared" si="194"/>
        <v>13.096875000000001</v>
      </c>
      <c r="O1398" s="36">
        <f t="shared" si="192"/>
        <v>349.25</v>
      </c>
      <c r="P1398" s="38">
        <f ca="1">IF(ISERROR(IF(O1398&lt;fi_h/20,0,(OFFSET('Base de dados'!$A$5,IF(O1398&lt;20,1,IF(O1398&gt;1000,10,MATCH(O1398,Cargas,1))),Coluna_fih,1,1))*(1+0.13*0.25)*(PI()*(fi_h/1000)^2/4)*SQRT(2*9.81*(O1398/100-fi_h/2/1000))*1000)),"",IF(O1398&lt;fi_h/20,0,(OFFSET('Base de dados'!$A$5,IF(O1398&lt;20,1,IF(O1398&gt;1000,10,MATCH(O1398,Cargas,1))),Coluna_fih,1,1))*(PI()*(fi_h/1000)^2/4)*SQRT(2*9.81*(O1398/100-fi_h/2/1000))*1000))</f>
        <v>4.9898497135636051</v>
      </c>
      <c r="Q1398" s="38">
        <f ca="1">IF(O1398="","",IF(Tipo_Vertedor="Retangular",IF(O1398&lt;=cota_s*100,0,IF(Tipo_Vertedor="Retangular",Cd_sr*Lef_sr*((O1398/100-cota_s)^(3/2))*1000)),IF(O1398&lt;=cota_s*100+fi_s/20,0,(OFFSET('Base de dados'!$A$4,IF(O1398&lt;20,1,IF(O1398&gt;1000,10,MATCH(O1398,Cargas,1))),Coluna_fis,1,1))*(PI()*(fi_s/1000)^2/4)*(2*9.81*(O1398/100-cota_s-fi_s/2/1000))^0.5*1000)))</f>
        <v>4.0373599016776547</v>
      </c>
      <c r="R1398" s="38">
        <f t="shared" ca="1" si="195"/>
        <v>9.0272096152412598</v>
      </c>
      <c r="S1398" s="38">
        <f t="shared" ca="1" si="196"/>
        <v>436.5625</v>
      </c>
    </row>
    <row r="1399" spans="13:19">
      <c r="M1399" s="132">
        <f t="shared" ca="1" si="193"/>
        <v>445.90622207211521</v>
      </c>
      <c r="N1399" s="38">
        <f t="shared" si="194"/>
        <v>13.106250000000001</v>
      </c>
      <c r="O1399" s="36">
        <f t="shared" si="192"/>
        <v>349.5</v>
      </c>
      <c r="P1399" s="38">
        <f ca="1">IF(ISERROR(IF(O1399&lt;fi_h/20,0,(OFFSET('Base de dados'!$A$5,IF(O1399&lt;20,1,IF(O1399&gt;1000,10,MATCH(O1399,Cargas,1))),Coluna_fih,1,1))*(1+0.13*0.25)*(PI()*(fi_h/1000)^2/4)*SQRT(2*9.81*(O1399/100-fi_h/2/1000))*1000)),"",IF(O1399&lt;fi_h/20,0,(OFFSET('Base de dados'!$A$5,IF(O1399&lt;20,1,IF(O1399&gt;1000,10,MATCH(O1399,Cargas,1))),Coluna_fih,1,1))*(PI()*(fi_h/1000)^2/4)*SQRT(2*9.81*(O1399/100-fi_h/2/1000))*1000))</f>
        <v>4.991644352458052</v>
      </c>
      <c r="Q1399" s="38">
        <f ca="1">IF(O1399="","",IF(Tipo_Vertedor="Retangular",IF(O1399&lt;=cota_s*100,0,IF(Tipo_Vertedor="Retangular",Cd_sr*Lef_sr*((O1399/100-cota_s)^(3/2))*1000)),IF(O1399&lt;=cota_s*100+fi_s/20,0,(OFFSET('Base de dados'!$A$4,IF(O1399&lt;20,1,IF(O1399&gt;1000,10,MATCH(O1399,Cargas,1))),Coluna_fis,1,1))*(PI()*(fi_s/1000)^2/4)*(2*9.81*(O1399/100-cota_s-fi_s/2/1000))^0.5*1000)))</f>
        <v>4.0395777196571139</v>
      </c>
      <c r="R1399" s="38">
        <f t="shared" ca="1" si="195"/>
        <v>9.0312220721151668</v>
      </c>
      <c r="S1399" s="38">
        <f t="shared" ca="1" si="196"/>
        <v>436.87500000000006</v>
      </c>
    </row>
    <row r="1400" spans="13:19">
      <c r="M1400" s="132">
        <f t="shared" ca="1" si="193"/>
        <v>446.22273266703348</v>
      </c>
      <c r="N1400" s="38">
        <f t="shared" si="194"/>
        <v>13.115625</v>
      </c>
      <c r="O1400" s="36">
        <f t="shared" si="192"/>
        <v>349.75</v>
      </c>
      <c r="P1400" s="38">
        <f ca="1">IF(ISERROR(IF(O1400&lt;fi_h/20,0,(OFFSET('Base de dados'!$A$5,IF(O1400&lt;20,1,IF(O1400&gt;1000,10,MATCH(O1400,Cargas,1))),Coluna_fih,1,1))*(1+0.13*0.25)*(PI()*(fi_h/1000)^2/4)*SQRT(2*9.81*(O1400/100-fi_h/2/1000))*1000)),"",IF(O1400&lt;fi_h/20,0,(OFFSET('Base de dados'!$A$5,IF(O1400&lt;20,1,IF(O1400&gt;1000,10,MATCH(O1400,Cargas,1))),Coluna_fih,1,1))*(PI()*(fi_h/1000)^2/4)*SQRT(2*9.81*(O1400/100-fi_h/2/1000))*1000))</f>
        <v>4.993438346360346</v>
      </c>
      <c r="Q1400" s="38">
        <f ca="1">IF(O1400="","",IF(Tipo_Vertedor="Retangular",IF(O1400&lt;=cota_s*100,0,IF(Tipo_Vertedor="Retangular",Cd_sr*Lef_sr*((O1400/100-cota_s)^(3/2))*1000)),IF(O1400&lt;=cota_s*100+fi_s/20,0,(OFFSET('Base de dados'!$A$4,IF(O1400&lt;20,1,IF(O1400&gt;1000,10,MATCH(O1400,Cargas,1))),Coluna_fis,1,1))*(PI()*(fi_s/1000)^2/4)*(2*9.81*(O1400/100-cota_s-fi_s/2/1000))^0.5*1000)))</f>
        <v>4.0417943206731524</v>
      </c>
      <c r="R1400" s="38">
        <f t="shared" ca="1" si="195"/>
        <v>9.0352326670334975</v>
      </c>
      <c r="S1400" s="38">
        <f t="shared" ca="1" si="196"/>
        <v>437.1875</v>
      </c>
    </row>
    <row r="1401" spans="13:19">
      <c r="M1401" s="132">
        <f t="shared" ca="1" si="193"/>
        <v>446.53924140269231</v>
      </c>
      <c r="N1401" s="38">
        <f t="shared" si="194"/>
        <v>13.125</v>
      </c>
      <c r="O1401" s="36">
        <f t="shared" si="192"/>
        <v>350</v>
      </c>
      <c r="P1401" s="38">
        <f ca="1">IF(ISERROR(IF(O1401&lt;fi_h/20,0,(OFFSET('Base de dados'!$A$5,IF(O1401&lt;20,1,IF(O1401&gt;1000,10,MATCH(O1401,Cargas,1))),Coluna_fih,1,1))*(1+0.13*0.25)*(PI()*(fi_h/1000)^2/4)*SQRT(2*9.81*(O1401/100-fi_h/2/1000))*1000)),"",IF(O1401&lt;fi_h/20,0,(OFFSET('Base de dados'!$A$5,IF(O1401&lt;20,1,IF(O1401&gt;1000,10,MATCH(O1401,Cargas,1))),Coluna_fih,1,1))*(PI()*(fi_h/1000)^2/4)*SQRT(2*9.81*(O1401/100-fi_h/2/1000))*1000))</f>
        <v>4.9952316959654146</v>
      </c>
      <c r="Q1401" s="38">
        <f ca="1">IF(O1401="","",IF(Tipo_Vertedor="Retangular",IF(O1401&lt;=cota_s*100,0,IF(Tipo_Vertedor="Retangular",Cd_sr*Lef_sr*((O1401/100-cota_s)^(3/2))*1000)),IF(O1401&lt;=cota_s*100+fi_s/20,0,(OFFSET('Base de dados'!$A$4,IF(O1401&lt;20,1,IF(O1401&gt;1000,10,MATCH(O1401,Cargas,1))),Coluna_fis,1,1))*(PI()*(fi_s/1000)^2/4)*(2*9.81*(O1401/100-cota_s-fi_s/2/1000))^0.5*1000)))</f>
        <v>4.0440097067268921</v>
      </c>
      <c r="R1401" s="38">
        <f t="shared" ca="1" si="195"/>
        <v>9.0392414026923067</v>
      </c>
      <c r="S1401" s="38">
        <f t="shared" ca="1" si="196"/>
        <v>437.5</v>
      </c>
    </row>
    <row r="1402" spans="13:19">
      <c r="M1402" s="132">
        <f t="shared" ca="1" si="193"/>
        <v>446.8557482817809</v>
      </c>
      <c r="N1402" s="38">
        <f t="shared" si="194"/>
        <v>13.134375</v>
      </c>
      <c r="O1402" s="36">
        <f t="shared" si="192"/>
        <v>350.25</v>
      </c>
      <c r="P1402" s="38">
        <f ca="1">IF(ISERROR(IF(O1402&lt;fi_h/20,0,(OFFSET('Base de dados'!$A$5,IF(O1402&lt;20,1,IF(O1402&gt;1000,10,MATCH(O1402,Cargas,1))),Coluna_fih,1,1))*(1+0.13*0.25)*(PI()*(fi_h/1000)^2/4)*SQRT(2*9.81*(O1402/100-fi_h/2/1000))*1000)),"",IF(O1402&lt;fi_h/20,0,(OFFSET('Base de dados'!$A$5,IF(O1402&lt;20,1,IF(O1402&gt;1000,10,MATCH(O1402,Cargas,1))),Coluna_fih,1,1))*(PI()*(fi_h/1000)^2/4)*SQRT(2*9.81*(O1402/100-fi_h/2/1000))*1000))</f>
        <v>4.9970244019669439</v>
      </c>
      <c r="Q1402" s="38">
        <f ca="1">IF(O1402="","",IF(Tipo_Vertedor="Retangular",IF(O1402&lt;=cota_s*100,0,IF(Tipo_Vertedor="Retangular",Cd_sr*Lef_sr*((O1402/100-cota_s)^(3/2))*1000)),IF(O1402&lt;=cota_s*100+fi_s/20,0,(OFFSET('Base de dados'!$A$4,IF(O1402&lt;20,1,IF(O1402&gt;1000,10,MATCH(O1402,Cargas,1))),Coluna_fis,1,1))*(PI()*(fi_s/1000)^2/4)*(2*9.81*(O1402/100-cota_s-fi_s/2/1000))^0.5*1000)))</f>
        <v>4.0462238798139802</v>
      </c>
      <c r="R1402" s="38">
        <f t="shared" ca="1" si="195"/>
        <v>9.0432482817809241</v>
      </c>
      <c r="S1402" s="38">
        <f t="shared" ca="1" si="196"/>
        <v>437.8125</v>
      </c>
    </row>
    <row r="1403" spans="13:19">
      <c r="M1403" s="132">
        <f t="shared" ca="1" si="193"/>
        <v>447.17225330698193</v>
      </c>
      <c r="N1403" s="38">
        <f t="shared" si="194"/>
        <v>13.143749999999999</v>
      </c>
      <c r="O1403" s="36">
        <f t="shared" si="192"/>
        <v>350.5</v>
      </c>
      <c r="P1403" s="38">
        <f ca="1">IF(ISERROR(IF(O1403&lt;fi_h/20,0,(OFFSET('Base de dados'!$A$5,IF(O1403&lt;20,1,IF(O1403&gt;1000,10,MATCH(O1403,Cargas,1))),Coluna_fih,1,1))*(1+0.13*0.25)*(PI()*(fi_h/1000)^2/4)*SQRT(2*9.81*(O1403/100-fi_h/2/1000))*1000)),"",IF(O1403&lt;fi_h/20,0,(OFFSET('Base de dados'!$A$5,IF(O1403&lt;20,1,IF(O1403&gt;1000,10,MATCH(O1403,Cargas,1))),Coluna_fih,1,1))*(PI()*(fi_h/1000)^2/4)*SQRT(2*9.81*(O1403/100-fi_h/2/1000))*1000))</f>
        <v>4.998816465057371</v>
      </c>
      <c r="Q1403" s="38">
        <f ca="1">IF(O1403="","",IF(Tipo_Vertedor="Retangular",IF(O1403&lt;=cota_s*100,0,IF(Tipo_Vertedor="Retangular",Cd_sr*Lef_sr*((O1403/100-cota_s)^(3/2))*1000)),IF(O1403&lt;=cota_s*100+fi_s/20,0,(OFFSET('Base de dados'!$A$4,IF(O1403&lt;20,1,IF(O1403&gt;1000,10,MATCH(O1403,Cargas,1))),Coluna_fis,1,1))*(PI()*(fi_s/1000)^2/4)*(2*9.81*(O1403/100-cota_s-fi_s/2/1000))^0.5*1000)))</f>
        <v>4.0484368419246053</v>
      </c>
      <c r="R1403" s="38">
        <f t="shared" ca="1" si="195"/>
        <v>9.0472533069819754</v>
      </c>
      <c r="S1403" s="38">
        <f t="shared" ca="1" si="196"/>
        <v>438.12499999999994</v>
      </c>
    </row>
    <row r="1404" spans="13:19">
      <c r="M1404" s="132">
        <f t="shared" ca="1" si="193"/>
        <v>447.4887564809714</v>
      </c>
      <c r="N1404" s="38">
        <f t="shared" si="194"/>
        <v>13.153124999999999</v>
      </c>
      <c r="O1404" s="36">
        <f t="shared" si="192"/>
        <v>350.75</v>
      </c>
      <c r="P1404" s="38">
        <f ca="1">IF(ISERROR(IF(O1404&lt;fi_h/20,0,(OFFSET('Base de dados'!$A$5,IF(O1404&lt;20,1,IF(O1404&gt;1000,10,MATCH(O1404,Cargas,1))),Coluna_fih,1,1))*(1+0.13*0.25)*(PI()*(fi_h/1000)^2/4)*SQRT(2*9.81*(O1404/100-fi_h/2/1000))*1000)),"",IF(O1404&lt;fi_h/20,0,(OFFSET('Base de dados'!$A$5,IF(O1404&lt;20,1,IF(O1404&gt;1000,10,MATCH(O1404,Cargas,1))),Coluna_fih,1,1))*(PI()*(fi_h/1000)^2/4)*SQRT(2*9.81*(O1404/100-fi_h/2/1000))*1000))</f>
        <v>5.0006078859278951</v>
      </c>
      <c r="Q1404" s="38">
        <f ca="1">IF(O1404="","",IF(Tipo_Vertedor="Retangular",IF(O1404&lt;=cota_s*100,0,IF(Tipo_Vertedor="Retangular",Cd_sr*Lef_sr*((O1404/100-cota_s)^(3/2))*1000)),IF(O1404&lt;=cota_s*100+fi_s/20,0,(OFFSET('Base de dados'!$A$4,IF(O1404&lt;20,1,IF(O1404&gt;1000,10,MATCH(O1404,Cargas,1))),Coluna_fis,1,1))*(PI()*(fi_s/1000)^2/4)*(2*9.81*(O1404/100-cota_s-fi_s/2/1000))^0.5*1000)))</f>
        <v>4.0506485950435209</v>
      </c>
      <c r="R1404" s="38">
        <f t="shared" ca="1" si="195"/>
        <v>9.051256480971416</v>
      </c>
      <c r="S1404" s="38">
        <f t="shared" ca="1" si="196"/>
        <v>438.4375</v>
      </c>
    </row>
    <row r="1405" spans="13:19">
      <c r="M1405" s="132">
        <f t="shared" ca="1" si="193"/>
        <v>447.80525780641852</v>
      </c>
      <c r="N1405" s="38">
        <f t="shared" si="194"/>
        <v>13.1625</v>
      </c>
      <c r="O1405" s="36">
        <f t="shared" si="192"/>
        <v>351</v>
      </c>
      <c r="P1405" s="38">
        <f ca="1">IF(ISERROR(IF(O1405&lt;fi_h/20,0,(OFFSET('Base de dados'!$A$5,IF(O1405&lt;20,1,IF(O1405&gt;1000,10,MATCH(O1405,Cargas,1))),Coluna_fih,1,1))*(1+0.13*0.25)*(PI()*(fi_h/1000)^2/4)*SQRT(2*9.81*(O1405/100-fi_h/2/1000))*1000)),"",IF(O1405&lt;fi_h/20,0,(OFFSET('Base de dados'!$A$5,IF(O1405&lt;20,1,IF(O1405&gt;1000,10,MATCH(O1405,Cargas,1))),Coluna_fih,1,1))*(PI()*(fi_h/1000)^2/4)*SQRT(2*9.81*(O1405/100-fi_h/2/1000))*1000))</f>
        <v>5.0023986652684744</v>
      </c>
      <c r="Q1405" s="38">
        <f ca="1">IF(O1405="","",IF(Tipo_Vertedor="Retangular",IF(O1405&lt;=cota_s*100,0,IF(Tipo_Vertedor="Retangular",Cd_sr*Lef_sr*((O1405/100-cota_s)^(3/2))*1000)),IF(O1405&lt;=cota_s*100+fi_s/20,0,(OFFSET('Base de dados'!$A$4,IF(O1405&lt;20,1,IF(O1405&gt;1000,10,MATCH(O1405,Cargas,1))),Coluna_fis,1,1))*(PI()*(fi_s/1000)^2/4)*(2*9.81*(O1405/100-cota_s-fi_s/2/1000))^0.5*1000)))</f>
        <v>4.052859141150063</v>
      </c>
      <c r="R1405" s="38">
        <f t="shared" ca="1" si="195"/>
        <v>9.0552578064185383</v>
      </c>
      <c r="S1405" s="38">
        <f t="shared" ca="1" si="196"/>
        <v>438.75</v>
      </c>
    </row>
    <row r="1406" spans="13:19">
      <c r="M1406" s="132">
        <f t="shared" ca="1" si="193"/>
        <v>448.12175728598601</v>
      </c>
      <c r="N1406" s="38">
        <f t="shared" si="194"/>
        <v>13.171875</v>
      </c>
      <c r="O1406" s="36">
        <f t="shared" si="192"/>
        <v>351.25</v>
      </c>
      <c r="P1406" s="38">
        <f ca="1">IF(ISERROR(IF(O1406&lt;fi_h/20,0,(OFFSET('Base de dados'!$A$5,IF(O1406&lt;20,1,IF(O1406&gt;1000,10,MATCH(O1406,Cargas,1))),Coluna_fih,1,1))*(1+0.13*0.25)*(PI()*(fi_h/1000)^2/4)*SQRT(2*9.81*(O1406/100-fi_h/2/1000))*1000)),"",IF(O1406&lt;fi_h/20,0,(OFFSET('Base de dados'!$A$5,IF(O1406&lt;20,1,IF(O1406&gt;1000,10,MATCH(O1406,Cargas,1))),Coluna_fih,1,1))*(PI()*(fi_h/1000)^2/4)*SQRT(2*9.81*(O1406/100-fi_h/2/1000))*1000))</f>
        <v>5.004188803767839</v>
      </c>
      <c r="Q1406" s="38">
        <f ca="1">IF(O1406="","",IF(Tipo_Vertedor="Retangular",IF(O1406&lt;=cota_s*100,0,IF(Tipo_Vertedor="Retangular",Cd_sr*Lef_sr*((O1406/100-cota_s)^(3/2))*1000)),IF(O1406&lt;=cota_s*100+fi_s/20,0,(OFFSET('Base de dados'!$A$4,IF(O1406&lt;20,1,IF(O1406&gt;1000,10,MATCH(O1406,Cargas,1))),Coluna_fis,1,1))*(PI()*(fi_s/1000)^2/4)*(2*9.81*(O1406/100-cota_s-fi_s/2/1000))^0.5*1000)))</f>
        <v>4.0550684822181733</v>
      </c>
      <c r="R1406" s="38">
        <f t="shared" ca="1" si="195"/>
        <v>9.0592572859860123</v>
      </c>
      <c r="S1406" s="38">
        <f t="shared" ca="1" si="196"/>
        <v>439.0625</v>
      </c>
    </row>
    <row r="1407" spans="13:19">
      <c r="M1407" s="132">
        <f t="shared" ca="1" si="193"/>
        <v>448.43825492232992</v>
      </c>
      <c r="N1407" s="38">
        <f t="shared" si="194"/>
        <v>13.18125</v>
      </c>
      <c r="O1407" s="36">
        <f t="shared" si="192"/>
        <v>351.5</v>
      </c>
      <c r="P1407" s="38">
        <f ca="1">IF(ISERROR(IF(O1407&lt;fi_h/20,0,(OFFSET('Base de dados'!$A$5,IF(O1407&lt;20,1,IF(O1407&gt;1000,10,MATCH(O1407,Cargas,1))),Coluna_fih,1,1))*(1+0.13*0.25)*(PI()*(fi_h/1000)^2/4)*SQRT(2*9.81*(O1407/100-fi_h/2/1000))*1000)),"",IF(O1407&lt;fi_h/20,0,(OFFSET('Base de dados'!$A$5,IF(O1407&lt;20,1,IF(O1407&gt;1000,10,MATCH(O1407,Cargas,1))),Coluna_fih,1,1))*(PI()*(fi_h/1000)^2/4)*SQRT(2*9.81*(O1407/100-fi_h/2/1000))*1000))</f>
        <v>5.0059783021134816</v>
      </c>
      <c r="Q1407" s="38">
        <f ca="1">IF(O1407="","",IF(Tipo_Vertedor="Retangular",IF(O1407&lt;=cota_s*100,0,IF(Tipo_Vertedor="Retangular",Cd_sr*Lef_sr*((O1407/100-cota_s)^(3/2))*1000)),IF(O1407&lt;=cota_s*100+fi_s/20,0,(OFFSET('Base de dados'!$A$4,IF(O1407&lt;20,1,IF(O1407&gt;1000,10,MATCH(O1407,Cargas,1))),Coluna_fis,1,1))*(PI()*(fi_s/1000)^2/4)*(2*9.81*(O1407/100-cota_s-fi_s/2/1000))^0.5*1000)))</f>
        <v>4.0572766202164203</v>
      </c>
      <c r="R1407" s="38">
        <f t="shared" ca="1" si="195"/>
        <v>9.0632549223299019</v>
      </c>
      <c r="S1407" s="38">
        <f t="shared" ca="1" si="196"/>
        <v>439.375</v>
      </c>
    </row>
    <row r="1408" spans="13:19">
      <c r="M1408" s="132">
        <f t="shared" ca="1" si="193"/>
        <v>448.75475071809967</v>
      </c>
      <c r="N1408" s="38">
        <f t="shared" si="194"/>
        <v>13.190625000000001</v>
      </c>
      <c r="O1408" s="36">
        <f t="shared" si="192"/>
        <v>351.75</v>
      </c>
      <c r="P1408" s="38">
        <f ca="1">IF(ISERROR(IF(O1408&lt;fi_h/20,0,(OFFSET('Base de dados'!$A$5,IF(O1408&lt;20,1,IF(O1408&gt;1000,10,MATCH(O1408,Cargas,1))),Coluna_fih,1,1))*(1+0.13*0.25)*(PI()*(fi_h/1000)^2/4)*SQRT(2*9.81*(O1408/100-fi_h/2/1000))*1000)),"",IF(O1408&lt;fi_h/20,0,(OFFSET('Base de dados'!$A$5,IF(O1408&lt;20,1,IF(O1408&gt;1000,10,MATCH(O1408,Cargas,1))),Coluna_fih,1,1))*(PI()*(fi_h/1000)^2/4)*SQRT(2*9.81*(O1408/100-fi_h/2/1000))*1000))</f>
        <v>5.0077671609916674</v>
      </c>
      <c r="Q1408" s="38">
        <f ca="1">IF(O1408="","",IF(Tipo_Vertedor="Retangular",IF(O1408&lt;=cota_s*100,0,IF(Tipo_Vertedor="Retangular",Cd_sr*Lef_sr*((O1408/100-cota_s)^(3/2))*1000)),IF(O1408&lt;=cota_s*100+fi_s/20,0,(OFFSET('Base de dados'!$A$4,IF(O1408&lt;20,1,IF(O1408&gt;1000,10,MATCH(O1408,Cargas,1))),Coluna_fis,1,1))*(PI()*(fi_s/1000)^2/4)*(2*9.81*(O1408/100-cota_s-fi_s/2/1000))^0.5*1000)))</f>
        <v>4.0594835571080159</v>
      </c>
      <c r="R1408" s="38">
        <f t="shared" ca="1" si="195"/>
        <v>9.0672507180996824</v>
      </c>
      <c r="S1408" s="38">
        <f t="shared" ca="1" si="196"/>
        <v>439.6875</v>
      </c>
    </row>
    <row r="1409" spans="13:19">
      <c r="M1409" s="132">
        <f t="shared" ca="1" si="193"/>
        <v>449.07124467593826</v>
      </c>
      <c r="N1409" s="38">
        <f t="shared" si="194"/>
        <v>13.2</v>
      </c>
      <c r="O1409" s="36">
        <f t="shared" si="192"/>
        <v>352</v>
      </c>
      <c r="P1409" s="38">
        <f ca="1">IF(ISERROR(IF(O1409&lt;fi_h/20,0,(OFFSET('Base de dados'!$A$5,IF(O1409&lt;20,1,IF(O1409&gt;1000,10,MATCH(O1409,Cargas,1))),Coluna_fih,1,1))*(1+0.13*0.25)*(PI()*(fi_h/1000)^2/4)*SQRT(2*9.81*(O1409/100-fi_h/2/1000))*1000)),"",IF(O1409&lt;fi_h/20,0,(OFFSET('Base de dados'!$A$5,IF(O1409&lt;20,1,IF(O1409&gt;1000,10,MATCH(O1409,Cargas,1))),Coluna_fih,1,1))*(PI()*(fi_h/1000)^2/4)*SQRT(2*9.81*(O1409/100-fi_h/2/1000))*1000))</f>
        <v>5.0095553810874396</v>
      </c>
      <c r="Q1409" s="38">
        <f ca="1">IF(O1409="","",IF(Tipo_Vertedor="Retangular",IF(O1409&lt;=cota_s*100,0,IF(Tipo_Vertedor="Retangular",Cd_sr*Lef_sr*((O1409/100-cota_s)^(3/2))*1000)),IF(O1409&lt;=cota_s*100+fi_s/20,0,(OFFSET('Base de dados'!$A$4,IF(O1409&lt;20,1,IF(O1409&gt;1000,10,MATCH(O1409,Cargas,1))),Coluna_fis,1,1))*(PI()*(fi_s/1000)^2/4)*(2*9.81*(O1409/100-cota_s-fi_s/2/1000))^0.5*1000)))</f>
        <v>4.0616892948508418</v>
      </c>
      <c r="R1409" s="38">
        <f t="shared" ca="1" si="195"/>
        <v>9.0712446759382814</v>
      </c>
      <c r="S1409" s="38">
        <f t="shared" ca="1" si="196"/>
        <v>440</v>
      </c>
    </row>
    <row r="1410" spans="13:19">
      <c r="M1410" s="132">
        <f t="shared" ca="1" si="193"/>
        <v>449.38773679848208</v>
      </c>
      <c r="N1410" s="38">
        <f t="shared" si="194"/>
        <v>13.209375</v>
      </c>
      <c r="O1410" s="36">
        <f t="shared" si="192"/>
        <v>352.25</v>
      </c>
      <c r="P1410" s="38">
        <f ca="1">IF(ISERROR(IF(O1410&lt;fi_h/20,0,(OFFSET('Base de dados'!$A$5,IF(O1410&lt;20,1,IF(O1410&gt;1000,10,MATCH(O1410,Cargas,1))),Coluna_fih,1,1))*(1+0.13*0.25)*(PI()*(fi_h/1000)^2/4)*SQRT(2*9.81*(O1410/100-fi_h/2/1000))*1000)),"",IF(O1410&lt;fi_h/20,0,(OFFSET('Base de dados'!$A$5,IF(O1410&lt;20,1,IF(O1410&gt;1000,10,MATCH(O1410,Cargas,1))),Coluna_fih,1,1))*(PI()*(fi_h/1000)^2/4)*SQRT(2*9.81*(O1410/100-fi_h/2/1000))*1000))</f>
        <v>5.0113429630846156</v>
      </c>
      <c r="Q1410" s="38">
        <f ca="1">IF(O1410="","",IF(Tipo_Vertedor="Retangular",IF(O1410&lt;=cota_s*100,0,IF(Tipo_Vertedor="Retangular",Cd_sr*Lef_sr*((O1410/100-cota_s)^(3/2))*1000)),IF(O1410&lt;=cota_s*100+fi_s/20,0,(OFFSET('Base de dados'!$A$4,IF(O1410&lt;20,1,IF(O1410&gt;1000,10,MATCH(O1410,Cargas,1))),Coluna_fis,1,1))*(PI()*(fi_s/1000)^2/4)*(2*9.81*(O1410/100-cota_s-fi_s/2/1000))^0.5*1000)))</f>
        <v>4.0638938353974625</v>
      </c>
      <c r="R1410" s="38">
        <f t="shared" ca="1" si="195"/>
        <v>9.0752367984820772</v>
      </c>
      <c r="S1410" s="38">
        <f t="shared" ca="1" si="196"/>
        <v>440.3125</v>
      </c>
    </row>
    <row r="1411" spans="13:19">
      <c r="M1411" s="132">
        <f t="shared" ca="1" si="193"/>
        <v>449.70422708836094</v>
      </c>
      <c r="N1411" s="38">
        <f t="shared" si="194"/>
        <v>13.21875</v>
      </c>
      <c r="O1411" s="36">
        <f t="shared" si="192"/>
        <v>352.5</v>
      </c>
      <c r="P1411" s="38">
        <f ca="1">IF(ISERROR(IF(O1411&lt;fi_h/20,0,(OFFSET('Base de dados'!$A$5,IF(O1411&lt;20,1,IF(O1411&gt;1000,10,MATCH(O1411,Cargas,1))),Coluna_fih,1,1))*(1+0.13*0.25)*(PI()*(fi_h/1000)^2/4)*SQRT(2*9.81*(O1411/100-fi_h/2/1000))*1000)),"",IF(O1411&lt;fi_h/20,0,(OFFSET('Base de dados'!$A$5,IF(O1411&lt;20,1,IF(O1411&gt;1000,10,MATCH(O1411,Cargas,1))),Coluna_fih,1,1))*(PI()*(fi_h/1000)^2/4)*SQRT(2*9.81*(O1411/100-fi_h/2/1000))*1000))</f>
        <v>5.0131299076657969</v>
      </c>
      <c r="Q1411" s="38">
        <f ca="1">IF(O1411="","",IF(Tipo_Vertedor="Retangular",IF(O1411&lt;=cota_s*100,0,IF(Tipo_Vertedor="Retangular",Cd_sr*Lef_sr*((O1411/100-cota_s)^(3/2))*1000)),IF(O1411&lt;=cota_s*100+fi_s/20,0,(OFFSET('Base de dados'!$A$4,IF(O1411&lt;20,1,IF(O1411&gt;1000,10,MATCH(O1411,Cargas,1))),Coluna_fis,1,1))*(PI()*(fi_s/1000)^2/4)*(2*9.81*(O1411/100-cota_s-fi_s/2/1000))^0.5*1000)))</f>
        <v>4.0660971806951531</v>
      </c>
      <c r="R1411" s="38">
        <f t="shared" ca="1" si="195"/>
        <v>9.07922708836095</v>
      </c>
      <c r="S1411" s="38">
        <f t="shared" ca="1" si="196"/>
        <v>440.625</v>
      </c>
    </row>
    <row r="1412" spans="13:19">
      <c r="M1412" s="132">
        <f t="shared" ca="1" si="193"/>
        <v>450.02071554819821</v>
      </c>
      <c r="N1412" s="38">
        <f t="shared" si="194"/>
        <v>13.228124999999999</v>
      </c>
      <c r="O1412" s="36">
        <f t="shared" si="192"/>
        <v>352.75</v>
      </c>
      <c r="P1412" s="38">
        <f ca="1">IF(ISERROR(IF(O1412&lt;fi_h/20,0,(OFFSET('Base de dados'!$A$5,IF(O1412&lt;20,1,IF(O1412&gt;1000,10,MATCH(O1412,Cargas,1))),Coluna_fih,1,1))*(1+0.13*0.25)*(PI()*(fi_h/1000)^2/4)*SQRT(2*9.81*(O1412/100-fi_h/2/1000))*1000)),"",IF(O1412&lt;fi_h/20,0,(OFFSET('Base de dados'!$A$5,IF(O1412&lt;20,1,IF(O1412&gt;1000,10,MATCH(O1412,Cargas,1))),Coluna_fih,1,1))*(PI()*(fi_h/1000)^2/4)*SQRT(2*9.81*(O1412/100-fi_h/2/1000))*1000))</f>
        <v>5.0149162155123639</v>
      </c>
      <c r="Q1412" s="38">
        <f ca="1">IF(O1412="","",IF(Tipo_Vertedor="Retangular",IF(O1412&lt;=cota_s*100,0,IF(Tipo_Vertedor="Retangular",Cd_sr*Lef_sr*((O1412/100-cota_s)^(3/2))*1000)),IF(O1412&lt;=cota_s*100+fi_s/20,0,(OFFSET('Base de dados'!$A$4,IF(O1412&lt;20,1,IF(O1412&gt;1000,10,MATCH(O1412,Cargas,1))),Coluna_fis,1,1))*(PI()*(fi_s/1000)^2/4)*(2*9.81*(O1412/100-cota_s-fi_s/2/1000))^0.5*1000)))</f>
        <v>4.0682993326859131</v>
      </c>
      <c r="R1412" s="38">
        <f t="shared" ca="1" si="195"/>
        <v>9.083215548198277</v>
      </c>
      <c r="S1412" s="38">
        <f t="shared" ca="1" si="196"/>
        <v>440.93749999999994</v>
      </c>
    </row>
    <row r="1413" spans="13:19">
      <c r="M1413" s="132">
        <f t="shared" ca="1" si="193"/>
        <v>450.33720218061092</v>
      </c>
      <c r="N1413" s="38">
        <f t="shared" si="194"/>
        <v>13.237499999999999</v>
      </c>
      <c r="O1413" s="36">
        <f t="shared" si="192"/>
        <v>353</v>
      </c>
      <c r="P1413" s="38">
        <f ca="1">IF(ISERROR(IF(O1413&lt;fi_h/20,0,(OFFSET('Base de dados'!$A$5,IF(O1413&lt;20,1,IF(O1413&gt;1000,10,MATCH(O1413,Cargas,1))),Coluna_fih,1,1))*(1+0.13*0.25)*(PI()*(fi_h/1000)^2/4)*SQRT(2*9.81*(O1413/100-fi_h/2/1000))*1000)),"",IF(O1413&lt;fi_h/20,0,(OFFSET('Base de dados'!$A$5,IF(O1413&lt;20,1,IF(O1413&gt;1000,10,MATCH(O1413,Cargas,1))),Coluna_fih,1,1))*(PI()*(fi_h/1000)^2/4)*SQRT(2*9.81*(O1413/100-fi_h/2/1000))*1000))</f>
        <v>5.0167018873044897</v>
      </c>
      <c r="Q1413" s="38">
        <f ca="1">IF(O1413="","",IF(Tipo_Vertedor="Retangular",IF(O1413&lt;=cota_s*100,0,IF(Tipo_Vertedor="Retangular",Cd_sr*Lef_sr*((O1413/100-cota_s)^(3/2))*1000)),IF(O1413&lt;=cota_s*100+fi_s/20,0,(OFFSET('Base de dados'!$A$4,IF(O1413&lt;20,1,IF(O1413&gt;1000,10,MATCH(O1413,Cargas,1))),Coluna_fis,1,1))*(PI()*(fi_s/1000)^2/4)*(2*9.81*(O1413/100-cota_s-fi_s/2/1000))^0.5*1000)))</f>
        <v>4.0705002933064902</v>
      </c>
      <c r="R1413" s="38">
        <f t="shared" ca="1" si="195"/>
        <v>9.08720218061098</v>
      </c>
      <c r="S1413" s="38">
        <f t="shared" ca="1" si="196"/>
        <v>441.24999999999994</v>
      </c>
    </row>
    <row r="1414" spans="13:19">
      <c r="M1414" s="132">
        <f t="shared" ca="1" si="193"/>
        <v>450.65368698820959</v>
      </c>
      <c r="N1414" s="38">
        <f t="shared" si="194"/>
        <v>13.246875000000001</v>
      </c>
      <c r="O1414" s="36">
        <f t="shared" si="192"/>
        <v>353.25</v>
      </c>
      <c r="P1414" s="38">
        <f ca="1">IF(ISERROR(IF(O1414&lt;fi_h/20,0,(OFFSET('Base de dados'!$A$5,IF(O1414&lt;20,1,IF(O1414&gt;1000,10,MATCH(O1414,Cargas,1))),Coluna_fih,1,1))*(1+0.13*0.25)*(PI()*(fi_h/1000)^2/4)*SQRT(2*9.81*(O1414/100-fi_h/2/1000))*1000)),"",IF(O1414&lt;fi_h/20,0,(OFFSET('Base de dados'!$A$5,IF(O1414&lt;20,1,IF(O1414&gt;1000,10,MATCH(O1414,Cargas,1))),Coluna_fih,1,1))*(PI()*(fi_h/1000)^2/4)*SQRT(2*9.81*(O1414/100-fi_h/2/1000))*1000))</f>
        <v>5.0184869237211336</v>
      </c>
      <c r="Q1414" s="38">
        <f ca="1">IF(O1414="","",IF(Tipo_Vertedor="Retangular",IF(O1414&lt;=cota_s*100,0,IF(Tipo_Vertedor="Retangular",Cd_sr*Lef_sr*((O1414/100-cota_s)^(3/2))*1000)),IF(O1414&lt;=cota_s*100+fi_s/20,0,(OFFSET('Base de dados'!$A$4,IF(O1414&lt;20,1,IF(O1414&gt;1000,10,MATCH(O1414,Cargas,1))),Coluna_fis,1,1))*(PI()*(fi_s/1000)^2/4)*(2*9.81*(O1414/100-cota_s-fi_s/2/1000))^0.5*1000)))</f>
        <v>4.0727000644883988</v>
      </c>
      <c r="R1414" s="38">
        <f t="shared" ca="1" si="195"/>
        <v>9.0911869882095324</v>
      </c>
      <c r="S1414" s="38">
        <f t="shared" ca="1" si="196"/>
        <v>441.56250000000006</v>
      </c>
    </row>
    <row r="1415" spans="13:19">
      <c r="M1415" s="132">
        <f t="shared" ca="1" si="193"/>
        <v>450.97016997359805</v>
      </c>
      <c r="N1415" s="38">
        <f t="shared" si="194"/>
        <v>13.256250000000001</v>
      </c>
      <c r="O1415" s="36">
        <f t="shared" si="192"/>
        <v>353.5</v>
      </c>
      <c r="P1415" s="38">
        <f ca="1">IF(ISERROR(IF(O1415&lt;fi_h/20,0,(OFFSET('Base de dados'!$A$5,IF(O1415&lt;20,1,IF(O1415&gt;1000,10,MATCH(O1415,Cargas,1))),Coluna_fih,1,1))*(1+0.13*0.25)*(PI()*(fi_h/1000)^2/4)*SQRT(2*9.81*(O1415/100-fi_h/2/1000))*1000)),"",IF(O1415&lt;fi_h/20,0,(OFFSET('Base de dados'!$A$5,IF(O1415&lt;20,1,IF(O1415&gt;1000,10,MATCH(O1415,Cargas,1))),Coluna_fih,1,1))*(PI()*(fi_h/1000)^2/4)*SQRT(2*9.81*(O1415/100-fi_h/2/1000))*1000))</f>
        <v>5.0202713254400475</v>
      </c>
      <c r="Q1415" s="38">
        <f ca="1">IF(O1415="","",IF(Tipo_Vertedor="Retangular",IF(O1415&lt;=cota_s*100,0,IF(Tipo_Vertedor="Retangular",Cd_sr*Lef_sr*((O1415/100-cota_s)^(3/2))*1000)),IF(O1415&lt;=cota_s*100+fi_s/20,0,(OFFSET('Base de dados'!$A$4,IF(O1415&lt;20,1,IF(O1415&gt;1000,10,MATCH(O1415,Cargas,1))),Coluna_fis,1,1))*(PI()*(fi_s/1000)^2/4)*(2*9.81*(O1415/100-cota_s-fi_s/2/1000))^0.5*1000)))</f>
        <v>4.0748986481579363</v>
      </c>
      <c r="R1415" s="38">
        <f t="shared" ca="1" si="195"/>
        <v>9.095169973597983</v>
      </c>
      <c r="S1415" s="38">
        <f t="shared" ca="1" si="196"/>
        <v>441.87500000000006</v>
      </c>
    </row>
    <row r="1416" spans="13:19">
      <c r="M1416" s="132">
        <f t="shared" ca="1" si="193"/>
        <v>451.28665113937399</v>
      </c>
      <c r="N1416" s="38">
        <f t="shared" si="194"/>
        <v>13.265625</v>
      </c>
      <c r="O1416" s="36">
        <f t="shared" si="192"/>
        <v>353.75</v>
      </c>
      <c r="P1416" s="38">
        <f ca="1">IF(ISERROR(IF(O1416&lt;fi_h/20,0,(OFFSET('Base de dados'!$A$5,IF(O1416&lt;20,1,IF(O1416&gt;1000,10,MATCH(O1416,Cargas,1))),Coluna_fih,1,1))*(1+0.13*0.25)*(PI()*(fi_h/1000)^2/4)*SQRT(2*9.81*(O1416/100-fi_h/2/1000))*1000)),"",IF(O1416&lt;fi_h/20,0,(OFFSET('Base de dados'!$A$5,IF(O1416&lt;20,1,IF(O1416&gt;1000,10,MATCH(O1416,Cargas,1))),Coluna_fih,1,1))*(PI()*(fi_h/1000)^2/4)*SQRT(2*9.81*(O1416/100-fi_h/2/1000))*1000))</f>
        <v>5.0220550931377828</v>
      </c>
      <c r="Q1416" s="38">
        <f ca="1">IF(O1416="","",IF(Tipo_Vertedor="Retangular",IF(O1416&lt;=cota_s*100,0,IF(Tipo_Vertedor="Retangular",Cd_sr*Lef_sr*((O1416/100-cota_s)^(3/2))*1000)),IF(O1416&lt;=cota_s*100+fi_s/20,0,(OFFSET('Base de dados'!$A$4,IF(O1416&lt;20,1,IF(O1416&gt;1000,10,MATCH(O1416,Cargas,1))),Coluna_fis,1,1))*(PI()*(fi_s/1000)^2/4)*(2*9.81*(O1416/100-cota_s-fi_s/2/1000))^0.5*1000)))</f>
        <v>4.0770960462362131</v>
      </c>
      <c r="R1416" s="38">
        <f t="shared" ca="1" si="195"/>
        <v>9.0991511393739959</v>
      </c>
      <c r="S1416" s="38">
        <f t="shared" ca="1" si="196"/>
        <v>442.1875</v>
      </c>
    </row>
    <row r="1417" spans="13:19">
      <c r="M1417" s="132">
        <f t="shared" ca="1" si="193"/>
        <v>451.60313048812884</v>
      </c>
      <c r="N1417" s="38">
        <f t="shared" si="194"/>
        <v>13.275</v>
      </c>
      <c r="O1417" s="36">
        <f t="shared" si="192"/>
        <v>354</v>
      </c>
      <c r="P1417" s="38">
        <f ca="1">IF(ISERROR(IF(O1417&lt;fi_h/20,0,(OFFSET('Base de dados'!$A$5,IF(O1417&lt;20,1,IF(O1417&gt;1000,10,MATCH(O1417,Cargas,1))),Coluna_fih,1,1))*(1+0.13*0.25)*(PI()*(fi_h/1000)^2/4)*SQRT(2*9.81*(O1417/100-fi_h/2/1000))*1000)),"",IF(O1417&lt;fi_h/20,0,(OFFSET('Base de dados'!$A$5,IF(O1417&lt;20,1,IF(O1417&gt;1000,10,MATCH(O1417,Cargas,1))),Coluna_fih,1,1))*(PI()*(fi_h/1000)^2/4)*SQRT(2*9.81*(O1417/100-fi_h/2/1000))*1000))</f>
        <v>5.023838227489688</v>
      </c>
      <c r="Q1417" s="38">
        <f ca="1">IF(O1417="","",IF(Tipo_Vertedor="Retangular",IF(O1417&lt;=cota_s*100,0,IF(Tipo_Vertedor="Retangular",Cd_sr*Lef_sr*((O1417/100-cota_s)^(3/2))*1000)),IF(O1417&lt;=cota_s*100+fi_s/20,0,(OFFSET('Base de dados'!$A$4,IF(O1417&lt;20,1,IF(O1417&gt;1000,10,MATCH(O1417,Cargas,1))),Coluna_fis,1,1))*(PI()*(fi_s/1000)^2/4)*(2*9.81*(O1417/100-cota_s-fi_s/2/1000))^0.5*1000)))</f>
        <v>4.079292260639158</v>
      </c>
      <c r="R1417" s="38">
        <f t="shared" ca="1" si="195"/>
        <v>9.103130488128846</v>
      </c>
      <c r="S1417" s="38">
        <f t="shared" ca="1" si="196"/>
        <v>442.5</v>
      </c>
    </row>
    <row r="1418" spans="13:19">
      <c r="M1418" s="132">
        <f t="shared" ca="1" si="193"/>
        <v>451.91960802244745</v>
      </c>
      <c r="N1418" s="38">
        <f t="shared" si="194"/>
        <v>13.284375000000001</v>
      </c>
      <c r="O1418" s="36">
        <f t="shared" si="192"/>
        <v>354.25</v>
      </c>
      <c r="P1418" s="38">
        <f ca="1">IF(ISERROR(IF(O1418&lt;fi_h/20,0,(OFFSET('Base de dados'!$A$5,IF(O1418&lt;20,1,IF(O1418&gt;1000,10,MATCH(O1418,Cargas,1))),Coluna_fih,1,1))*(1+0.13*0.25)*(PI()*(fi_h/1000)^2/4)*SQRT(2*9.81*(O1418/100-fi_h/2/1000))*1000)),"",IF(O1418&lt;fi_h/20,0,(OFFSET('Base de dados'!$A$5,IF(O1418&lt;20,1,IF(O1418&gt;1000,10,MATCH(O1418,Cargas,1))),Coluna_fih,1,1))*(PI()*(fi_h/1000)^2/4)*SQRT(2*9.81*(O1418/100-fi_h/2/1000))*1000))</f>
        <v>5.0256207291699111</v>
      </c>
      <c r="Q1418" s="38">
        <f ca="1">IF(O1418="","",IF(Tipo_Vertedor="Retangular",IF(O1418&lt;=cota_s*100,0,IF(Tipo_Vertedor="Retangular",Cd_sr*Lef_sr*((O1418/100-cota_s)^(3/2))*1000)),IF(O1418&lt;=cota_s*100+fi_s/20,0,(OFFSET('Base de dados'!$A$4,IF(O1418&lt;20,1,IF(O1418&gt;1000,10,MATCH(O1418,Cargas,1))),Coluna_fis,1,1))*(PI()*(fi_s/1000)^2/4)*(2*9.81*(O1418/100-cota_s-fi_s/2/1000))^0.5*1000)))</f>
        <v>4.0814872932775508</v>
      </c>
      <c r="R1418" s="38">
        <f t="shared" ca="1" si="195"/>
        <v>9.1071080224474628</v>
      </c>
      <c r="S1418" s="38">
        <f t="shared" ca="1" si="196"/>
        <v>442.8125</v>
      </c>
    </row>
    <row r="1419" spans="13:19">
      <c r="M1419" s="132">
        <f t="shared" ca="1" si="193"/>
        <v>452.23608374490846</v>
      </c>
      <c r="N1419" s="38">
        <f t="shared" si="194"/>
        <v>13.293749999999999</v>
      </c>
      <c r="O1419" s="36">
        <f t="shared" si="192"/>
        <v>354.5</v>
      </c>
      <c r="P1419" s="38">
        <f ca="1">IF(ISERROR(IF(O1419&lt;fi_h/20,0,(OFFSET('Base de dados'!$A$5,IF(O1419&lt;20,1,IF(O1419&gt;1000,10,MATCH(O1419,Cargas,1))),Coluna_fih,1,1))*(1+0.13*0.25)*(PI()*(fi_h/1000)^2/4)*SQRT(2*9.81*(O1419/100-fi_h/2/1000))*1000)),"",IF(O1419&lt;fi_h/20,0,(OFFSET('Base de dados'!$A$5,IF(O1419&lt;20,1,IF(O1419&gt;1000,10,MATCH(O1419,Cargas,1))),Coluna_fih,1,1))*(PI()*(fi_h/1000)^2/4)*SQRT(2*9.81*(O1419/100-fi_h/2/1000))*1000))</f>
        <v>5.0274025988514062</v>
      </c>
      <c r="Q1419" s="38">
        <f ca="1">IF(O1419="","",IF(Tipo_Vertedor="Retangular",IF(O1419&lt;=cota_s*100,0,IF(Tipo_Vertedor="Retangular",Cd_sr*Lef_sr*((O1419/100-cota_s)^(3/2))*1000)),IF(O1419&lt;=cota_s*100+fi_s/20,0,(OFFSET('Base de dados'!$A$4,IF(O1419&lt;20,1,IF(O1419&gt;1000,10,MATCH(O1419,Cargas,1))),Coluna_fis,1,1))*(PI()*(fi_s/1000)^2/4)*(2*9.81*(O1419/100-cota_s-fi_s/2/1000))^0.5*1000)))</f>
        <v>4.0836811460570326</v>
      </c>
      <c r="R1419" s="38">
        <f t="shared" ca="1" si="195"/>
        <v>9.1110837449084379</v>
      </c>
      <c r="S1419" s="38">
        <f t="shared" ca="1" si="196"/>
        <v>443.125</v>
      </c>
    </row>
    <row r="1420" spans="13:19">
      <c r="M1420" s="132">
        <f t="shared" ca="1" si="193"/>
        <v>452.55255765808408</v>
      </c>
      <c r="N1420" s="38">
        <f t="shared" si="194"/>
        <v>13.303125</v>
      </c>
      <c r="O1420" s="36">
        <f t="shared" si="192"/>
        <v>354.75</v>
      </c>
      <c r="P1420" s="38">
        <f ca="1">IF(ISERROR(IF(O1420&lt;fi_h/20,0,(OFFSET('Base de dados'!$A$5,IF(O1420&lt;20,1,IF(O1420&gt;1000,10,MATCH(O1420,Cargas,1))),Coluna_fih,1,1))*(1+0.13*0.25)*(PI()*(fi_h/1000)^2/4)*SQRT(2*9.81*(O1420/100-fi_h/2/1000))*1000)),"",IF(O1420&lt;fi_h/20,0,(OFFSET('Base de dados'!$A$5,IF(O1420&lt;20,1,IF(O1420&gt;1000,10,MATCH(O1420,Cargas,1))),Coluna_fih,1,1))*(PI()*(fi_h/1000)^2/4)*SQRT(2*9.81*(O1420/100-fi_h/2/1000))*1000))</f>
        <v>5.0291838372059399</v>
      </c>
      <c r="Q1420" s="38">
        <f ca="1">IF(O1420="","",IF(Tipo_Vertedor="Retangular",IF(O1420&lt;=cota_s*100,0,IF(Tipo_Vertedor="Retangular",Cd_sr*Lef_sr*((O1420/100-cota_s)^(3/2))*1000)),IF(O1420&lt;=cota_s*100+fi_s/20,0,(OFFSET('Base de dados'!$A$4,IF(O1420&lt;20,1,IF(O1420&gt;1000,10,MATCH(O1420,Cargas,1))),Coluna_fis,1,1))*(PI()*(fi_s/1000)^2/4)*(2*9.81*(O1420/100-cota_s-fi_s/2/1000))^0.5*1000)))</f>
        <v>4.0858738208781302</v>
      </c>
      <c r="R1420" s="38">
        <f t="shared" ca="1" si="195"/>
        <v>9.1150576580840692</v>
      </c>
      <c r="S1420" s="38">
        <f t="shared" ca="1" si="196"/>
        <v>443.4375</v>
      </c>
    </row>
    <row r="1421" spans="13:19">
      <c r="M1421" s="132">
        <f t="shared" ca="1" si="193"/>
        <v>452.86902976454036</v>
      </c>
      <c r="N1421" s="38">
        <f t="shared" si="194"/>
        <v>13.3125</v>
      </c>
      <c r="O1421" s="36">
        <f t="shared" si="192"/>
        <v>355</v>
      </c>
      <c r="P1421" s="38">
        <f ca="1">IF(ISERROR(IF(O1421&lt;fi_h/20,0,(OFFSET('Base de dados'!$A$5,IF(O1421&lt;20,1,IF(O1421&gt;1000,10,MATCH(O1421,Cargas,1))),Coluna_fih,1,1))*(1+0.13*0.25)*(PI()*(fi_h/1000)^2/4)*SQRT(2*9.81*(O1421/100-fi_h/2/1000))*1000)),"",IF(O1421&lt;fi_h/20,0,(OFFSET('Base de dados'!$A$5,IF(O1421&lt;20,1,IF(O1421&gt;1000,10,MATCH(O1421,Cargas,1))),Coluna_fih,1,1))*(PI()*(fi_h/1000)^2/4)*SQRT(2*9.81*(O1421/100-fi_h/2/1000))*1000))</f>
        <v>5.0309644449040807</v>
      </c>
      <c r="Q1421" s="38">
        <f ca="1">IF(O1421="","",IF(Tipo_Vertedor="Retangular",IF(O1421&lt;=cota_s*100,0,IF(Tipo_Vertedor="Retangular",Cd_sr*Lef_sr*((O1421/100-cota_s)^(3/2))*1000)),IF(O1421&lt;=cota_s*100+fi_s/20,0,(OFFSET('Base de dados'!$A$4,IF(O1421&lt;20,1,IF(O1421&gt;1000,10,MATCH(O1421,Cargas,1))),Coluna_fis,1,1))*(PI()*(fi_s/1000)^2/4)*(2*9.81*(O1421/100-cota_s-fi_s/2/1000))^0.5*1000)))</f>
        <v>4.0880653196362742</v>
      </c>
      <c r="R1421" s="38">
        <f t="shared" ca="1" si="195"/>
        <v>9.119029764540354</v>
      </c>
      <c r="S1421" s="38">
        <f t="shared" ca="1" si="196"/>
        <v>443.75</v>
      </c>
    </row>
    <row r="1422" spans="13:19">
      <c r="M1422" s="132">
        <f t="shared" ca="1" si="193"/>
        <v>453.18550006683705</v>
      </c>
      <c r="N1422" s="38">
        <f t="shared" si="194"/>
        <v>13.321875</v>
      </c>
      <c r="O1422" s="36">
        <f t="shared" si="192"/>
        <v>355.25</v>
      </c>
      <c r="P1422" s="38">
        <f ca="1">IF(ISERROR(IF(O1422&lt;fi_h/20,0,(OFFSET('Base de dados'!$A$5,IF(O1422&lt;20,1,IF(O1422&gt;1000,10,MATCH(O1422,Cargas,1))),Coluna_fih,1,1))*(1+0.13*0.25)*(PI()*(fi_h/1000)^2/4)*SQRT(2*9.81*(O1422/100-fi_h/2/1000))*1000)),"",IF(O1422&lt;fi_h/20,0,(OFFSET('Base de dados'!$A$5,IF(O1422&lt;20,1,IF(O1422&gt;1000,10,MATCH(O1422,Cargas,1))),Coluna_fih,1,1))*(PI()*(fi_h/1000)^2/4)*SQRT(2*9.81*(O1422/100-fi_h/2/1000))*1000))</f>
        <v>5.0327444226152203</v>
      </c>
      <c r="Q1422" s="38">
        <f ca="1">IF(O1422="","",IF(Tipo_Vertedor="Retangular",IF(O1422&lt;=cota_s*100,0,IF(Tipo_Vertedor="Retangular",Cd_sr*Lef_sr*((O1422/100-cota_s)^(3/2))*1000)),IF(O1422&lt;=cota_s*100+fi_s/20,0,(OFFSET('Base de dados'!$A$4,IF(O1422&lt;20,1,IF(O1422&gt;1000,10,MATCH(O1422,Cargas,1))),Coluna_fis,1,1))*(PI()*(fi_s/1000)^2/4)*(2*9.81*(O1422/100-cota_s-fi_s/2/1000))^0.5*1000)))</f>
        <v>4.0902556442218136</v>
      </c>
      <c r="R1422" s="38">
        <f t="shared" ca="1" si="195"/>
        <v>9.123000066837033</v>
      </c>
      <c r="S1422" s="38">
        <f t="shared" ca="1" si="196"/>
        <v>444.0625</v>
      </c>
    </row>
    <row r="1423" spans="13:19">
      <c r="M1423" s="132">
        <f t="shared" ca="1" si="193"/>
        <v>453.50196856752763</v>
      </c>
      <c r="N1423" s="38">
        <f t="shared" si="194"/>
        <v>13.331250000000001</v>
      </c>
      <c r="O1423" s="36">
        <f t="shared" si="192"/>
        <v>355.5</v>
      </c>
      <c r="P1423" s="38">
        <f ca="1">IF(ISERROR(IF(O1423&lt;fi_h/20,0,(OFFSET('Base de dados'!$A$5,IF(O1423&lt;20,1,IF(O1423&gt;1000,10,MATCH(O1423,Cargas,1))),Coluna_fih,1,1))*(1+0.13*0.25)*(PI()*(fi_h/1000)^2/4)*SQRT(2*9.81*(O1423/100-fi_h/2/1000))*1000)),"",IF(O1423&lt;fi_h/20,0,(OFFSET('Base de dados'!$A$5,IF(O1423&lt;20,1,IF(O1423&gt;1000,10,MATCH(O1423,Cargas,1))),Coluna_fih,1,1))*(PI()*(fi_h/1000)^2/4)*SQRT(2*9.81*(O1423/100-fi_h/2/1000))*1000))</f>
        <v>5.0345237710075601</v>
      </c>
      <c r="Q1423" s="38">
        <f ca="1">IF(O1423="","",IF(Tipo_Vertedor="Retangular",IF(O1423&lt;=cota_s*100,0,IF(Tipo_Vertedor="Retangular",Cd_sr*Lef_sr*((O1423/100-cota_s)^(3/2))*1000)),IF(O1423&lt;=cota_s*100+fi_s/20,0,(OFFSET('Base de dados'!$A$4,IF(O1423&lt;20,1,IF(O1423&gt;1000,10,MATCH(O1423,Cargas,1))),Coluna_fis,1,1))*(PI()*(fi_s/1000)^2/4)*(2*9.81*(O1423/100-cota_s-fi_s/2/1000))^0.5*1000)))</f>
        <v>4.0924447965200441</v>
      </c>
      <c r="R1423" s="38">
        <f t="shared" ca="1" si="195"/>
        <v>9.1269685675276051</v>
      </c>
      <c r="S1423" s="38">
        <f t="shared" ca="1" si="196"/>
        <v>444.375</v>
      </c>
    </row>
    <row r="1424" spans="13:19">
      <c r="M1424" s="132">
        <f t="shared" ca="1" si="193"/>
        <v>453.81843526915941</v>
      </c>
      <c r="N1424" s="38">
        <f t="shared" si="194"/>
        <v>13.340625000000001</v>
      </c>
      <c r="O1424" s="36">
        <f t="shared" si="192"/>
        <v>355.75</v>
      </c>
      <c r="P1424" s="38">
        <f ca="1">IF(ISERROR(IF(O1424&lt;fi_h/20,0,(OFFSET('Base de dados'!$A$5,IF(O1424&lt;20,1,IF(O1424&gt;1000,10,MATCH(O1424,Cargas,1))),Coluna_fih,1,1))*(1+0.13*0.25)*(PI()*(fi_h/1000)^2/4)*SQRT(2*9.81*(O1424/100-fi_h/2/1000))*1000)),"",IF(O1424&lt;fi_h/20,0,(OFFSET('Base de dados'!$A$5,IF(O1424&lt;20,1,IF(O1424&gt;1000,10,MATCH(O1424,Cargas,1))),Coluna_fih,1,1))*(PI()*(fi_h/1000)^2/4)*SQRT(2*9.81*(O1424/100-fi_h/2/1000))*1000))</f>
        <v>5.036302490748124</v>
      </c>
      <c r="Q1424" s="38">
        <f ca="1">IF(O1424="","",IF(Tipo_Vertedor="Retangular",IF(O1424&lt;=cota_s*100,0,IF(Tipo_Vertedor="Retangular",Cd_sr*Lef_sr*((O1424/100-cota_s)^(3/2))*1000)),IF(O1424&lt;=cota_s*100+fi_s/20,0,(OFFSET('Base de dados'!$A$4,IF(O1424&lt;20,1,IF(O1424&gt;1000,10,MATCH(O1424,Cargas,1))),Coluna_fis,1,1))*(PI()*(fi_s/1000)^2/4)*(2*9.81*(O1424/100-cota_s-fi_s/2/1000))^0.5*1000)))</f>
        <v>4.0946327784112162</v>
      </c>
      <c r="R1424" s="38">
        <f t="shared" ca="1" si="195"/>
        <v>9.1309352691593411</v>
      </c>
      <c r="S1424" s="38">
        <f t="shared" ca="1" si="196"/>
        <v>444.68750000000006</v>
      </c>
    </row>
    <row r="1425" spans="13:19">
      <c r="M1425" s="132">
        <f t="shared" ca="1" si="193"/>
        <v>454.1349001742733</v>
      </c>
      <c r="N1425" s="38">
        <f t="shared" si="194"/>
        <v>13.35</v>
      </c>
      <c r="O1425" s="36">
        <f t="shared" si="192"/>
        <v>356</v>
      </c>
      <c r="P1425" s="38">
        <f ca="1">IF(ISERROR(IF(O1425&lt;fi_h/20,0,(OFFSET('Base de dados'!$A$5,IF(O1425&lt;20,1,IF(O1425&gt;1000,10,MATCH(O1425,Cargas,1))),Coluna_fih,1,1))*(1+0.13*0.25)*(PI()*(fi_h/1000)^2/4)*SQRT(2*9.81*(O1425/100-fi_h/2/1000))*1000)),"",IF(O1425&lt;fi_h/20,0,(OFFSET('Base de dados'!$A$5,IF(O1425&lt;20,1,IF(O1425&gt;1000,10,MATCH(O1425,Cargas,1))),Coluna_fih,1,1))*(PI()*(fi_h/1000)^2/4)*SQRT(2*9.81*(O1425/100-fi_h/2/1000))*1000))</f>
        <v>5.0380805825027579</v>
      </c>
      <c r="Q1425" s="38">
        <f ca="1">IF(O1425="","",IF(Tipo_Vertedor="Retangular",IF(O1425&lt;=cota_s*100,0,IF(Tipo_Vertedor="Retangular",Cd_sr*Lef_sr*((O1425/100-cota_s)^(3/2))*1000)),IF(O1425&lt;=cota_s*100+fi_s/20,0,(OFFSET('Base de dados'!$A$4,IF(O1425&lt;20,1,IF(O1425&gt;1000,10,MATCH(O1425,Cargas,1))),Coluna_fis,1,1))*(PI()*(fi_s/1000)^2/4)*(2*9.81*(O1425/100-cota_s-fi_s/2/1000))^0.5*1000)))</f>
        <v>4.096819591770565</v>
      </c>
      <c r="R1425" s="38">
        <f t="shared" ca="1" si="195"/>
        <v>9.1349001742733229</v>
      </c>
      <c r="S1425" s="38">
        <f t="shared" ca="1" si="196"/>
        <v>445</v>
      </c>
    </row>
    <row r="1426" spans="13:19">
      <c r="M1426" s="132">
        <f t="shared" ca="1" si="193"/>
        <v>454.45136328540445</v>
      </c>
      <c r="N1426" s="38">
        <f t="shared" si="194"/>
        <v>13.359375</v>
      </c>
      <c r="O1426" s="36">
        <f t="shared" si="192"/>
        <v>356.25</v>
      </c>
      <c r="P1426" s="38">
        <f ca="1">IF(ISERROR(IF(O1426&lt;fi_h/20,0,(OFFSET('Base de dados'!$A$5,IF(O1426&lt;20,1,IF(O1426&gt;1000,10,MATCH(O1426,Cargas,1))),Coluna_fih,1,1))*(1+0.13*0.25)*(PI()*(fi_h/1000)^2/4)*SQRT(2*9.81*(O1426/100-fi_h/2/1000))*1000)),"",IF(O1426&lt;fi_h/20,0,(OFFSET('Base de dados'!$A$5,IF(O1426&lt;20,1,IF(O1426&gt;1000,10,MATCH(O1426,Cargas,1))),Coluna_fih,1,1))*(PI()*(fi_h/1000)^2/4)*SQRT(2*9.81*(O1426/100-fi_h/2/1000))*1000))</f>
        <v>5.0398580469361338</v>
      </c>
      <c r="Q1426" s="38">
        <f ca="1">IF(O1426="","",IF(Tipo_Vertedor="Retangular",IF(O1426&lt;=cota_s*100,0,IF(Tipo_Vertedor="Retangular",Cd_sr*Lef_sr*((O1426/100-cota_s)^(3/2))*1000)),IF(O1426&lt;=cota_s*100+fi_s/20,0,(OFFSET('Base de dados'!$A$4,IF(O1426&lt;20,1,IF(O1426&gt;1000,10,MATCH(O1426,Cargas,1))),Coluna_fis,1,1))*(PI()*(fi_s/1000)^2/4)*(2*9.81*(O1426/100-cota_s-fi_s/2/1000))^0.5*1000)))</f>
        <v>4.0990052384683171</v>
      </c>
      <c r="R1426" s="38">
        <f t="shared" ca="1" si="195"/>
        <v>9.1388632854044509</v>
      </c>
      <c r="S1426" s="38">
        <f t="shared" ca="1" si="196"/>
        <v>445.3125</v>
      </c>
    </row>
    <row r="1427" spans="13:19">
      <c r="M1427" s="132">
        <f t="shared" ca="1" si="193"/>
        <v>454.7678246050815</v>
      </c>
      <c r="N1427" s="38">
        <f t="shared" si="194"/>
        <v>13.36875</v>
      </c>
      <c r="O1427" s="36">
        <f t="shared" ref="O1427:O1490" si="197">IF(ISERROR(IF(O1426+passo_altura&gt;h_max_puls*100,"",O1426+passo_altura)),"",IF(O1426+passo_altura&gt;h_max_puls*100,"",O1426+passo_altura))</f>
        <v>356.5</v>
      </c>
      <c r="P1427" s="38">
        <f ca="1">IF(ISERROR(IF(O1427&lt;fi_h/20,0,(OFFSET('Base de dados'!$A$5,IF(O1427&lt;20,1,IF(O1427&gt;1000,10,MATCH(O1427,Cargas,1))),Coluna_fih,1,1))*(1+0.13*0.25)*(PI()*(fi_h/1000)^2/4)*SQRT(2*9.81*(O1427/100-fi_h/2/1000))*1000)),"",IF(O1427&lt;fi_h/20,0,(OFFSET('Base de dados'!$A$5,IF(O1427&lt;20,1,IF(O1427&gt;1000,10,MATCH(O1427,Cargas,1))),Coluna_fih,1,1))*(PI()*(fi_h/1000)^2/4)*SQRT(2*9.81*(O1427/100-fi_h/2/1000))*1000))</f>
        <v>5.0416348847117511</v>
      </c>
      <c r="Q1427" s="38">
        <f ca="1">IF(O1427="","",IF(Tipo_Vertedor="Retangular",IF(O1427&lt;=cota_s*100,0,IF(Tipo_Vertedor="Retangular",Cd_sr*Lef_sr*((O1427/100-cota_s)^(3/2))*1000)),IF(O1427&lt;=cota_s*100+fi_s/20,0,(OFFSET('Base de dados'!$A$4,IF(O1427&lt;20,1,IF(O1427&gt;1000,10,MATCH(O1427,Cargas,1))),Coluna_fis,1,1))*(PI()*(fi_s/1000)^2/4)*(2*9.81*(O1427/100-cota_s-fi_s/2/1000))^0.5*1000)))</f>
        <v>4.1011897203697227</v>
      </c>
      <c r="R1427" s="38">
        <f t="shared" ca="1" si="195"/>
        <v>9.1428246050814739</v>
      </c>
      <c r="S1427" s="38">
        <f t="shared" ca="1" si="196"/>
        <v>445.625</v>
      </c>
    </row>
    <row r="1428" spans="13:19">
      <c r="M1428" s="132">
        <f t="shared" ca="1" si="193"/>
        <v>455.08428413582692</v>
      </c>
      <c r="N1428" s="38">
        <f t="shared" si="194"/>
        <v>13.378124999999999</v>
      </c>
      <c r="O1428" s="36">
        <f t="shared" si="197"/>
        <v>356.75</v>
      </c>
      <c r="P1428" s="38">
        <f ca="1">IF(ISERROR(IF(O1428&lt;fi_h/20,0,(OFFSET('Base de dados'!$A$5,IF(O1428&lt;20,1,IF(O1428&gt;1000,10,MATCH(O1428,Cargas,1))),Coluna_fih,1,1))*(1+0.13*0.25)*(PI()*(fi_h/1000)^2/4)*SQRT(2*9.81*(O1428/100-fi_h/2/1000))*1000)),"",IF(O1428&lt;fi_h/20,0,(OFFSET('Base de dados'!$A$5,IF(O1428&lt;20,1,IF(O1428&gt;1000,10,MATCH(O1428,Cargas,1))),Coluna_fih,1,1))*(PI()*(fi_h/1000)^2/4)*SQRT(2*9.81*(O1428/100-fi_h/2/1000))*1000))</f>
        <v>5.0434110964919423</v>
      </c>
      <c r="Q1428" s="38">
        <f ca="1">IF(O1428="","",IF(Tipo_Vertedor="Retangular",IF(O1428&lt;=cota_s*100,0,IF(Tipo_Vertedor="Retangular",Cd_sr*Lef_sr*((O1428/100-cota_s)^(3/2))*1000)),IF(O1428&lt;=cota_s*100+fi_s/20,0,(OFFSET('Base de dados'!$A$4,IF(O1428&lt;20,1,IF(O1428&gt;1000,10,MATCH(O1428,Cargas,1))),Coluna_fis,1,1))*(PI()*(fi_s/1000)^2/4)*(2*9.81*(O1428/100-cota_s-fi_s/2/1000))^0.5*1000)))</f>
        <v>4.1033730393350618</v>
      </c>
      <c r="R1428" s="38">
        <f t="shared" ca="1" si="195"/>
        <v>9.146784135827005</v>
      </c>
      <c r="S1428" s="38">
        <f t="shared" ca="1" si="196"/>
        <v>445.93749999999994</v>
      </c>
    </row>
    <row r="1429" spans="13:19">
      <c r="M1429" s="132">
        <f t="shared" ca="1" si="193"/>
        <v>455.40074188015751</v>
      </c>
      <c r="N1429" s="38">
        <f t="shared" si="194"/>
        <v>13.387499999999999</v>
      </c>
      <c r="O1429" s="36">
        <f t="shared" si="197"/>
        <v>357</v>
      </c>
      <c r="P1429" s="38">
        <f ca="1">IF(ISERROR(IF(O1429&lt;fi_h/20,0,(OFFSET('Base de dados'!$A$5,IF(O1429&lt;20,1,IF(O1429&gt;1000,10,MATCH(O1429,Cargas,1))),Coluna_fih,1,1))*(1+0.13*0.25)*(PI()*(fi_h/1000)^2/4)*SQRT(2*9.81*(O1429/100-fi_h/2/1000))*1000)),"",IF(O1429&lt;fi_h/20,0,(OFFSET('Base de dados'!$A$5,IF(O1429&lt;20,1,IF(O1429&gt;1000,10,MATCH(O1429,Cargas,1))),Coluna_fih,1,1))*(PI()*(fi_h/1000)^2/4)*SQRT(2*9.81*(O1429/100-fi_h/2/1000))*1000))</f>
        <v>5.04518668293787</v>
      </c>
      <c r="Q1429" s="38">
        <f ca="1">IF(O1429="","",IF(Tipo_Vertedor="Retangular",IF(O1429&lt;=cota_s*100,0,IF(Tipo_Vertedor="Retangular",Cd_sr*Lef_sr*((O1429/100-cota_s)^(3/2))*1000)),IF(O1429&lt;=cota_s*100+fi_s/20,0,(OFFSET('Base de dados'!$A$4,IF(O1429&lt;20,1,IF(O1429&gt;1000,10,MATCH(O1429,Cargas,1))),Coluna_fis,1,1))*(PI()*(fi_s/1000)^2/4)*(2*9.81*(O1429/100-cota_s-fi_s/2/1000))^0.5*1000)))</f>
        <v>4.1055551972196698</v>
      </c>
      <c r="R1429" s="38">
        <f t="shared" ca="1" si="195"/>
        <v>9.1507418801575398</v>
      </c>
      <c r="S1429" s="38">
        <f t="shared" ca="1" si="196"/>
        <v>446.25</v>
      </c>
    </row>
    <row r="1430" spans="13:19">
      <c r="M1430" s="132">
        <f t="shared" ca="1" si="193"/>
        <v>455.71719784058348</v>
      </c>
      <c r="N1430" s="38">
        <f t="shared" si="194"/>
        <v>13.396875</v>
      </c>
      <c r="O1430" s="36">
        <f t="shared" si="197"/>
        <v>357.25</v>
      </c>
      <c r="P1430" s="38">
        <f ca="1">IF(ISERROR(IF(O1430&lt;fi_h/20,0,(OFFSET('Base de dados'!$A$5,IF(O1430&lt;20,1,IF(O1430&gt;1000,10,MATCH(O1430,Cargas,1))),Coluna_fih,1,1))*(1+0.13*0.25)*(PI()*(fi_h/1000)^2/4)*SQRT(2*9.81*(O1430/100-fi_h/2/1000))*1000)),"",IF(O1430&lt;fi_h/20,0,(OFFSET('Base de dados'!$A$5,IF(O1430&lt;20,1,IF(O1430&gt;1000,10,MATCH(O1430,Cargas,1))),Coluna_fih,1,1))*(PI()*(fi_h/1000)^2/4)*SQRT(2*9.81*(O1430/100-fi_h/2/1000))*1000))</f>
        <v>5.0469616447095387</v>
      </c>
      <c r="Q1430" s="38">
        <f ca="1">IF(O1430="","",IF(Tipo_Vertedor="Retangular",IF(O1430&lt;=cota_s*100,0,IF(Tipo_Vertedor="Retangular",Cd_sr*Lef_sr*((O1430/100-cota_s)^(3/2))*1000)),IF(O1430&lt;=cota_s*100+fi_s/20,0,(OFFSET('Base de dados'!$A$4,IF(O1430&lt;20,1,IF(O1430&gt;1000,10,MATCH(O1430,Cargas,1))),Coluna_fis,1,1))*(PI()*(fi_s/1000)^2/4)*(2*9.81*(O1430/100-cota_s-fi_s/2/1000))^0.5*1000)))</f>
        <v>4.1077361958739527</v>
      </c>
      <c r="R1430" s="38">
        <f t="shared" ca="1" si="195"/>
        <v>9.1546978405834913</v>
      </c>
      <c r="S1430" s="38">
        <f t="shared" ca="1" si="196"/>
        <v>446.5625</v>
      </c>
    </row>
    <row r="1431" spans="13:19">
      <c r="M1431" s="132">
        <f t="shared" ref="M1431:M1494" ca="1" si="198">IF(O1431="","",2*N1431*1000/(Passo*60)+R1431)</f>
        <v>456.03365201960918</v>
      </c>
      <c r="N1431" s="38">
        <f t="shared" ref="N1431:N1494" si="199">IF(O1431="","",b_0*(O1431/100)^c_0)</f>
        <v>13.40625</v>
      </c>
      <c r="O1431" s="36">
        <f t="shared" si="197"/>
        <v>357.5</v>
      </c>
      <c r="P1431" s="38">
        <f ca="1">IF(ISERROR(IF(O1431&lt;fi_h/20,0,(OFFSET('Base de dados'!$A$5,IF(O1431&lt;20,1,IF(O1431&gt;1000,10,MATCH(O1431,Cargas,1))),Coluna_fih,1,1))*(1+0.13*0.25)*(PI()*(fi_h/1000)^2/4)*SQRT(2*9.81*(O1431/100-fi_h/2/1000))*1000)),"",IF(O1431&lt;fi_h/20,0,(OFFSET('Base de dados'!$A$5,IF(O1431&lt;20,1,IF(O1431&gt;1000,10,MATCH(O1431,Cargas,1))),Coluna_fih,1,1))*(PI()*(fi_h/1000)^2/4)*SQRT(2*9.81*(O1431/100-fi_h/2/1000))*1000))</f>
        <v>5.0487359824657876</v>
      </c>
      <c r="Q1431" s="38">
        <f ca="1">IF(O1431="","",IF(Tipo_Vertedor="Retangular",IF(O1431&lt;=cota_s*100,0,IF(Tipo_Vertedor="Retangular",Cd_sr*Lef_sr*((O1431/100-cota_s)^(3/2))*1000)),IF(O1431&lt;=cota_s*100+fi_s/20,0,(OFFSET('Base de dados'!$A$4,IF(O1431&lt;20,1,IF(O1431&gt;1000,10,MATCH(O1431,Cargas,1))),Coluna_fis,1,1))*(PI()*(fi_s/1000)^2/4)*(2*9.81*(O1431/100-cota_s-fi_s/2/1000))^0.5*1000)))</f>
        <v>4.1099160371434094</v>
      </c>
      <c r="R1431" s="38">
        <f t="shared" ref="R1431:R1494" ca="1" si="200">IF(O1431="","",Q1431+P1431)</f>
        <v>9.1586520196091961</v>
      </c>
      <c r="S1431" s="38">
        <f t="shared" ref="S1431:S1494" ca="1" si="201">IF(M1431="","",2*N1431*1000/(Passo*60))</f>
        <v>446.875</v>
      </c>
    </row>
    <row r="1432" spans="13:19">
      <c r="M1432" s="132">
        <f t="shared" ca="1" si="198"/>
        <v>456.35010441973293</v>
      </c>
      <c r="N1432" s="38">
        <f t="shared" si="199"/>
        <v>13.415625</v>
      </c>
      <c r="O1432" s="36">
        <f t="shared" si="197"/>
        <v>357.75</v>
      </c>
      <c r="P1432" s="38">
        <f ca="1">IF(ISERROR(IF(O1432&lt;fi_h/20,0,(OFFSET('Base de dados'!$A$5,IF(O1432&lt;20,1,IF(O1432&gt;1000,10,MATCH(O1432,Cargas,1))),Coluna_fih,1,1))*(1+0.13*0.25)*(PI()*(fi_h/1000)^2/4)*SQRT(2*9.81*(O1432/100-fi_h/2/1000))*1000)),"",IF(O1432&lt;fi_h/20,0,(OFFSET('Base de dados'!$A$5,IF(O1432&lt;20,1,IF(O1432&gt;1000,10,MATCH(O1432,Cargas,1))),Coluna_fih,1,1))*(PI()*(fi_h/1000)^2/4)*SQRT(2*9.81*(O1432/100-fi_h/2/1000))*1000))</f>
        <v>5.050509696864304</v>
      </c>
      <c r="Q1432" s="38">
        <f ca="1">IF(O1432="","",IF(Tipo_Vertedor="Retangular",IF(O1432&lt;=cota_s*100,0,IF(Tipo_Vertedor="Retangular",Cd_sr*Lef_sr*((O1432/100-cota_s)^(3/2))*1000)),IF(O1432&lt;=cota_s*100+fi_s/20,0,(OFFSET('Base de dados'!$A$4,IF(O1432&lt;20,1,IF(O1432&gt;1000,10,MATCH(O1432,Cargas,1))),Coluna_fis,1,1))*(PI()*(fi_s/1000)^2/4)*(2*9.81*(O1432/100-cota_s-fi_s/2/1000))^0.5*1000)))</f>
        <v>4.1120947228686457</v>
      </c>
      <c r="R1432" s="38">
        <f t="shared" ca="1" si="200"/>
        <v>9.1626044197329506</v>
      </c>
      <c r="S1432" s="38">
        <f t="shared" ca="1" si="201"/>
        <v>447.1875</v>
      </c>
    </row>
    <row r="1433" spans="13:19">
      <c r="M1433" s="132">
        <f t="shared" ca="1" si="198"/>
        <v>456.66655504344703</v>
      </c>
      <c r="N1433" s="38">
        <f t="shared" si="199"/>
        <v>13.425000000000001</v>
      </c>
      <c r="O1433" s="36">
        <f t="shared" si="197"/>
        <v>358</v>
      </c>
      <c r="P1433" s="38">
        <f ca="1">IF(ISERROR(IF(O1433&lt;fi_h/20,0,(OFFSET('Base de dados'!$A$5,IF(O1433&lt;20,1,IF(O1433&gt;1000,10,MATCH(O1433,Cargas,1))),Coluna_fih,1,1))*(1+0.13*0.25)*(PI()*(fi_h/1000)^2/4)*SQRT(2*9.81*(O1433/100-fi_h/2/1000))*1000)),"",IF(O1433&lt;fi_h/20,0,(OFFSET('Base de dados'!$A$5,IF(O1433&lt;20,1,IF(O1433&gt;1000,10,MATCH(O1433,Cargas,1))),Coluna_fih,1,1))*(PI()*(fi_h/1000)^2/4)*SQRT(2*9.81*(O1433/100-fi_h/2/1000))*1000))</f>
        <v>5.0522827885616151</v>
      </c>
      <c r="Q1433" s="38">
        <f ca="1">IF(O1433="","",IF(Tipo_Vertedor="Retangular",IF(O1433&lt;=cota_s*100,0,IF(Tipo_Vertedor="Retangular",Cd_sr*Lef_sr*((O1433/100-cota_s)^(3/2))*1000)),IF(O1433&lt;=cota_s*100+fi_s/20,0,(OFFSET('Base de dados'!$A$4,IF(O1433&lt;20,1,IF(O1433&gt;1000,10,MATCH(O1433,Cargas,1))),Coluna_fis,1,1))*(PI()*(fi_s/1000)^2/4)*(2*9.81*(O1433/100-cota_s-fi_s/2/1000))^0.5*1000)))</f>
        <v>4.1142722548853934</v>
      </c>
      <c r="R1433" s="38">
        <f t="shared" ca="1" si="200"/>
        <v>9.1665550434470084</v>
      </c>
      <c r="S1433" s="38">
        <f t="shared" ca="1" si="201"/>
        <v>447.5</v>
      </c>
    </row>
    <row r="1434" spans="13:19">
      <c r="M1434" s="132">
        <f t="shared" ca="1" si="198"/>
        <v>456.98300389323765</v>
      </c>
      <c r="N1434" s="38">
        <f t="shared" si="199"/>
        <v>13.434374999999999</v>
      </c>
      <c r="O1434" s="36">
        <f t="shared" si="197"/>
        <v>358.25</v>
      </c>
      <c r="P1434" s="38">
        <f ca="1">IF(ISERROR(IF(O1434&lt;fi_h/20,0,(OFFSET('Base de dados'!$A$5,IF(O1434&lt;20,1,IF(O1434&gt;1000,10,MATCH(O1434,Cargas,1))),Coluna_fih,1,1))*(1+0.13*0.25)*(PI()*(fi_h/1000)^2/4)*SQRT(2*9.81*(O1434/100-fi_h/2/1000))*1000)),"",IF(O1434&lt;fi_h/20,0,(OFFSET('Base de dados'!$A$5,IF(O1434&lt;20,1,IF(O1434&gt;1000,10,MATCH(O1434,Cargas,1))),Coluna_fih,1,1))*(PI()*(fi_h/1000)^2/4)*SQRT(2*9.81*(O1434/100-fi_h/2/1000))*1000))</f>
        <v>5.0540552582131024</v>
      </c>
      <c r="Q1434" s="38">
        <f ca="1">IF(O1434="","",IF(Tipo_Vertedor="Retangular",IF(O1434&lt;=cota_s*100,0,IF(Tipo_Vertedor="Retangular",Cd_sr*Lef_sr*((O1434/100-cota_s)^(3/2))*1000)),IF(O1434&lt;=cota_s*100+fi_s/20,0,(OFFSET('Base de dados'!$A$4,IF(O1434&lt;20,1,IF(O1434&gt;1000,10,MATCH(O1434,Cargas,1))),Coluna_fis,1,1))*(PI()*(fi_s/1000)^2/4)*(2*9.81*(O1434/100-cota_s-fi_s/2/1000))^0.5*1000)))</f>
        <v>4.11644863502453</v>
      </c>
      <c r="R1434" s="38">
        <f t="shared" ca="1" si="200"/>
        <v>9.1705038932376333</v>
      </c>
      <c r="S1434" s="38">
        <f t="shared" ca="1" si="201"/>
        <v>447.8125</v>
      </c>
    </row>
    <row r="1435" spans="13:19">
      <c r="M1435" s="132">
        <f t="shared" ca="1" si="198"/>
        <v>457.29945097158509</v>
      </c>
      <c r="N1435" s="38">
        <f t="shared" si="199"/>
        <v>13.44375</v>
      </c>
      <c r="O1435" s="36">
        <f t="shared" si="197"/>
        <v>358.5</v>
      </c>
      <c r="P1435" s="38">
        <f ca="1">IF(ISERROR(IF(O1435&lt;fi_h/20,0,(OFFSET('Base de dados'!$A$5,IF(O1435&lt;20,1,IF(O1435&gt;1000,10,MATCH(O1435,Cargas,1))),Coluna_fih,1,1))*(1+0.13*0.25)*(PI()*(fi_h/1000)^2/4)*SQRT(2*9.81*(O1435/100-fi_h/2/1000))*1000)),"",IF(O1435&lt;fi_h/20,0,(OFFSET('Base de dados'!$A$5,IF(O1435&lt;20,1,IF(O1435&gt;1000,10,MATCH(O1435,Cargas,1))),Coluna_fih,1,1))*(PI()*(fi_h/1000)^2/4)*SQRT(2*9.81*(O1435/100-fi_h/2/1000))*1000))</f>
        <v>5.0558271064729929</v>
      </c>
      <c r="Q1435" s="38">
        <f ca="1">IF(O1435="","",IF(Tipo_Vertedor="Retangular",IF(O1435&lt;=cota_s*100,0,IF(Tipo_Vertedor="Retangular",Cd_sr*Lef_sr*((O1435/100-cota_s)^(3/2))*1000)),IF(O1435&lt;=cota_s*100+fi_s/20,0,(OFFSET('Base de dados'!$A$4,IF(O1435&lt;20,1,IF(O1435&gt;1000,10,MATCH(O1435,Cargas,1))),Coluna_fis,1,1))*(PI()*(fi_s/1000)^2/4)*(2*9.81*(O1435/100-cota_s-fi_s/2/1000))^0.5*1000)))</f>
        <v>4.1186238651120943</v>
      </c>
      <c r="R1435" s="38">
        <f t="shared" ca="1" si="200"/>
        <v>9.1744509715850882</v>
      </c>
      <c r="S1435" s="38">
        <f t="shared" ca="1" si="201"/>
        <v>448.125</v>
      </c>
    </row>
    <row r="1436" spans="13:19">
      <c r="M1436" s="132">
        <f t="shared" ca="1" si="198"/>
        <v>457.61589628096368</v>
      </c>
      <c r="N1436" s="38">
        <f t="shared" si="199"/>
        <v>13.453125</v>
      </c>
      <c r="O1436" s="36">
        <f t="shared" si="197"/>
        <v>358.75</v>
      </c>
      <c r="P1436" s="38">
        <f ca="1">IF(ISERROR(IF(O1436&lt;fi_h/20,0,(OFFSET('Base de dados'!$A$5,IF(O1436&lt;20,1,IF(O1436&gt;1000,10,MATCH(O1436,Cargas,1))),Coluna_fih,1,1))*(1+0.13*0.25)*(PI()*(fi_h/1000)^2/4)*SQRT(2*9.81*(O1436/100-fi_h/2/1000))*1000)),"",IF(O1436&lt;fi_h/20,0,(OFFSET('Base de dados'!$A$5,IF(O1436&lt;20,1,IF(O1436&gt;1000,10,MATCH(O1436,Cargas,1))),Coluna_fih,1,1))*(PI()*(fi_h/1000)^2/4)*SQRT(2*9.81*(O1436/100-fi_h/2/1000))*1000))</f>
        <v>5.0575983339943731</v>
      </c>
      <c r="Q1436" s="38">
        <f ca="1">IF(O1436="","",IF(Tipo_Vertedor="Retangular",IF(O1436&lt;=cota_s*100,0,IF(Tipo_Vertedor="Retangular",Cd_sr*Lef_sr*((O1436/100-cota_s)^(3/2))*1000)),IF(O1436&lt;=cota_s*100+fi_s/20,0,(OFFSET('Base de dados'!$A$4,IF(O1436&lt;20,1,IF(O1436&gt;1000,10,MATCH(O1436,Cargas,1))),Coluna_fis,1,1))*(PI()*(fi_s/1000)^2/4)*(2*9.81*(O1436/100-cota_s-fi_s/2/1000))^0.5*1000)))</f>
        <v>4.1207979469693088</v>
      </c>
      <c r="R1436" s="38">
        <f t="shared" ca="1" si="200"/>
        <v>9.1783962809636819</v>
      </c>
      <c r="S1436" s="38">
        <f t="shared" ca="1" si="201"/>
        <v>448.4375</v>
      </c>
    </row>
    <row r="1437" spans="13:19">
      <c r="M1437" s="132">
        <f t="shared" ca="1" si="198"/>
        <v>457.93233982384169</v>
      </c>
      <c r="N1437" s="38">
        <f t="shared" si="199"/>
        <v>13.462499999999999</v>
      </c>
      <c r="O1437" s="36">
        <f t="shared" si="197"/>
        <v>359</v>
      </c>
      <c r="P1437" s="38">
        <f ca="1">IF(ISERROR(IF(O1437&lt;fi_h/20,0,(OFFSET('Base de dados'!$A$5,IF(O1437&lt;20,1,IF(O1437&gt;1000,10,MATCH(O1437,Cargas,1))),Coluna_fih,1,1))*(1+0.13*0.25)*(PI()*(fi_h/1000)^2/4)*SQRT(2*9.81*(O1437/100-fi_h/2/1000))*1000)),"",IF(O1437&lt;fi_h/20,0,(OFFSET('Base de dados'!$A$5,IF(O1437&lt;20,1,IF(O1437&gt;1000,10,MATCH(O1437,Cargas,1))),Coluna_fih,1,1))*(PI()*(fi_h/1000)^2/4)*SQRT(2*9.81*(O1437/100-fi_h/2/1000))*1000))</f>
        <v>5.0593689414291809</v>
      </c>
      <c r="Q1437" s="38">
        <f ca="1">IF(O1437="","",IF(Tipo_Vertedor="Retangular",IF(O1437&lt;=cota_s*100,0,IF(Tipo_Vertedor="Retangular",Cd_sr*Lef_sr*((O1437/100-cota_s)^(3/2))*1000)),IF(O1437&lt;=cota_s*100+fi_s/20,0,(OFFSET('Base de dados'!$A$4,IF(O1437&lt;20,1,IF(O1437&gt;1000,10,MATCH(O1437,Cargas,1))),Coluna_fis,1,1))*(PI()*(fi_s/1000)^2/4)*(2*9.81*(O1437/100-cota_s-fi_s/2/1000))^0.5*1000)))</f>
        <v>4.1229708824125888</v>
      </c>
      <c r="R1437" s="38">
        <f t="shared" ca="1" si="200"/>
        <v>9.1823398238417688</v>
      </c>
      <c r="S1437" s="38">
        <f t="shared" ca="1" si="201"/>
        <v>448.74999999999994</v>
      </c>
    </row>
    <row r="1438" spans="13:19">
      <c r="M1438" s="132">
        <f t="shared" ca="1" si="198"/>
        <v>458.24878160268173</v>
      </c>
      <c r="N1438" s="38">
        <f t="shared" si="199"/>
        <v>13.471874999999999</v>
      </c>
      <c r="O1438" s="36">
        <f t="shared" si="197"/>
        <v>359.25</v>
      </c>
      <c r="P1438" s="38">
        <f ca="1">IF(ISERROR(IF(O1438&lt;fi_h/20,0,(OFFSET('Base de dados'!$A$5,IF(O1438&lt;20,1,IF(O1438&gt;1000,10,MATCH(O1438,Cargas,1))),Coluna_fih,1,1))*(1+0.13*0.25)*(PI()*(fi_h/1000)^2/4)*SQRT(2*9.81*(O1438/100-fi_h/2/1000))*1000)),"",IF(O1438&lt;fi_h/20,0,(OFFSET('Base de dados'!$A$5,IF(O1438&lt;20,1,IF(O1438&gt;1000,10,MATCH(O1438,Cargas,1))),Coluna_fih,1,1))*(PI()*(fi_h/1000)^2/4)*SQRT(2*9.81*(O1438/100-fi_h/2/1000))*1000))</f>
        <v>5.0611389294282185</v>
      </c>
      <c r="Q1438" s="38">
        <f ca="1">IF(O1438="","",IF(Tipo_Vertedor="Retangular",IF(O1438&lt;=cota_s*100,0,IF(Tipo_Vertedor="Retangular",Cd_sr*Lef_sr*((O1438/100-cota_s)^(3/2))*1000)),IF(O1438&lt;=cota_s*100+fi_s/20,0,(OFFSET('Base de dados'!$A$4,IF(O1438&lt;20,1,IF(O1438&gt;1000,10,MATCH(O1438,Cargas,1))),Coluna_fis,1,1))*(PI()*(fi_s/1000)^2/4)*(2*9.81*(O1438/100-cota_s-fi_s/2/1000))^0.5*1000)))</f>
        <v>4.1251426732535705</v>
      </c>
      <c r="R1438" s="38">
        <f t="shared" ca="1" si="200"/>
        <v>9.1862816026817882</v>
      </c>
      <c r="S1438" s="38">
        <f t="shared" ca="1" si="201"/>
        <v>449.06249999999994</v>
      </c>
    </row>
    <row r="1439" spans="13:19">
      <c r="M1439" s="132">
        <f t="shared" ca="1" si="198"/>
        <v>458.5652216199403</v>
      </c>
      <c r="N1439" s="38">
        <f t="shared" si="199"/>
        <v>13.481250000000001</v>
      </c>
      <c r="O1439" s="36">
        <f t="shared" si="197"/>
        <v>359.5</v>
      </c>
      <c r="P1439" s="38">
        <f ca="1">IF(ISERROR(IF(O1439&lt;fi_h/20,0,(OFFSET('Base de dados'!$A$5,IF(O1439&lt;20,1,IF(O1439&gt;1000,10,MATCH(O1439,Cargas,1))),Coluna_fih,1,1))*(1+0.13*0.25)*(PI()*(fi_h/1000)^2/4)*SQRT(2*9.81*(O1439/100-fi_h/2/1000))*1000)),"",IF(O1439&lt;fi_h/20,0,(OFFSET('Base de dados'!$A$5,IF(O1439&lt;20,1,IF(O1439&gt;1000,10,MATCH(O1439,Cargas,1))),Coluna_fih,1,1))*(PI()*(fi_h/1000)^2/4)*SQRT(2*9.81*(O1439/100-fi_h/2/1000))*1000))</f>
        <v>5.0629082986411458</v>
      </c>
      <c r="Q1439" s="38">
        <f ca="1">IF(O1439="","",IF(Tipo_Vertedor="Retangular",IF(O1439&lt;=cota_s*100,0,IF(Tipo_Vertedor="Retangular",Cd_sr*Lef_sr*((O1439/100-cota_s)^(3/2))*1000)),IF(O1439&lt;=cota_s*100+fi_s/20,0,(OFFSET('Base de dados'!$A$4,IF(O1439&lt;20,1,IF(O1439&gt;1000,10,MATCH(O1439,Cargas,1))),Coluna_fis,1,1))*(PI()*(fi_s/1000)^2/4)*(2*9.81*(O1439/100-cota_s-fi_s/2/1000))^0.5*1000)))</f>
        <v>4.1273133212991224</v>
      </c>
      <c r="R1439" s="38">
        <f t="shared" ca="1" si="200"/>
        <v>9.1902216199402673</v>
      </c>
      <c r="S1439" s="38">
        <f t="shared" ca="1" si="201"/>
        <v>449.37500000000006</v>
      </c>
    </row>
    <row r="1440" spans="13:19">
      <c r="M1440" s="132">
        <f t="shared" ca="1" si="198"/>
        <v>458.88165987806792</v>
      </c>
      <c r="N1440" s="38">
        <f t="shared" si="199"/>
        <v>13.490625000000001</v>
      </c>
      <c r="O1440" s="36">
        <f t="shared" si="197"/>
        <v>359.75</v>
      </c>
      <c r="P1440" s="38">
        <f ca="1">IF(ISERROR(IF(O1440&lt;fi_h/20,0,(OFFSET('Base de dados'!$A$5,IF(O1440&lt;20,1,IF(O1440&gt;1000,10,MATCH(O1440,Cargas,1))),Coluna_fih,1,1))*(1+0.13*0.25)*(PI()*(fi_h/1000)^2/4)*SQRT(2*9.81*(O1440/100-fi_h/2/1000))*1000)),"",IF(O1440&lt;fi_h/20,0,(OFFSET('Base de dados'!$A$5,IF(O1440&lt;20,1,IF(O1440&gt;1000,10,MATCH(O1440,Cargas,1))),Coluna_fih,1,1))*(PI()*(fi_h/1000)^2/4)*SQRT(2*9.81*(O1440/100-fi_h/2/1000))*1000))</f>
        <v>5.0646770497164928</v>
      </c>
      <c r="Q1440" s="38">
        <f ca="1">IF(O1440="","",IF(Tipo_Vertedor="Retangular",IF(O1440&lt;=cota_s*100,0,IF(Tipo_Vertedor="Retangular",Cd_sr*Lef_sr*((O1440/100-cota_s)^(3/2))*1000)),IF(O1440&lt;=cota_s*100+fi_s/20,0,(OFFSET('Base de dados'!$A$4,IF(O1440&lt;20,1,IF(O1440&gt;1000,10,MATCH(O1440,Cargas,1))),Coluna_fis,1,1))*(PI()*(fi_s/1000)^2/4)*(2*9.81*(O1440/100-cota_s-fi_s/2/1000))^0.5*1000)))</f>
        <v>4.1294828283513629</v>
      </c>
      <c r="R1440" s="38">
        <f t="shared" ca="1" si="200"/>
        <v>9.1941598780678557</v>
      </c>
      <c r="S1440" s="38">
        <f t="shared" ca="1" si="201"/>
        <v>449.68750000000006</v>
      </c>
    </row>
    <row r="1441" spans="13:19">
      <c r="M1441" s="132">
        <f t="shared" ca="1" si="198"/>
        <v>459.19809637950931</v>
      </c>
      <c r="N1441" s="38">
        <f t="shared" si="199"/>
        <v>13.5</v>
      </c>
      <c r="O1441" s="36">
        <f t="shared" si="197"/>
        <v>360</v>
      </c>
      <c r="P1441" s="38">
        <f ca="1">IF(ISERROR(IF(O1441&lt;fi_h/20,0,(OFFSET('Base de dados'!$A$5,IF(O1441&lt;20,1,IF(O1441&gt;1000,10,MATCH(O1441,Cargas,1))),Coluna_fih,1,1))*(1+0.13*0.25)*(PI()*(fi_h/1000)^2/4)*SQRT(2*9.81*(O1441/100-fi_h/2/1000))*1000)),"",IF(O1441&lt;fi_h/20,0,(OFFSET('Base de dados'!$A$5,IF(O1441&lt;20,1,IF(O1441&gt;1000,10,MATCH(O1441,Cargas,1))),Coluna_fih,1,1))*(PI()*(fi_h/1000)^2/4)*SQRT(2*9.81*(O1441/100-fi_h/2/1000))*1000))</f>
        <v>5.0664451833016555</v>
      </c>
      <c r="Q1441" s="38">
        <f ca="1">IF(O1441="","",IF(Tipo_Vertedor="Retangular",IF(O1441&lt;=cota_s*100,0,IF(Tipo_Vertedor="Retangular",Cd_sr*Lef_sr*((O1441/100-cota_s)^(3/2))*1000)),IF(O1441&lt;=cota_s*100+fi_s/20,0,(OFFSET('Base de dados'!$A$4,IF(O1441&lt;20,1,IF(O1441&gt;1000,10,MATCH(O1441,Cargas,1))),Coluna_fis,1,1))*(PI()*(fi_s/1000)^2/4)*(2*9.81*(O1441/100-cota_s-fi_s/2/1000))^0.5*1000)))</f>
        <v>4.1316511962076783</v>
      </c>
      <c r="R1441" s="38">
        <f t="shared" ca="1" si="200"/>
        <v>9.1980963795093338</v>
      </c>
      <c r="S1441" s="38">
        <f t="shared" ca="1" si="201"/>
        <v>450</v>
      </c>
    </row>
    <row r="1442" spans="13:19">
      <c r="M1442" s="132">
        <f t="shared" ca="1" si="198"/>
        <v>459.51453112670362</v>
      </c>
      <c r="N1442" s="38">
        <f t="shared" si="199"/>
        <v>13.509375</v>
      </c>
      <c r="O1442" s="36">
        <f t="shared" si="197"/>
        <v>360.25</v>
      </c>
      <c r="P1442" s="38">
        <f ca="1">IF(ISERROR(IF(O1442&lt;fi_h/20,0,(OFFSET('Base de dados'!$A$5,IF(O1442&lt;20,1,IF(O1442&gt;1000,10,MATCH(O1442,Cargas,1))),Coluna_fih,1,1))*(1+0.13*0.25)*(PI()*(fi_h/1000)^2/4)*SQRT(2*9.81*(O1442/100-fi_h/2/1000))*1000)),"",IF(O1442&lt;fi_h/20,0,(OFFSET('Base de dados'!$A$5,IF(O1442&lt;20,1,IF(O1442&gt;1000,10,MATCH(O1442,Cargas,1))),Coluna_fih,1,1))*(PI()*(fi_h/1000)^2/4)*SQRT(2*9.81*(O1442/100-fi_h/2/1000))*1000))</f>
        <v>5.0682127000428965</v>
      </c>
      <c r="Q1442" s="38">
        <f ca="1">IF(O1442="","",IF(Tipo_Vertedor="Retangular",IF(O1442&lt;=cota_s*100,0,IF(Tipo_Vertedor="Retangular",Cd_sr*Lef_sr*((O1442/100-cota_s)^(3/2))*1000)),IF(O1442&lt;=cota_s*100+fi_s/20,0,(OFFSET('Base de dados'!$A$4,IF(O1442&lt;20,1,IF(O1442&gt;1000,10,MATCH(O1442,Cargas,1))),Coluna_fis,1,1))*(PI()*(fi_s/1000)^2/4)*(2*9.81*(O1442/100-cota_s-fi_s/2/1000))^0.5*1000)))</f>
        <v>4.1338184266607447</v>
      </c>
      <c r="R1442" s="38">
        <f t="shared" ca="1" si="200"/>
        <v>9.2020311267036412</v>
      </c>
      <c r="S1442" s="38">
        <f t="shared" ca="1" si="201"/>
        <v>450.3125</v>
      </c>
    </row>
    <row r="1443" spans="13:19">
      <c r="M1443" s="132">
        <f t="shared" ca="1" si="198"/>
        <v>459.83096412208391</v>
      </c>
      <c r="N1443" s="38">
        <f t="shared" si="199"/>
        <v>13.518750000000001</v>
      </c>
      <c r="O1443" s="36">
        <f t="shared" si="197"/>
        <v>360.5</v>
      </c>
      <c r="P1443" s="38">
        <f ca="1">IF(ISERROR(IF(O1443&lt;fi_h/20,0,(OFFSET('Base de dados'!$A$5,IF(O1443&lt;20,1,IF(O1443&gt;1000,10,MATCH(O1443,Cargas,1))),Coluna_fih,1,1))*(1+0.13*0.25)*(PI()*(fi_h/1000)^2/4)*SQRT(2*9.81*(O1443/100-fi_h/2/1000))*1000)),"",IF(O1443&lt;fi_h/20,0,(OFFSET('Base de dados'!$A$5,IF(O1443&lt;20,1,IF(O1443&gt;1000,10,MATCH(O1443,Cargas,1))),Coluna_fih,1,1))*(PI()*(fi_h/1000)^2/4)*SQRT(2*9.81*(O1443/100-fi_h/2/1000))*1000))</f>
        <v>5.0699796005853601</v>
      </c>
      <c r="Q1443" s="38">
        <f ca="1">IF(O1443="","",IF(Tipo_Vertedor="Retangular",IF(O1443&lt;=cota_s*100,0,IF(Tipo_Vertedor="Retangular",Cd_sr*Lef_sr*((O1443/100-cota_s)^(3/2))*1000)),IF(O1443&lt;=cota_s*100+fi_s/20,0,(OFFSET('Base de dados'!$A$4,IF(O1443&lt;20,1,IF(O1443&gt;1000,10,MATCH(O1443,Cargas,1))),Coluna_fis,1,1))*(PI()*(fi_s/1000)^2/4)*(2*9.81*(O1443/100-cota_s-fi_s/2/1000))^0.5*1000)))</f>
        <v>4.1359845214985382</v>
      </c>
      <c r="R1443" s="38">
        <f t="shared" ca="1" si="200"/>
        <v>9.2059641220838984</v>
      </c>
      <c r="S1443" s="38">
        <f t="shared" ca="1" si="201"/>
        <v>450.625</v>
      </c>
    </row>
    <row r="1444" spans="13:19">
      <c r="M1444" s="132">
        <f t="shared" ca="1" si="198"/>
        <v>460.14739536807741</v>
      </c>
      <c r="N1444" s="38">
        <f t="shared" si="199"/>
        <v>13.528124999999999</v>
      </c>
      <c r="O1444" s="36">
        <f t="shared" si="197"/>
        <v>360.75</v>
      </c>
      <c r="P1444" s="38">
        <f ca="1">IF(ISERROR(IF(O1444&lt;fi_h/20,0,(OFFSET('Base de dados'!$A$5,IF(O1444&lt;20,1,IF(O1444&gt;1000,10,MATCH(O1444,Cargas,1))),Coluna_fih,1,1))*(1+0.13*0.25)*(PI()*(fi_h/1000)^2/4)*SQRT(2*9.81*(O1444/100-fi_h/2/1000))*1000)),"",IF(O1444&lt;fi_h/20,0,(OFFSET('Base de dados'!$A$5,IF(O1444&lt;20,1,IF(O1444&gt;1000,10,MATCH(O1444,Cargas,1))),Coluna_fih,1,1))*(PI()*(fi_h/1000)^2/4)*SQRT(2*9.81*(O1444/100-fi_h/2/1000))*1000))</f>
        <v>5.0717458855730602</v>
      </c>
      <c r="Q1444" s="38">
        <f ca="1">IF(O1444="","",IF(Tipo_Vertedor="Retangular",IF(O1444&lt;=cota_s*100,0,IF(Tipo_Vertedor="Retangular",Cd_sr*Lef_sr*((O1444/100-cota_s)^(3/2))*1000)),IF(O1444&lt;=cota_s*100+fi_s/20,0,(OFFSET('Base de dados'!$A$4,IF(O1444&lt;20,1,IF(O1444&gt;1000,10,MATCH(O1444,Cargas,1))),Coluna_fis,1,1))*(PI()*(fi_s/1000)^2/4)*(2*9.81*(O1444/100-cota_s-fi_s/2/1000))^0.5*1000)))</f>
        <v>4.1381494825043559</v>
      </c>
      <c r="R1444" s="38">
        <f t="shared" ca="1" si="200"/>
        <v>9.2098953680774152</v>
      </c>
      <c r="S1444" s="38">
        <f t="shared" ca="1" si="201"/>
        <v>450.9375</v>
      </c>
    </row>
    <row r="1445" spans="13:19">
      <c r="M1445" s="132">
        <f t="shared" ca="1" si="198"/>
        <v>460.4638248671057</v>
      </c>
      <c r="N1445" s="38">
        <f t="shared" si="199"/>
        <v>13.5375</v>
      </c>
      <c r="O1445" s="36">
        <f t="shared" si="197"/>
        <v>361</v>
      </c>
      <c r="P1445" s="38">
        <f ca="1">IF(ISERROR(IF(O1445&lt;fi_h/20,0,(OFFSET('Base de dados'!$A$5,IF(O1445&lt;20,1,IF(O1445&gt;1000,10,MATCH(O1445,Cargas,1))),Coluna_fih,1,1))*(1+0.13*0.25)*(PI()*(fi_h/1000)^2/4)*SQRT(2*9.81*(O1445/100-fi_h/2/1000))*1000)),"",IF(O1445&lt;fi_h/20,0,(OFFSET('Base de dados'!$A$5,IF(O1445&lt;20,1,IF(O1445&gt;1000,10,MATCH(O1445,Cargas,1))),Coluna_fih,1,1))*(PI()*(fi_h/1000)^2/4)*SQRT(2*9.81*(O1445/100-fi_h/2/1000))*1000))</f>
        <v>5.0735115556488912</v>
      </c>
      <c r="Q1445" s="38">
        <f ca="1">IF(O1445="","",IF(Tipo_Vertedor="Retangular",IF(O1445&lt;=cota_s*100,0,IF(Tipo_Vertedor="Retangular",Cd_sr*Lef_sr*((O1445/100-cota_s)^(3/2))*1000)),IF(O1445&lt;=cota_s*100+fi_s/20,0,(OFFSET('Base de dados'!$A$4,IF(O1445&lt;20,1,IF(O1445&gt;1000,10,MATCH(O1445,Cargas,1))),Coluna_fis,1,1))*(PI()*(fi_s/1000)^2/4)*(2*9.81*(O1445/100-cota_s-fi_s/2/1000))^0.5*1000)))</f>
        <v>4.1403133114568318</v>
      </c>
      <c r="R1445" s="38">
        <f t="shared" ca="1" si="200"/>
        <v>9.213824867105723</v>
      </c>
      <c r="S1445" s="38">
        <f t="shared" ca="1" si="201"/>
        <v>451.25</v>
      </c>
    </row>
    <row r="1446" spans="13:19">
      <c r="M1446" s="132">
        <f t="shared" ca="1" si="198"/>
        <v>460.78025262158457</v>
      </c>
      <c r="N1446" s="38">
        <f t="shared" si="199"/>
        <v>13.546875</v>
      </c>
      <c r="O1446" s="36">
        <f t="shared" si="197"/>
        <v>361.25</v>
      </c>
      <c r="P1446" s="38">
        <f ca="1">IF(ISERROR(IF(O1446&lt;fi_h/20,0,(OFFSET('Base de dados'!$A$5,IF(O1446&lt;20,1,IF(O1446&gt;1000,10,MATCH(O1446,Cargas,1))),Coluna_fih,1,1))*(1+0.13*0.25)*(PI()*(fi_h/1000)^2/4)*SQRT(2*9.81*(O1446/100-fi_h/2/1000))*1000)),"",IF(O1446&lt;fi_h/20,0,(OFFSET('Base de dados'!$A$5,IF(O1446&lt;20,1,IF(O1446&gt;1000,10,MATCH(O1446,Cargas,1))),Coluna_fih,1,1))*(PI()*(fi_h/1000)^2/4)*SQRT(2*9.81*(O1446/100-fi_h/2/1000))*1000))</f>
        <v>5.0752766114546315</v>
      </c>
      <c r="Q1446" s="38">
        <f ca="1">IF(O1446="","",IF(Tipo_Vertedor="Retangular",IF(O1446&lt;=cota_s*100,0,IF(Tipo_Vertedor="Retangular",Cd_sr*Lef_sr*((O1446/100-cota_s)^(3/2))*1000)),IF(O1446&lt;=cota_s*100+fi_s/20,0,(OFFSET('Base de dados'!$A$4,IF(O1446&lt;20,1,IF(O1446&gt;1000,10,MATCH(O1446,Cargas,1))),Coluna_fis,1,1))*(PI()*(fi_s/1000)^2/4)*(2*9.81*(O1446/100-cota_s-fi_s/2/1000))^0.5*1000)))</f>
        <v>4.1424760101299576</v>
      </c>
      <c r="R1446" s="38">
        <f t="shared" ca="1" si="200"/>
        <v>9.2177526215845891</v>
      </c>
      <c r="S1446" s="38">
        <f t="shared" ca="1" si="201"/>
        <v>451.5625</v>
      </c>
    </row>
    <row r="1447" spans="13:19">
      <c r="M1447" s="132">
        <f t="shared" ca="1" si="198"/>
        <v>461.09667863392406</v>
      </c>
      <c r="N1447" s="38">
        <f t="shared" si="199"/>
        <v>13.55625</v>
      </c>
      <c r="O1447" s="36">
        <f t="shared" si="197"/>
        <v>361.5</v>
      </c>
      <c r="P1447" s="38">
        <f ca="1">IF(ISERROR(IF(O1447&lt;fi_h/20,0,(OFFSET('Base de dados'!$A$5,IF(O1447&lt;20,1,IF(O1447&gt;1000,10,MATCH(O1447,Cargas,1))),Coluna_fih,1,1))*(1+0.13*0.25)*(PI()*(fi_h/1000)^2/4)*SQRT(2*9.81*(O1447/100-fi_h/2/1000))*1000)),"",IF(O1447&lt;fi_h/20,0,(OFFSET('Base de dados'!$A$5,IF(O1447&lt;20,1,IF(O1447&gt;1000,10,MATCH(O1447,Cargas,1))),Coluna_fih,1,1))*(PI()*(fi_h/1000)^2/4)*SQRT(2*9.81*(O1447/100-fi_h/2/1000))*1000))</f>
        <v>5.0770410536309418</v>
      </c>
      <c r="Q1447" s="38">
        <f ca="1">IF(O1447="","",IF(Tipo_Vertedor="Retangular",IF(O1447&lt;=cota_s*100,0,IF(Tipo_Vertedor="Retangular",Cd_sr*Lef_sr*((O1447/100-cota_s)^(3/2))*1000)),IF(O1447&lt;=cota_s*100+fi_s/20,0,(OFFSET('Base de dados'!$A$4,IF(O1447&lt;20,1,IF(O1447&gt;1000,10,MATCH(O1447,Cargas,1))),Coluna_fis,1,1))*(PI()*(fi_s/1000)^2/4)*(2*9.81*(O1447/100-cota_s-fi_s/2/1000))^0.5*1000)))</f>
        <v>4.1446375802930948</v>
      </c>
      <c r="R1447" s="38">
        <f t="shared" ca="1" si="200"/>
        <v>9.2216786339240358</v>
      </c>
      <c r="S1447" s="38">
        <f t="shared" ca="1" si="201"/>
        <v>451.875</v>
      </c>
    </row>
    <row r="1448" spans="13:19">
      <c r="M1448" s="132">
        <f t="shared" ca="1" si="198"/>
        <v>461.41310290652837</v>
      </c>
      <c r="N1448" s="38">
        <f t="shared" si="199"/>
        <v>13.565625000000001</v>
      </c>
      <c r="O1448" s="36">
        <f t="shared" si="197"/>
        <v>361.75</v>
      </c>
      <c r="P1448" s="38">
        <f ca="1">IF(ISERROR(IF(O1448&lt;fi_h/20,0,(OFFSET('Base de dados'!$A$5,IF(O1448&lt;20,1,IF(O1448&gt;1000,10,MATCH(O1448,Cargas,1))),Coluna_fih,1,1))*(1+0.13*0.25)*(PI()*(fi_h/1000)^2/4)*SQRT(2*9.81*(O1448/100-fi_h/2/1000))*1000)),"",IF(O1448&lt;fi_h/20,0,(OFFSET('Base de dados'!$A$5,IF(O1448&lt;20,1,IF(O1448&gt;1000,10,MATCH(O1448,Cargas,1))),Coluna_fih,1,1))*(PI()*(fi_h/1000)^2/4)*SQRT(2*9.81*(O1448/100-fi_h/2/1000))*1000))</f>
        <v>5.0788048828173702</v>
      </c>
      <c r="Q1448" s="38">
        <f ca="1">IF(O1448="","",IF(Tipo_Vertedor="Retangular",IF(O1448&lt;=cota_s*100,0,IF(Tipo_Vertedor="Retangular",Cd_sr*Lef_sr*((O1448/100-cota_s)^(3/2))*1000)),IF(O1448&lt;=cota_s*100+fi_s/20,0,(OFFSET('Base de dados'!$A$4,IF(O1448&lt;20,1,IF(O1448&gt;1000,10,MATCH(O1448,Cargas,1))),Coluna_fis,1,1))*(PI()*(fi_s/1000)^2/4)*(2*9.81*(O1448/100-cota_s-fi_s/2/1000))^0.5*1000)))</f>
        <v>4.14679802371099</v>
      </c>
      <c r="R1448" s="38">
        <f t="shared" ca="1" si="200"/>
        <v>9.2256029065283602</v>
      </c>
      <c r="S1448" s="38">
        <f t="shared" ca="1" si="201"/>
        <v>452.1875</v>
      </c>
    </row>
    <row r="1449" spans="13:19">
      <c r="M1449" s="132">
        <f t="shared" ca="1" si="198"/>
        <v>461.72952544179623</v>
      </c>
      <c r="N1449" s="38">
        <f t="shared" si="199"/>
        <v>13.575000000000001</v>
      </c>
      <c r="O1449" s="36">
        <f t="shared" si="197"/>
        <v>362</v>
      </c>
      <c r="P1449" s="38">
        <f ca="1">IF(ISERROR(IF(O1449&lt;fi_h/20,0,(OFFSET('Base de dados'!$A$5,IF(O1449&lt;20,1,IF(O1449&gt;1000,10,MATCH(O1449,Cargas,1))),Coluna_fih,1,1))*(1+0.13*0.25)*(PI()*(fi_h/1000)^2/4)*SQRT(2*9.81*(O1449/100-fi_h/2/1000))*1000)),"",IF(O1449&lt;fi_h/20,0,(OFFSET('Base de dados'!$A$5,IF(O1449&lt;20,1,IF(O1449&gt;1000,10,MATCH(O1449,Cargas,1))),Coluna_fih,1,1))*(PI()*(fi_h/1000)^2/4)*SQRT(2*9.81*(O1449/100-fi_h/2/1000))*1000))</f>
        <v>5.0805680996523552</v>
      </c>
      <c r="Q1449" s="38">
        <f ca="1">IF(O1449="","",IF(Tipo_Vertedor="Retangular",IF(O1449&lt;=cota_s*100,0,IF(Tipo_Vertedor="Retangular",Cd_sr*Lef_sr*((O1449/100-cota_s)^(3/2))*1000)),IF(O1449&lt;=cota_s*100+fi_s/20,0,(OFFSET('Base de dados'!$A$4,IF(O1449&lt;20,1,IF(O1449&gt;1000,10,MATCH(O1449,Cargas,1))),Coluna_fis,1,1))*(PI()*(fi_s/1000)^2/4)*(2*9.81*(O1449/100-cota_s-fi_s/2/1000))^0.5*1000)))</f>
        <v>4.1489573421438006</v>
      </c>
      <c r="R1449" s="38">
        <f t="shared" ca="1" si="200"/>
        <v>9.2295254417961559</v>
      </c>
      <c r="S1449" s="38">
        <f t="shared" ca="1" si="201"/>
        <v>452.50000000000006</v>
      </c>
    </row>
    <row r="1450" spans="13:19">
      <c r="M1450" s="132">
        <f t="shared" ca="1" si="198"/>
        <v>462.04594624212035</v>
      </c>
      <c r="N1450" s="38">
        <f t="shared" si="199"/>
        <v>13.584375</v>
      </c>
      <c r="O1450" s="36">
        <f t="shared" si="197"/>
        <v>362.25</v>
      </c>
      <c r="P1450" s="38">
        <f ca="1">IF(ISERROR(IF(O1450&lt;fi_h/20,0,(OFFSET('Base de dados'!$A$5,IF(O1450&lt;20,1,IF(O1450&gt;1000,10,MATCH(O1450,Cargas,1))),Coluna_fih,1,1))*(1+0.13*0.25)*(PI()*(fi_h/1000)^2/4)*SQRT(2*9.81*(O1450/100-fi_h/2/1000))*1000)),"",IF(O1450&lt;fi_h/20,0,(OFFSET('Base de dados'!$A$5,IF(O1450&lt;20,1,IF(O1450&gt;1000,10,MATCH(O1450,Cargas,1))),Coluna_fih,1,1))*(PI()*(fi_h/1000)^2/4)*SQRT(2*9.81*(O1450/100-fi_h/2/1000))*1000))</f>
        <v>5.0823307047732253</v>
      </c>
      <c r="Q1450" s="38">
        <f ca="1">IF(O1450="","",IF(Tipo_Vertedor="Retangular",IF(O1450&lt;=cota_s*100,0,IF(Tipo_Vertedor="Retangular",Cd_sr*Lef_sr*((O1450/100-cota_s)^(3/2))*1000)),IF(O1450&lt;=cota_s*100+fi_s/20,0,(OFFSET('Base de dados'!$A$4,IF(O1450&lt;20,1,IF(O1450&gt;1000,10,MATCH(O1450,Cargas,1))),Coluna_fis,1,1))*(PI()*(fi_s/1000)^2/4)*(2*9.81*(O1450/100-cota_s-fi_s/2/1000))^0.5*1000)))</f>
        <v>4.1511155373471018</v>
      </c>
      <c r="R1450" s="38">
        <f t="shared" ca="1" si="200"/>
        <v>9.2334462421203263</v>
      </c>
      <c r="S1450" s="38">
        <f t="shared" ca="1" si="201"/>
        <v>452.8125</v>
      </c>
    </row>
    <row r="1451" spans="13:19">
      <c r="M1451" s="132">
        <f t="shared" ca="1" si="198"/>
        <v>462.36236530988811</v>
      </c>
      <c r="N1451" s="38">
        <f t="shared" si="199"/>
        <v>13.59375</v>
      </c>
      <c r="O1451" s="36">
        <f t="shared" si="197"/>
        <v>362.5</v>
      </c>
      <c r="P1451" s="38">
        <f ca="1">IF(ISERROR(IF(O1451&lt;fi_h/20,0,(OFFSET('Base de dados'!$A$5,IF(O1451&lt;20,1,IF(O1451&gt;1000,10,MATCH(O1451,Cargas,1))),Coluna_fih,1,1))*(1+0.13*0.25)*(PI()*(fi_h/1000)^2/4)*SQRT(2*9.81*(O1451/100-fi_h/2/1000))*1000)),"",IF(O1451&lt;fi_h/20,0,(OFFSET('Base de dados'!$A$5,IF(O1451&lt;20,1,IF(O1451&gt;1000,10,MATCH(O1451,Cargas,1))),Coluna_fih,1,1))*(PI()*(fi_h/1000)^2/4)*SQRT(2*9.81*(O1451/100-fi_h/2/1000))*1000))</f>
        <v>5.0840926988162103</v>
      </c>
      <c r="Q1451" s="38">
        <f ca="1">IF(O1451="","",IF(Tipo_Vertedor="Retangular",IF(O1451&lt;=cota_s*100,0,IF(Tipo_Vertedor="Retangular",Cd_sr*Lef_sr*((O1451/100-cota_s)^(3/2))*1000)),IF(O1451&lt;=cota_s*100+fi_s/20,0,(OFFSET('Base de dados'!$A$4,IF(O1451&lt;20,1,IF(O1451&gt;1000,10,MATCH(O1451,Cargas,1))),Coluna_fis,1,1))*(PI()*(fi_s/1000)^2/4)*(2*9.81*(O1451/100-cota_s-fi_s/2/1000))^0.5*1000)))</f>
        <v>4.1532726110719125</v>
      </c>
      <c r="R1451" s="38">
        <f t="shared" ca="1" si="200"/>
        <v>9.2373653098881228</v>
      </c>
      <c r="S1451" s="38">
        <f t="shared" ca="1" si="201"/>
        <v>453.125</v>
      </c>
    </row>
    <row r="1452" spans="13:19">
      <c r="M1452" s="132">
        <f t="shared" ca="1" si="198"/>
        <v>462.67878264748111</v>
      </c>
      <c r="N1452" s="38">
        <f t="shared" si="199"/>
        <v>13.603125</v>
      </c>
      <c r="O1452" s="36">
        <f t="shared" si="197"/>
        <v>362.75</v>
      </c>
      <c r="P1452" s="38">
        <f ca="1">IF(ISERROR(IF(O1452&lt;fi_h/20,0,(OFFSET('Base de dados'!$A$5,IF(O1452&lt;20,1,IF(O1452&gt;1000,10,MATCH(O1452,Cargas,1))),Coluna_fih,1,1))*(1+0.13*0.25)*(PI()*(fi_h/1000)^2/4)*SQRT(2*9.81*(O1452/100-fi_h/2/1000))*1000)),"",IF(O1452&lt;fi_h/20,0,(OFFSET('Base de dados'!$A$5,IF(O1452&lt;20,1,IF(O1452&gt;1000,10,MATCH(O1452,Cargas,1))),Coluna_fih,1,1))*(PI()*(fi_h/1000)^2/4)*SQRT(2*9.81*(O1452/100-fi_h/2/1000))*1000))</f>
        <v>5.0858540824164296</v>
      </c>
      <c r="Q1452" s="38">
        <f ca="1">IF(O1452="","",IF(Tipo_Vertedor="Retangular",IF(O1452&lt;=cota_s*100,0,IF(Tipo_Vertedor="Retangular",Cd_sr*Lef_sr*((O1452/100-cota_s)^(3/2))*1000)),IF(O1452&lt;=cota_s*100+fi_s/20,0,(OFFSET('Base de dados'!$A$4,IF(O1452&lt;20,1,IF(O1452&gt;1000,10,MATCH(O1452,Cargas,1))),Coluna_fis,1,1))*(PI()*(fi_s/1000)^2/4)*(2*9.81*(O1452/100-cota_s-fi_s/2/1000))^0.5*1000)))</f>
        <v>4.1554285650646996</v>
      </c>
      <c r="R1452" s="38">
        <f t="shared" ca="1" si="200"/>
        <v>9.2412826474811283</v>
      </c>
      <c r="S1452" s="38">
        <f t="shared" ca="1" si="201"/>
        <v>453.4375</v>
      </c>
    </row>
    <row r="1453" spans="13:19">
      <c r="M1453" s="132">
        <f t="shared" ca="1" si="198"/>
        <v>462.99519825727526</v>
      </c>
      <c r="N1453" s="38">
        <f t="shared" si="199"/>
        <v>13.612499999999999</v>
      </c>
      <c r="O1453" s="36">
        <f t="shared" si="197"/>
        <v>363</v>
      </c>
      <c r="P1453" s="38">
        <f ca="1">IF(ISERROR(IF(O1453&lt;fi_h/20,0,(OFFSET('Base de dados'!$A$5,IF(O1453&lt;20,1,IF(O1453&gt;1000,10,MATCH(O1453,Cargas,1))),Coluna_fih,1,1))*(1+0.13*0.25)*(PI()*(fi_h/1000)^2/4)*SQRT(2*9.81*(O1453/100-fi_h/2/1000))*1000)),"",IF(O1453&lt;fi_h/20,0,(OFFSET('Base de dados'!$A$5,IF(O1453&lt;20,1,IF(O1453&gt;1000,10,MATCH(O1453,Cargas,1))),Coluna_fih,1,1))*(PI()*(fi_h/1000)^2/4)*SQRT(2*9.81*(O1453/100-fi_h/2/1000))*1000))</f>
        <v>5.0876148562079111</v>
      </c>
      <c r="Q1453" s="38">
        <f ca="1">IF(O1453="","",IF(Tipo_Vertedor="Retangular",IF(O1453&lt;=cota_s*100,0,IF(Tipo_Vertedor="Retangular",Cd_sr*Lef_sr*((O1453/100-cota_s)^(3/2))*1000)),IF(O1453&lt;=cota_s*100+fi_s/20,0,(OFFSET('Base de dados'!$A$4,IF(O1453&lt;20,1,IF(O1453&gt;1000,10,MATCH(O1453,Cargas,1))),Coluna_fis,1,1))*(PI()*(fi_s/1000)^2/4)*(2*9.81*(O1453/100-cota_s-fi_s/2/1000))^0.5*1000)))</f>
        <v>4.1575834010674084</v>
      </c>
      <c r="R1453" s="38">
        <f t="shared" ca="1" si="200"/>
        <v>9.2451982572753195</v>
      </c>
      <c r="S1453" s="38">
        <f t="shared" ca="1" si="201"/>
        <v>453.74999999999994</v>
      </c>
    </row>
    <row r="1454" spans="13:19">
      <c r="M1454" s="132">
        <f t="shared" ca="1" si="198"/>
        <v>463.31161214164104</v>
      </c>
      <c r="N1454" s="38">
        <f t="shared" si="199"/>
        <v>13.621874999999999</v>
      </c>
      <c r="O1454" s="36">
        <f t="shared" si="197"/>
        <v>363.25</v>
      </c>
      <c r="P1454" s="38">
        <f ca="1">IF(ISERROR(IF(O1454&lt;fi_h/20,0,(OFFSET('Base de dados'!$A$5,IF(O1454&lt;20,1,IF(O1454&gt;1000,10,MATCH(O1454,Cargas,1))),Coluna_fih,1,1))*(1+0.13*0.25)*(PI()*(fi_h/1000)^2/4)*SQRT(2*9.81*(O1454/100-fi_h/2/1000))*1000)),"",IF(O1454&lt;fi_h/20,0,(OFFSET('Base de dados'!$A$5,IF(O1454&lt;20,1,IF(O1454&gt;1000,10,MATCH(O1454,Cargas,1))),Coluna_fih,1,1))*(PI()*(fi_h/1000)^2/4)*SQRT(2*9.81*(O1454/100-fi_h/2/1000))*1000))</f>
        <v>5.0893750208235797</v>
      </c>
      <c r="Q1454" s="38">
        <f ca="1">IF(O1454="","",IF(Tipo_Vertedor="Retangular",IF(O1454&lt;=cota_s*100,0,IF(Tipo_Vertedor="Retangular",Cd_sr*Lef_sr*((O1454/100-cota_s)^(3/2))*1000)),IF(O1454&lt;=cota_s*100+fi_s/20,0,(OFFSET('Base de dados'!$A$4,IF(O1454&lt;20,1,IF(O1454&gt;1000,10,MATCH(O1454,Cargas,1))),Coluna_fis,1,1))*(PI()*(fi_s/1000)^2/4)*(2*9.81*(O1454/100-cota_s-fi_s/2/1000))^0.5*1000)))</f>
        <v>4.1597371208174705</v>
      </c>
      <c r="R1454" s="38">
        <f t="shared" ca="1" si="200"/>
        <v>9.2491121416410493</v>
      </c>
      <c r="S1454" s="38">
        <f t="shared" ca="1" si="201"/>
        <v>454.0625</v>
      </c>
    </row>
    <row r="1455" spans="13:19">
      <c r="M1455" s="132">
        <f t="shared" ca="1" si="198"/>
        <v>463.62802430294312</v>
      </c>
      <c r="N1455" s="38">
        <f t="shared" si="199"/>
        <v>13.63125</v>
      </c>
      <c r="O1455" s="36">
        <f t="shared" si="197"/>
        <v>363.5</v>
      </c>
      <c r="P1455" s="38">
        <f ca="1">IF(ISERROR(IF(O1455&lt;fi_h/20,0,(OFFSET('Base de dados'!$A$5,IF(O1455&lt;20,1,IF(O1455&gt;1000,10,MATCH(O1455,Cargas,1))),Coluna_fih,1,1))*(1+0.13*0.25)*(PI()*(fi_h/1000)^2/4)*SQRT(2*9.81*(O1455/100-fi_h/2/1000))*1000)),"",IF(O1455&lt;fi_h/20,0,(OFFSET('Base de dados'!$A$5,IF(O1455&lt;20,1,IF(O1455&gt;1000,10,MATCH(O1455,Cargas,1))),Coluna_fih,1,1))*(PI()*(fi_h/1000)^2/4)*SQRT(2*9.81*(O1455/100-fi_h/2/1000))*1000))</f>
        <v>5.0911345768952705</v>
      </c>
      <c r="Q1455" s="38">
        <f ca="1">IF(O1455="","",IF(Tipo_Vertedor="Retangular",IF(O1455&lt;=cota_s*100,0,IF(Tipo_Vertedor="Retangular",Cd_sr*Lef_sr*((O1455/100-cota_s)^(3/2))*1000)),IF(O1455&lt;=cota_s*100+fi_s/20,0,(OFFSET('Base de dados'!$A$4,IF(O1455&lt;20,1,IF(O1455&gt;1000,10,MATCH(O1455,Cargas,1))),Coluna_fis,1,1))*(PI()*(fi_s/1000)^2/4)*(2*9.81*(O1455/100-cota_s-fi_s/2/1000))^0.5*1000)))</f>
        <v>4.1618897260478196</v>
      </c>
      <c r="R1455" s="38">
        <f t="shared" ca="1" si="200"/>
        <v>9.2530243029430892</v>
      </c>
      <c r="S1455" s="38">
        <f t="shared" ca="1" si="201"/>
        <v>454.375</v>
      </c>
    </row>
    <row r="1456" spans="13:19">
      <c r="M1456" s="132">
        <f t="shared" ca="1" si="198"/>
        <v>463.94443474354063</v>
      </c>
      <c r="N1456" s="38">
        <f t="shared" si="199"/>
        <v>13.640625</v>
      </c>
      <c r="O1456" s="36">
        <f t="shared" si="197"/>
        <v>363.75</v>
      </c>
      <c r="P1456" s="38">
        <f ca="1">IF(ISERROR(IF(O1456&lt;fi_h/20,0,(OFFSET('Base de dados'!$A$5,IF(O1456&lt;20,1,IF(O1456&gt;1000,10,MATCH(O1456,Cargas,1))),Coluna_fih,1,1))*(1+0.13*0.25)*(PI()*(fi_h/1000)^2/4)*SQRT(2*9.81*(O1456/100-fi_h/2/1000))*1000)),"",IF(O1456&lt;fi_h/20,0,(OFFSET('Base de dados'!$A$5,IF(O1456&lt;20,1,IF(O1456&gt;1000,10,MATCH(O1456,Cargas,1))),Coluna_fih,1,1))*(PI()*(fi_h/1000)^2/4)*SQRT(2*9.81*(O1456/100-fi_h/2/1000))*1000))</f>
        <v>5.0928935250537268</v>
      </c>
      <c r="Q1456" s="38">
        <f ca="1">IF(O1456="","",IF(Tipo_Vertedor="Retangular",IF(O1456&lt;=cota_s*100,0,IF(Tipo_Vertedor="Retangular",Cd_sr*Lef_sr*((O1456/100-cota_s)^(3/2))*1000)),IF(O1456&lt;=cota_s*100+fi_s/20,0,(OFFSET('Base de dados'!$A$4,IF(O1456&lt;20,1,IF(O1456&gt;1000,10,MATCH(O1456,Cargas,1))),Coluna_fis,1,1))*(PI()*(fi_s/1000)^2/4)*(2*9.81*(O1456/100-cota_s-fi_s/2/1000))^0.5*1000)))</f>
        <v>4.1640412184869131</v>
      </c>
      <c r="R1456" s="38">
        <f t="shared" ca="1" si="200"/>
        <v>9.2569347435406399</v>
      </c>
      <c r="S1456" s="38">
        <f t="shared" ca="1" si="201"/>
        <v>454.6875</v>
      </c>
    </row>
    <row r="1457" spans="13:19">
      <c r="M1457" s="132">
        <f t="shared" ca="1" si="198"/>
        <v>464.26084346578733</v>
      </c>
      <c r="N1457" s="38">
        <f t="shared" si="199"/>
        <v>13.65</v>
      </c>
      <c r="O1457" s="36">
        <f t="shared" si="197"/>
        <v>364</v>
      </c>
      <c r="P1457" s="38">
        <f ca="1">IF(ISERROR(IF(O1457&lt;fi_h/20,0,(OFFSET('Base de dados'!$A$5,IF(O1457&lt;20,1,IF(O1457&gt;1000,10,MATCH(O1457,Cargas,1))),Coluna_fih,1,1))*(1+0.13*0.25)*(PI()*(fi_h/1000)^2/4)*SQRT(2*9.81*(O1457/100-fi_h/2/1000))*1000)),"",IF(O1457&lt;fi_h/20,0,(OFFSET('Base de dados'!$A$5,IF(O1457&lt;20,1,IF(O1457&gt;1000,10,MATCH(O1457,Cargas,1))),Coluna_fih,1,1))*(PI()*(fi_h/1000)^2/4)*SQRT(2*9.81*(O1457/100-fi_h/2/1000))*1000))</f>
        <v>5.0946518659285971</v>
      </c>
      <c r="Q1457" s="38">
        <f ca="1">IF(O1457="","",IF(Tipo_Vertedor="Retangular",IF(O1457&lt;=cota_s*100,0,IF(Tipo_Vertedor="Retangular",Cd_sr*Lef_sr*((O1457/100-cota_s)^(3/2))*1000)),IF(O1457&lt;=cota_s*100+fi_s/20,0,(OFFSET('Base de dados'!$A$4,IF(O1457&lt;20,1,IF(O1457&gt;1000,10,MATCH(O1457,Cargas,1))),Coluna_fis,1,1))*(PI()*(fi_s/1000)^2/4)*(2*9.81*(O1457/100-cota_s-fi_s/2/1000))^0.5*1000)))</f>
        <v>4.1661915998587427</v>
      </c>
      <c r="R1457" s="38">
        <f t="shared" ca="1" si="200"/>
        <v>9.2608434657873389</v>
      </c>
      <c r="S1457" s="38">
        <f t="shared" ca="1" si="201"/>
        <v>455</v>
      </c>
    </row>
    <row r="1458" spans="13:19">
      <c r="M1458" s="132">
        <f t="shared" ca="1" si="198"/>
        <v>464.57725047203132</v>
      </c>
      <c r="N1458" s="38">
        <f t="shared" si="199"/>
        <v>13.659375000000001</v>
      </c>
      <c r="O1458" s="36">
        <f t="shared" si="197"/>
        <v>364.25</v>
      </c>
      <c r="P1458" s="38">
        <f ca="1">IF(ISERROR(IF(O1458&lt;fi_h/20,0,(OFFSET('Base de dados'!$A$5,IF(O1458&lt;20,1,IF(O1458&gt;1000,10,MATCH(O1458,Cargas,1))),Coluna_fih,1,1))*(1+0.13*0.25)*(PI()*(fi_h/1000)^2/4)*SQRT(2*9.81*(O1458/100-fi_h/2/1000))*1000)),"",IF(O1458&lt;fi_h/20,0,(OFFSET('Base de dados'!$A$5,IF(O1458&lt;20,1,IF(O1458&gt;1000,10,MATCH(O1458,Cargas,1))),Coluna_fih,1,1))*(PI()*(fi_h/1000)^2/4)*SQRT(2*9.81*(O1458/100-fi_h/2/1000))*1000))</f>
        <v>5.0964096001484531</v>
      </c>
      <c r="Q1458" s="38">
        <f ca="1">IF(O1458="","",IF(Tipo_Vertedor="Retangular",IF(O1458&lt;=cota_s*100,0,IF(Tipo_Vertedor="Retangular",Cd_sr*Lef_sr*((O1458/100-cota_s)^(3/2))*1000)),IF(O1458&lt;=cota_s*100+fi_s/20,0,(OFFSET('Base de dados'!$A$4,IF(O1458&lt;20,1,IF(O1458&gt;1000,10,MATCH(O1458,Cargas,1))),Coluna_fis,1,1))*(PI()*(fi_s/1000)^2/4)*(2*9.81*(O1458/100-cota_s-fi_s/2/1000))^0.5*1000)))</f>
        <v>4.1683408718828554</v>
      </c>
      <c r="R1458" s="38">
        <f t="shared" ca="1" si="200"/>
        <v>9.2647504720313094</v>
      </c>
      <c r="S1458" s="38">
        <f t="shared" ca="1" si="201"/>
        <v>455.3125</v>
      </c>
    </row>
    <row r="1459" spans="13:19">
      <c r="M1459" s="132">
        <f t="shared" ca="1" si="198"/>
        <v>464.89365576461512</v>
      </c>
      <c r="N1459" s="38">
        <f t="shared" si="199"/>
        <v>13.668749999999999</v>
      </c>
      <c r="O1459" s="36">
        <f t="shared" si="197"/>
        <v>364.5</v>
      </c>
      <c r="P1459" s="38">
        <f ca="1">IF(ISERROR(IF(O1459&lt;fi_h/20,0,(OFFSET('Base de dados'!$A$5,IF(O1459&lt;20,1,IF(O1459&gt;1000,10,MATCH(O1459,Cargas,1))),Coluna_fih,1,1))*(1+0.13*0.25)*(PI()*(fi_h/1000)^2/4)*SQRT(2*9.81*(O1459/100-fi_h/2/1000))*1000)),"",IF(O1459&lt;fi_h/20,0,(OFFSET('Base de dados'!$A$5,IF(O1459&lt;20,1,IF(O1459&gt;1000,10,MATCH(O1459,Cargas,1))),Coluna_fih,1,1))*(PI()*(fi_h/1000)^2/4)*SQRT(2*9.81*(O1459/100-fi_h/2/1000))*1000))</f>
        <v>5.0981667283407761</v>
      </c>
      <c r="Q1459" s="38">
        <f ca="1">IF(O1459="","",IF(Tipo_Vertedor="Retangular",IF(O1459&lt;=cota_s*100,0,IF(Tipo_Vertedor="Retangular",Cd_sr*Lef_sr*((O1459/100-cota_s)^(3/2))*1000)),IF(O1459&lt;=cota_s*100+fi_s/20,0,(OFFSET('Base de dados'!$A$4,IF(O1459&lt;20,1,IF(O1459&gt;1000,10,MATCH(O1459,Cargas,1))),Coluna_fis,1,1))*(PI()*(fi_s/1000)^2/4)*(2*9.81*(O1459/100-cota_s-fi_s/2/1000))^0.5*1000)))</f>
        <v>4.1704890362743674</v>
      </c>
      <c r="R1459" s="38">
        <f t="shared" ca="1" si="200"/>
        <v>9.2686557646151435</v>
      </c>
      <c r="S1459" s="38">
        <f t="shared" ca="1" si="201"/>
        <v>455.625</v>
      </c>
    </row>
    <row r="1460" spans="13:19">
      <c r="M1460" s="132">
        <f t="shared" ca="1" si="198"/>
        <v>465.21005934587595</v>
      </c>
      <c r="N1460" s="38">
        <f t="shared" si="199"/>
        <v>13.678125</v>
      </c>
      <c r="O1460" s="36">
        <f t="shared" si="197"/>
        <v>364.75</v>
      </c>
      <c r="P1460" s="38">
        <f ca="1">IF(ISERROR(IF(O1460&lt;fi_h/20,0,(OFFSET('Base de dados'!$A$5,IF(O1460&lt;20,1,IF(O1460&gt;1000,10,MATCH(O1460,Cargas,1))),Coluna_fih,1,1))*(1+0.13*0.25)*(PI()*(fi_h/1000)^2/4)*SQRT(2*9.81*(O1460/100-fi_h/2/1000))*1000)),"",IF(O1460&lt;fi_h/20,0,(OFFSET('Base de dados'!$A$5,IF(O1460&lt;20,1,IF(O1460&gt;1000,10,MATCH(O1460,Cargas,1))),Coluna_fih,1,1))*(PI()*(fi_h/1000)^2/4)*SQRT(2*9.81*(O1460/100-fi_h/2/1000))*1000))</f>
        <v>5.0999232511319699</v>
      </c>
      <c r="Q1460" s="38">
        <f ca="1">IF(O1460="","",IF(Tipo_Vertedor="Retangular",IF(O1460&lt;=cota_s*100,0,IF(Tipo_Vertedor="Retangular",Cd_sr*Lef_sr*((O1460/100-cota_s)^(3/2))*1000)),IF(O1460&lt;=cota_s*100+fi_s/20,0,(OFFSET('Base de dados'!$A$4,IF(O1460&lt;20,1,IF(O1460&gt;1000,10,MATCH(O1460,Cargas,1))),Coluna_fis,1,1))*(PI()*(fi_s/1000)^2/4)*(2*9.81*(O1460/100-cota_s-fi_s/2/1000))^0.5*1000)))</f>
        <v>4.1726360947439778</v>
      </c>
      <c r="R1460" s="38">
        <f t="shared" ca="1" si="200"/>
        <v>9.2725593458759477</v>
      </c>
      <c r="S1460" s="38">
        <f t="shared" ca="1" si="201"/>
        <v>455.9375</v>
      </c>
    </row>
    <row r="1461" spans="13:19">
      <c r="M1461" s="132">
        <f t="shared" ca="1" si="198"/>
        <v>465.52646121814536</v>
      </c>
      <c r="N1461" s="38">
        <f t="shared" si="199"/>
        <v>13.6875</v>
      </c>
      <c r="O1461" s="36">
        <f t="shared" si="197"/>
        <v>365</v>
      </c>
      <c r="P1461" s="38">
        <f ca="1">IF(ISERROR(IF(O1461&lt;fi_h/20,0,(OFFSET('Base de dados'!$A$5,IF(O1461&lt;20,1,IF(O1461&gt;1000,10,MATCH(O1461,Cargas,1))),Coluna_fih,1,1))*(1+0.13*0.25)*(PI()*(fi_h/1000)^2/4)*SQRT(2*9.81*(O1461/100-fi_h/2/1000))*1000)),"",IF(O1461&lt;fi_h/20,0,(OFFSET('Base de dados'!$A$5,IF(O1461&lt;20,1,IF(O1461&gt;1000,10,MATCH(O1461,Cargas,1))),Coluna_fih,1,1))*(PI()*(fi_h/1000)^2/4)*SQRT(2*9.81*(O1461/100-fi_h/2/1000))*1000))</f>
        <v>5.1016791691473546</v>
      </c>
      <c r="Q1461" s="38">
        <f ca="1">IF(O1461="","",IF(Tipo_Vertedor="Retangular",IF(O1461&lt;=cota_s*100,0,IF(Tipo_Vertedor="Retangular",Cd_sr*Lef_sr*((O1461/100-cota_s)^(3/2))*1000)),IF(O1461&lt;=cota_s*100+fi_s/20,0,(OFFSET('Base de dados'!$A$4,IF(O1461&lt;20,1,IF(O1461&gt;1000,10,MATCH(O1461,Cargas,1))),Coluna_fis,1,1))*(PI()*(fi_s/1000)^2/4)*(2*9.81*(O1461/100-cota_s-fi_s/2/1000))^0.5*1000)))</f>
        <v>4.1747820489979901</v>
      </c>
      <c r="R1461" s="38">
        <f t="shared" ca="1" si="200"/>
        <v>9.2764612181453447</v>
      </c>
      <c r="S1461" s="38">
        <f t="shared" ca="1" si="201"/>
        <v>456.25</v>
      </c>
    </row>
    <row r="1462" spans="13:19">
      <c r="M1462" s="132">
        <f t="shared" ca="1" si="198"/>
        <v>465.84286138374944</v>
      </c>
      <c r="N1462" s="38">
        <f t="shared" si="199"/>
        <v>13.696874999999999</v>
      </c>
      <c r="O1462" s="36">
        <f t="shared" si="197"/>
        <v>365.25</v>
      </c>
      <c r="P1462" s="38">
        <f ca="1">IF(ISERROR(IF(O1462&lt;fi_h/20,0,(OFFSET('Base de dados'!$A$5,IF(O1462&lt;20,1,IF(O1462&gt;1000,10,MATCH(O1462,Cargas,1))),Coluna_fih,1,1))*(1+0.13*0.25)*(PI()*(fi_h/1000)^2/4)*SQRT(2*9.81*(O1462/100-fi_h/2/1000))*1000)),"",IF(O1462&lt;fi_h/20,0,(OFFSET('Base de dados'!$A$5,IF(O1462&lt;20,1,IF(O1462&gt;1000,10,MATCH(O1462,Cargas,1))),Coluna_fih,1,1))*(PI()*(fi_h/1000)^2/4)*SQRT(2*9.81*(O1462/100-fi_h/2/1000))*1000))</f>
        <v>5.1034344830111831</v>
      </c>
      <c r="Q1462" s="38">
        <f ca="1">IF(O1462="","",IF(Tipo_Vertedor="Retangular",IF(O1462&lt;=cota_s*100,0,IF(Tipo_Vertedor="Retangular",Cd_sr*Lef_sr*((O1462/100-cota_s)^(3/2))*1000)),IF(O1462&lt;=cota_s*100+fi_s/20,0,(OFFSET('Base de dados'!$A$4,IF(O1462&lt;20,1,IF(O1462&gt;1000,10,MATCH(O1462,Cargas,1))),Coluna_fis,1,1))*(PI()*(fi_s/1000)^2/4)*(2*9.81*(O1462/100-cota_s-fi_s/2/1000))^0.5*1000)))</f>
        <v>4.1769269007383194</v>
      </c>
      <c r="R1462" s="38">
        <f t="shared" ca="1" si="200"/>
        <v>9.2803613837495025</v>
      </c>
      <c r="S1462" s="38">
        <f t="shared" ca="1" si="201"/>
        <v>456.56249999999994</v>
      </c>
    </row>
    <row r="1463" spans="13:19">
      <c r="M1463" s="132">
        <f t="shared" ca="1" si="198"/>
        <v>466.1592598450091</v>
      </c>
      <c r="N1463" s="38">
        <f t="shared" si="199"/>
        <v>13.706249999999999</v>
      </c>
      <c r="O1463" s="36">
        <f t="shared" si="197"/>
        <v>365.5</v>
      </c>
      <c r="P1463" s="38">
        <f ca="1">IF(ISERROR(IF(O1463&lt;fi_h/20,0,(OFFSET('Base de dados'!$A$5,IF(O1463&lt;20,1,IF(O1463&gt;1000,10,MATCH(O1463,Cargas,1))),Coluna_fih,1,1))*(1+0.13*0.25)*(PI()*(fi_h/1000)^2/4)*SQRT(2*9.81*(O1463/100-fi_h/2/1000))*1000)),"",IF(O1463&lt;fi_h/20,0,(OFFSET('Base de dados'!$A$5,IF(O1463&lt;20,1,IF(O1463&gt;1000,10,MATCH(O1463,Cargas,1))),Coluna_fih,1,1))*(PI()*(fi_h/1000)^2/4)*SQRT(2*9.81*(O1463/100-fi_h/2/1000))*1000))</f>
        <v>5.1051891933466278</v>
      </c>
      <c r="Q1463" s="38">
        <f ca="1">IF(O1463="","",IF(Tipo_Vertedor="Retangular",IF(O1463&lt;=cota_s*100,0,IF(Tipo_Vertedor="Retangular",Cd_sr*Lef_sr*((O1463/100-cota_s)^(3/2))*1000)),IF(O1463&lt;=cota_s*100+fi_s/20,0,(OFFSET('Base de dados'!$A$4,IF(O1463&lt;20,1,IF(O1463&gt;1000,10,MATCH(O1463,Cargas,1))),Coluna_fis,1,1))*(PI()*(fi_s/1000)^2/4)*(2*9.81*(O1463/100-cota_s-fi_s/2/1000))^0.5*1000)))</f>
        <v>4.1790706516625198</v>
      </c>
      <c r="R1463" s="38">
        <f t="shared" ca="1" si="200"/>
        <v>9.2842598450091476</v>
      </c>
      <c r="S1463" s="38">
        <f t="shared" ca="1" si="201"/>
        <v>456.87499999999994</v>
      </c>
    </row>
    <row r="1464" spans="13:19">
      <c r="M1464" s="132">
        <f t="shared" ca="1" si="198"/>
        <v>466.47565660423965</v>
      </c>
      <c r="N1464" s="38">
        <f t="shared" si="199"/>
        <v>13.715625000000001</v>
      </c>
      <c r="O1464" s="36">
        <f t="shared" si="197"/>
        <v>365.75</v>
      </c>
      <c r="P1464" s="38">
        <f ca="1">IF(ISERROR(IF(O1464&lt;fi_h/20,0,(OFFSET('Base de dados'!$A$5,IF(O1464&lt;20,1,IF(O1464&gt;1000,10,MATCH(O1464,Cargas,1))),Coluna_fih,1,1))*(1+0.13*0.25)*(PI()*(fi_h/1000)^2/4)*SQRT(2*9.81*(O1464/100-fi_h/2/1000))*1000)),"",IF(O1464&lt;fi_h/20,0,(OFFSET('Base de dados'!$A$5,IF(O1464&lt;20,1,IF(O1464&gt;1000,10,MATCH(O1464,Cargas,1))),Coluna_fih,1,1))*(PI()*(fi_h/1000)^2/4)*SQRT(2*9.81*(O1464/100-fi_h/2/1000))*1000))</f>
        <v>5.1069433007757947</v>
      </c>
      <c r="Q1464" s="38">
        <f ca="1">IF(O1464="","",IF(Tipo_Vertedor="Retangular",IF(O1464&lt;=cota_s*100,0,IF(Tipo_Vertedor="Retangular",Cd_sr*Lef_sr*((O1464/100-cota_s)^(3/2))*1000)),IF(O1464&lt;=cota_s*100+fi_s/20,0,(OFFSET('Base de dados'!$A$4,IF(O1464&lt;20,1,IF(O1464&gt;1000,10,MATCH(O1464,Cargas,1))),Coluna_fis,1,1))*(PI()*(fi_s/1000)^2/4)*(2*9.81*(O1464/100-cota_s-fi_s/2/1000))^0.5*1000)))</f>
        <v>4.1812133034637897</v>
      </c>
      <c r="R1464" s="38">
        <f t="shared" ca="1" si="200"/>
        <v>9.2881566042395853</v>
      </c>
      <c r="S1464" s="38">
        <f t="shared" ca="1" si="201"/>
        <v>457.18750000000006</v>
      </c>
    </row>
    <row r="1465" spans="13:19">
      <c r="M1465" s="132">
        <f t="shared" ca="1" si="198"/>
        <v>466.79205166375078</v>
      </c>
      <c r="N1465" s="38">
        <f t="shared" si="199"/>
        <v>13.725000000000001</v>
      </c>
      <c r="O1465" s="36">
        <f t="shared" si="197"/>
        <v>366</v>
      </c>
      <c r="P1465" s="38">
        <f ca="1">IF(ISERROR(IF(O1465&lt;fi_h/20,0,(OFFSET('Base de dados'!$A$5,IF(O1465&lt;20,1,IF(O1465&gt;1000,10,MATCH(O1465,Cargas,1))),Coluna_fih,1,1))*(1+0.13*0.25)*(PI()*(fi_h/1000)^2/4)*SQRT(2*9.81*(O1465/100-fi_h/2/1000))*1000)),"",IF(O1465&lt;fi_h/20,0,(OFFSET('Base de dados'!$A$5,IF(O1465&lt;20,1,IF(O1465&gt;1000,10,MATCH(O1465,Cargas,1))),Coluna_fih,1,1))*(PI()*(fi_h/1000)^2/4)*SQRT(2*9.81*(O1465/100-fi_h/2/1000))*1000))</f>
        <v>5.1086968059197195</v>
      </c>
      <c r="Q1465" s="38">
        <f ca="1">IF(O1465="","",IF(Tipo_Vertedor="Retangular",IF(O1465&lt;=cota_s*100,0,IF(Tipo_Vertedor="Retangular",Cd_sr*Lef_sr*((O1465/100-cota_s)^(3/2))*1000)),IF(O1465&lt;=cota_s*100+fi_s/20,0,(OFFSET('Base de dados'!$A$4,IF(O1465&lt;20,1,IF(O1465&gt;1000,10,MATCH(O1465,Cargas,1))),Coluna_fis,1,1))*(PI()*(fi_s/1000)^2/4)*(2*9.81*(O1465/100-cota_s-fi_s/2/1000))^0.5*1000)))</f>
        <v>4.1833548578309916</v>
      </c>
      <c r="R1465" s="38">
        <f t="shared" ca="1" si="200"/>
        <v>9.292051663750712</v>
      </c>
      <c r="S1465" s="38">
        <f t="shared" ca="1" si="201"/>
        <v>457.50000000000006</v>
      </c>
    </row>
    <row r="1466" spans="13:19">
      <c r="M1466" s="132">
        <f t="shared" ca="1" si="198"/>
        <v>467.10844502584706</v>
      </c>
      <c r="N1466" s="38">
        <f t="shared" si="199"/>
        <v>13.734375</v>
      </c>
      <c r="O1466" s="36">
        <f t="shared" si="197"/>
        <v>366.25</v>
      </c>
      <c r="P1466" s="38">
        <f ca="1">IF(ISERROR(IF(O1466&lt;fi_h/20,0,(OFFSET('Base de dados'!$A$5,IF(O1466&lt;20,1,IF(O1466&gt;1000,10,MATCH(O1466,Cargas,1))),Coluna_fih,1,1))*(1+0.13*0.25)*(PI()*(fi_h/1000)^2/4)*SQRT(2*9.81*(O1466/100-fi_h/2/1000))*1000)),"",IF(O1466&lt;fi_h/20,0,(OFFSET('Base de dados'!$A$5,IF(O1466&lt;20,1,IF(O1466&gt;1000,10,MATCH(O1466,Cargas,1))),Coluna_fih,1,1))*(PI()*(fi_h/1000)^2/4)*SQRT(2*9.81*(O1466/100-fi_h/2/1000))*1000))</f>
        <v>5.1104497093983738</v>
      </c>
      <c r="Q1466" s="38">
        <f ca="1">IF(O1466="","",IF(Tipo_Vertedor="Retangular",IF(O1466&lt;=cota_s*100,0,IF(Tipo_Vertedor="Retangular",Cd_sr*Lef_sr*((O1466/100-cota_s)^(3/2))*1000)),IF(O1466&lt;=cota_s*100+fi_s/20,0,(OFFSET('Base de dados'!$A$4,IF(O1466&lt;20,1,IF(O1466&gt;1000,10,MATCH(O1466,Cargas,1))),Coluna_fis,1,1))*(PI()*(fi_s/1000)^2/4)*(2*9.81*(O1466/100-cota_s-fi_s/2/1000))^0.5*1000)))</f>
        <v>4.1854953164486677</v>
      </c>
      <c r="R1466" s="38">
        <f t="shared" ca="1" si="200"/>
        <v>9.2959450258470415</v>
      </c>
      <c r="S1466" s="38">
        <f t="shared" ca="1" si="201"/>
        <v>457.8125</v>
      </c>
    </row>
    <row r="1467" spans="13:19">
      <c r="M1467" s="132">
        <f t="shared" ca="1" si="198"/>
        <v>467.42483669282774</v>
      </c>
      <c r="N1467" s="38">
        <f t="shared" si="199"/>
        <v>13.74375</v>
      </c>
      <c r="O1467" s="36">
        <f t="shared" si="197"/>
        <v>366.5</v>
      </c>
      <c r="P1467" s="38">
        <f ca="1">IF(ISERROR(IF(O1467&lt;fi_h/20,0,(OFFSET('Base de dados'!$A$5,IF(O1467&lt;20,1,IF(O1467&gt;1000,10,MATCH(O1467,Cargas,1))),Coluna_fih,1,1))*(1+0.13*0.25)*(PI()*(fi_h/1000)^2/4)*SQRT(2*9.81*(O1467/100-fi_h/2/1000))*1000)),"",IF(O1467&lt;fi_h/20,0,(OFFSET('Base de dados'!$A$5,IF(O1467&lt;20,1,IF(O1467&gt;1000,10,MATCH(O1467,Cargas,1))),Coluna_fih,1,1))*(PI()*(fi_h/1000)^2/4)*SQRT(2*9.81*(O1467/100-fi_h/2/1000))*1000))</f>
        <v>5.1122020118306652</v>
      </c>
      <c r="Q1467" s="38">
        <f ca="1">IF(O1467="","",IF(Tipo_Vertedor="Retangular",IF(O1467&lt;=cota_s*100,0,IF(Tipo_Vertedor="Retangular",Cd_sr*Lef_sr*((O1467/100-cota_s)^(3/2))*1000)),IF(O1467&lt;=cota_s*100+fi_s/20,0,(OFFSET('Base de dados'!$A$4,IF(O1467&lt;20,1,IF(O1467&gt;1000,10,MATCH(O1467,Cargas,1))),Coluna_fis,1,1))*(PI()*(fi_s/1000)^2/4)*(2*9.81*(O1467/100-cota_s-fi_s/2/1000))^0.5*1000)))</f>
        <v>4.1876346809970535</v>
      </c>
      <c r="R1467" s="38">
        <f t="shared" ca="1" si="200"/>
        <v>9.2998366928277179</v>
      </c>
      <c r="S1467" s="38">
        <f t="shared" ca="1" si="201"/>
        <v>458.125</v>
      </c>
    </row>
    <row r="1468" spans="13:19">
      <c r="M1468" s="132">
        <f t="shared" ca="1" si="198"/>
        <v>467.74122666698656</v>
      </c>
      <c r="N1468" s="38">
        <f t="shared" si="199"/>
        <v>13.753125000000001</v>
      </c>
      <c r="O1468" s="36">
        <f t="shared" si="197"/>
        <v>366.75</v>
      </c>
      <c r="P1468" s="38">
        <f ca="1">IF(ISERROR(IF(O1468&lt;fi_h/20,0,(OFFSET('Base de dados'!$A$5,IF(O1468&lt;20,1,IF(O1468&gt;1000,10,MATCH(O1468,Cargas,1))),Coluna_fih,1,1))*(1+0.13*0.25)*(PI()*(fi_h/1000)^2/4)*SQRT(2*9.81*(O1468/100-fi_h/2/1000))*1000)),"",IF(O1468&lt;fi_h/20,0,(OFFSET('Base de dados'!$A$5,IF(O1468&lt;20,1,IF(O1468&gt;1000,10,MATCH(O1468,Cargas,1))),Coluna_fih,1,1))*(PI()*(fi_h/1000)^2/4)*SQRT(2*9.81*(O1468/100-fi_h/2/1000))*1000))</f>
        <v>5.1139537138344409</v>
      </c>
      <c r="Q1468" s="38">
        <f ca="1">IF(O1468="","",IF(Tipo_Vertedor="Retangular",IF(O1468&lt;=cota_s*100,0,IF(Tipo_Vertedor="Retangular",Cd_sr*Lef_sr*((O1468/100-cota_s)^(3/2))*1000)),IF(O1468&lt;=cota_s*100+fi_s/20,0,(OFFSET('Base de dados'!$A$4,IF(O1468&lt;20,1,IF(O1468&gt;1000,10,MATCH(O1468,Cargas,1))),Coluna_fis,1,1))*(PI()*(fi_s/1000)^2/4)*(2*9.81*(O1468/100-cota_s-fi_s/2/1000))^0.5*1000)))</f>
        <v>4.1897729531521009</v>
      </c>
      <c r="R1468" s="38">
        <f t="shared" ca="1" si="200"/>
        <v>9.3037266669865417</v>
      </c>
      <c r="S1468" s="38">
        <f t="shared" ca="1" si="201"/>
        <v>458.4375</v>
      </c>
    </row>
    <row r="1469" spans="13:19">
      <c r="M1469" s="132">
        <f t="shared" ca="1" si="198"/>
        <v>468.05761495061199</v>
      </c>
      <c r="N1469" s="38">
        <f t="shared" si="199"/>
        <v>13.762499999999999</v>
      </c>
      <c r="O1469" s="36">
        <f t="shared" si="197"/>
        <v>367</v>
      </c>
      <c r="P1469" s="38">
        <f ca="1">IF(ISERROR(IF(O1469&lt;fi_h/20,0,(OFFSET('Base de dados'!$A$5,IF(O1469&lt;20,1,IF(O1469&gt;1000,10,MATCH(O1469,Cargas,1))),Coluna_fih,1,1))*(1+0.13*0.25)*(PI()*(fi_h/1000)^2/4)*SQRT(2*9.81*(O1469/100-fi_h/2/1000))*1000)),"",IF(O1469&lt;fi_h/20,0,(OFFSET('Base de dados'!$A$5,IF(O1469&lt;20,1,IF(O1469&gt;1000,10,MATCH(O1469,Cargas,1))),Coluna_fih,1,1))*(PI()*(fi_h/1000)^2/4)*SQRT(2*9.81*(O1469/100-fi_h/2/1000))*1000))</f>
        <v>5.1157048160264917</v>
      </c>
      <c r="Q1469" s="38">
        <f ca="1">IF(O1469="","",IF(Tipo_Vertedor="Retangular",IF(O1469&lt;=cota_s*100,0,IF(Tipo_Vertedor="Retangular",Cd_sr*Lef_sr*((O1469/100-cota_s)^(3/2))*1000)),IF(O1469&lt;=cota_s*100+fi_s/20,0,(OFFSET('Base de dados'!$A$4,IF(O1469&lt;20,1,IF(O1469&gt;1000,10,MATCH(O1469,Cargas,1))),Coluna_fis,1,1))*(PI()*(fi_s/1000)^2/4)*(2*9.81*(O1469/100-cota_s-fi_s/2/1000))^0.5*1000)))</f>
        <v>4.1919101345854788</v>
      </c>
      <c r="R1469" s="38">
        <f t="shared" ca="1" si="200"/>
        <v>9.3076149506119705</v>
      </c>
      <c r="S1469" s="38">
        <f t="shared" ca="1" si="201"/>
        <v>458.75</v>
      </c>
    </row>
    <row r="1470" spans="13:19">
      <c r="M1470" s="132">
        <f t="shared" ca="1" si="198"/>
        <v>468.37400154598714</v>
      </c>
      <c r="N1470" s="38">
        <f t="shared" si="199"/>
        <v>13.771875</v>
      </c>
      <c r="O1470" s="36">
        <f t="shared" si="197"/>
        <v>367.25</v>
      </c>
      <c r="P1470" s="38">
        <f ca="1">IF(ISERROR(IF(O1470&lt;fi_h/20,0,(OFFSET('Base de dados'!$A$5,IF(O1470&lt;20,1,IF(O1470&gt;1000,10,MATCH(O1470,Cargas,1))),Coluna_fih,1,1))*(1+0.13*0.25)*(PI()*(fi_h/1000)^2/4)*SQRT(2*9.81*(O1470/100-fi_h/2/1000))*1000)),"",IF(O1470&lt;fi_h/20,0,(OFFSET('Base de dados'!$A$5,IF(O1470&lt;20,1,IF(O1470&gt;1000,10,MATCH(O1470,Cargas,1))),Coluna_fih,1,1))*(PI()*(fi_h/1000)^2/4)*SQRT(2*9.81*(O1470/100-fi_h/2/1000))*1000))</f>
        <v>5.1174553190225529</v>
      </c>
      <c r="Q1470" s="38">
        <f ca="1">IF(O1470="","",IF(Tipo_Vertedor="Retangular",IF(O1470&lt;=cota_s*100,0,IF(Tipo_Vertedor="Retangular",Cd_sr*Lef_sr*((O1470/100-cota_s)^(3/2))*1000)),IF(O1470&lt;=cota_s*100+fi_s/20,0,(OFFSET('Base de dados'!$A$4,IF(O1470&lt;20,1,IF(O1470&gt;1000,10,MATCH(O1470,Cargas,1))),Coluna_fis,1,1))*(PI()*(fi_s/1000)^2/4)*(2*9.81*(O1470/100-cota_s-fi_s/2/1000))^0.5*1000)))</f>
        <v>4.1940462269646028</v>
      </c>
      <c r="R1470" s="38">
        <f t="shared" ca="1" si="200"/>
        <v>9.3115015459871557</v>
      </c>
      <c r="S1470" s="38">
        <f t="shared" ca="1" si="201"/>
        <v>459.0625</v>
      </c>
    </row>
    <row r="1471" spans="13:19">
      <c r="M1471" s="132">
        <f t="shared" ca="1" si="198"/>
        <v>468.69038645538996</v>
      </c>
      <c r="N1471" s="38">
        <f t="shared" si="199"/>
        <v>13.78125</v>
      </c>
      <c r="O1471" s="36">
        <f t="shared" si="197"/>
        <v>367.5</v>
      </c>
      <c r="P1471" s="38">
        <f ca="1">IF(ISERROR(IF(O1471&lt;fi_h/20,0,(OFFSET('Base de dados'!$A$5,IF(O1471&lt;20,1,IF(O1471&gt;1000,10,MATCH(O1471,Cargas,1))),Coluna_fih,1,1))*(1+0.13*0.25)*(PI()*(fi_h/1000)^2/4)*SQRT(2*9.81*(O1471/100-fi_h/2/1000))*1000)),"",IF(O1471&lt;fi_h/20,0,(OFFSET('Base de dados'!$A$5,IF(O1471&lt;20,1,IF(O1471&gt;1000,10,MATCH(O1471,Cargas,1))),Coluna_fih,1,1))*(PI()*(fi_h/1000)^2/4)*SQRT(2*9.81*(O1471/100-fi_h/2/1000))*1000))</f>
        <v>5.1192052234373069</v>
      </c>
      <c r="Q1471" s="38">
        <f ca="1">IF(O1471="","",IF(Tipo_Vertedor="Retangular",IF(O1471&lt;=cota_s*100,0,IF(Tipo_Vertedor="Retangular",Cd_sr*Lef_sr*((O1471/100-cota_s)^(3/2))*1000)),IF(O1471&lt;=cota_s*100+fi_s/20,0,(OFFSET('Base de dados'!$A$4,IF(O1471&lt;20,1,IF(O1471&gt;1000,10,MATCH(O1471,Cargas,1))),Coluna_fis,1,1))*(PI()*(fi_s/1000)^2/4)*(2*9.81*(O1471/100-cota_s-fi_s/2/1000))^0.5*1000)))</f>
        <v>4.196181231952643</v>
      </c>
      <c r="R1471" s="38">
        <f t="shared" ca="1" si="200"/>
        <v>9.3153864553899499</v>
      </c>
      <c r="S1471" s="38">
        <f t="shared" ca="1" si="201"/>
        <v>459.375</v>
      </c>
    </row>
    <row r="1472" spans="13:19">
      <c r="M1472" s="132">
        <f t="shared" ca="1" si="198"/>
        <v>469.00676968109292</v>
      </c>
      <c r="N1472" s="38">
        <f t="shared" si="199"/>
        <v>13.790625</v>
      </c>
      <c r="O1472" s="36">
        <f t="shared" si="197"/>
        <v>367.75</v>
      </c>
      <c r="P1472" s="38">
        <f ca="1">IF(ISERROR(IF(O1472&lt;fi_h/20,0,(OFFSET('Base de dados'!$A$5,IF(O1472&lt;20,1,IF(O1472&gt;1000,10,MATCH(O1472,Cargas,1))),Coluna_fih,1,1))*(1+0.13*0.25)*(PI()*(fi_h/1000)^2/4)*SQRT(2*9.81*(O1472/100-fi_h/2/1000))*1000)),"",IF(O1472&lt;fi_h/20,0,(OFFSET('Base de dados'!$A$5,IF(O1472&lt;20,1,IF(O1472&gt;1000,10,MATCH(O1472,Cargas,1))),Coluna_fih,1,1))*(PI()*(fi_h/1000)^2/4)*SQRT(2*9.81*(O1472/100-fi_h/2/1000))*1000))</f>
        <v>5.1209545298843828</v>
      </c>
      <c r="Q1472" s="38">
        <f ca="1">IF(O1472="","",IF(Tipo_Vertedor="Retangular",IF(O1472&lt;=cota_s*100,0,IF(Tipo_Vertedor="Retangular",Cd_sr*Lef_sr*((O1472/100-cota_s)^(3/2))*1000)),IF(O1472&lt;=cota_s*100+fi_s/20,0,(OFFSET('Base de dados'!$A$4,IF(O1472&lt;20,1,IF(O1472&gt;1000,10,MATCH(O1472,Cargas,1))),Coluna_fis,1,1))*(PI()*(fi_s/1000)^2/4)*(2*9.81*(O1472/100-cota_s-fi_s/2/1000))^0.5*1000)))</f>
        <v>4.198315151208539</v>
      </c>
      <c r="R1472" s="38">
        <f t="shared" ca="1" si="200"/>
        <v>9.3192696810929228</v>
      </c>
      <c r="S1472" s="38">
        <f t="shared" ca="1" si="201"/>
        <v>459.6875</v>
      </c>
    </row>
    <row r="1473" spans="13:19">
      <c r="M1473" s="132">
        <f t="shared" ca="1" si="198"/>
        <v>469.3231512253634</v>
      </c>
      <c r="N1473" s="38">
        <f t="shared" si="199"/>
        <v>13.8</v>
      </c>
      <c r="O1473" s="36">
        <f t="shared" si="197"/>
        <v>368</v>
      </c>
      <c r="P1473" s="38">
        <f ca="1">IF(ISERROR(IF(O1473&lt;fi_h/20,0,(OFFSET('Base de dados'!$A$5,IF(O1473&lt;20,1,IF(O1473&gt;1000,10,MATCH(O1473,Cargas,1))),Coluna_fih,1,1))*(1+0.13*0.25)*(PI()*(fi_h/1000)^2/4)*SQRT(2*9.81*(O1473/100-fi_h/2/1000))*1000)),"",IF(O1473&lt;fi_h/20,0,(OFFSET('Base de dados'!$A$5,IF(O1473&lt;20,1,IF(O1473&gt;1000,10,MATCH(O1473,Cargas,1))),Coluna_fih,1,1))*(PI()*(fi_h/1000)^2/4)*SQRT(2*9.81*(O1473/100-fi_h/2/1000))*1000))</f>
        <v>5.1227032389763654</v>
      </c>
      <c r="Q1473" s="38">
        <f ca="1">IF(O1473="","",IF(Tipo_Vertedor="Retangular",IF(O1473&lt;=cota_s*100,0,IF(Tipo_Vertedor="Retangular",Cd_sr*Lef_sr*((O1473/100-cota_s)^(3/2))*1000)),IF(O1473&lt;=cota_s*100+fi_s/20,0,(OFFSET('Base de dados'!$A$4,IF(O1473&lt;20,1,IF(O1473&gt;1000,10,MATCH(O1473,Cargas,1))),Coluna_fis,1,1))*(PI()*(fi_s/1000)^2/4)*(2*9.81*(O1473/100-cota_s-fi_s/2/1000))^0.5*1000)))</f>
        <v>4.2004479863870188</v>
      </c>
      <c r="R1473" s="38">
        <f t="shared" ca="1" si="200"/>
        <v>9.3231512253633841</v>
      </c>
      <c r="S1473" s="38">
        <f t="shared" ca="1" si="201"/>
        <v>460</v>
      </c>
    </row>
    <row r="1474" spans="13:19">
      <c r="M1474" s="132">
        <f t="shared" ca="1" si="198"/>
        <v>469.63953109046344</v>
      </c>
      <c r="N1474" s="38">
        <f t="shared" si="199"/>
        <v>13.809375000000001</v>
      </c>
      <c r="O1474" s="36">
        <f t="shared" si="197"/>
        <v>368.25</v>
      </c>
      <c r="P1474" s="38">
        <f ca="1">IF(ISERROR(IF(O1474&lt;fi_h/20,0,(OFFSET('Base de dados'!$A$5,IF(O1474&lt;20,1,IF(O1474&gt;1000,10,MATCH(O1474,Cargas,1))),Coluna_fih,1,1))*(1+0.13*0.25)*(PI()*(fi_h/1000)^2/4)*SQRT(2*9.81*(O1474/100-fi_h/2/1000))*1000)),"",IF(O1474&lt;fi_h/20,0,(OFFSET('Base de dados'!$A$5,IF(O1474&lt;20,1,IF(O1474&gt;1000,10,MATCH(O1474,Cargas,1))),Coluna_fih,1,1))*(PI()*(fi_h/1000)^2/4)*SQRT(2*9.81*(O1474/100-fi_h/2/1000))*1000))</f>
        <v>5.1244513513247956</v>
      </c>
      <c r="Q1474" s="38">
        <f ca="1">IF(O1474="","",IF(Tipo_Vertedor="Retangular",IF(O1474&lt;=cota_s*100,0,IF(Tipo_Vertedor="Retangular",Cd_sr*Lef_sr*((O1474/100-cota_s)^(3/2))*1000)),IF(O1474&lt;=cota_s*100+fi_s/20,0,(OFFSET('Base de dados'!$A$4,IF(O1474&lt;20,1,IF(O1474&gt;1000,10,MATCH(O1474,Cargas,1))),Coluna_fis,1,1))*(PI()*(fi_s/1000)^2/4)*(2*9.81*(O1474/100-cota_s-fi_s/2/1000))^0.5*1000)))</f>
        <v>4.2025797391386073</v>
      </c>
      <c r="R1474" s="38">
        <f t="shared" ca="1" si="200"/>
        <v>9.3270310904634037</v>
      </c>
      <c r="S1474" s="38">
        <f t="shared" ca="1" si="201"/>
        <v>460.31250000000006</v>
      </c>
    </row>
    <row r="1475" spans="13:19">
      <c r="M1475" s="132">
        <f t="shared" ca="1" si="198"/>
        <v>469.95590927864981</v>
      </c>
      <c r="N1475" s="38">
        <f t="shared" si="199"/>
        <v>13.81875</v>
      </c>
      <c r="O1475" s="36">
        <f t="shared" si="197"/>
        <v>368.5</v>
      </c>
      <c r="P1475" s="38">
        <f ca="1">IF(ISERROR(IF(O1475&lt;fi_h/20,0,(OFFSET('Base de dados'!$A$5,IF(O1475&lt;20,1,IF(O1475&gt;1000,10,MATCH(O1475,Cargas,1))),Coluna_fih,1,1))*(1+0.13*0.25)*(PI()*(fi_h/1000)^2/4)*SQRT(2*9.81*(O1475/100-fi_h/2/1000))*1000)),"",IF(O1475&lt;fi_h/20,0,(OFFSET('Base de dados'!$A$5,IF(O1475&lt;20,1,IF(O1475&gt;1000,10,MATCH(O1475,Cargas,1))),Coluna_fih,1,1))*(PI()*(fi_h/1000)^2/4)*SQRT(2*9.81*(O1475/100-fi_h/2/1000))*1000))</f>
        <v>5.1261988675401673</v>
      </c>
      <c r="Q1475" s="38">
        <f ca="1">IF(O1475="","",IF(Tipo_Vertedor="Retangular",IF(O1475&lt;=cota_s*100,0,IF(Tipo_Vertedor="Retangular",Cd_sr*Lef_sr*((O1475/100-cota_s)^(3/2))*1000)),IF(O1475&lt;=cota_s*100+fi_s/20,0,(OFFSET('Base de dados'!$A$4,IF(O1475&lt;20,1,IF(O1475&gt;1000,10,MATCH(O1475,Cargas,1))),Coluna_fis,1,1))*(PI()*(fi_s/1000)^2/4)*(2*9.81*(O1475/100-cota_s-fi_s/2/1000))^0.5*1000)))</f>
        <v>4.2047104111096525</v>
      </c>
      <c r="R1475" s="38">
        <f t="shared" ca="1" si="200"/>
        <v>9.3309092786498198</v>
      </c>
      <c r="S1475" s="38">
        <f t="shared" ca="1" si="201"/>
        <v>460.625</v>
      </c>
    </row>
    <row r="1476" spans="13:19">
      <c r="M1476" s="132">
        <f t="shared" ca="1" si="198"/>
        <v>470.27228579217427</v>
      </c>
      <c r="N1476" s="38">
        <f t="shared" si="199"/>
        <v>13.828125</v>
      </c>
      <c r="O1476" s="36">
        <f t="shared" si="197"/>
        <v>368.75</v>
      </c>
      <c r="P1476" s="38">
        <f ca="1">IF(ISERROR(IF(O1476&lt;fi_h/20,0,(OFFSET('Base de dados'!$A$5,IF(O1476&lt;20,1,IF(O1476&gt;1000,10,MATCH(O1476,Cargas,1))),Coluna_fih,1,1))*(1+0.13*0.25)*(PI()*(fi_h/1000)^2/4)*SQRT(2*9.81*(O1476/100-fi_h/2/1000))*1000)),"",IF(O1476&lt;fi_h/20,0,(OFFSET('Base de dados'!$A$5,IF(O1476&lt;20,1,IF(O1476&gt;1000,10,MATCH(O1476,Cargas,1))),Coluna_fih,1,1))*(PI()*(fi_h/1000)^2/4)*SQRT(2*9.81*(O1476/100-fi_h/2/1000))*1000))</f>
        <v>5.1279457882319379</v>
      </c>
      <c r="Q1476" s="38">
        <f ca="1">IF(O1476="","",IF(Tipo_Vertedor="Retangular",IF(O1476&lt;=cota_s*100,0,IF(Tipo_Vertedor="Retangular",Cd_sr*Lef_sr*((O1476/100-cota_s)^(3/2))*1000)),IF(O1476&lt;=cota_s*100+fi_s/20,0,(OFFSET('Base de dados'!$A$4,IF(O1476&lt;20,1,IF(O1476&gt;1000,10,MATCH(O1476,Cargas,1))),Coluna_fis,1,1))*(PI()*(fi_s/1000)^2/4)*(2*9.81*(O1476/100-cota_s-fi_s/2/1000))^0.5*1000)))</f>
        <v>4.206840003942327</v>
      </c>
      <c r="R1476" s="38">
        <f t="shared" ca="1" si="200"/>
        <v>9.3347857921742659</v>
      </c>
      <c r="S1476" s="38">
        <f t="shared" ca="1" si="201"/>
        <v>460.9375</v>
      </c>
    </row>
    <row r="1477" spans="13:19">
      <c r="M1477" s="132">
        <f t="shared" ca="1" si="198"/>
        <v>470.58866063328315</v>
      </c>
      <c r="N1477" s="38">
        <f t="shared" si="199"/>
        <v>13.8375</v>
      </c>
      <c r="O1477" s="36">
        <f t="shared" si="197"/>
        <v>369</v>
      </c>
      <c r="P1477" s="38">
        <f ca="1">IF(ISERROR(IF(O1477&lt;fi_h/20,0,(OFFSET('Base de dados'!$A$5,IF(O1477&lt;20,1,IF(O1477&gt;1000,10,MATCH(O1477,Cargas,1))),Coluna_fih,1,1))*(1+0.13*0.25)*(PI()*(fi_h/1000)^2/4)*SQRT(2*9.81*(O1477/100-fi_h/2/1000))*1000)),"",IF(O1477&lt;fi_h/20,0,(OFFSET('Base de dados'!$A$5,IF(O1477&lt;20,1,IF(O1477&gt;1000,10,MATCH(O1477,Cargas,1))),Coluna_fih,1,1))*(PI()*(fi_h/1000)^2/4)*SQRT(2*9.81*(O1477/100-fi_h/2/1000))*1000))</f>
        <v>5.1296921140085256</v>
      </c>
      <c r="Q1477" s="38">
        <f ca="1">IF(O1477="","",IF(Tipo_Vertedor="Retangular",IF(O1477&lt;=cota_s*100,0,IF(Tipo_Vertedor="Retangular",Cd_sr*Lef_sr*((O1477/100-cota_s)^(3/2))*1000)),IF(O1477&lt;=cota_s*100+fi_s/20,0,(OFFSET('Base de dados'!$A$4,IF(O1477&lt;20,1,IF(O1477&gt;1000,10,MATCH(O1477,Cargas,1))),Coluna_fis,1,1))*(PI()*(fi_s/1000)^2/4)*(2*9.81*(O1477/100-cota_s-fi_s/2/1000))^0.5*1000)))</f>
        <v>4.2089685192746513</v>
      </c>
      <c r="R1477" s="38">
        <f t="shared" ca="1" si="200"/>
        <v>9.3386606332831761</v>
      </c>
      <c r="S1477" s="38">
        <f t="shared" ca="1" si="201"/>
        <v>461.25</v>
      </c>
    </row>
    <row r="1478" spans="13:19">
      <c r="M1478" s="132">
        <f t="shared" ca="1" si="198"/>
        <v>470.90503380421774</v>
      </c>
      <c r="N1478" s="38">
        <f t="shared" si="199"/>
        <v>13.846874999999999</v>
      </c>
      <c r="O1478" s="36">
        <f t="shared" si="197"/>
        <v>369.25</v>
      </c>
      <c r="P1478" s="38">
        <f ca="1">IF(ISERROR(IF(O1478&lt;fi_h/20,0,(OFFSET('Base de dados'!$A$5,IF(O1478&lt;20,1,IF(O1478&gt;1000,10,MATCH(O1478,Cargas,1))),Coluna_fih,1,1))*(1+0.13*0.25)*(PI()*(fi_h/1000)^2/4)*SQRT(2*9.81*(O1478/100-fi_h/2/1000))*1000)),"",IF(O1478&lt;fi_h/20,0,(OFFSET('Base de dados'!$A$5,IF(O1478&lt;20,1,IF(O1478&gt;1000,10,MATCH(O1478,Cargas,1))),Coluna_fih,1,1))*(PI()*(fi_h/1000)^2/4)*SQRT(2*9.81*(O1478/100-fi_h/2/1000))*1000))</f>
        <v>5.1314378454773104</v>
      </c>
      <c r="Q1478" s="38">
        <f ca="1">IF(O1478="","",IF(Tipo_Vertedor="Retangular",IF(O1478&lt;=cota_s*100,0,IF(Tipo_Vertedor="Retangular",Cd_sr*Lef_sr*((O1478/100-cota_s)^(3/2))*1000)),IF(O1478&lt;=cota_s*100+fi_s/20,0,(OFFSET('Base de dados'!$A$4,IF(O1478&lt;20,1,IF(O1478&gt;1000,10,MATCH(O1478,Cargas,1))),Coluna_fis,1,1))*(PI()*(fi_s/1000)^2/4)*(2*9.81*(O1478/100-cota_s-fi_s/2/1000))^0.5*1000)))</f>
        <v>4.2110959587405068</v>
      </c>
      <c r="R1478" s="38">
        <f t="shared" ca="1" si="200"/>
        <v>9.3425338042178172</v>
      </c>
      <c r="S1478" s="38">
        <f t="shared" ca="1" si="201"/>
        <v>461.56249999999994</v>
      </c>
    </row>
    <row r="1479" spans="13:19">
      <c r="M1479" s="132">
        <f t="shared" ca="1" si="198"/>
        <v>471.2214053072143</v>
      </c>
      <c r="N1479" s="38">
        <f t="shared" si="199"/>
        <v>13.856249999999999</v>
      </c>
      <c r="O1479" s="36">
        <f t="shared" si="197"/>
        <v>369.5</v>
      </c>
      <c r="P1479" s="38">
        <f ca="1">IF(ISERROR(IF(O1479&lt;fi_h/20,0,(OFFSET('Base de dados'!$A$5,IF(O1479&lt;20,1,IF(O1479&gt;1000,10,MATCH(O1479,Cargas,1))),Coluna_fih,1,1))*(1+0.13*0.25)*(PI()*(fi_h/1000)^2/4)*SQRT(2*9.81*(O1479/100-fi_h/2/1000))*1000)),"",IF(O1479&lt;fi_h/20,0,(OFFSET('Base de dados'!$A$5,IF(O1479&lt;20,1,IF(O1479&gt;1000,10,MATCH(O1479,Cargas,1))),Coluna_fih,1,1))*(PI()*(fi_h/1000)^2/4)*SQRT(2*9.81*(O1479/100-fi_h/2/1000))*1000))</f>
        <v>5.1331829832446454</v>
      </c>
      <c r="Q1479" s="38">
        <f ca="1">IF(O1479="","",IF(Tipo_Vertedor="Retangular",IF(O1479&lt;=cota_s*100,0,IF(Tipo_Vertedor="Retangular",Cd_sr*Lef_sr*((O1479/100-cota_s)^(3/2))*1000)),IF(O1479&lt;=cota_s*100+fi_s/20,0,(OFFSET('Base de dados'!$A$4,IF(O1479&lt;20,1,IF(O1479&gt;1000,10,MATCH(O1479,Cargas,1))),Coluna_fis,1,1))*(PI()*(fi_s/1000)^2/4)*(2*9.81*(O1479/100-cota_s-fi_s/2/1000))^0.5*1000)))</f>
        <v>4.2132223239696485</v>
      </c>
      <c r="R1479" s="38">
        <f t="shared" ca="1" si="200"/>
        <v>9.3464053072142939</v>
      </c>
      <c r="S1479" s="38">
        <f t="shared" ca="1" si="201"/>
        <v>461.875</v>
      </c>
    </row>
    <row r="1480" spans="13:19">
      <c r="M1480" s="132">
        <f t="shared" ca="1" si="198"/>
        <v>471.5377751445036</v>
      </c>
      <c r="N1480" s="38">
        <f t="shared" si="199"/>
        <v>13.865625</v>
      </c>
      <c r="O1480" s="36">
        <f t="shared" si="197"/>
        <v>369.75</v>
      </c>
      <c r="P1480" s="38">
        <f ca="1">IF(ISERROR(IF(O1480&lt;fi_h/20,0,(OFFSET('Base de dados'!$A$5,IF(O1480&lt;20,1,IF(O1480&gt;1000,10,MATCH(O1480,Cargas,1))),Coluna_fih,1,1))*(1+0.13*0.25)*(PI()*(fi_h/1000)^2/4)*SQRT(2*9.81*(O1480/100-fi_h/2/1000))*1000)),"",IF(O1480&lt;fi_h/20,0,(OFFSET('Base de dados'!$A$5,IF(O1480&lt;20,1,IF(O1480&gt;1000,10,MATCH(O1480,Cargas,1))),Coluna_fih,1,1))*(PI()*(fi_h/1000)^2/4)*SQRT(2*9.81*(O1480/100-fi_h/2/1000))*1000))</f>
        <v>5.1349275279158499</v>
      </c>
      <c r="Q1480" s="38">
        <f ca="1">IF(O1480="","",IF(Tipo_Vertedor="Retangular",IF(O1480&lt;=cota_s*100,0,IF(Tipo_Vertedor="Retangular",Cd_sr*Lef_sr*((O1480/100-cota_s)^(3/2))*1000)),IF(O1480&lt;=cota_s*100+fi_s/20,0,(OFFSET('Base de dados'!$A$4,IF(O1480&lt;20,1,IF(O1480&gt;1000,10,MATCH(O1480,Cargas,1))),Coluna_fis,1,1))*(PI()*(fi_s/1000)^2/4)*(2*9.81*(O1480/100-cota_s-fi_s/2/1000))^0.5*1000)))</f>
        <v>4.2153476165877208</v>
      </c>
      <c r="R1480" s="38">
        <f t="shared" ca="1" si="200"/>
        <v>9.3502751445035699</v>
      </c>
      <c r="S1480" s="38">
        <f t="shared" ca="1" si="201"/>
        <v>462.1875</v>
      </c>
    </row>
    <row r="1481" spans="13:19">
      <c r="M1481" s="132">
        <f t="shared" ca="1" si="198"/>
        <v>471.85414331831151</v>
      </c>
      <c r="N1481" s="38">
        <f t="shared" si="199"/>
        <v>13.875</v>
      </c>
      <c r="O1481" s="36">
        <f t="shared" si="197"/>
        <v>370</v>
      </c>
      <c r="P1481" s="38">
        <f ca="1">IF(ISERROR(IF(O1481&lt;fi_h/20,0,(OFFSET('Base de dados'!$A$5,IF(O1481&lt;20,1,IF(O1481&gt;1000,10,MATCH(O1481,Cargas,1))),Coluna_fih,1,1))*(1+0.13*0.25)*(PI()*(fi_h/1000)^2/4)*SQRT(2*9.81*(O1481/100-fi_h/2/1000))*1000)),"",IF(O1481&lt;fi_h/20,0,(OFFSET('Base de dados'!$A$5,IF(O1481&lt;20,1,IF(O1481&gt;1000,10,MATCH(O1481,Cargas,1))),Coluna_fih,1,1))*(PI()*(fi_h/1000)^2/4)*SQRT(2*9.81*(O1481/100-fi_h/2/1000))*1000))</f>
        <v>5.136671480095214</v>
      </c>
      <c r="Q1481" s="38">
        <f ca="1">IF(O1481="","",IF(Tipo_Vertedor="Retangular",IF(O1481&lt;=cota_s*100,0,IF(Tipo_Vertedor="Retangular",Cd_sr*Lef_sr*((O1481/100-cota_s)^(3/2))*1000)),IF(O1481&lt;=cota_s*100+fi_s/20,0,(OFFSET('Base de dados'!$A$4,IF(O1481&lt;20,1,IF(O1481&gt;1000,10,MATCH(O1481,Cargas,1))),Coluna_fis,1,1))*(PI()*(fi_s/1000)^2/4)*(2*9.81*(O1481/100-cota_s-fi_s/2/1000))^0.5*1000)))</f>
        <v>4.2174718382162739</v>
      </c>
      <c r="R1481" s="38">
        <f t="shared" ca="1" si="200"/>
        <v>9.3541433183114879</v>
      </c>
      <c r="S1481" s="38">
        <f t="shared" ca="1" si="201"/>
        <v>462.5</v>
      </c>
    </row>
    <row r="1482" spans="13:19">
      <c r="M1482" s="132">
        <f t="shared" ca="1" si="198"/>
        <v>472.1705098308588</v>
      </c>
      <c r="N1482" s="38">
        <f t="shared" si="199"/>
        <v>13.884375</v>
      </c>
      <c r="O1482" s="36">
        <f t="shared" si="197"/>
        <v>370.25</v>
      </c>
      <c r="P1482" s="38">
        <f ca="1">IF(ISERROR(IF(O1482&lt;fi_h/20,0,(OFFSET('Base de dados'!$A$5,IF(O1482&lt;20,1,IF(O1482&gt;1000,10,MATCH(O1482,Cargas,1))),Coluna_fih,1,1))*(1+0.13*0.25)*(PI()*(fi_h/1000)^2/4)*SQRT(2*9.81*(O1482/100-fi_h/2/1000))*1000)),"",IF(O1482&lt;fi_h/20,0,(OFFSET('Base de dados'!$A$5,IF(O1482&lt;20,1,IF(O1482&gt;1000,10,MATCH(O1482,Cargas,1))),Coluna_fih,1,1))*(PI()*(fi_h/1000)^2/4)*SQRT(2*9.81*(O1482/100-fi_h/2/1000))*1000))</f>
        <v>5.1384148403860035</v>
      </c>
      <c r="Q1482" s="38">
        <f ca="1">IF(O1482="","",IF(Tipo_Vertedor="Retangular",IF(O1482&lt;=cota_s*100,0,IF(Tipo_Vertedor="Retangular",Cd_sr*Lef_sr*((O1482/100-cota_s)^(3/2))*1000)),IF(O1482&lt;=cota_s*100+fi_s/20,0,(OFFSET('Base de dados'!$A$4,IF(O1482&lt;20,1,IF(O1482&gt;1000,10,MATCH(O1482,Cargas,1))),Coluna_fis,1,1))*(PI()*(fi_s/1000)^2/4)*(2*9.81*(O1482/100-cota_s-fi_s/2/1000))^0.5*1000)))</f>
        <v>4.2195949904727739</v>
      </c>
      <c r="R1482" s="38">
        <f t="shared" ca="1" si="200"/>
        <v>9.3580098308587765</v>
      </c>
      <c r="S1482" s="38">
        <f t="shared" ca="1" si="201"/>
        <v>462.8125</v>
      </c>
    </row>
    <row r="1483" spans="13:19">
      <c r="M1483" s="132">
        <f t="shared" ca="1" si="198"/>
        <v>472.48687468436111</v>
      </c>
      <c r="N1483" s="38">
        <f t="shared" si="199"/>
        <v>13.893750000000001</v>
      </c>
      <c r="O1483" s="36">
        <f t="shared" si="197"/>
        <v>370.5</v>
      </c>
      <c r="P1483" s="38">
        <f ca="1">IF(ISERROR(IF(O1483&lt;fi_h/20,0,(OFFSET('Base de dados'!$A$5,IF(O1483&lt;20,1,IF(O1483&gt;1000,10,MATCH(O1483,Cargas,1))),Coluna_fih,1,1))*(1+0.13*0.25)*(PI()*(fi_h/1000)^2/4)*SQRT(2*9.81*(O1483/100-fi_h/2/1000))*1000)),"",IF(O1483&lt;fi_h/20,0,(OFFSET('Base de dados'!$A$5,IF(O1483&lt;20,1,IF(O1483&gt;1000,10,MATCH(O1483,Cargas,1))),Coluna_fih,1,1))*(PI()*(fi_h/1000)^2/4)*SQRT(2*9.81*(O1483/100-fi_h/2/1000))*1000))</f>
        <v>5.1401576093904655</v>
      </c>
      <c r="Q1483" s="38">
        <f ca="1">IF(O1483="","",IF(Tipo_Vertedor="Retangular",IF(O1483&lt;=cota_s*100,0,IF(Tipo_Vertedor="Retangular",Cd_sr*Lef_sr*((O1483/100-cota_s)^(3/2))*1000)),IF(O1483&lt;=cota_s*100+fi_s/20,0,(OFFSET('Base de dados'!$A$4,IF(O1483&lt;20,1,IF(O1483&gt;1000,10,MATCH(O1483,Cargas,1))),Coluna_fis,1,1))*(PI()*(fi_s/1000)^2/4)*(2*9.81*(O1483/100-cota_s-fi_s/2/1000))^0.5*1000)))</f>
        <v>4.2217170749706225</v>
      </c>
      <c r="R1483" s="38">
        <f t="shared" ca="1" si="200"/>
        <v>9.3618746843610872</v>
      </c>
      <c r="S1483" s="38">
        <f t="shared" ca="1" si="201"/>
        <v>463.125</v>
      </c>
    </row>
    <row r="1484" spans="13:19">
      <c r="M1484" s="132">
        <f t="shared" ca="1" si="198"/>
        <v>472.80323788102896</v>
      </c>
      <c r="N1484" s="38">
        <f t="shared" si="199"/>
        <v>13.903124999999999</v>
      </c>
      <c r="O1484" s="36">
        <f t="shared" si="197"/>
        <v>370.75</v>
      </c>
      <c r="P1484" s="38">
        <f ca="1">IF(ISERROR(IF(O1484&lt;fi_h/20,0,(OFFSET('Base de dados'!$A$5,IF(O1484&lt;20,1,IF(O1484&gt;1000,10,MATCH(O1484,Cargas,1))),Coluna_fih,1,1))*(1+0.13*0.25)*(PI()*(fi_h/1000)^2/4)*SQRT(2*9.81*(O1484/100-fi_h/2/1000))*1000)),"",IF(O1484&lt;fi_h/20,0,(OFFSET('Base de dados'!$A$5,IF(O1484&lt;20,1,IF(O1484&gt;1000,10,MATCH(O1484,Cargas,1))),Coluna_fih,1,1))*(PI()*(fi_h/1000)^2/4)*SQRT(2*9.81*(O1484/100-fi_h/2/1000))*1000))</f>
        <v>5.1418997877098196</v>
      </c>
      <c r="Q1484" s="38">
        <f ca="1">IF(O1484="","",IF(Tipo_Vertedor="Retangular",IF(O1484&lt;=cota_s*100,0,IF(Tipo_Vertedor="Retangular",Cd_sr*Lef_sr*((O1484/100-cota_s)^(3/2))*1000)),IF(O1484&lt;=cota_s*100+fi_s/20,0,(OFFSET('Base de dados'!$A$4,IF(O1484&lt;20,1,IF(O1484&gt;1000,10,MATCH(O1484,Cargas,1))),Coluna_fis,1,1))*(PI()*(fi_s/1000)^2/4)*(2*9.81*(O1484/100-cota_s-fi_s/2/1000))^0.5*1000)))</f>
        <v>4.2238380933191655</v>
      </c>
      <c r="R1484" s="38">
        <f t="shared" ca="1" si="200"/>
        <v>9.3657378810289842</v>
      </c>
      <c r="S1484" s="38">
        <f t="shared" ca="1" si="201"/>
        <v>463.4375</v>
      </c>
    </row>
    <row r="1485" spans="13:19">
      <c r="M1485" s="132">
        <f t="shared" ca="1" si="198"/>
        <v>473.119599423068</v>
      </c>
      <c r="N1485" s="38">
        <f t="shared" si="199"/>
        <v>13.9125</v>
      </c>
      <c r="O1485" s="36">
        <f t="shared" si="197"/>
        <v>371</v>
      </c>
      <c r="P1485" s="38">
        <f ca="1">IF(ISERROR(IF(O1485&lt;fi_h/20,0,(OFFSET('Base de dados'!$A$5,IF(O1485&lt;20,1,IF(O1485&gt;1000,10,MATCH(O1485,Cargas,1))),Coluna_fih,1,1))*(1+0.13*0.25)*(PI()*(fi_h/1000)^2/4)*SQRT(2*9.81*(O1485/100-fi_h/2/1000))*1000)),"",IF(O1485&lt;fi_h/20,0,(OFFSET('Base de dados'!$A$5,IF(O1485&lt;20,1,IF(O1485&gt;1000,10,MATCH(O1485,Cargas,1))),Coluna_fih,1,1))*(PI()*(fi_h/1000)^2/4)*SQRT(2*9.81*(O1485/100-fi_h/2/1000))*1000))</f>
        <v>5.1436413759442701</v>
      </c>
      <c r="Q1485" s="38">
        <f ca="1">IF(O1485="","",IF(Tipo_Vertedor="Retangular",IF(O1485&lt;=cota_s*100,0,IF(Tipo_Vertedor="Retangular",Cd_sr*Lef_sr*((O1485/100-cota_s)^(3/2))*1000)),IF(O1485&lt;=cota_s*100+fi_s/20,0,(OFFSET('Base de dados'!$A$4,IF(O1485&lt;20,1,IF(O1485&gt;1000,10,MATCH(O1485,Cargas,1))),Coluna_fis,1,1))*(PI()*(fi_s/1000)^2/4)*(2*9.81*(O1485/100-cota_s-fi_s/2/1000))^0.5*1000)))</f>
        <v>4.2259580471237124</v>
      </c>
      <c r="R1485" s="38">
        <f t="shared" ca="1" si="200"/>
        <v>9.3695994230679815</v>
      </c>
      <c r="S1485" s="38">
        <f t="shared" ca="1" si="201"/>
        <v>463.75</v>
      </c>
    </row>
    <row r="1486" spans="13:19">
      <c r="M1486" s="132">
        <f t="shared" ca="1" si="198"/>
        <v>473.43595931267856</v>
      </c>
      <c r="N1486" s="38">
        <f t="shared" si="199"/>
        <v>13.921875</v>
      </c>
      <c r="O1486" s="36">
        <f t="shared" si="197"/>
        <v>371.25</v>
      </c>
      <c r="P1486" s="38">
        <f ca="1">IF(ISERROR(IF(O1486&lt;fi_h/20,0,(OFFSET('Base de dados'!$A$5,IF(O1486&lt;20,1,IF(O1486&gt;1000,10,MATCH(O1486,Cargas,1))),Coluna_fih,1,1))*(1+0.13*0.25)*(PI()*(fi_h/1000)^2/4)*SQRT(2*9.81*(O1486/100-fi_h/2/1000))*1000)),"",IF(O1486&lt;fi_h/20,0,(OFFSET('Base de dados'!$A$5,IF(O1486&lt;20,1,IF(O1486&gt;1000,10,MATCH(O1486,Cargas,1))),Coluna_fih,1,1))*(PI()*(fi_h/1000)^2/4)*SQRT(2*9.81*(O1486/100-fi_h/2/1000))*1000))</f>
        <v>5.1453823746930052</v>
      </c>
      <c r="Q1486" s="38">
        <f ca="1">IF(O1486="","",IF(Tipo_Vertedor="Retangular",IF(O1486&lt;=cota_s*100,0,IF(Tipo_Vertedor="Retangular",Cd_sr*Lef_sr*((O1486/100-cota_s)^(3/2))*1000)),IF(O1486&lt;=cota_s*100+fi_s/20,0,(OFFSET('Base de dados'!$A$4,IF(O1486&lt;20,1,IF(O1486&gt;1000,10,MATCH(O1486,Cargas,1))),Coluna_fis,1,1))*(PI()*(fi_s/1000)^2/4)*(2*9.81*(O1486/100-cota_s-fi_s/2/1000))^0.5*1000)))</f>
        <v>4.2280769379855467</v>
      </c>
      <c r="R1486" s="38">
        <f t="shared" ca="1" si="200"/>
        <v>9.3734593126785519</v>
      </c>
      <c r="S1486" s="38">
        <f t="shared" ca="1" si="201"/>
        <v>464.0625</v>
      </c>
    </row>
    <row r="1487" spans="13:19">
      <c r="M1487" s="132">
        <f t="shared" ca="1" si="198"/>
        <v>473.75231755205607</v>
      </c>
      <c r="N1487" s="38">
        <f t="shared" si="199"/>
        <v>13.931249999999999</v>
      </c>
      <c r="O1487" s="36">
        <f t="shared" si="197"/>
        <v>371.5</v>
      </c>
      <c r="P1487" s="38">
        <f ca="1">IF(ISERROR(IF(O1487&lt;fi_h/20,0,(OFFSET('Base de dados'!$A$5,IF(O1487&lt;20,1,IF(O1487&gt;1000,10,MATCH(O1487,Cargas,1))),Coluna_fih,1,1))*(1+0.13*0.25)*(PI()*(fi_h/1000)^2/4)*SQRT(2*9.81*(O1487/100-fi_h/2/1000))*1000)),"",IF(O1487&lt;fi_h/20,0,(OFFSET('Base de dados'!$A$5,IF(O1487&lt;20,1,IF(O1487&gt;1000,10,MATCH(O1487,Cargas,1))),Coluna_fih,1,1))*(PI()*(fi_h/1000)^2/4)*SQRT(2*9.81*(O1487/100-fi_h/2/1000))*1000))</f>
        <v>5.1471227845542025</v>
      </c>
      <c r="Q1487" s="38">
        <f ca="1">IF(O1487="","",IF(Tipo_Vertedor="Retangular",IF(O1487&lt;=cota_s*100,0,IF(Tipo_Vertedor="Retangular",Cd_sr*Lef_sr*((O1487/100-cota_s)^(3/2))*1000)),IF(O1487&lt;=cota_s*100+fi_s/20,0,(OFFSET('Base de dados'!$A$4,IF(O1487&lt;20,1,IF(O1487&gt;1000,10,MATCH(O1487,Cargas,1))),Coluna_fis,1,1))*(PI()*(fi_s/1000)^2/4)*(2*9.81*(O1487/100-cota_s-fi_s/2/1000))^0.5*1000)))</f>
        <v>4.230194767501942</v>
      </c>
      <c r="R1487" s="38">
        <f t="shared" ca="1" si="200"/>
        <v>9.3773175520561445</v>
      </c>
      <c r="S1487" s="38">
        <f t="shared" ca="1" si="201"/>
        <v>464.37499999999994</v>
      </c>
    </row>
    <row r="1488" spans="13:19">
      <c r="M1488" s="132">
        <f t="shared" ca="1" si="198"/>
        <v>474.06867414339115</v>
      </c>
      <c r="N1488" s="38">
        <f t="shared" si="199"/>
        <v>13.940624999999999</v>
      </c>
      <c r="O1488" s="36">
        <f t="shared" si="197"/>
        <v>371.75</v>
      </c>
      <c r="P1488" s="38">
        <f ca="1">IF(ISERROR(IF(O1488&lt;fi_h/20,0,(OFFSET('Base de dados'!$A$5,IF(O1488&lt;20,1,IF(O1488&gt;1000,10,MATCH(O1488,Cargas,1))),Coluna_fih,1,1))*(1+0.13*0.25)*(PI()*(fi_h/1000)^2/4)*SQRT(2*9.81*(O1488/100-fi_h/2/1000))*1000)),"",IF(O1488&lt;fi_h/20,0,(OFFSET('Base de dados'!$A$5,IF(O1488&lt;20,1,IF(O1488&gt;1000,10,MATCH(O1488,Cargas,1))),Coluna_fih,1,1))*(PI()*(fi_h/1000)^2/4)*SQRT(2*9.81*(O1488/100-fi_h/2/1000))*1000))</f>
        <v>5.1488626061250242</v>
      </c>
      <c r="Q1488" s="38">
        <f ca="1">IF(O1488="","",IF(Tipo_Vertedor="Retangular",IF(O1488&lt;=cota_s*100,0,IF(Tipo_Vertedor="Retangular",Cd_sr*Lef_sr*((O1488/100-cota_s)^(3/2))*1000)),IF(O1488&lt;=cota_s*100+fi_s/20,0,(OFFSET('Base de dados'!$A$4,IF(O1488&lt;20,1,IF(O1488&gt;1000,10,MATCH(O1488,Cargas,1))),Coluna_fis,1,1))*(PI()*(fi_s/1000)^2/4)*(2*9.81*(O1488/100-cota_s-fi_s/2/1000))^0.5*1000)))</f>
        <v>4.2323115372661757</v>
      </c>
      <c r="R1488" s="38">
        <f t="shared" ca="1" si="200"/>
        <v>9.381174143391199</v>
      </c>
      <c r="S1488" s="38">
        <f t="shared" ca="1" si="201"/>
        <v>464.68749999999994</v>
      </c>
    </row>
    <row r="1489" spans="13:19">
      <c r="M1489" s="132">
        <f t="shared" ca="1" si="198"/>
        <v>474.3850290888692</v>
      </c>
      <c r="N1489" s="38">
        <f t="shared" si="199"/>
        <v>13.950000000000001</v>
      </c>
      <c r="O1489" s="36">
        <f t="shared" si="197"/>
        <v>372</v>
      </c>
      <c r="P1489" s="38">
        <f ca="1">IF(ISERROR(IF(O1489&lt;fi_h/20,0,(OFFSET('Base de dados'!$A$5,IF(O1489&lt;20,1,IF(O1489&gt;1000,10,MATCH(O1489,Cargas,1))),Coluna_fih,1,1))*(1+0.13*0.25)*(PI()*(fi_h/1000)^2/4)*SQRT(2*9.81*(O1489/100-fi_h/2/1000))*1000)),"",IF(O1489&lt;fi_h/20,0,(OFFSET('Base de dados'!$A$5,IF(O1489&lt;20,1,IF(O1489&gt;1000,10,MATCH(O1489,Cargas,1))),Coluna_fih,1,1))*(PI()*(fi_h/1000)^2/4)*SQRT(2*9.81*(O1489/100-fi_h/2/1000))*1000))</f>
        <v>5.1506018400016282</v>
      </c>
      <c r="Q1489" s="38">
        <f ca="1">IF(O1489="","",IF(Tipo_Vertedor="Retangular",IF(O1489&lt;=cota_s*100,0,IF(Tipo_Vertedor="Retangular",Cd_sr*Lef_sr*((O1489/100-cota_s)^(3/2))*1000)),IF(O1489&lt;=cota_s*100+fi_s/20,0,(OFFSET('Base de dados'!$A$4,IF(O1489&lt;20,1,IF(O1489&gt;1000,10,MATCH(O1489,Cargas,1))),Coluna_fis,1,1))*(PI()*(fi_s/1000)^2/4)*(2*9.81*(O1489/100-cota_s-fi_s/2/1000))^0.5*1000)))</f>
        <v>4.2344272488675445</v>
      </c>
      <c r="R1489" s="38">
        <f t="shared" ca="1" si="200"/>
        <v>9.3850290888691728</v>
      </c>
      <c r="S1489" s="38">
        <f t="shared" ca="1" si="201"/>
        <v>465.00000000000006</v>
      </c>
    </row>
    <row r="1490" spans="13:19">
      <c r="M1490" s="132">
        <f t="shared" ca="1" si="198"/>
        <v>474.70138239067057</v>
      </c>
      <c r="N1490" s="38">
        <f t="shared" si="199"/>
        <v>13.959375000000001</v>
      </c>
      <c r="O1490" s="36">
        <f t="shared" si="197"/>
        <v>372.25</v>
      </c>
      <c r="P1490" s="38">
        <f ca="1">IF(ISERROR(IF(O1490&lt;fi_h/20,0,(OFFSET('Base de dados'!$A$5,IF(O1490&lt;20,1,IF(O1490&gt;1000,10,MATCH(O1490,Cargas,1))),Coluna_fih,1,1))*(1+0.13*0.25)*(PI()*(fi_h/1000)^2/4)*SQRT(2*9.81*(O1490/100-fi_h/2/1000))*1000)),"",IF(O1490&lt;fi_h/20,0,(OFFSET('Base de dados'!$A$5,IF(O1490&lt;20,1,IF(O1490&gt;1000,10,MATCH(O1490,Cargas,1))),Coluna_fih,1,1))*(PI()*(fi_h/1000)^2/4)*SQRT(2*9.81*(O1490/100-fi_h/2/1000))*1000))</f>
        <v>5.1523404867791616</v>
      </c>
      <c r="Q1490" s="38">
        <f ca="1">IF(O1490="","",IF(Tipo_Vertedor="Retangular",IF(O1490&lt;=cota_s*100,0,IF(Tipo_Vertedor="Retangular",Cd_sr*Lef_sr*((O1490/100-cota_s)^(3/2))*1000)),IF(O1490&lt;=cota_s*100+fi_s/20,0,(OFFSET('Base de dados'!$A$4,IF(O1490&lt;20,1,IF(O1490&gt;1000,10,MATCH(O1490,Cargas,1))),Coluna_fis,1,1))*(PI()*(fi_s/1000)^2/4)*(2*9.81*(O1490/100-cota_s-fi_s/2/1000))^0.5*1000)))</f>
        <v>4.2365419038913723</v>
      </c>
      <c r="R1490" s="38">
        <f t="shared" ca="1" si="200"/>
        <v>9.3888823906705348</v>
      </c>
      <c r="S1490" s="38">
        <f t="shared" ca="1" si="201"/>
        <v>465.31250000000006</v>
      </c>
    </row>
    <row r="1491" spans="13:19">
      <c r="M1491" s="132">
        <f t="shared" ca="1" si="198"/>
        <v>475.01773405097083</v>
      </c>
      <c r="N1491" s="38">
        <f t="shared" si="199"/>
        <v>13.96875</v>
      </c>
      <c r="O1491" s="36">
        <f t="shared" ref="O1491:O1554" si="202">IF(ISERROR(IF(O1490+passo_altura&gt;h_max_puls*100,"",O1490+passo_altura)),"",IF(O1490+passo_altura&gt;h_max_puls*100,"",O1490+passo_altura))</f>
        <v>372.5</v>
      </c>
      <c r="P1491" s="38">
        <f ca="1">IF(ISERROR(IF(O1491&lt;fi_h/20,0,(OFFSET('Base de dados'!$A$5,IF(O1491&lt;20,1,IF(O1491&gt;1000,10,MATCH(O1491,Cargas,1))),Coluna_fih,1,1))*(1+0.13*0.25)*(PI()*(fi_h/1000)^2/4)*SQRT(2*9.81*(O1491/100-fi_h/2/1000))*1000)),"",IF(O1491&lt;fi_h/20,0,(OFFSET('Base de dados'!$A$5,IF(O1491&lt;20,1,IF(O1491&gt;1000,10,MATCH(O1491,Cargas,1))),Coluna_fih,1,1))*(PI()*(fi_h/1000)^2/4)*SQRT(2*9.81*(O1491/100-fi_h/2/1000))*1000))</f>
        <v>5.154078547051772</v>
      </c>
      <c r="Q1491" s="38">
        <f ca="1">IF(O1491="","",IF(Tipo_Vertedor="Retangular",IF(O1491&lt;=cota_s*100,0,IF(Tipo_Vertedor="Retangular",Cd_sr*Lef_sr*((O1491/100-cota_s)^(3/2))*1000)),IF(O1491&lt;=cota_s*100+fi_s/20,0,(OFFSET('Base de dados'!$A$4,IF(O1491&lt;20,1,IF(O1491&gt;1000,10,MATCH(O1491,Cargas,1))),Coluna_fis,1,1))*(PI()*(fi_s/1000)^2/4)*(2*9.81*(O1491/100-cota_s-fi_s/2/1000))^0.5*1000)))</f>
        <v>4.2386555039190332</v>
      </c>
      <c r="R1491" s="38">
        <f t="shared" ca="1" si="200"/>
        <v>9.3927340509708053</v>
      </c>
      <c r="S1491" s="38">
        <f t="shared" ca="1" si="201"/>
        <v>465.625</v>
      </c>
    </row>
    <row r="1492" spans="13:19">
      <c r="M1492" s="132">
        <f t="shared" ca="1" si="198"/>
        <v>475.33408407194054</v>
      </c>
      <c r="N1492" s="38">
        <f t="shared" si="199"/>
        <v>13.978125</v>
      </c>
      <c r="O1492" s="36">
        <f t="shared" si="202"/>
        <v>372.75</v>
      </c>
      <c r="P1492" s="38">
        <f ca="1">IF(ISERROR(IF(O1492&lt;fi_h/20,0,(OFFSET('Base de dados'!$A$5,IF(O1492&lt;20,1,IF(O1492&gt;1000,10,MATCH(O1492,Cargas,1))),Coluna_fih,1,1))*(1+0.13*0.25)*(PI()*(fi_h/1000)^2/4)*SQRT(2*9.81*(O1492/100-fi_h/2/1000))*1000)),"",IF(O1492&lt;fi_h/20,0,(OFFSET('Base de dados'!$A$5,IF(O1492&lt;20,1,IF(O1492&gt;1000,10,MATCH(O1492,Cargas,1))),Coluna_fih,1,1))*(PI()*(fi_h/1000)^2/4)*SQRT(2*9.81*(O1492/100-fi_h/2/1000))*1000))</f>
        <v>5.155816021412603</v>
      </c>
      <c r="Q1492" s="38">
        <f ca="1">IF(O1492="","",IF(Tipo_Vertedor="Retangular",IF(O1492&lt;=cota_s*100,0,IF(Tipo_Vertedor="Retangular",Cd_sr*Lef_sr*((O1492/100-cota_s)^(3/2))*1000)),IF(O1492&lt;=cota_s*100+fi_s/20,0,(OFFSET('Base de dados'!$A$4,IF(O1492&lt;20,1,IF(O1492&gt;1000,10,MATCH(O1492,Cargas,1))),Coluna_fis,1,1))*(PI()*(fi_s/1000)^2/4)*(2*9.81*(O1492/100-cota_s-fi_s/2/1000))^0.5*1000)))</f>
        <v>4.240768050527957</v>
      </c>
      <c r="R1492" s="38">
        <f t="shared" ca="1" si="200"/>
        <v>9.3965840719405591</v>
      </c>
      <c r="S1492" s="38">
        <f t="shared" ca="1" si="201"/>
        <v>465.9375</v>
      </c>
    </row>
    <row r="1493" spans="13:19">
      <c r="M1493" s="132">
        <f t="shared" ca="1" si="198"/>
        <v>475.65043245574543</v>
      </c>
      <c r="N1493" s="38">
        <f t="shared" si="199"/>
        <v>13.987500000000001</v>
      </c>
      <c r="O1493" s="36">
        <f t="shared" si="202"/>
        <v>373</v>
      </c>
      <c r="P1493" s="38">
        <f ca="1">IF(ISERROR(IF(O1493&lt;fi_h/20,0,(OFFSET('Base de dados'!$A$5,IF(O1493&lt;20,1,IF(O1493&gt;1000,10,MATCH(O1493,Cargas,1))),Coluna_fih,1,1))*(1+0.13*0.25)*(PI()*(fi_h/1000)^2/4)*SQRT(2*9.81*(O1493/100-fi_h/2/1000))*1000)),"",IF(O1493&lt;fi_h/20,0,(OFFSET('Base de dados'!$A$5,IF(O1493&lt;20,1,IF(O1493&gt;1000,10,MATCH(O1493,Cargas,1))),Coluna_fih,1,1))*(PI()*(fi_h/1000)^2/4)*SQRT(2*9.81*(O1493/100-fi_h/2/1000))*1000))</f>
        <v>5.1575529104537994</v>
      </c>
      <c r="Q1493" s="38">
        <f ca="1">IF(O1493="","",IF(Tipo_Vertedor="Retangular",IF(O1493&lt;=cota_s*100,0,IF(Tipo_Vertedor="Retangular",Cd_sr*Lef_sr*((O1493/100-cota_s)^(3/2))*1000)),IF(O1493&lt;=cota_s*100+fi_s/20,0,(OFFSET('Base de dados'!$A$4,IF(O1493&lt;20,1,IF(O1493&gt;1000,10,MATCH(O1493,Cargas,1))),Coluna_fis,1,1))*(PI()*(fi_s/1000)^2/4)*(2*9.81*(O1493/100-cota_s-fi_s/2/1000))^0.5*1000)))</f>
        <v>4.2428795452916486</v>
      </c>
      <c r="R1493" s="38">
        <f t="shared" ca="1" si="200"/>
        <v>9.4004324557454488</v>
      </c>
      <c r="S1493" s="38">
        <f t="shared" ca="1" si="201"/>
        <v>466.25</v>
      </c>
    </row>
    <row r="1494" spans="13:19">
      <c r="M1494" s="132">
        <f t="shared" ca="1" si="198"/>
        <v>475.96677920454619</v>
      </c>
      <c r="N1494" s="38">
        <f t="shared" si="199"/>
        <v>13.996874999999999</v>
      </c>
      <c r="O1494" s="36">
        <f t="shared" si="202"/>
        <v>373.25</v>
      </c>
      <c r="P1494" s="38">
        <f ca="1">IF(ISERROR(IF(O1494&lt;fi_h/20,0,(OFFSET('Base de dados'!$A$5,IF(O1494&lt;20,1,IF(O1494&gt;1000,10,MATCH(O1494,Cargas,1))),Coluna_fih,1,1))*(1+0.13*0.25)*(PI()*(fi_h/1000)^2/4)*SQRT(2*9.81*(O1494/100-fi_h/2/1000))*1000)),"",IF(O1494&lt;fi_h/20,0,(OFFSET('Base de dados'!$A$5,IF(O1494&lt;20,1,IF(O1494&gt;1000,10,MATCH(O1494,Cargas,1))),Coluna_fih,1,1))*(PI()*(fi_h/1000)^2/4)*SQRT(2*9.81*(O1494/100-fi_h/2/1000))*1000))</f>
        <v>5.1592892147665106</v>
      </c>
      <c r="Q1494" s="38">
        <f ca="1">IF(O1494="","",IF(Tipo_Vertedor="Retangular",IF(O1494&lt;=cota_s*100,0,IF(Tipo_Vertedor="Retangular",Cd_sr*Lef_sr*((O1494/100-cota_s)^(3/2))*1000)),IF(O1494&lt;=cota_s*100+fi_s/20,0,(OFFSET('Base de dados'!$A$4,IF(O1494&lt;20,1,IF(O1494&gt;1000,10,MATCH(O1494,Cargas,1))),Coluna_fis,1,1))*(PI()*(fi_s/1000)^2/4)*(2*9.81*(O1494/100-cota_s-fi_s/2/1000))^0.5*1000)))</f>
        <v>4.2449899897796968</v>
      </c>
      <c r="R1494" s="38">
        <f t="shared" ca="1" si="200"/>
        <v>9.4042792045462065</v>
      </c>
      <c r="S1494" s="38">
        <f t="shared" ca="1" si="201"/>
        <v>466.5625</v>
      </c>
    </row>
    <row r="1495" spans="13:19">
      <c r="M1495" s="132">
        <f t="shared" ref="M1495:M1558" ca="1" si="203">IF(O1495="","",2*N1495*1000/(Passo*60)+R1495)</f>
        <v>476.2831243204987</v>
      </c>
      <c r="N1495" s="38">
        <f t="shared" ref="N1495:N1558" si="204">IF(O1495="","",b_0*(O1495/100)^c_0)</f>
        <v>14.00625</v>
      </c>
      <c r="O1495" s="36">
        <f t="shared" si="202"/>
        <v>373.5</v>
      </c>
      <c r="P1495" s="38">
        <f ca="1">IF(ISERROR(IF(O1495&lt;fi_h/20,0,(OFFSET('Base de dados'!$A$5,IF(O1495&lt;20,1,IF(O1495&gt;1000,10,MATCH(O1495,Cargas,1))),Coluna_fih,1,1))*(1+0.13*0.25)*(PI()*(fi_h/1000)^2/4)*SQRT(2*9.81*(O1495/100-fi_h/2/1000))*1000)),"",IF(O1495&lt;fi_h/20,0,(OFFSET('Base de dados'!$A$5,IF(O1495&lt;20,1,IF(O1495&gt;1000,10,MATCH(O1495,Cargas,1))),Coluna_fih,1,1))*(PI()*(fi_h/1000)^2/4)*SQRT(2*9.81*(O1495/100-fi_h/2/1000))*1000))</f>
        <v>5.1610249349408885</v>
      </c>
      <c r="Q1495" s="38">
        <f ca="1">IF(O1495="","",IF(Tipo_Vertedor="Retangular",IF(O1495&lt;=cota_s*100,0,IF(Tipo_Vertedor="Retangular",Cd_sr*Lef_sr*((O1495/100-cota_s)^(3/2))*1000)),IF(O1495&lt;=cota_s*100+fi_s/20,0,(OFFSET('Base de dados'!$A$4,IF(O1495&lt;20,1,IF(O1495&gt;1000,10,MATCH(O1495,Cargas,1))),Coluna_fis,1,1))*(PI()*(fi_s/1000)^2/4)*(2*9.81*(O1495/100-cota_s-fi_s/2/1000))^0.5*1000)))</f>
        <v>4.2470993855577968</v>
      </c>
      <c r="R1495" s="38">
        <f t="shared" ref="R1495:R1558" ca="1" si="205">IF(O1495="","",Q1495+P1495)</f>
        <v>9.4081243204986862</v>
      </c>
      <c r="S1495" s="38">
        <f t="shared" ref="S1495:S1558" ca="1" si="206">IF(M1495="","",2*N1495*1000/(Passo*60))</f>
        <v>466.875</v>
      </c>
    </row>
    <row r="1496" spans="13:19">
      <c r="M1496" s="132">
        <f t="shared" ca="1" si="203"/>
        <v>476.59946780575387</v>
      </c>
      <c r="N1496" s="38">
        <f t="shared" si="204"/>
        <v>14.015625</v>
      </c>
      <c r="O1496" s="36">
        <f t="shared" si="202"/>
        <v>373.75</v>
      </c>
      <c r="P1496" s="38">
        <f ca="1">IF(ISERROR(IF(O1496&lt;fi_h/20,0,(OFFSET('Base de dados'!$A$5,IF(O1496&lt;20,1,IF(O1496&gt;1000,10,MATCH(O1496,Cargas,1))),Coluna_fih,1,1))*(1+0.13*0.25)*(PI()*(fi_h/1000)^2/4)*SQRT(2*9.81*(O1496/100-fi_h/2/1000))*1000)),"",IF(O1496&lt;fi_h/20,0,(OFFSET('Base de dados'!$A$5,IF(O1496&lt;20,1,IF(O1496&gt;1000,10,MATCH(O1496,Cargas,1))),Coluna_fih,1,1))*(PI()*(fi_h/1000)^2/4)*SQRT(2*9.81*(O1496/100-fi_h/2/1000))*1000))</f>
        <v>5.1627600715660975</v>
      </c>
      <c r="Q1496" s="38">
        <f ca="1">IF(O1496="","",IF(Tipo_Vertedor="Retangular",IF(O1496&lt;=cota_s*100,0,IF(Tipo_Vertedor="Retangular",Cd_sr*Lef_sr*((O1496/100-cota_s)^(3/2))*1000)),IF(O1496&lt;=cota_s*100+fi_s/20,0,(OFFSET('Base de dados'!$A$4,IF(O1496&lt;20,1,IF(O1496&gt;1000,10,MATCH(O1496,Cargas,1))),Coluna_fis,1,1))*(PI()*(fi_s/1000)^2/4)*(2*9.81*(O1496/100-cota_s-fi_s/2/1000))^0.5*1000)))</f>
        <v>4.249207734187749</v>
      </c>
      <c r="R1496" s="38">
        <f t="shared" ca="1" si="205"/>
        <v>9.4119678057538465</v>
      </c>
      <c r="S1496" s="38">
        <f t="shared" ca="1" si="206"/>
        <v>467.1875</v>
      </c>
    </row>
    <row r="1497" spans="13:19">
      <c r="M1497" s="132">
        <f t="shared" ca="1" si="203"/>
        <v>476.91580966245778</v>
      </c>
      <c r="N1497" s="38">
        <f t="shared" si="204"/>
        <v>14.025</v>
      </c>
      <c r="O1497" s="36">
        <f t="shared" si="202"/>
        <v>374</v>
      </c>
      <c r="P1497" s="38">
        <f ca="1">IF(ISERROR(IF(O1497&lt;fi_h/20,0,(OFFSET('Base de dados'!$A$5,IF(O1497&lt;20,1,IF(O1497&gt;1000,10,MATCH(O1497,Cargas,1))),Coluna_fih,1,1))*(1+0.13*0.25)*(PI()*(fi_h/1000)^2/4)*SQRT(2*9.81*(O1497/100-fi_h/2/1000))*1000)),"",IF(O1497&lt;fi_h/20,0,(OFFSET('Base de dados'!$A$5,IF(O1497&lt;20,1,IF(O1497&gt;1000,10,MATCH(O1497,Cargas,1))),Coluna_fih,1,1))*(PI()*(fi_h/1000)^2/4)*SQRT(2*9.81*(O1497/100-fi_h/2/1000))*1000))</f>
        <v>5.1644946252303097</v>
      </c>
      <c r="Q1497" s="38">
        <f ca="1">IF(O1497="","",IF(Tipo_Vertedor="Retangular",IF(O1497&lt;=cota_s*100,0,IF(Tipo_Vertedor="Retangular",Cd_sr*Lef_sr*((O1497/100-cota_s)^(3/2))*1000)),IF(O1497&lt;=cota_s*100+fi_s/20,0,(OFFSET('Base de dados'!$A$4,IF(O1497&lt;20,1,IF(O1497&gt;1000,10,MATCH(O1497,Cargas,1))),Coluna_fis,1,1))*(PI()*(fi_s/1000)^2/4)*(2*9.81*(O1497/100-cota_s-fi_s/2/1000))^0.5*1000)))</f>
        <v>4.2513150372274886</v>
      </c>
      <c r="R1497" s="38">
        <f t="shared" ca="1" si="205"/>
        <v>9.4158096624577983</v>
      </c>
      <c r="S1497" s="38">
        <f t="shared" ca="1" si="206"/>
        <v>467.5</v>
      </c>
    </row>
    <row r="1498" spans="13:19">
      <c r="M1498" s="132">
        <f t="shared" ca="1" si="203"/>
        <v>477.23214989275181</v>
      </c>
      <c r="N1498" s="38">
        <f t="shared" si="204"/>
        <v>14.034375000000001</v>
      </c>
      <c r="O1498" s="36">
        <f t="shared" si="202"/>
        <v>374.25</v>
      </c>
      <c r="P1498" s="38">
        <f ca="1">IF(ISERROR(IF(O1498&lt;fi_h/20,0,(OFFSET('Base de dados'!$A$5,IF(O1498&lt;20,1,IF(O1498&gt;1000,10,MATCH(O1498,Cargas,1))),Coluna_fih,1,1))*(1+0.13*0.25)*(PI()*(fi_h/1000)^2/4)*SQRT(2*9.81*(O1498/100-fi_h/2/1000))*1000)),"",IF(O1498&lt;fi_h/20,0,(OFFSET('Base de dados'!$A$5,IF(O1498&lt;20,1,IF(O1498&gt;1000,10,MATCH(O1498,Cargas,1))),Coluna_fih,1,1))*(PI()*(fi_h/1000)^2/4)*SQRT(2*9.81*(O1498/100-fi_h/2/1000))*1000))</f>
        <v>5.1662285965207095</v>
      </c>
      <c r="Q1498" s="38">
        <f ca="1">IF(O1498="","",IF(Tipo_Vertedor="Retangular",IF(O1498&lt;=cota_s*100,0,IF(Tipo_Vertedor="Retangular",Cd_sr*Lef_sr*((O1498/100-cota_s)^(3/2))*1000)),IF(O1498&lt;=cota_s*100+fi_s/20,0,(OFFSET('Base de dados'!$A$4,IF(O1498&lt;20,1,IF(O1498&gt;1000,10,MATCH(O1498,Cargas,1))),Coluna_fis,1,1))*(PI()*(fi_s/1000)^2/4)*(2*9.81*(O1498/100-cota_s-fi_s/2/1000))^0.5*1000)))</f>
        <v>4.253421296231088</v>
      </c>
      <c r="R1498" s="38">
        <f t="shared" ca="1" si="205"/>
        <v>9.4196498927517975</v>
      </c>
      <c r="S1498" s="38">
        <f t="shared" ca="1" si="206"/>
        <v>467.8125</v>
      </c>
    </row>
    <row r="1499" spans="13:19">
      <c r="M1499" s="132">
        <f t="shared" ca="1" si="203"/>
        <v>477.54848849877231</v>
      </c>
      <c r="N1499" s="38">
        <f t="shared" si="204"/>
        <v>14.043750000000001</v>
      </c>
      <c r="O1499" s="36">
        <f t="shared" si="202"/>
        <v>374.5</v>
      </c>
      <c r="P1499" s="38">
        <f ca="1">IF(ISERROR(IF(O1499&lt;fi_h/20,0,(OFFSET('Base de dados'!$A$5,IF(O1499&lt;20,1,IF(O1499&gt;1000,10,MATCH(O1499,Cargas,1))),Coluna_fih,1,1))*(1+0.13*0.25)*(PI()*(fi_h/1000)^2/4)*SQRT(2*9.81*(O1499/100-fi_h/2/1000))*1000)),"",IF(O1499&lt;fi_h/20,0,(OFFSET('Base de dados'!$A$5,IF(O1499&lt;20,1,IF(O1499&gt;1000,10,MATCH(O1499,Cargas,1))),Coluna_fih,1,1))*(PI()*(fi_h/1000)^2/4)*SQRT(2*9.81*(O1499/100-fi_h/2/1000))*1000))</f>
        <v>5.1679619860234958</v>
      </c>
      <c r="Q1499" s="38">
        <f ca="1">IF(O1499="","",IF(Tipo_Vertedor="Retangular",IF(O1499&lt;=cota_s*100,0,IF(Tipo_Vertedor="Retangular",Cd_sr*Lef_sr*((O1499/100-cota_s)^(3/2))*1000)),IF(O1499&lt;=cota_s*100+fi_s/20,0,(OFFSET('Base de dados'!$A$4,IF(O1499&lt;20,1,IF(O1499&gt;1000,10,MATCH(O1499,Cargas,1))),Coluna_fis,1,1))*(PI()*(fi_s/1000)^2/4)*(2*9.81*(O1499/100-cota_s-fi_s/2/1000))^0.5*1000)))</f>
        <v>4.2555265127487703</v>
      </c>
      <c r="R1499" s="38">
        <f t="shared" ca="1" si="205"/>
        <v>9.4234884987722651</v>
      </c>
      <c r="S1499" s="38">
        <f t="shared" ca="1" si="206"/>
        <v>468.12500000000006</v>
      </c>
    </row>
    <row r="1500" spans="13:19">
      <c r="M1500" s="132">
        <f t="shared" ca="1" si="203"/>
        <v>477.86482548265082</v>
      </c>
      <c r="N1500" s="38">
        <f t="shared" si="204"/>
        <v>14.053125</v>
      </c>
      <c r="O1500" s="36">
        <f t="shared" si="202"/>
        <v>374.75</v>
      </c>
      <c r="P1500" s="38">
        <f ca="1">IF(ISERROR(IF(O1500&lt;fi_h/20,0,(OFFSET('Base de dados'!$A$5,IF(O1500&lt;20,1,IF(O1500&gt;1000,10,MATCH(O1500,Cargas,1))),Coluna_fih,1,1))*(1+0.13*0.25)*(PI()*(fi_h/1000)^2/4)*SQRT(2*9.81*(O1500/100-fi_h/2/1000))*1000)),"",IF(O1500&lt;fi_h/20,0,(OFFSET('Base de dados'!$A$5,IF(O1500&lt;20,1,IF(O1500&gt;1000,10,MATCH(O1500,Cargas,1))),Coluna_fih,1,1))*(PI()*(fi_h/1000)^2/4)*SQRT(2*9.81*(O1500/100-fi_h/2/1000))*1000))</f>
        <v>5.1696947943238865</v>
      </c>
      <c r="Q1500" s="38">
        <f ca="1">IF(O1500="","",IF(Tipo_Vertedor="Retangular",IF(O1500&lt;=cota_s*100,0,IF(Tipo_Vertedor="Retangular",Cd_sr*Lef_sr*((O1500/100-cota_s)^(3/2))*1000)),IF(O1500&lt;=cota_s*100+fi_s/20,0,(OFFSET('Base de dados'!$A$4,IF(O1500&lt;20,1,IF(O1500&gt;1000,10,MATCH(O1500,Cargas,1))),Coluna_fis,1,1))*(PI()*(fi_s/1000)^2/4)*(2*9.81*(O1500/100-cota_s-fi_s/2/1000))^0.5*1000)))</f>
        <v>4.2576306883269357</v>
      </c>
      <c r="R1500" s="38">
        <f t="shared" ca="1" si="205"/>
        <v>9.4273254826508222</v>
      </c>
      <c r="S1500" s="38">
        <f t="shared" ca="1" si="206"/>
        <v>468.4375</v>
      </c>
    </row>
    <row r="1501" spans="13:19">
      <c r="M1501" s="132">
        <f t="shared" ca="1" si="203"/>
        <v>478.18116084651427</v>
      </c>
      <c r="N1501" s="38">
        <f t="shared" si="204"/>
        <v>14.0625</v>
      </c>
      <c r="O1501" s="36">
        <f t="shared" si="202"/>
        <v>375</v>
      </c>
      <c r="P1501" s="38">
        <f ca="1">IF(ISERROR(IF(O1501&lt;fi_h/20,0,(OFFSET('Base de dados'!$A$5,IF(O1501&lt;20,1,IF(O1501&gt;1000,10,MATCH(O1501,Cargas,1))),Coluna_fih,1,1))*(1+0.13*0.25)*(PI()*(fi_h/1000)^2/4)*SQRT(2*9.81*(O1501/100-fi_h/2/1000))*1000)),"",IF(O1501&lt;fi_h/20,0,(OFFSET('Base de dados'!$A$5,IF(O1501&lt;20,1,IF(O1501&gt;1000,10,MATCH(O1501,Cargas,1))),Coluna_fih,1,1))*(PI()*(fi_h/1000)^2/4)*SQRT(2*9.81*(O1501/100-fi_h/2/1000))*1000))</f>
        <v>5.1714270220061174</v>
      </c>
      <c r="Q1501" s="38">
        <f ca="1">IF(O1501="","",IF(Tipo_Vertedor="Retangular",IF(O1501&lt;=cota_s*100,0,IF(Tipo_Vertedor="Retangular",Cd_sr*Lef_sr*((O1501/100-cota_s)^(3/2))*1000)),IF(O1501&lt;=cota_s*100+fi_s/20,0,(OFFSET('Base de dados'!$A$4,IF(O1501&lt;20,1,IF(O1501&gt;1000,10,MATCH(O1501,Cargas,1))),Coluna_fis,1,1))*(PI()*(fi_s/1000)^2/4)*(2*9.81*(O1501/100-cota_s-fi_s/2/1000))^0.5*1000)))</f>
        <v>4.2597338245081531</v>
      </c>
      <c r="R1501" s="38">
        <f t="shared" ca="1" si="205"/>
        <v>9.4311608465142704</v>
      </c>
      <c r="S1501" s="38">
        <f t="shared" ca="1" si="206"/>
        <v>468.75</v>
      </c>
    </row>
    <row r="1502" spans="13:19">
      <c r="M1502" s="132">
        <f t="shared" ca="1" si="203"/>
        <v>478.49749459248466</v>
      </c>
      <c r="N1502" s="38">
        <f t="shared" si="204"/>
        <v>14.071875</v>
      </c>
      <c r="O1502" s="36">
        <f t="shared" si="202"/>
        <v>375.25</v>
      </c>
      <c r="P1502" s="38">
        <f ca="1">IF(ISERROR(IF(O1502&lt;fi_h/20,0,(OFFSET('Base de dados'!$A$5,IF(O1502&lt;20,1,IF(O1502&gt;1000,10,MATCH(O1502,Cargas,1))),Coluna_fih,1,1))*(1+0.13*0.25)*(PI()*(fi_h/1000)^2/4)*SQRT(2*9.81*(O1502/100-fi_h/2/1000))*1000)),"",IF(O1502&lt;fi_h/20,0,(OFFSET('Base de dados'!$A$5,IF(O1502&lt;20,1,IF(O1502&gt;1000,10,MATCH(O1502,Cargas,1))),Coluna_fih,1,1))*(PI()*(fi_h/1000)^2/4)*SQRT(2*9.81*(O1502/100-fi_h/2/1000))*1000))</f>
        <v>5.1731586696534482</v>
      </c>
      <c r="Q1502" s="38">
        <f ca="1">IF(O1502="","",IF(Tipo_Vertedor="Retangular",IF(O1502&lt;=cota_s*100,0,IF(Tipo_Vertedor="Retangular",Cd_sr*Lef_sr*((O1502/100-cota_s)^(3/2))*1000)),IF(O1502&lt;=cota_s*100+fi_s/20,0,(OFFSET('Base de dados'!$A$4,IF(O1502&lt;20,1,IF(O1502&gt;1000,10,MATCH(O1502,Cargas,1))),Coluna_fis,1,1))*(PI()*(fi_s/1000)^2/4)*(2*9.81*(O1502/100-cota_s-fi_s/2/1000))^0.5*1000)))</f>
        <v>4.2618359228311968</v>
      </c>
      <c r="R1502" s="38">
        <f t="shared" ca="1" si="205"/>
        <v>9.4349945924846459</v>
      </c>
      <c r="S1502" s="38">
        <f t="shared" ca="1" si="206"/>
        <v>469.0625</v>
      </c>
    </row>
    <row r="1503" spans="13:19">
      <c r="M1503" s="132">
        <f t="shared" ca="1" si="203"/>
        <v>478.81382672267915</v>
      </c>
      <c r="N1503" s="38">
        <f t="shared" si="204"/>
        <v>14.081249999999999</v>
      </c>
      <c r="O1503" s="36">
        <f t="shared" si="202"/>
        <v>375.5</v>
      </c>
      <c r="P1503" s="38">
        <f ca="1">IF(ISERROR(IF(O1503&lt;fi_h/20,0,(OFFSET('Base de dados'!$A$5,IF(O1503&lt;20,1,IF(O1503&gt;1000,10,MATCH(O1503,Cargas,1))),Coluna_fih,1,1))*(1+0.13*0.25)*(PI()*(fi_h/1000)^2/4)*SQRT(2*9.81*(O1503/100-fi_h/2/1000))*1000)),"",IF(O1503&lt;fi_h/20,0,(OFFSET('Base de dados'!$A$5,IF(O1503&lt;20,1,IF(O1503&gt;1000,10,MATCH(O1503,Cargas,1))),Coluna_fih,1,1))*(PI()*(fi_h/1000)^2/4)*SQRT(2*9.81*(O1503/100-fi_h/2/1000))*1000))</f>
        <v>5.1748897378481606</v>
      </c>
      <c r="Q1503" s="38">
        <f ca="1">IF(O1503="","",IF(Tipo_Vertedor="Retangular",IF(O1503&lt;=cota_s*100,0,IF(Tipo_Vertedor="Retangular",Cd_sr*Lef_sr*((O1503/100-cota_s)^(3/2))*1000)),IF(O1503&lt;=cota_s*100+fi_s/20,0,(OFFSET('Base de dados'!$A$4,IF(O1503&lt;20,1,IF(O1503&gt;1000,10,MATCH(O1503,Cargas,1))),Coluna_fis,1,1))*(PI()*(fi_s/1000)^2/4)*(2*9.81*(O1503/100-cota_s-fi_s/2/1000))^0.5*1000)))</f>
        <v>4.2639369848310391</v>
      </c>
      <c r="R1503" s="38">
        <f t="shared" ca="1" si="205"/>
        <v>9.4388267226791989</v>
      </c>
      <c r="S1503" s="38">
        <f t="shared" ca="1" si="206"/>
        <v>469.37499999999994</v>
      </c>
    </row>
    <row r="1504" spans="13:19">
      <c r="M1504" s="132">
        <f t="shared" ca="1" si="203"/>
        <v>479.13015723921046</v>
      </c>
      <c r="N1504" s="38">
        <f t="shared" si="204"/>
        <v>14.090624999999999</v>
      </c>
      <c r="O1504" s="36">
        <f t="shared" si="202"/>
        <v>375.75</v>
      </c>
      <c r="P1504" s="38">
        <f ca="1">IF(ISERROR(IF(O1504&lt;fi_h/20,0,(OFFSET('Base de dados'!$A$5,IF(O1504&lt;20,1,IF(O1504&gt;1000,10,MATCH(O1504,Cargas,1))),Coluna_fih,1,1))*(1+0.13*0.25)*(PI()*(fi_h/1000)^2/4)*SQRT(2*9.81*(O1504/100-fi_h/2/1000))*1000)),"",IF(O1504&lt;fi_h/20,0,(OFFSET('Base de dados'!$A$5,IF(O1504&lt;20,1,IF(O1504&gt;1000,10,MATCH(O1504,Cargas,1))),Coluna_fih,1,1))*(PI()*(fi_h/1000)^2/4)*SQRT(2*9.81*(O1504/100-fi_h/2/1000))*1000))</f>
        <v>5.1766202271715649</v>
      </c>
      <c r="Q1504" s="38">
        <f ca="1">IF(O1504="","",IF(Tipo_Vertedor="Retangular",IF(O1504&lt;=cota_s*100,0,IF(Tipo_Vertedor="Retangular",Cd_sr*Lef_sr*((O1504/100-cota_s)^(3/2))*1000)),IF(O1504&lt;=cota_s*100+fi_s/20,0,(OFFSET('Base de dados'!$A$4,IF(O1504&lt;20,1,IF(O1504&gt;1000,10,MATCH(O1504,Cargas,1))),Coluna_fis,1,1))*(PI()*(fi_s/1000)^2/4)*(2*9.81*(O1504/100-cota_s-fi_s/2/1000))^0.5*1000)))</f>
        <v>4.2660370120388773</v>
      </c>
      <c r="R1504" s="38">
        <f t="shared" ca="1" si="205"/>
        <v>9.4426572392104422</v>
      </c>
      <c r="S1504" s="38">
        <f t="shared" ca="1" si="206"/>
        <v>469.6875</v>
      </c>
    </row>
    <row r="1505" spans="13:19">
      <c r="M1505" s="132">
        <f t="shared" ca="1" si="203"/>
        <v>479.44648614418611</v>
      </c>
      <c r="N1505" s="38">
        <f t="shared" si="204"/>
        <v>14.1</v>
      </c>
      <c r="O1505" s="36">
        <f t="shared" si="202"/>
        <v>376</v>
      </c>
      <c r="P1505" s="38">
        <f ca="1">IF(ISERROR(IF(O1505&lt;fi_h/20,0,(OFFSET('Base de dados'!$A$5,IF(O1505&lt;20,1,IF(O1505&gt;1000,10,MATCH(O1505,Cargas,1))),Coluna_fih,1,1))*(1+0.13*0.25)*(PI()*(fi_h/1000)^2/4)*SQRT(2*9.81*(O1505/100-fi_h/2/1000))*1000)),"",IF(O1505&lt;fi_h/20,0,(OFFSET('Base de dados'!$A$5,IF(O1505&lt;20,1,IF(O1505&gt;1000,10,MATCH(O1505,Cargas,1))),Coluna_fih,1,1))*(PI()*(fi_h/1000)^2/4)*SQRT(2*9.81*(O1505/100-fi_h/2/1000))*1000))</f>
        <v>5.1783501382039976</v>
      </c>
      <c r="Q1505" s="38">
        <f ca="1">IF(O1505="","",IF(Tipo_Vertedor="Retangular",IF(O1505&lt;=cota_s*100,0,IF(Tipo_Vertedor="Retangular",Cd_sr*Lef_sr*((O1505/100-cota_s)^(3/2))*1000)),IF(O1505&lt;=cota_s*100+fi_s/20,0,(OFFSET('Base de dados'!$A$4,IF(O1505&lt;20,1,IF(O1505&gt;1000,10,MATCH(O1505,Cargas,1))),Coluna_fis,1,1))*(PI()*(fi_s/1000)^2/4)*(2*9.81*(O1505/100-cota_s-fi_s/2/1000))^0.5*1000)))</f>
        <v>4.2681360059821385</v>
      </c>
      <c r="R1505" s="38">
        <f t="shared" ca="1" si="205"/>
        <v>9.4464861441861352</v>
      </c>
      <c r="S1505" s="38">
        <f t="shared" ca="1" si="206"/>
        <v>470</v>
      </c>
    </row>
    <row r="1506" spans="13:19">
      <c r="M1506" s="132">
        <f t="shared" ca="1" si="203"/>
        <v>479.7628134397093</v>
      </c>
      <c r="N1506" s="38">
        <f t="shared" si="204"/>
        <v>14.109375</v>
      </c>
      <c r="O1506" s="36">
        <f t="shared" si="202"/>
        <v>376.25</v>
      </c>
      <c r="P1506" s="38">
        <f ca="1">IF(ISERROR(IF(O1506&lt;fi_h/20,0,(OFFSET('Base de dados'!$A$5,IF(O1506&lt;20,1,IF(O1506&gt;1000,10,MATCH(O1506,Cargas,1))),Coluna_fih,1,1))*(1+0.13*0.25)*(PI()*(fi_h/1000)^2/4)*SQRT(2*9.81*(O1506/100-fi_h/2/1000))*1000)),"",IF(O1506&lt;fi_h/20,0,(OFFSET('Base de dados'!$A$5,IF(O1506&lt;20,1,IF(O1506&gt;1000,10,MATCH(O1506,Cargas,1))),Coluna_fih,1,1))*(PI()*(fi_h/1000)^2/4)*SQRT(2*9.81*(O1506/100-fi_h/2/1000))*1000))</f>
        <v>5.1800794715248282</v>
      </c>
      <c r="Q1506" s="38">
        <f ca="1">IF(O1506="","",IF(Tipo_Vertedor="Retangular",IF(O1506&lt;=cota_s*100,0,IF(Tipo_Vertedor="Retangular",Cd_sr*Lef_sr*((O1506/100-cota_s)^(3/2))*1000)),IF(O1506&lt;=cota_s*100+fi_s/20,0,(OFFSET('Base de dados'!$A$4,IF(O1506&lt;20,1,IF(O1506&gt;1000,10,MATCH(O1506,Cargas,1))),Coluna_fis,1,1))*(PI()*(fi_s/1000)^2/4)*(2*9.81*(O1506/100-cota_s-fi_s/2/1000))^0.5*1000)))</f>
        <v>4.2702339681845007</v>
      </c>
      <c r="R1506" s="38">
        <f t="shared" ca="1" si="205"/>
        <v>9.4503134397093298</v>
      </c>
      <c r="S1506" s="38">
        <f t="shared" ca="1" si="206"/>
        <v>470.3125</v>
      </c>
    </row>
    <row r="1507" spans="13:19">
      <c r="M1507" s="132">
        <f t="shared" ca="1" si="203"/>
        <v>480.07913912787836</v>
      </c>
      <c r="N1507" s="38">
        <f t="shared" si="204"/>
        <v>14.11875</v>
      </c>
      <c r="O1507" s="36">
        <f t="shared" si="202"/>
        <v>376.5</v>
      </c>
      <c r="P1507" s="38">
        <f ca="1">IF(ISERROR(IF(O1507&lt;fi_h/20,0,(OFFSET('Base de dados'!$A$5,IF(O1507&lt;20,1,IF(O1507&gt;1000,10,MATCH(O1507,Cargas,1))),Coluna_fih,1,1))*(1+0.13*0.25)*(PI()*(fi_h/1000)^2/4)*SQRT(2*9.81*(O1507/100-fi_h/2/1000))*1000)),"",IF(O1507&lt;fi_h/20,0,(OFFSET('Base de dados'!$A$5,IF(O1507&lt;20,1,IF(O1507&gt;1000,10,MATCH(O1507,Cargas,1))),Coluna_fih,1,1))*(PI()*(fi_h/1000)^2/4)*SQRT(2*9.81*(O1507/100-fi_h/2/1000))*1000))</f>
        <v>5.1818082277124562</v>
      </c>
      <c r="Q1507" s="38">
        <f ca="1">IF(O1507="","",IF(Tipo_Vertedor="Retangular",IF(O1507&lt;=cota_s*100,0,IF(Tipo_Vertedor="Retangular",Cd_sr*Lef_sr*((O1507/100-cota_s)^(3/2))*1000)),IF(O1507&lt;=cota_s*100+fi_s/20,0,(OFFSET('Base de dados'!$A$4,IF(O1507&lt;20,1,IF(O1507&gt;1000,10,MATCH(O1507,Cargas,1))),Coluna_fis,1,1))*(PI()*(fi_s/1000)^2/4)*(2*9.81*(O1507/100-cota_s-fi_s/2/1000))^0.5*1000)))</f>
        <v>4.2723309001658949</v>
      </c>
      <c r="R1507" s="38">
        <f t="shared" ca="1" si="205"/>
        <v>9.4541391278783511</v>
      </c>
      <c r="S1507" s="38">
        <f t="shared" ca="1" si="206"/>
        <v>470.625</v>
      </c>
    </row>
    <row r="1508" spans="13:19">
      <c r="M1508" s="132">
        <f t="shared" ca="1" si="203"/>
        <v>480.39546321078683</v>
      </c>
      <c r="N1508" s="38">
        <f t="shared" si="204"/>
        <v>14.128125000000001</v>
      </c>
      <c r="O1508" s="36">
        <f t="shared" si="202"/>
        <v>376.75</v>
      </c>
      <c r="P1508" s="38">
        <f ca="1">IF(ISERROR(IF(O1508&lt;fi_h/20,0,(OFFSET('Base de dados'!$A$5,IF(O1508&lt;20,1,IF(O1508&gt;1000,10,MATCH(O1508,Cargas,1))),Coluna_fih,1,1))*(1+0.13*0.25)*(PI()*(fi_h/1000)^2/4)*SQRT(2*9.81*(O1508/100-fi_h/2/1000))*1000)),"",IF(O1508&lt;fi_h/20,0,(OFFSET('Base de dados'!$A$5,IF(O1508&lt;20,1,IF(O1508&gt;1000,10,MATCH(O1508,Cargas,1))),Coluna_fih,1,1))*(PI()*(fi_h/1000)^2/4)*SQRT(2*9.81*(O1508/100-fi_h/2/1000))*1000))</f>
        <v>5.183536407344322</v>
      </c>
      <c r="Q1508" s="38">
        <f ca="1">IF(O1508="","",IF(Tipo_Vertedor="Retangular",IF(O1508&lt;=cota_s*100,0,IF(Tipo_Vertedor="Retangular",Cd_sr*Lef_sr*((O1508/100-cota_s)^(3/2))*1000)),IF(O1508&lt;=cota_s*100+fi_s/20,0,(OFFSET('Base de dados'!$A$4,IF(O1508&lt;20,1,IF(O1508&gt;1000,10,MATCH(O1508,Cargas,1))),Coluna_fis,1,1))*(PI()*(fi_s/1000)^2/4)*(2*9.81*(O1508/100-cota_s-fi_s/2/1000))^0.5*1000)))</f>
        <v>4.2744268034425268</v>
      </c>
      <c r="R1508" s="38">
        <f t="shared" ca="1" si="205"/>
        <v>9.4579632107868488</v>
      </c>
      <c r="S1508" s="38">
        <f t="shared" ca="1" si="206"/>
        <v>470.9375</v>
      </c>
    </row>
    <row r="1509" spans="13:19">
      <c r="M1509" s="132">
        <f t="shared" ca="1" si="203"/>
        <v>480.71178569052381</v>
      </c>
      <c r="N1509" s="38">
        <f t="shared" si="204"/>
        <v>14.137499999999999</v>
      </c>
      <c r="O1509" s="36">
        <f t="shared" si="202"/>
        <v>377</v>
      </c>
      <c r="P1509" s="38">
        <f ca="1">IF(ISERROR(IF(O1509&lt;fi_h/20,0,(OFFSET('Base de dados'!$A$5,IF(O1509&lt;20,1,IF(O1509&gt;1000,10,MATCH(O1509,Cargas,1))),Coluna_fih,1,1))*(1+0.13*0.25)*(PI()*(fi_h/1000)^2/4)*SQRT(2*9.81*(O1509/100-fi_h/2/1000))*1000)),"",IF(O1509&lt;fi_h/20,0,(OFFSET('Base de dados'!$A$5,IF(O1509&lt;20,1,IF(O1509&gt;1000,10,MATCH(O1509,Cargas,1))),Coluna_fih,1,1))*(PI()*(fi_h/1000)^2/4)*SQRT(2*9.81*(O1509/100-fi_h/2/1000))*1000))</f>
        <v>5.1852640109969004</v>
      </c>
      <c r="Q1509" s="38">
        <f ca="1">IF(O1509="","",IF(Tipo_Vertedor="Retangular",IF(O1509&lt;=cota_s*100,0,IF(Tipo_Vertedor="Retangular",Cd_sr*Lef_sr*((O1509/100-cota_s)^(3/2))*1000)),IF(O1509&lt;=cota_s*100+fi_s/20,0,(OFFSET('Base de dados'!$A$4,IF(O1509&lt;20,1,IF(O1509&gt;1000,10,MATCH(O1509,Cargas,1))),Coluna_fis,1,1))*(PI()*(fi_s/1000)^2/4)*(2*9.81*(O1509/100-cota_s-fi_s/2/1000))^0.5*1000)))</f>
        <v>4.276521679526887</v>
      </c>
      <c r="R1509" s="38">
        <f t="shared" ca="1" si="205"/>
        <v>9.4617856905237865</v>
      </c>
      <c r="S1509" s="38">
        <f t="shared" ca="1" si="206"/>
        <v>471.25</v>
      </c>
    </row>
    <row r="1510" spans="13:19">
      <c r="M1510" s="132">
        <f t="shared" ca="1" si="203"/>
        <v>481.02810656917347</v>
      </c>
      <c r="N1510" s="38">
        <f t="shared" si="204"/>
        <v>14.146875</v>
      </c>
      <c r="O1510" s="36">
        <f t="shared" si="202"/>
        <v>377.25</v>
      </c>
      <c r="P1510" s="38">
        <f ca="1">IF(ISERROR(IF(O1510&lt;fi_h/20,0,(OFFSET('Base de dados'!$A$5,IF(O1510&lt;20,1,IF(O1510&gt;1000,10,MATCH(O1510,Cargas,1))),Coluna_fih,1,1))*(1+0.13*0.25)*(PI()*(fi_h/1000)^2/4)*SQRT(2*9.81*(O1510/100-fi_h/2/1000))*1000)),"",IF(O1510&lt;fi_h/20,0,(OFFSET('Base de dados'!$A$5,IF(O1510&lt;20,1,IF(O1510&gt;1000,10,MATCH(O1510,Cargas,1))),Coluna_fih,1,1))*(PI()*(fi_h/1000)^2/4)*SQRT(2*9.81*(O1510/100-fi_h/2/1000))*1000))</f>
        <v>5.1869910392457053</v>
      </c>
      <c r="Q1510" s="38">
        <f ca="1">IF(O1510="","",IF(Tipo_Vertedor="Retangular",IF(O1510&lt;=cota_s*100,0,IF(Tipo_Vertedor="Retangular",Cd_sr*Lef_sr*((O1510/100-cota_s)^(3/2))*1000)),IF(O1510&lt;=cota_s*100+fi_s/20,0,(OFFSET('Base de dados'!$A$4,IF(O1510&lt;20,1,IF(O1510&gt;1000,10,MATCH(O1510,Cargas,1))),Coluna_fis,1,1))*(PI()*(fi_s/1000)^2/4)*(2*9.81*(O1510/100-cota_s-fi_s/2/1000))^0.5*1000)))</f>
        <v>4.2786155299277642</v>
      </c>
      <c r="R1510" s="38">
        <f t="shared" ca="1" si="205"/>
        <v>9.4656065691734703</v>
      </c>
      <c r="S1510" s="38">
        <f t="shared" ca="1" si="206"/>
        <v>471.5625</v>
      </c>
    </row>
    <row r="1511" spans="13:19">
      <c r="M1511" s="132">
        <f t="shared" ca="1" si="203"/>
        <v>481.34442584881555</v>
      </c>
      <c r="N1511" s="38">
        <f t="shared" si="204"/>
        <v>14.15625</v>
      </c>
      <c r="O1511" s="36">
        <f t="shared" si="202"/>
        <v>377.5</v>
      </c>
      <c r="P1511" s="38">
        <f ca="1">IF(ISERROR(IF(O1511&lt;fi_h/20,0,(OFFSET('Base de dados'!$A$5,IF(O1511&lt;20,1,IF(O1511&gt;1000,10,MATCH(O1511,Cargas,1))),Coluna_fih,1,1))*(1+0.13*0.25)*(PI()*(fi_h/1000)^2/4)*SQRT(2*9.81*(O1511/100-fi_h/2/1000))*1000)),"",IF(O1511&lt;fi_h/20,0,(OFFSET('Base de dados'!$A$5,IF(O1511&lt;20,1,IF(O1511&gt;1000,10,MATCH(O1511,Cargas,1))),Coluna_fih,1,1))*(PI()*(fi_h/1000)^2/4)*SQRT(2*9.81*(O1511/100-fi_h/2/1000))*1000))</f>
        <v>5.1887174926652939</v>
      </c>
      <c r="Q1511" s="38">
        <f ca="1">IF(O1511="","",IF(Tipo_Vertedor="Retangular",IF(O1511&lt;=cota_s*100,0,IF(Tipo_Vertedor="Retangular",Cd_sr*Lef_sr*((O1511/100-cota_s)^(3/2))*1000)),IF(O1511&lt;=cota_s*100+fi_s/20,0,(OFFSET('Base de dados'!$A$4,IF(O1511&lt;20,1,IF(O1511&gt;1000,10,MATCH(O1511,Cargas,1))),Coluna_fis,1,1))*(PI()*(fi_s/1000)^2/4)*(2*9.81*(O1511/100-cota_s-fi_s/2/1000))^0.5*1000)))</f>
        <v>4.2807083561502557</v>
      </c>
      <c r="R1511" s="38">
        <f t="shared" ca="1" si="205"/>
        <v>9.4694258488155505</v>
      </c>
      <c r="S1511" s="38">
        <f t="shared" ca="1" si="206"/>
        <v>471.875</v>
      </c>
    </row>
    <row r="1512" spans="13:19">
      <c r="M1512" s="132">
        <f t="shared" ca="1" si="203"/>
        <v>481.66074353152499</v>
      </c>
      <c r="N1512" s="38">
        <f t="shared" si="204"/>
        <v>14.165624999999999</v>
      </c>
      <c r="O1512" s="36">
        <f t="shared" si="202"/>
        <v>377.75</v>
      </c>
      <c r="P1512" s="38">
        <f ca="1">IF(ISERROR(IF(O1512&lt;fi_h/20,0,(OFFSET('Base de dados'!$A$5,IF(O1512&lt;20,1,IF(O1512&gt;1000,10,MATCH(O1512,Cargas,1))),Coluna_fih,1,1))*(1+0.13*0.25)*(PI()*(fi_h/1000)^2/4)*SQRT(2*9.81*(O1512/100-fi_h/2/1000))*1000)),"",IF(O1512&lt;fi_h/20,0,(OFFSET('Base de dados'!$A$5,IF(O1512&lt;20,1,IF(O1512&gt;1000,10,MATCH(O1512,Cargas,1))),Coluna_fih,1,1))*(PI()*(fi_h/1000)^2/4)*SQRT(2*9.81*(O1512/100-fi_h/2/1000))*1000))</f>
        <v>5.1904433718292688</v>
      </c>
      <c r="Q1512" s="38">
        <f ca="1">IF(O1512="","",IF(Tipo_Vertedor="Retangular",IF(O1512&lt;=cota_s*100,0,IF(Tipo_Vertedor="Retangular",Cd_sr*Lef_sr*((O1512/100-cota_s)^(3/2))*1000)),IF(O1512&lt;=cota_s*100+fi_s/20,0,(OFFSET('Base de dados'!$A$4,IF(O1512&lt;20,1,IF(O1512&gt;1000,10,MATCH(O1512,Cargas,1))),Coluna_fis,1,1))*(PI()*(fi_s/1000)^2/4)*(2*9.81*(O1512/100-cota_s-fi_s/2/1000))^0.5*1000)))</f>
        <v>4.2828001596957792</v>
      </c>
      <c r="R1512" s="38">
        <f t="shared" ca="1" si="205"/>
        <v>9.4732435315250481</v>
      </c>
      <c r="S1512" s="38">
        <f t="shared" ca="1" si="206"/>
        <v>472.18749999999994</v>
      </c>
    </row>
    <row r="1513" spans="13:19">
      <c r="M1513" s="132">
        <f t="shared" ca="1" si="203"/>
        <v>481.97705961937231</v>
      </c>
      <c r="N1513" s="38">
        <f t="shared" si="204"/>
        <v>14.174999999999999</v>
      </c>
      <c r="O1513" s="36">
        <f t="shared" si="202"/>
        <v>378</v>
      </c>
      <c r="P1513" s="38">
        <f ca="1">IF(ISERROR(IF(O1513&lt;fi_h/20,0,(OFFSET('Base de dados'!$A$5,IF(O1513&lt;20,1,IF(O1513&gt;1000,10,MATCH(O1513,Cargas,1))),Coluna_fih,1,1))*(1+0.13*0.25)*(PI()*(fi_h/1000)^2/4)*SQRT(2*9.81*(O1513/100-fi_h/2/1000))*1000)),"",IF(O1513&lt;fi_h/20,0,(OFFSET('Base de dados'!$A$5,IF(O1513&lt;20,1,IF(O1513&gt;1000,10,MATCH(O1513,Cargas,1))),Coluna_fih,1,1))*(PI()*(fi_h/1000)^2/4)*SQRT(2*9.81*(O1513/100-fi_h/2/1000))*1000))</f>
        <v>5.1921686773102786</v>
      </c>
      <c r="Q1513" s="38">
        <f ca="1">IF(O1513="","",IF(Tipo_Vertedor="Retangular",IF(O1513&lt;=cota_s*100,0,IF(Tipo_Vertedor="Retangular",Cd_sr*Lef_sr*((O1513/100-cota_s)^(3/2))*1000)),IF(O1513&lt;=cota_s*100+fi_s/20,0,(OFFSET('Base de dados'!$A$4,IF(O1513&lt;20,1,IF(O1513&gt;1000,10,MATCH(O1513,Cargas,1))),Coluna_fis,1,1))*(PI()*(fi_s/1000)^2/4)*(2*9.81*(O1513/100-cota_s-fi_s/2/1000))^0.5*1000)))</f>
        <v>4.2848909420620931</v>
      </c>
      <c r="R1513" s="38">
        <f t="shared" ca="1" si="205"/>
        <v>9.4770596193723726</v>
      </c>
      <c r="S1513" s="38">
        <f t="shared" ca="1" si="206"/>
        <v>472.49999999999994</v>
      </c>
    </row>
    <row r="1514" spans="13:19">
      <c r="M1514" s="132">
        <f t="shared" ca="1" si="203"/>
        <v>482.29337411442339</v>
      </c>
      <c r="N1514" s="38">
        <f t="shared" si="204"/>
        <v>14.184375000000001</v>
      </c>
      <c r="O1514" s="36">
        <f t="shared" si="202"/>
        <v>378.25</v>
      </c>
      <c r="P1514" s="38">
        <f ca="1">IF(ISERROR(IF(O1514&lt;fi_h/20,0,(OFFSET('Base de dados'!$A$5,IF(O1514&lt;20,1,IF(O1514&gt;1000,10,MATCH(O1514,Cargas,1))),Coluna_fih,1,1))*(1+0.13*0.25)*(PI()*(fi_h/1000)^2/4)*SQRT(2*9.81*(O1514/100-fi_h/2/1000))*1000)),"",IF(O1514&lt;fi_h/20,0,(OFFSET('Base de dados'!$A$5,IF(O1514&lt;20,1,IF(O1514&gt;1000,10,MATCH(O1514,Cargas,1))),Coluna_fih,1,1))*(PI()*(fi_h/1000)^2/4)*SQRT(2*9.81*(O1514/100-fi_h/2/1000))*1000))</f>
        <v>5.1938934096800198</v>
      </c>
      <c r="Q1514" s="38">
        <f ca="1">IF(O1514="","",IF(Tipo_Vertedor="Retangular",IF(O1514&lt;=cota_s*100,0,IF(Tipo_Vertedor="Retangular",Cd_sr*Lef_sr*((O1514/100-cota_s)^(3/2))*1000)),IF(O1514&lt;=cota_s*100+fi_s/20,0,(OFFSET('Base de dados'!$A$4,IF(O1514&lt;20,1,IF(O1514&gt;1000,10,MATCH(O1514,Cargas,1))),Coluna_fis,1,1))*(PI()*(fi_s/1000)^2/4)*(2*9.81*(O1514/100-cota_s-fi_s/2/1000))^0.5*1000)))</f>
        <v>4.2869807047432982</v>
      </c>
      <c r="R1514" s="38">
        <f t="shared" ca="1" si="205"/>
        <v>9.4808741144233188</v>
      </c>
      <c r="S1514" s="38">
        <f t="shared" ca="1" si="206"/>
        <v>472.81250000000006</v>
      </c>
    </row>
    <row r="1515" spans="13:19">
      <c r="M1515" s="132">
        <f t="shared" ca="1" si="203"/>
        <v>482.60968701873918</v>
      </c>
      <c r="N1515" s="38">
        <f t="shared" si="204"/>
        <v>14.193750000000001</v>
      </c>
      <c r="O1515" s="36">
        <f t="shared" si="202"/>
        <v>378.5</v>
      </c>
      <c r="P1515" s="38">
        <f ca="1">IF(ISERROR(IF(O1515&lt;fi_h/20,0,(OFFSET('Base de dados'!$A$5,IF(O1515&lt;20,1,IF(O1515&gt;1000,10,MATCH(O1515,Cargas,1))),Coluna_fih,1,1))*(1+0.13*0.25)*(PI()*(fi_h/1000)^2/4)*SQRT(2*9.81*(O1515/100-fi_h/2/1000))*1000)),"",IF(O1515&lt;fi_h/20,0,(OFFSET('Base de dados'!$A$5,IF(O1515&lt;20,1,IF(O1515&gt;1000,10,MATCH(O1515,Cargas,1))),Coluna_fih,1,1))*(PI()*(fi_h/1000)^2/4)*SQRT(2*9.81*(O1515/100-fi_h/2/1000))*1000))</f>
        <v>5.195617569509241</v>
      </c>
      <c r="Q1515" s="38">
        <f ca="1">IF(O1515="","",IF(Tipo_Vertedor="Retangular",IF(O1515&lt;=cota_s*100,0,IF(Tipo_Vertedor="Retangular",Cd_sr*Lef_sr*((O1515/100-cota_s)^(3/2))*1000)),IF(O1515&lt;=cota_s*100+fi_s/20,0,(OFFSET('Base de dados'!$A$4,IF(O1515&lt;20,1,IF(O1515&gt;1000,10,MATCH(O1515,Cargas,1))),Coluna_fis,1,1))*(PI()*(fi_s/1000)^2/4)*(2*9.81*(O1515/100-cota_s-fi_s/2/1000))^0.5*1000)))</f>
        <v>4.2890694492298582</v>
      </c>
      <c r="R1515" s="38">
        <f t="shared" ca="1" si="205"/>
        <v>9.4846870187390984</v>
      </c>
      <c r="S1515" s="38">
        <f t="shared" ca="1" si="206"/>
        <v>473.12500000000006</v>
      </c>
    </row>
    <row r="1516" spans="13:19">
      <c r="M1516" s="132">
        <f t="shared" ca="1" si="203"/>
        <v>482.92599833437635</v>
      </c>
      <c r="N1516" s="38">
        <f t="shared" si="204"/>
        <v>14.203125</v>
      </c>
      <c r="O1516" s="36">
        <f t="shared" si="202"/>
        <v>378.75</v>
      </c>
      <c r="P1516" s="38">
        <f ca="1">IF(ISERROR(IF(O1516&lt;fi_h/20,0,(OFFSET('Base de dados'!$A$5,IF(O1516&lt;20,1,IF(O1516&gt;1000,10,MATCH(O1516,Cargas,1))),Coluna_fih,1,1))*(1+0.13*0.25)*(PI()*(fi_h/1000)^2/4)*SQRT(2*9.81*(O1516/100-fi_h/2/1000))*1000)),"",IF(O1516&lt;fi_h/20,0,(OFFSET('Base de dados'!$A$5,IF(O1516&lt;20,1,IF(O1516&gt;1000,10,MATCH(O1516,Cargas,1))),Coluna_fih,1,1))*(PI()*(fi_h/1000)^2/4)*SQRT(2*9.81*(O1516/100-fi_h/2/1000))*1000))</f>
        <v>5.1973411573677444</v>
      </c>
      <c r="Q1516" s="38">
        <f ca="1">IF(O1516="","",IF(Tipo_Vertedor="Retangular",IF(O1516&lt;=cota_s*100,0,IF(Tipo_Vertedor="Retangular",Cd_sr*Lef_sr*((O1516/100-cota_s)^(3/2))*1000)),IF(O1516&lt;=cota_s*100+fi_s/20,0,(OFFSET('Base de dados'!$A$4,IF(O1516&lt;20,1,IF(O1516&gt;1000,10,MATCH(O1516,Cargas,1))),Coluna_fis,1,1))*(PI()*(fi_s/1000)^2/4)*(2*9.81*(O1516/100-cota_s-fi_s/2/1000))^0.5*1000)))</f>
        <v>4.2911571770086097</v>
      </c>
      <c r="R1516" s="38">
        <f t="shared" ca="1" si="205"/>
        <v>9.488498334376354</v>
      </c>
      <c r="S1516" s="38">
        <f t="shared" ca="1" si="206"/>
        <v>473.4375</v>
      </c>
    </row>
    <row r="1517" spans="13:19">
      <c r="M1517" s="132">
        <f t="shared" ca="1" si="203"/>
        <v>483.24230806338716</v>
      </c>
      <c r="N1517" s="38">
        <f t="shared" si="204"/>
        <v>14.2125</v>
      </c>
      <c r="O1517" s="36">
        <f t="shared" si="202"/>
        <v>379</v>
      </c>
      <c r="P1517" s="38">
        <f ca="1">IF(ISERROR(IF(O1517&lt;fi_h/20,0,(OFFSET('Base de dados'!$A$5,IF(O1517&lt;20,1,IF(O1517&gt;1000,10,MATCH(O1517,Cargas,1))),Coluna_fih,1,1))*(1+0.13*0.25)*(PI()*(fi_h/1000)^2/4)*SQRT(2*9.81*(O1517/100-fi_h/2/1000))*1000)),"",IF(O1517&lt;fi_h/20,0,(OFFSET('Base de dados'!$A$5,IF(O1517&lt;20,1,IF(O1517&gt;1000,10,MATCH(O1517,Cargas,1))),Coluna_fih,1,1))*(PI()*(fi_h/1000)^2/4)*SQRT(2*9.81*(O1517/100-fi_h/2/1000))*1000))</f>
        <v>5.1990641738243877</v>
      </c>
      <c r="Q1517" s="38">
        <f ca="1">IF(O1517="","",IF(Tipo_Vertedor="Retangular",IF(O1517&lt;=cota_s*100,0,IF(Tipo_Vertedor="Retangular",Cd_sr*Lef_sr*((O1517/100-cota_s)^(3/2))*1000)),IF(O1517&lt;=cota_s*100+fi_s/20,0,(OFFSET('Base de dados'!$A$4,IF(O1517&lt;20,1,IF(O1517&gt;1000,10,MATCH(O1517,Cargas,1))),Coluna_fis,1,1))*(PI()*(fi_s/1000)^2/4)*(2*9.81*(O1517/100-cota_s-fi_s/2/1000))^0.5*1000)))</f>
        <v>4.2932438895627714</v>
      </c>
      <c r="R1517" s="38">
        <f t="shared" ca="1" si="205"/>
        <v>9.4923080633871599</v>
      </c>
      <c r="S1517" s="38">
        <f t="shared" ca="1" si="206"/>
        <v>473.75</v>
      </c>
    </row>
    <row r="1518" spans="13:19">
      <c r="M1518" s="132">
        <f t="shared" ca="1" si="203"/>
        <v>483.55861620781906</v>
      </c>
      <c r="N1518" s="38">
        <f t="shared" si="204"/>
        <v>14.221875000000001</v>
      </c>
      <c r="O1518" s="36">
        <f t="shared" si="202"/>
        <v>379.25</v>
      </c>
      <c r="P1518" s="38">
        <f ca="1">IF(ISERROR(IF(O1518&lt;fi_h/20,0,(OFFSET('Base de dados'!$A$5,IF(O1518&lt;20,1,IF(O1518&gt;1000,10,MATCH(O1518,Cargas,1))),Coluna_fih,1,1))*(1+0.13*0.25)*(PI()*(fi_h/1000)^2/4)*SQRT(2*9.81*(O1518/100-fi_h/2/1000))*1000)),"",IF(O1518&lt;fi_h/20,0,(OFFSET('Base de dados'!$A$5,IF(O1518&lt;20,1,IF(O1518&gt;1000,10,MATCH(O1518,Cargas,1))),Coluna_fih,1,1))*(PI()*(fi_h/1000)^2/4)*SQRT(2*9.81*(O1518/100-fi_h/2/1000))*1000))</f>
        <v>5.2007866194470855</v>
      </c>
      <c r="Q1518" s="38">
        <f ca="1">IF(O1518="","",IF(Tipo_Vertedor="Retangular",IF(O1518&lt;=cota_s*100,0,IF(Tipo_Vertedor="Retangular",Cd_sr*Lef_sr*((O1518/100-cota_s)^(3/2))*1000)),IF(O1518&lt;=cota_s*100+fi_s/20,0,(OFFSET('Base de dados'!$A$4,IF(O1518&lt;20,1,IF(O1518&gt;1000,10,MATCH(O1518,Cargas,1))),Coluna_fis,1,1))*(PI()*(fi_s/1000)^2/4)*(2*9.81*(O1518/100-cota_s-fi_s/2/1000))^0.5*1000)))</f>
        <v>4.2953295883719615</v>
      </c>
      <c r="R1518" s="38">
        <f t="shared" ca="1" si="205"/>
        <v>9.4961162078190462</v>
      </c>
      <c r="S1518" s="38">
        <f t="shared" ca="1" si="206"/>
        <v>474.0625</v>
      </c>
    </row>
    <row r="1519" spans="13:19">
      <c r="M1519" s="132">
        <f t="shared" ca="1" si="203"/>
        <v>483.874922769715</v>
      </c>
      <c r="N1519" s="38">
        <f t="shared" si="204"/>
        <v>14.231249999999999</v>
      </c>
      <c r="O1519" s="36">
        <f t="shared" si="202"/>
        <v>379.5</v>
      </c>
      <c r="P1519" s="38">
        <f ca="1">IF(ISERROR(IF(O1519&lt;fi_h/20,0,(OFFSET('Base de dados'!$A$5,IF(O1519&lt;20,1,IF(O1519&gt;1000,10,MATCH(O1519,Cargas,1))),Coluna_fih,1,1))*(1+0.13*0.25)*(PI()*(fi_h/1000)^2/4)*SQRT(2*9.81*(O1519/100-fi_h/2/1000))*1000)),"",IF(O1519&lt;fi_h/20,0,(OFFSET('Base de dados'!$A$5,IF(O1519&lt;20,1,IF(O1519&gt;1000,10,MATCH(O1519,Cargas,1))),Coluna_fih,1,1))*(PI()*(fi_h/1000)^2/4)*SQRT(2*9.81*(O1519/100-fi_h/2/1000))*1000))</f>
        <v>5.202508494802812</v>
      </c>
      <c r="Q1519" s="38">
        <f ca="1">IF(O1519="","",IF(Tipo_Vertedor="Retangular",IF(O1519&lt;=cota_s*100,0,IF(Tipo_Vertedor="Retangular",Cd_sr*Lef_sr*((O1519/100-cota_s)^(3/2))*1000)),IF(O1519&lt;=cota_s*100+fi_s/20,0,(OFFSET('Base de dados'!$A$4,IF(O1519&lt;20,1,IF(O1519&gt;1000,10,MATCH(O1519,Cargas,1))),Coluna_fis,1,1))*(PI()*(fi_s/1000)^2/4)*(2*9.81*(O1519/100-cota_s-fi_s/2/1000))^0.5*1000)))</f>
        <v>4.2974142749122084</v>
      </c>
      <c r="R1519" s="38">
        <f t="shared" ca="1" si="205"/>
        <v>9.4999227697150204</v>
      </c>
      <c r="S1519" s="38">
        <f t="shared" ca="1" si="206"/>
        <v>474.375</v>
      </c>
    </row>
    <row r="1520" spans="13:19">
      <c r="M1520" s="132">
        <f t="shared" ca="1" si="203"/>
        <v>484.19122775111356</v>
      </c>
      <c r="N1520" s="38">
        <f t="shared" si="204"/>
        <v>14.240625</v>
      </c>
      <c r="O1520" s="36">
        <f t="shared" si="202"/>
        <v>379.75</v>
      </c>
      <c r="P1520" s="38">
        <f ca="1">IF(ISERROR(IF(O1520&lt;fi_h/20,0,(OFFSET('Base de dados'!$A$5,IF(O1520&lt;20,1,IF(O1520&gt;1000,10,MATCH(O1520,Cargas,1))),Coluna_fih,1,1))*(1+0.13*0.25)*(PI()*(fi_h/1000)^2/4)*SQRT(2*9.81*(O1520/100-fi_h/2/1000))*1000)),"",IF(O1520&lt;fi_h/20,0,(OFFSET('Base de dados'!$A$5,IF(O1520&lt;20,1,IF(O1520&gt;1000,10,MATCH(O1520,Cargas,1))),Coluna_fih,1,1))*(PI()*(fi_h/1000)^2/4)*SQRT(2*9.81*(O1520/100-fi_h/2/1000))*1000))</f>
        <v>5.204229800457604</v>
      </c>
      <c r="Q1520" s="38">
        <f ca="1">IF(O1520="","",IF(Tipo_Vertedor="Retangular",IF(O1520&lt;=cota_s*100,0,IF(Tipo_Vertedor="Retangular",Cd_sr*Lef_sr*((O1520/100-cota_s)^(3/2))*1000)),IF(O1520&lt;=cota_s*100+fi_s/20,0,(OFFSET('Base de dados'!$A$4,IF(O1520&lt;20,1,IF(O1520&gt;1000,10,MATCH(O1520,Cargas,1))),Coluna_fis,1,1))*(PI()*(fi_s/1000)^2/4)*(2*9.81*(O1520/100-cota_s-fi_s/2/1000))^0.5*1000)))</f>
        <v>4.2994979506559599</v>
      </c>
      <c r="R1520" s="38">
        <f t="shared" ca="1" si="205"/>
        <v>9.5037277511135638</v>
      </c>
      <c r="S1520" s="38">
        <f t="shared" ca="1" si="206"/>
        <v>474.6875</v>
      </c>
    </row>
    <row r="1521" spans="13:19">
      <c r="M1521" s="132">
        <f t="shared" ca="1" si="203"/>
        <v>484.50753115404865</v>
      </c>
      <c r="N1521" s="38">
        <f t="shared" si="204"/>
        <v>14.25</v>
      </c>
      <c r="O1521" s="36">
        <f t="shared" si="202"/>
        <v>380</v>
      </c>
      <c r="P1521" s="38">
        <f ca="1">IF(ISERROR(IF(O1521&lt;fi_h/20,0,(OFFSET('Base de dados'!$A$5,IF(O1521&lt;20,1,IF(O1521&gt;1000,10,MATCH(O1521,Cargas,1))),Coluna_fih,1,1))*(1+0.13*0.25)*(PI()*(fi_h/1000)^2/4)*SQRT(2*9.81*(O1521/100-fi_h/2/1000))*1000)),"",IF(O1521&lt;fi_h/20,0,(OFFSET('Base de dados'!$A$5,IF(O1521&lt;20,1,IF(O1521&gt;1000,10,MATCH(O1521,Cargas,1))),Coluna_fih,1,1))*(PI()*(fi_h/1000)^2/4)*SQRT(2*9.81*(O1521/100-fi_h/2/1000))*1000))</f>
        <v>5.2059505369765642</v>
      </c>
      <c r="Q1521" s="38">
        <f ca="1">IF(O1521="","",IF(Tipo_Vertedor="Retangular",IF(O1521&lt;=cota_s*100,0,IF(Tipo_Vertedor="Retangular",Cd_sr*Lef_sr*((O1521/100-cota_s)^(3/2))*1000)),IF(O1521&lt;=cota_s*100+fi_s/20,0,(OFFSET('Base de dados'!$A$4,IF(O1521&lt;20,1,IF(O1521&gt;1000,10,MATCH(O1521,Cargas,1))),Coluna_fis,1,1))*(PI()*(fi_s/1000)^2/4)*(2*9.81*(O1521/100-cota_s-fi_s/2/1000))^0.5*1000)))</f>
        <v>4.3015806170720978</v>
      </c>
      <c r="R1521" s="38">
        <f t="shared" ca="1" si="205"/>
        <v>9.507531154048662</v>
      </c>
      <c r="S1521" s="38">
        <f t="shared" ca="1" si="206"/>
        <v>475</v>
      </c>
    </row>
    <row r="1522" spans="13:19">
      <c r="M1522" s="132">
        <f t="shared" ca="1" si="203"/>
        <v>484.82383298054981</v>
      </c>
      <c r="N1522" s="38">
        <f t="shared" si="204"/>
        <v>14.259375</v>
      </c>
      <c r="O1522" s="36">
        <f t="shared" si="202"/>
        <v>380.25</v>
      </c>
      <c r="P1522" s="38">
        <f ca="1">IF(ISERROR(IF(O1522&lt;fi_h/20,0,(OFFSET('Base de dados'!$A$5,IF(O1522&lt;20,1,IF(O1522&gt;1000,10,MATCH(O1522,Cargas,1))),Coluna_fih,1,1))*(1+0.13*0.25)*(PI()*(fi_h/1000)^2/4)*SQRT(2*9.81*(O1522/100-fi_h/2/1000))*1000)),"",IF(O1522&lt;fi_h/20,0,(OFFSET('Base de dados'!$A$5,IF(O1522&lt;20,1,IF(O1522&gt;1000,10,MATCH(O1522,Cargas,1))),Coluna_fih,1,1))*(PI()*(fi_h/1000)^2/4)*SQRT(2*9.81*(O1522/100-fi_h/2/1000))*1000))</f>
        <v>5.2076707049238573</v>
      </c>
      <c r="Q1522" s="38">
        <f ca="1">IF(O1522="","",IF(Tipo_Vertedor="Retangular",IF(O1522&lt;=cota_s*100,0,IF(Tipo_Vertedor="Retangular",Cd_sr*Lef_sr*((O1522/100-cota_s)^(3/2))*1000)),IF(O1522&lt;=cota_s*100+fi_s/20,0,(OFFSET('Base de dados'!$A$4,IF(O1522&lt;20,1,IF(O1522&gt;1000,10,MATCH(O1522,Cargas,1))),Coluna_fis,1,1))*(PI()*(fi_s/1000)^2/4)*(2*9.81*(O1522/100-cota_s-fi_s/2/1000))^0.5*1000)))</f>
        <v>4.3036622756259524</v>
      </c>
      <c r="R1522" s="38">
        <f t="shared" ca="1" si="205"/>
        <v>9.5113329805498097</v>
      </c>
      <c r="S1522" s="38">
        <f t="shared" ca="1" si="206"/>
        <v>475.3125</v>
      </c>
    </row>
    <row r="1523" spans="13:19">
      <c r="M1523" s="132">
        <f t="shared" ca="1" si="203"/>
        <v>485.14013323264203</v>
      </c>
      <c r="N1523" s="38">
        <f t="shared" si="204"/>
        <v>14.268750000000001</v>
      </c>
      <c r="O1523" s="36">
        <f t="shared" si="202"/>
        <v>380.5</v>
      </c>
      <c r="P1523" s="38">
        <f ca="1">IF(ISERROR(IF(O1523&lt;fi_h/20,0,(OFFSET('Base de dados'!$A$5,IF(O1523&lt;20,1,IF(O1523&gt;1000,10,MATCH(O1523,Cargas,1))),Coluna_fih,1,1))*(1+0.13*0.25)*(PI()*(fi_h/1000)^2/4)*SQRT(2*9.81*(O1523/100-fi_h/2/1000))*1000)),"",IF(O1523&lt;fi_h/20,0,(OFFSET('Base de dados'!$A$5,IF(O1523&lt;20,1,IF(O1523&gt;1000,10,MATCH(O1523,Cargas,1))),Coluna_fih,1,1))*(PI()*(fi_h/1000)^2/4)*SQRT(2*9.81*(O1523/100-fi_h/2/1000))*1000))</f>
        <v>5.2093903048627217</v>
      </c>
      <c r="Q1523" s="38">
        <f ca="1">IF(O1523="","",IF(Tipo_Vertedor="Retangular",IF(O1523&lt;=cota_s*100,0,IF(Tipo_Vertedor="Retangular",Cd_sr*Lef_sr*((O1523/100-cota_s)^(3/2))*1000)),IF(O1523&lt;=cota_s*100+fi_s/20,0,(OFFSET('Base de dados'!$A$4,IF(O1523&lt;20,1,IF(O1523&gt;1000,10,MATCH(O1523,Cargas,1))),Coluna_fis,1,1))*(PI()*(fi_s/1000)^2/4)*(2*9.81*(O1523/100-cota_s-fi_s/2/1000))^0.5*1000)))</f>
        <v>4.305742927779308</v>
      </c>
      <c r="R1523" s="38">
        <f t="shared" ca="1" si="205"/>
        <v>9.5151332326420288</v>
      </c>
      <c r="S1523" s="38">
        <f t="shared" ca="1" si="206"/>
        <v>475.625</v>
      </c>
    </row>
    <row r="1524" spans="13:19">
      <c r="M1524" s="132">
        <f t="shared" ca="1" si="203"/>
        <v>485.45643191234592</v>
      </c>
      <c r="N1524" s="38">
        <f t="shared" si="204"/>
        <v>14.278125000000001</v>
      </c>
      <c r="O1524" s="36">
        <f t="shared" si="202"/>
        <v>380.75</v>
      </c>
      <c r="P1524" s="38">
        <f ca="1">IF(ISERROR(IF(O1524&lt;fi_h/20,0,(OFFSET('Base de dados'!$A$5,IF(O1524&lt;20,1,IF(O1524&gt;1000,10,MATCH(O1524,Cargas,1))),Coluna_fih,1,1))*(1+0.13*0.25)*(PI()*(fi_h/1000)^2/4)*SQRT(2*9.81*(O1524/100-fi_h/2/1000))*1000)),"",IF(O1524&lt;fi_h/20,0,(OFFSET('Base de dados'!$A$5,IF(O1524&lt;20,1,IF(O1524&gt;1000,10,MATCH(O1524,Cargas,1))),Coluna_fih,1,1))*(PI()*(fi_h/1000)^2/4)*SQRT(2*9.81*(O1524/100-fi_h/2/1000))*1000))</f>
        <v>5.2111093373554631</v>
      </c>
      <c r="Q1524" s="38">
        <f ca="1">IF(O1524="","",IF(Tipo_Vertedor="Retangular",IF(O1524&lt;=cota_s*100,0,IF(Tipo_Vertedor="Retangular",Cd_sr*Lef_sr*((O1524/100-cota_s)^(3/2))*1000)),IF(O1524&lt;=cota_s*100+fi_s/20,0,(OFFSET('Base de dados'!$A$4,IF(O1524&lt;20,1,IF(O1524&gt;1000,10,MATCH(O1524,Cargas,1))),Coluna_fis,1,1))*(PI()*(fi_s/1000)^2/4)*(2*9.81*(O1524/100-cota_s-fi_s/2/1000))^0.5*1000)))</f>
        <v>4.3078225749904213</v>
      </c>
      <c r="R1524" s="38">
        <f t="shared" ca="1" si="205"/>
        <v>9.5189319123458844</v>
      </c>
      <c r="S1524" s="38">
        <f t="shared" ca="1" si="206"/>
        <v>475.93750000000006</v>
      </c>
    </row>
    <row r="1525" spans="13:19">
      <c r="M1525" s="132">
        <f t="shared" ca="1" si="203"/>
        <v>485.77272902167749</v>
      </c>
      <c r="N1525" s="38">
        <f t="shared" si="204"/>
        <v>14.2875</v>
      </c>
      <c r="O1525" s="36">
        <f t="shared" si="202"/>
        <v>381</v>
      </c>
      <c r="P1525" s="38">
        <f ca="1">IF(ISERROR(IF(O1525&lt;fi_h/20,0,(OFFSET('Base de dados'!$A$5,IF(O1525&lt;20,1,IF(O1525&gt;1000,10,MATCH(O1525,Cargas,1))),Coluna_fih,1,1))*(1+0.13*0.25)*(PI()*(fi_h/1000)^2/4)*SQRT(2*9.81*(O1525/100-fi_h/2/1000))*1000)),"",IF(O1525&lt;fi_h/20,0,(OFFSET('Base de dados'!$A$5,IF(O1525&lt;20,1,IF(O1525&gt;1000,10,MATCH(O1525,Cargas,1))),Coluna_fih,1,1))*(PI()*(fi_h/1000)^2/4)*SQRT(2*9.81*(O1525/100-fi_h/2/1000))*1000))</f>
        <v>5.2128278029634618</v>
      </c>
      <c r="Q1525" s="38">
        <f ca="1">IF(O1525="","",IF(Tipo_Vertedor="Retangular",IF(O1525&lt;=cota_s*100,0,IF(Tipo_Vertedor="Retangular",Cd_sr*Lef_sr*((O1525/100-cota_s)^(3/2))*1000)),IF(O1525&lt;=cota_s*100+fi_s/20,0,(OFFSET('Base de dados'!$A$4,IF(O1525&lt;20,1,IF(O1525&gt;1000,10,MATCH(O1525,Cargas,1))),Coluna_fis,1,1))*(PI()*(fi_s/1000)^2/4)*(2*9.81*(O1525/100-cota_s-fi_s/2/1000))^0.5*1000)))</f>
        <v>4.30990121871403</v>
      </c>
      <c r="R1525" s="38">
        <f t="shared" ca="1" si="205"/>
        <v>9.5227290216774918</v>
      </c>
      <c r="S1525" s="38">
        <f t="shared" ca="1" si="206"/>
        <v>476.25</v>
      </c>
    </row>
    <row r="1526" spans="13:19">
      <c r="M1526" s="132">
        <f t="shared" ca="1" si="203"/>
        <v>486.08902456264855</v>
      </c>
      <c r="N1526" s="38">
        <f t="shared" si="204"/>
        <v>14.296875</v>
      </c>
      <c r="O1526" s="36">
        <f t="shared" si="202"/>
        <v>381.25</v>
      </c>
      <c r="P1526" s="38">
        <f ca="1">IF(ISERROR(IF(O1526&lt;fi_h/20,0,(OFFSET('Base de dados'!$A$5,IF(O1526&lt;20,1,IF(O1526&gt;1000,10,MATCH(O1526,Cargas,1))),Coluna_fih,1,1))*(1+0.13*0.25)*(PI()*(fi_h/1000)^2/4)*SQRT(2*9.81*(O1526/100-fi_h/2/1000))*1000)),"",IF(O1526&lt;fi_h/20,0,(OFFSET('Base de dados'!$A$5,IF(O1526&lt;20,1,IF(O1526&gt;1000,10,MATCH(O1526,Cargas,1))),Coluna_fih,1,1))*(PI()*(fi_h/1000)^2/4)*SQRT(2*9.81*(O1526/100-fi_h/2/1000))*1000))</f>
        <v>5.2145457022471708</v>
      </c>
      <c r="Q1526" s="38">
        <f ca="1">IF(O1526="","",IF(Tipo_Vertedor="Retangular",IF(O1526&lt;=cota_s*100,0,IF(Tipo_Vertedor="Retangular",Cd_sr*Lef_sr*((O1526/100-cota_s)^(3/2))*1000)),IF(O1526&lt;=cota_s*100+fi_s/20,0,(OFFSET('Base de dados'!$A$4,IF(O1526&lt;20,1,IF(O1526&gt;1000,10,MATCH(O1526,Cargas,1))),Coluna_fis,1,1))*(PI()*(fi_s/1000)^2/4)*(2*9.81*(O1526/100-cota_s-fi_s/2/1000))^0.5*1000)))</f>
        <v>4.3119788604013642</v>
      </c>
      <c r="R1526" s="38">
        <f t="shared" ca="1" si="205"/>
        <v>9.526524562648536</v>
      </c>
      <c r="S1526" s="38">
        <f t="shared" ca="1" si="206"/>
        <v>476.5625</v>
      </c>
    </row>
    <row r="1527" spans="13:19">
      <c r="M1527" s="132">
        <f t="shared" ca="1" si="203"/>
        <v>486.40531853726628</v>
      </c>
      <c r="N1527" s="38">
        <f t="shared" si="204"/>
        <v>14.30625</v>
      </c>
      <c r="O1527" s="36">
        <f t="shared" si="202"/>
        <v>381.5</v>
      </c>
      <c r="P1527" s="38">
        <f ca="1">IF(ISERROR(IF(O1527&lt;fi_h/20,0,(OFFSET('Base de dados'!$A$5,IF(O1527&lt;20,1,IF(O1527&gt;1000,10,MATCH(O1527,Cargas,1))),Coluna_fih,1,1))*(1+0.13*0.25)*(PI()*(fi_h/1000)^2/4)*SQRT(2*9.81*(O1527/100-fi_h/2/1000))*1000)),"",IF(O1527&lt;fi_h/20,0,(OFFSET('Base de dados'!$A$5,IF(O1527&lt;20,1,IF(O1527&gt;1000,10,MATCH(O1527,Cargas,1))),Coluna_fih,1,1))*(PI()*(fi_h/1000)^2/4)*SQRT(2*9.81*(O1527/100-fi_h/2/1000))*1000))</f>
        <v>5.2162630357661248</v>
      </c>
      <c r="Q1527" s="38">
        <f ca="1">IF(O1527="","",IF(Tipo_Vertedor="Retangular",IF(O1527&lt;=cota_s*100,0,IF(Tipo_Vertedor="Retangular",Cd_sr*Lef_sr*((O1527/100-cota_s)^(3/2))*1000)),IF(O1527&lt;=cota_s*100+fi_s/20,0,(OFFSET('Base de dados'!$A$4,IF(O1527&lt;20,1,IF(O1527&gt;1000,10,MATCH(O1527,Cargas,1))),Coluna_fis,1,1))*(PI()*(fi_s/1000)^2/4)*(2*9.81*(O1527/100-cota_s-fi_s/2/1000))^0.5*1000)))</f>
        <v>4.3140555015001629</v>
      </c>
      <c r="R1527" s="38">
        <f t="shared" ca="1" si="205"/>
        <v>9.5303185372662877</v>
      </c>
      <c r="S1527" s="38">
        <f t="shared" ca="1" si="206"/>
        <v>476.875</v>
      </c>
    </row>
    <row r="1528" spans="13:19">
      <c r="M1528" s="132">
        <f t="shared" ca="1" si="203"/>
        <v>486.72161094753358</v>
      </c>
      <c r="N1528" s="38">
        <f t="shared" si="204"/>
        <v>14.315624999999999</v>
      </c>
      <c r="O1528" s="36">
        <f t="shared" si="202"/>
        <v>381.75</v>
      </c>
      <c r="P1528" s="38">
        <f ca="1">IF(ISERROR(IF(O1528&lt;fi_h/20,0,(OFFSET('Base de dados'!$A$5,IF(O1528&lt;20,1,IF(O1528&gt;1000,10,MATCH(O1528,Cargas,1))),Coluna_fih,1,1))*(1+0.13*0.25)*(PI()*(fi_h/1000)^2/4)*SQRT(2*9.81*(O1528/100-fi_h/2/1000))*1000)),"",IF(O1528&lt;fi_h/20,0,(OFFSET('Base de dados'!$A$5,IF(O1528&lt;20,1,IF(O1528&gt;1000,10,MATCH(O1528,Cargas,1))),Coluna_fih,1,1))*(PI()*(fi_h/1000)^2/4)*SQRT(2*9.81*(O1528/100-fi_h/2/1000))*1000))</f>
        <v>5.2179798040789303</v>
      </c>
      <c r="Q1528" s="38">
        <f ca="1">IF(O1528="","",IF(Tipo_Vertedor="Retangular",IF(O1528&lt;=cota_s*100,0,IF(Tipo_Vertedor="Retangular",Cd_sr*Lef_sr*((O1528/100-cota_s)^(3/2))*1000)),IF(O1528&lt;=cota_s*100+fi_s/20,0,(OFFSET('Base de dados'!$A$4,IF(O1528&lt;20,1,IF(O1528&gt;1000,10,MATCH(O1528,Cargas,1))),Coluna_fis,1,1))*(PI()*(fi_s/1000)^2/4)*(2*9.81*(O1528/100-cota_s-fi_s/2/1000))^0.5*1000)))</f>
        <v>4.3161311434546796</v>
      </c>
      <c r="R1528" s="38">
        <f t="shared" ca="1" si="205"/>
        <v>9.534110947533609</v>
      </c>
      <c r="S1528" s="38">
        <f t="shared" ca="1" si="206"/>
        <v>477.18749999999994</v>
      </c>
    </row>
    <row r="1529" spans="13:19">
      <c r="M1529" s="132">
        <f t="shared" ca="1" si="203"/>
        <v>487.03790179544899</v>
      </c>
      <c r="N1529" s="38">
        <f t="shared" si="204"/>
        <v>14.324999999999999</v>
      </c>
      <c r="O1529" s="36">
        <f t="shared" si="202"/>
        <v>382</v>
      </c>
      <c r="P1529" s="38">
        <f ca="1">IF(ISERROR(IF(O1529&lt;fi_h/20,0,(OFFSET('Base de dados'!$A$5,IF(O1529&lt;20,1,IF(O1529&gt;1000,10,MATCH(O1529,Cargas,1))),Coluna_fih,1,1))*(1+0.13*0.25)*(PI()*(fi_h/1000)^2/4)*SQRT(2*9.81*(O1529/100-fi_h/2/1000))*1000)),"",IF(O1529&lt;fi_h/20,0,(OFFSET('Base de dados'!$A$5,IF(O1529&lt;20,1,IF(O1529&gt;1000,10,MATCH(O1529,Cargas,1))),Coluna_fih,1,1))*(PI()*(fi_h/1000)^2/4)*SQRT(2*9.81*(O1529/100-fi_h/2/1000))*1000))</f>
        <v>5.2196960077432832</v>
      </c>
      <c r="Q1529" s="38">
        <f ca="1">IF(O1529="","",IF(Tipo_Vertedor="Retangular",IF(O1529&lt;=cota_s*100,0,IF(Tipo_Vertedor="Retangular",Cd_sr*Lef_sr*((O1529/100-cota_s)^(3/2))*1000)),IF(O1529&lt;=cota_s*100+fi_s/20,0,(OFFSET('Base de dados'!$A$4,IF(O1529&lt;20,1,IF(O1529&gt;1000,10,MATCH(O1529,Cargas,1))),Coluna_fis,1,1))*(PI()*(fi_s/1000)^2/4)*(2*9.81*(O1529/100-cota_s-fi_s/2/1000))^0.5*1000)))</f>
        <v>4.318205787705697</v>
      </c>
      <c r="R1529" s="38">
        <f t="shared" ca="1" si="205"/>
        <v>9.5379017954489811</v>
      </c>
      <c r="S1529" s="38">
        <f t="shared" ca="1" si="206"/>
        <v>477.5</v>
      </c>
    </row>
    <row r="1530" spans="13:19">
      <c r="M1530" s="132">
        <f t="shared" ca="1" si="203"/>
        <v>487.35419108300647</v>
      </c>
      <c r="N1530" s="38">
        <f t="shared" si="204"/>
        <v>14.334375</v>
      </c>
      <c r="O1530" s="36">
        <f t="shared" si="202"/>
        <v>382.25</v>
      </c>
      <c r="P1530" s="38">
        <f ca="1">IF(ISERROR(IF(O1530&lt;fi_h/20,0,(OFFSET('Base de dados'!$A$5,IF(O1530&lt;20,1,IF(O1530&gt;1000,10,MATCH(O1530,Cargas,1))),Coluna_fih,1,1))*(1+0.13*0.25)*(PI()*(fi_h/1000)^2/4)*SQRT(2*9.81*(O1530/100-fi_h/2/1000))*1000)),"",IF(O1530&lt;fi_h/20,0,(OFFSET('Base de dados'!$A$5,IF(O1530&lt;20,1,IF(O1530&gt;1000,10,MATCH(O1530,Cargas,1))),Coluna_fih,1,1))*(PI()*(fi_h/1000)^2/4)*SQRT(2*9.81*(O1530/100-fi_h/2/1000))*1000))</f>
        <v>5.221411647315958</v>
      </c>
      <c r="Q1530" s="38">
        <f ca="1">IF(O1530="","",IF(Tipo_Vertedor="Retangular",IF(O1530&lt;=cota_s*100,0,IF(Tipo_Vertedor="Retangular",Cd_sr*Lef_sr*((O1530/100-cota_s)^(3/2))*1000)),IF(O1530&lt;=cota_s*100+fi_s/20,0,(OFFSET('Base de dados'!$A$4,IF(O1530&lt;20,1,IF(O1530&gt;1000,10,MATCH(O1530,Cargas,1))),Coluna_fis,1,1))*(PI()*(fi_s/1000)^2/4)*(2*9.81*(O1530/100-cota_s-fi_s/2/1000))^0.5*1000)))</f>
        <v>4.3202794356905372</v>
      </c>
      <c r="R1530" s="38">
        <f t="shared" ca="1" si="205"/>
        <v>9.5416910830064943</v>
      </c>
      <c r="S1530" s="38">
        <f t="shared" ca="1" si="206"/>
        <v>477.8125</v>
      </c>
    </row>
    <row r="1531" spans="13:19">
      <c r="M1531" s="132">
        <f t="shared" ca="1" si="203"/>
        <v>487.67047881219588</v>
      </c>
      <c r="N1531" s="38">
        <f t="shared" si="204"/>
        <v>14.34375</v>
      </c>
      <c r="O1531" s="36">
        <f t="shared" si="202"/>
        <v>382.5</v>
      </c>
      <c r="P1531" s="38">
        <f ca="1">IF(ISERROR(IF(O1531&lt;fi_h/20,0,(OFFSET('Base de dados'!$A$5,IF(O1531&lt;20,1,IF(O1531&gt;1000,10,MATCH(O1531,Cargas,1))),Coluna_fih,1,1))*(1+0.13*0.25)*(PI()*(fi_h/1000)^2/4)*SQRT(2*9.81*(O1531/100-fi_h/2/1000))*1000)),"",IF(O1531&lt;fi_h/20,0,(OFFSET('Base de dados'!$A$5,IF(O1531&lt;20,1,IF(O1531&gt;1000,10,MATCH(O1531,Cargas,1))),Coluna_fih,1,1))*(PI()*(fi_h/1000)^2/4)*SQRT(2*9.81*(O1531/100-fi_h/2/1000))*1000))</f>
        <v>5.2231267233528165</v>
      </c>
      <c r="Q1531" s="38">
        <f ca="1">IF(O1531="","",IF(Tipo_Vertedor="Retangular",IF(O1531&lt;=cota_s*100,0,IF(Tipo_Vertedor="Retangular",Cd_sr*Lef_sr*((O1531/100-cota_s)^(3/2))*1000)),IF(O1531&lt;=cota_s*100+fi_s/20,0,(OFFSET('Base de dados'!$A$4,IF(O1531&lt;20,1,IF(O1531&gt;1000,10,MATCH(O1531,Cargas,1))),Coluna_fis,1,1))*(PI()*(fi_s/1000)^2/4)*(2*9.81*(O1531/100-cota_s-fi_s/2/1000))^0.5*1000)))</f>
        <v>4.3223520888430782</v>
      </c>
      <c r="R1531" s="38">
        <f t="shared" ca="1" si="205"/>
        <v>9.5454788121958956</v>
      </c>
      <c r="S1531" s="38">
        <f t="shared" ca="1" si="206"/>
        <v>478.125</v>
      </c>
    </row>
    <row r="1532" spans="13:19">
      <c r="M1532" s="132">
        <f t="shared" ca="1" si="203"/>
        <v>487.98676498500254</v>
      </c>
      <c r="N1532" s="38">
        <f t="shared" si="204"/>
        <v>14.353125</v>
      </c>
      <c r="O1532" s="36">
        <f t="shared" si="202"/>
        <v>382.75</v>
      </c>
      <c r="P1532" s="38">
        <f ca="1">IF(ISERROR(IF(O1532&lt;fi_h/20,0,(OFFSET('Base de dados'!$A$5,IF(O1532&lt;20,1,IF(O1532&gt;1000,10,MATCH(O1532,Cargas,1))),Coluna_fih,1,1))*(1+0.13*0.25)*(PI()*(fi_h/1000)^2/4)*SQRT(2*9.81*(O1532/100-fi_h/2/1000))*1000)),"",IF(O1532&lt;fi_h/20,0,(OFFSET('Base de dados'!$A$5,IF(O1532&lt;20,1,IF(O1532&gt;1000,10,MATCH(O1532,Cargas,1))),Coluna_fih,1,1))*(PI()*(fi_h/1000)^2/4)*SQRT(2*9.81*(O1532/100-fi_h/2/1000))*1000))</f>
        <v>5.2248412364088059</v>
      </c>
      <c r="Q1532" s="38">
        <f ca="1">IF(O1532="","",IF(Tipo_Vertedor="Retangular",IF(O1532&lt;=cota_s*100,0,IF(Tipo_Vertedor="Retangular",Cd_sr*Lef_sr*((O1532/100-cota_s)^(3/2))*1000)),IF(O1532&lt;=cota_s*100+fi_s/20,0,(OFFSET('Base de dados'!$A$4,IF(O1532&lt;20,1,IF(O1532&gt;1000,10,MATCH(O1532,Cargas,1))),Coluna_fis,1,1))*(PI()*(fi_s/1000)^2/4)*(2*9.81*(O1532/100-cota_s-fi_s/2/1000))^0.5*1000)))</f>
        <v>4.3244237485937598</v>
      </c>
      <c r="R1532" s="38">
        <f t="shared" ca="1" si="205"/>
        <v>9.5492649850025657</v>
      </c>
      <c r="S1532" s="38">
        <f t="shared" ca="1" si="206"/>
        <v>478.4375</v>
      </c>
    </row>
    <row r="1533" spans="13:19">
      <c r="M1533" s="132">
        <f t="shared" ca="1" si="203"/>
        <v>488.30304960340754</v>
      </c>
      <c r="N1533" s="38">
        <f t="shared" si="204"/>
        <v>14.362500000000001</v>
      </c>
      <c r="O1533" s="36">
        <f t="shared" si="202"/>
        <v>383</v>
      </c>
      <c r="P1533" s="38">
        <f ca="1">IF(ISERROR(IF(O1533&lt;fi_h/20,0,(OFFSET('Base de dados'!$A$5,IF(O1533&lt;20,1,IF(O1533&gt;1000,10,MATCH(O1533,Cargas,1))),Coluna_fih,1,1))*(1+0.13*0.25)*(PI()*(fi_h/1000)^2/4)*SQRT(2*9.81*(O1533/100-fi_h/2/1000))*1000)),"",IF(O1533&lt;fi_h/20,0,(OFFSET('Base de dados'!$A$5,IF(O1533&lt;20,1,IF(O1533&gt;1000,10,MATCH(O1533,Cargas,1))),Coluna_fih,1,1))*(PI()*(fi_h/1000)^2/4)*SQRT(2*9.81*(O1533/100-fi_h/2/1000))*1000))</f>
        <v>5.2265551870379667</v>
      </c>
      <c r="Q1533" s="38">
        <f ca="1">IF(O1533="","",IF(Tipo_Vertedor="Retangular",IF(O1533&lt;=cota_s*100,0,IF(Tipo_Vertedor="Retangular",Cd_sr*Lef_sr*((O1533/100-cota_s)^(3/2))*1000)),IF(O1533&lt;=cota_s*100+fi_s/20,0,(OFFSET('Base de dados'!$A$4,IF(O1533&lt;20,1,IF(O1533&gt;1000,10,MATCH(O1533,Cargas,1))),Coluna_fis,1,1))*(PI()*(fi_s/1000)^2/4)*(2*9.81*(O1533/100-cota_s-fi_s/2/1000))^0.5*1000)))</f>
        <v>4.3264944163695942</v>
      </c>
      <c r="R1533" s="38">
        <f t="shared" ca="1" si="205"/>
        <v>9.5530496034075618</v>
      </c>
      <c r="S1533" s="38">
        <f t="shared" ca="1" si="206"/>
        <v>478.75</v>
      </c>
    </row>
    <row r="1534" spans="13:19">
      <c r="M1534" s="132">
        <f t="shared" ca="1" si="203"/>
        <v>488.61933266938763</v>
      </c>
      <c r="N1534" s="38">
        <f t="shared" si="204"/>
        <v>14.371874999999999</v>
      </c>
      <c r="O1534" s="36">
        <f t="shared" si="202"/>
        <v>383.25</v>
      </c>
      <c r="P1534" s="38">
        <f ca="1">IF(ISERROR(IF(O1534&lt;fi_h/20,0,(OFFSET('Base de dados'!$A$5,IF(O1534&lt;20,1,IF(O1534&gt;1000,10,MATCH(O1534,Cargas,1))),Coluna_fih,1,1))*(1+0.13*0.25)*(PI()*(fi_h/1000)^2/4)*SQRT(2*9.81*(O1534/100-fi_h/2/1000))*1000)),"",IF(O1534&lt;fi_h/20,0,(OFFSET('Base de dados'!$A$5,IF(O1534&lt;20,1,IF(O1534&gt;1000,10,MATCH(O1534,Cargas,1))),Coluna_fih,1,1))*(PI()*(fi_h/1000)^2/4)*SQRT(2*9.81*(O1534/100-fi_h/2/1000))*1000))</f>
        <v>5.2282685757934289</v>
      </c>
      <c r="Q1534" s="38">
        <f ca="1">IF(O1534="","",IF(Tipo_Vertedor="Retangular",IF(O1534&lt;=cota_s*100,0,IF(Tipo_Vertedor="Retangular",Cd_sr*Lef_sr*((O1534/100-cota_s)^(3/2))*1000)),IF(O1534&lt;=cota_s*100+fi_s/20,0,(OFFSET('Base de dados'!$A$4,IF(O1534&lt;20,1,IF(O1534&gt;1000,10,MATCH(O1534,Cargas,1))),Coluna_fis,1,1))*(PI()*(fi_s/1000)^2/4)*(2*9.81*(O1534/100-cota_s-fi_s/2/1000))^0.5*1000)))</f>
        <v>4.3285640935941858</v>
      </c>
      <c r="R1534" s="38">
        <f t="shared" ca="1" si="205"/>
        <v>9.5568326693876138</v>
      </c>
      <c r="S1534" s="38">
        <f t="shared" ca="1" si="206"/>
        <v>479.0625</v>
      </c>
    </row>
    <row r="1535" spans="13:19">
      <c r="M1535" s="132">
        <f t="shared" ca="1" si="203"/>
        <v>488.93561418491515</v>
      </c>
      <c r="N1535" s="38">
        <f t="shared" si="204"/>
        <v>14.38125</v>
      </c>
      <c r="O1535" s="36">
        <f t="shared" si="202"/>
        <v>383.5</v>
      </c>
      <c r="P1535" s="38">
        <f ca="1">IF(ISERROR(IF(O1535&lt;fi_h/20,0,(OFFSET('Base de dados'!$A$5,IF(O1535&lt;20,1,IF(O1535&gt;1000,10,MATCH(O1535,Cargas,1))),Coluna_fih,1,1))*(1+0.13*0.25)*(PI()*(fi_h/1000)^2/4)*SQRT(2*9.81*(O1535/100-fi_h/2/1000))*1000)),"",IF(O1535&lt;fi_h/20,0,(OFFSET('Base de dados'!$A$5,IF(O1535&lt;20,1,IF(O1535&gt;1000,10,MATCH(O1535,Cargas,1))),Coluna_fih,1,1))*(PI()*(fi_h/1000)^2/4)*SQRT(2*9.81*(O1535/100-fi_h/2/1000))*1000))</f>
        <v>5.2299814032274163</v>
      </c>
      <c r="Q1535" s="38">
        <f ca="1">IF(O1535="","",IF(Tipo_Vertedor="Retangular",IF(O1535&lt;=cota_s*100,0,IF(Tipo_Vertedor="Retangular",Cd_sr*Lef_sr*((O1535/100-cota_s)^(3/2))*1000)),IF(O1535&lt;=cota_s*100+fi_s/20,0,(OFFSET('Base de dados'!$A$4,IF(O1535&lt;20,1,IF(O1535&gt;1000,10,MATCH(O1535,Cargas,1))),Coluna_fis,1,1))*(PI()*(fi_s/1000)^2/4)*(2*9.81*(O1535/100-cota_s-fi_s/2/1000))^0.5*1000)))</f>
        <v>4.3306327816877319</v>
      </c>
      <c r="R1535" s="38">
        <f t="shared" ca="1" si="205"/>
        <v>9.5606141849151491</v>
      </c>
      <c r="S1535" s="38">
        <f t="shared" ca="1" si="206"/>
        <v>479.375</v>
      </c>
    </row>
    <row r="1536" spans="13:19">
      <c r="M1536" s="132">
        <f t="shared" ca="1" si="203"/>
        <v>489.25189415195831</v>
      </c>
      <c r="N1536" s="38">
        <f t="shared" si="204"/>
        <v>14.390625</v>
      </c>
      <c r="O1536" s="36">
        <f t="shared" si="202"/>
        <v>383.75</v>
      </c>
      <c r="P1536" s="38">
        <f ca="1">IF(ISERROR(IF(O1536&lt;fi_h/20,0,(OFFSET('Base de dados'!$A$5,IF(O1536&lt;20,1,IF(O1536&gt;1000,10,MATCH(O1536,Cargas,1))),Coluna_fih,1,1))*(1+0.13*0.25)*(PI()*(fi_h/1000)^2/4)*SQRT(2*9.81*(O1536/100-fi_h/2/1000))*1000)),"",IF(O1536&lt;fi_h/20,0,(OFFSET('Base de dados'!$A$5,IF(O1536&lt;20,1,IF(O1536&gt;1000,10,MATCH(O1536,Cargas,1))),Coluna_fih,1,1))*(PI()*(fi_h/1000)^2/4)*SQRT(2*9.81*(O1536/100-fi_h/2/1000))*1000))</f>
        <v>5.2316936698912517</v>
      </c>
      <c r="Q1536" s="38">
        <f ca="1">IF(O1536="","",IF(Tipo_Vertedor="Retangular",IF(O1536&lt;=cota_s*100,0,IF(Tipo_Vertedor="Retangular",Cd_sr*Lef_sr*((O1536/100-cota_s)^(3/2))*1000)),IF(O1536&lt;=cota_s*100+fi_s/20,0,(OFFSET('Base de dados'!$A$4,IF(O1536&lt;20,1,IF(O1536&gt;1000,10,MATCH(O1536,Cargas,1))),Coluna_fis,1,1))*(PI()*(fi_s/1000)^2/4)*(2*9.81*(O1536/100-cota_s-fi_s/2/1000))^0.5*1000)))</f>
        <v>4.3327004820670449</v>
      </c>
      <c r="R1536" s="38">
        <f t="shared" ca="1" si="205"/>
        <v>9.5643941519582967</v>
      </c>
      <c r="S1536" s="38">
        <f t="shared" ca="1" si="206"/>
        <v>479.6875</v>
      </c>
    </row>
    <row r="1537" spans="13:19">
      <c r="M1537" s="132">
        <f t="shared" ca="1" si="203"/>
        <v>489.56817257248088</v>
      </c>
      <c r="N1537" s="38">
        <f t="shared" si="204"/>
        <v>14.399999999999999</v>
      </c>
      <c r="O1537" s="36">
        <f t="shared" si="202"/>
        <v>384</v>
      </c>
      <c r="P1537" s="38">
        <f ca="1">IF(ISERROR(IF(O1537&lt;fi_h/20,0,(OFFSET('Base de dados'!$A$5,IF(O1537&lt;20,1,IF(O1537&gt;1000,10,MATCH(O1537,Cargas,1))),Coluna_fih,1,1))*(1+0.13*0.25)*(PI()*(fi_h/1000)^2/4)*SQRT(2*9.81*(O1537/100-fi_h/2/1000))*1000)),"",IF(O1537&lt;fi_h/20,0,(OFFSET('Base de dados'!$A$5,IF(O1537&lt;20,1,IF(O1537&gt;1000,10,MATCH(O1537,Cargas,1))),Coluna_fih,1,1))*(PI()*(fi_h/1000)^2/4)*SQRT(2*9.81*(O1537/100-fi_h/2/1000))*1000))</f>
        <v>5.2334053763353534</v>
      </c>
      <c r="Q1537" s="38">
        <f ca="1">IF(O1537="","",IF(Tipo_Vertedor="Retangular",IF(O1537&lt;=cota_s*100,0,IF(Tipo_Vertedor="Retangular",Cd_sr*Lef_sr*((O1537/100-cota_s)^(3/2))*1000)),IF(O1537&lt;=cota_s*100+fi_s/20,0,(OFFSET('Base de dados'!$A$4,IF(O1537&lt;20,1,IF(O1537&gt;1000,10,MATCH(O1537,Cargas,1))),Coluna_fis,1,1))*(PI()*(fi_s/1000)^2/4)*(2*9.81*(O1537/100-cota_s-fi_s/2/1000))^0.5*1000)))</f>
        <v>4.3347671961455525</v>
      </c>
      <c r="R1537" s="38">
        <f t="shared" ca="1" si="205"/>
        <v>9.5681725724809059</v>
      </c>
      <c r="S1537" s="38">
        <f t="shared" ca="1" si="206"/>
        <v>479.99999999999994</v>
      </c>
    </row>
    <row r="1538" spans="13:19">
      <c r="M1538" s="132">
        <f t="shared" ca="1" si="203"/>
        <v>489.88444944844252</v>
      </c>
      <c r="N1538" s="38">
        <f t="shared" si="204"/>
        <v>14.409374999999999</v>
      </c>
      <c r="O1538" s="36">
        <f t="shared" si="202"/>
        <v>384.25</v>
      </c>
      <c r="P1538" s="38">
        <f ca="1">IF(ISERROR(IF(O1538&lt;fi_h/20,0,(OFFSET('Base de dados'!$A$5,IF(O1538&lt;20,1,IF(O1538&gt;1000,10,MATCH(O1538,Cargas,1))),Coluna_fih,1,1))*(1+0.13*0.25)*(PI()*(fi_h/1000)^2/4)*SQRT(2*9.81*(O1538/100-fi_h/2/1000))*1000)),"",IF(O1538&lt;fi_h/20,0,(OFFSET('Base de dados'!$A$5,IF(O1538&lt;20,1,IF(O1538&gt;1000,10,MATCH(O1538,Cargas,1))),Coluna_fih,1,1))*(PI()*(fi_h/1000)^2/4)*SQRT(2*9.81*(O1538/100-fi_h/2/1000))*1000))</f>
        <v>5.2351165231092374</v>
      </c>
      <c r="Q1538" s="38">
        <f ca="1">IF(O1538="","",IF(Tipo_Vertedor="Retangular",IF(O1538&lt;=cota_s*100,0,IF(Tipo_Vertedor="Retangular",Cd_sr*Lef_sr*((O1538/100-cota_s)^(3/2))*1000)),IF(O1538&lt;=cota_s*100+fi_s/20,0,(OFFSET('Base de dados'!$A$4,IF(O1538&lt;20,1,IF(O1538&gt;1000,10,MATCH(O1538,Cargas,1))),Coluna_fis,1,1))*(PI()*(fi_s/1000)^2/4)*(2*9.81*(O1538/100-cota_s-fi_s/2/1000))^0.5*1000)))</f>
        <v>4.3368329253333195</v>
      </c>
      <c r="R1538" s="38">
        <f t="shared" ca="1" si="205"/>
        <v>9.571949448442556</v>
      </c>
      <c r="S1538" s="38">
        <f t="shared" ca="1" si="206"/>
        <v>480.31249999999994</v>
      </c>
    </row>
    <row r="1539" spans="13:19">
      <c r="M1539" s="132">
        <f t="shared" ca="1" si="203"/>
        <v>490.20072478179861</v>
      </c>
      <c r="N1539" s="38">
        <f t="shared" si="204"/>
        <v>14.418750000000001</v>
      </c>
      <c r="O1539" s="36">
        <f t="shared" si="202"/>
        <v>384.5</v>
      </c>
      <c r="P1539" s="38">
        <f ca="1">IF(ISERROR(IF(O1539&lt;fi_h/20,0,(OFFSET('Base de dados'!$A$5,IF(O1539&lt;20,1,IF(O1539&gt;1000,10,MATCH(O1539,Cargas,1))),Coluna_fih,1,1))*(1+0.13*0.25)*(PI()*(fi_h/1000)^2/4)*SQRT(2*9.81*(O1539/100-fi_h/2/1000))*1000)),"",IF(O1539&lt;fi_h/20,0,(OFFSET('Base de dados'!$A$5,IF(O1539&lt;20,1,IF(O1539&gt;1000,10,MATCH(O1539,Cargas,1))),Coluna_fih,1,1))*(PI()*(fi_h/1000)^2/4)*SQRT(2*9.81*(O1539/100-fi_h/2/1000))*1000))</f>
        <v>5.236827110761527</v>
      </c>
      <c r="Q1539" s="38">
        <f ca="1">IF(O1539="","",IF(Tipo_Vertedor="Retangular",IF(O1539&lt;=cota_s*100,0,IF(Tipo_Vertedor="Retangular",Cd_sr*Lef_sr*((O1539/100-cota_s)^(3/2))*1000)),IF(O1539&lt;=cota_s*100+fi_s/20,0,(OFFSET('Base de dados'!$A$4,IF(O1539&lt;20,1,IF(O1539&gt;1000,10,MATCH(O1539,Cargas,1))),Coluna_fis,1,1))*(PI()*(fi_s/1000)^2/4)*(2*9.81*(O1539/100-cota_s-fi_s/2/1000))^0.5*1000)))</f>
        <v>4.3388976710370502</v>
      </c>
      <c r="R1539" s="38">
        <f t="shared" ca="1" si="205"/>
        <v>9.5757247817985771</v>
      </c>
      <c r="S1539" s="38">
        <f t="shared" ca="1" si="206"/>
        <v>480.62500000000006</v>
      </c>
    </row>
    <row r="1540" spans="13:19">
      <c r="M1540" s="132">
        <f t="shared" ca="1" si="203"/>
        <v>490.51699857450012</v>
      </c>
      <c r="N1540" s="38">
        <f t="shared" si="204"/>
        <v>14.428125000000001</v>
      </c>
      <c r="O1540" s="36">
        <f t="shared" si="202"/>
        <v>384.75</v>
      </c>
      <c r="P1540" s="38">
        <f ca="1">IF(ISERROR(IF(O1540&lt;fi_h/20,0,(OFFSET('Base de dados'!$A$5,IF(O1540&lt;20,1,IF(O1540&gt;1000,10,MATCH(O1540,Cargas,1))),Coluna_fih,1,1))*(1+0.13*0.25)*(PI()*(fi_h/1000)^2/4)*SQRT(2*9.81*(O1540/100-fi_h/2/1000))*1000)),"",IF(O1540&lt;fi_h/20,0,(OFFSET('Base de dados'!$A$5,IF(O1540&lt;20,1,IF(O1540&gt;1000,10,MATCH(O1540,Cargas,1))),Coluna_fih,1,1))*(PI()*(fi_h/1000)^2/4)*SQRT(2*9.81*(O1540/100-fi_h/2/1000))*1000))</f>
        <v>5.2385371398399476</v>
      </c>
      <c r="Q1540" s="38">
        <f ca="1">IF(O1540="","",IF(Tipo_Vertedor="Retangular",IF(O1540&lt;=cota_s*100,0,IF(Tipo_Vertedor="Retangular",Cd_sr*Lef_sr*((O1540/100-cota_s)^(3/2))*1000)),IF(O1540&lt;=cota_s*100+fi_s/20,0,(OFFSET('Base de dados'!$A$4,IF(O1540&lt;20,1,IF(O1540&gt;1000,10,MATCH(O1540,Cargas,1))),Coluna_fis,1,1))*(PI()*(fi_s/1000)^2/4)*(2*9.81*(O1540/100-cota_s-fi_s/2/1000))^0.5*1000)))</f>
        <v>4.3409614346601035</v>
      </c>
      <c r="R1540" s="38">
        <f t="shared" ca="1" si="205"/>
        <v>9.5794985745000503</v>
      </c>
      <c r="S1540" s="38">
        <f t="shared" ca="1" si="206"/>
        <v>480.93750000000006</v>
      </c>
    </row>
    <row r="1541" spans="13:19">
      <c r="M1541" s="132">
        <f t="shared" ca="1" si="203"/>
        <v>490.83327082849382</v>
      </c>
      <c r="N1541" s="38">
        <f t="shared" si="204"/>
        <v>14.4375</v>
      </c>
      <c r="O1541" s="36">
        <f t="shared" si="202"/>
        <v>385</v>
      </c>
      <c r="P1541" s="38">
        <f ca="1">IF(ISERROR(IF(O1541&lt;fi_h/20,0,(OFFSET('Base de dados'!$A$5,IF(O1541&lt;20,1,IF(O1541&gt;1000,10,MATCH(O1541,Cargas,1))),Coluna_fih,1,1))*(1+0.13*0.25)*(PI()*(fi_h/1000)^2/4)*SQRT(2*9.81*(O1541/100-fi_h/2/1000))*1000)),"",IF(O1541&lt;fi_h/20,0,(OFFSET('Base de dados'!$A$5,IF(O1541&lt;20,1,IF(O1541&gt;1000,10,MATCH(O1541,Cargas,1))),Coluna_fih,1,1))*(PI()*(fi_h/1000)^2/4)*SQRT(2*9.81*(O1541/100-fi_h/2/1000))*1000))</f>
        <v>5.2402466108913304</v>
      </c>
      <c r="Q1541" s="38">
        <f ca="1">IF(O1541="","",IF(Tipo_Vertedor="Retangular",IF(O1541&lt;=cota_s*100,0,IF(Tipo_Vertedor="Retangular",Cd_sr*Lef_sr*((O1541/100-cota_s)^(3/2))*1000)),IF(O1541&lt;=cota_s*100+fi_s/20,0,(OFFSET('Base de dados'!$A$4,IF(O1541&lt;20,1,IF(O1541&gt;1000,10,MATCH(O1541,Cargas,1))),Coluna_fis,1,1))*(PI()*(fi_s/1000)^2/4)*(2*9.81*(O1541/100-cota_s-fi_s/2/1000))^0.5*1000)))</f>
        <v>4.3430242176025091</v>
      </c>
      <c r="R1541" s="38">
        <f t="shared" ca="1" si="205"/>
        <v>9.5832708284938395</v>
      </c>
      <c r="S1541" s="38">
        <f t="shared" ca="1" si="206"/>
        <v>481.25</v>
      </c>
    </row>
    <row r="1542" spans="13:19">
      <c r="M1542" s="132">
        <f t="shared" ca="1" si="203"/>
        <v>491.14954154572257</v>
      </c>
      <c r="N1542" s="38">
        <f t="shared" si="204"/>
        <v>14.446875</v>
      </c>
      <c r="O1542" s="36">
        <f t="shared" si="202"/>
        <v>385.25</v>
      </c>
      <c r="P1542" s="38">
        <f ca="1">IF(ISERROR(IF(O1542&lt;fi_h/20,0,(OFFSET('Base de dados'!$A$5,IF(O1542&lt;20,1,IF(O1542&gt;1000,10,MATCH(O1542,Cargas,1))),Coluna_fih,1,1))*(1+0.13*0.25)*(PI()*(fi_h/1000)^2/4)*SQRT(2*9.81*(O1542/100-fi_h/2/1000))*1000)),"",IF(O1542&lt;fi_h/20,0,(OFFSET('Base de dados'!$A$5,IF(O1542&lt;20,1,IF(O1542&gt;1000,10,MATCH(O1542,Cargas,1))),Coluna_fih,1,1))*(PI()*(fi_h/1000)^2/4)*SQRT(2*9.81*(O1542/100-fi_h/2/1000))*1000))</f>
        <v>5.2419555244616163</v>
      </c>
      <c r="Q1542" s="38">
        <f ca="1">IF(O1542="","",IF(Tipo_Vertedor="Retangular",IF(O1542&lt;=cota_s*100,0,IF(Tipo_Vertedor="Retangular",Cd_sr*Lef_sr*((O1542/100-cota_s)^(3/2))*1000)),IF(O1542&lt;=cota_s*100+fi_s/20,0,(OFFSET('Base de dados'!$A$4,IF(O1542&lt;20,1,IF(O1542&gt;1000,10,MATCH(O1542,Cargas,1))),Coluna_fis,1,1))*(PI()*(fi_s/1000)^2/4)*(2*9.81*(O1542/100-cota_s-fi_s/2/1000))^0.5*1000)))</f>
        <v>4.3450860212609665</v>
      </c>
      <c r="R1542" s="38">
        <f t="shared" ca="1" si="205"/>
        <v>9.5870415457225828</v>
      </c>
      <c r="S1542" s="38">
        <f t="shared" ca="1" si="206"/>
        <v>481.5625</v>
      </c>
    </row>
    <row r="1543" spans="13:19">
      <c r="M1543" s="132">
        <f t="shared" ca="1" si="203"/>
        <v>491.46581072812472</v>
      </c>
      <c r="N1543" s="38">
        <f t="shared" si="204"/>
        <v>14.456250000000001</v>
      </c>
      <c r="O1543" s="36">
        <f t="shared" si="202"/>
        <v>385.5</v>
      </c>
      <c r="P1543" s="38">
        <f ca="1">IF(ISERROR(IF(O1543&lt;fi_h/20,0,(OFFSET('Base de dados'!$A$5,IF(O1543&lt;20,1,IF(O1543&gt;1000,10,MATCH(O1543,Cargas,1))),Coluna_fih,1,1))*(1+0.13*0.25)*(PI()*(fi_h/1000)^2/4)*SQRT(2*9.81*(O1543/100-fi_h/2/1000))*1000)),"",IF(O1543&lt;fi_h/20,0,(OFFSET('Base de dados'!$A$5,IF(O1543&lt;20,1,IF(O1543&gt;1000,10,MATCH(O1543,Cargas,1))),Coluna_fih,1,1))*(PI()*(fi_h/1000)^2/4)*SQRT(2*9.81*(O1543/100-fi_h/2/1000))*1000))</f>
        <v>5.2436638810958538</v>
      </c>
      <c r="Q1543" s="38">
        <f ca="1">IF(O1543="","",IF(Tipo_Vertedor="Retangular",IF(O1543&lt;=cota_s*100,0,IF(Tipo_Vertedor="Retangular",Cd_sr*Lef_sr*((O1543/100-cota_s)^(3/2))*1000)),IF(O1543&lt;=cota_s*100+fi_s/20,0,(OFFSET('Base de dados'!$A$4,IF(O1543&lt;20,1,IF(O1543&gt;1000,10,MATCH(O1543,Cargas,1))),Coluna_fis,1,1))*(PI()*(fi_s/1000)^2/4)*(2*9.81*(O1543/100-cota_s-fi_s/2/1000))^0.5*1000)))</f>
        <v>4.3471468470288688</v>
      </c>
      <c r="R1543" s="38">
        <f t="shared" ca="1" si="205"/>
        <v>9.5908107281247226</v>
      </c>
      <c r="S1543" s="38">
        <f t="shared" ca="1" si="206"/>
        <v>481.875</v>
      </c>
    </row>
    <row r="1544" spans="13:19">
      <c r="M1544" s="132">
        <f t="shared" ca="1" si="203"/>
        <v>491.78207837763449</v>
      </c>
      <c r="N1544" s="38">
        <f t="shared" si="204"/>
        <v>14.465624999999999</v>
      </c>
      <c r="O1544" s="36">
        <f t="shared" si="202"/>
        <v>385.75</v>
      </c>
      <c r="P1544" s="38">
        <f ca="1">IF(ISERROR(IF(O1544&lt;fi_h/20,0,(OFFSET('Base de dados'!$A$5,IF(O1544&lt;20,1,IF(O1544&gt;1000,10,MATCH(O1544,Cargas,1))),Coluna_fih,1,1))*(1+0.13*0.25)*(PI()*(fi_h/1000)^2/4)*SQRT(2*9.81*(O1544/100-fi_h/2/1000))*1000)),"",IF(O1544&lt;fi_h/20,0,(OFFSET('Base de dados'!$A$5,IF(O1544&lt;20,1,IF(O1544&gt;1000,10,MATCH(O1544,Cargas,1))),Coluna_fih,1,1))*(PI()*(fi_h/1000)^2/4)*SQRT(2*9.81*(O1544/100-fi_h/2/1000))*1000))</f>
        <v>5.2453716813382067</v>
      </c>
      <c r="Q1544" s="38">
        <f ca="1">IF(O1544="","",IF(Tipo_Vertedor="Retangular",IF(O1544&lt;=cota_s*100,0,IF(Tipo_Vertedor="Retangular",Cd_sr*Lef_sr*((O1544/100-cota_s)^(3/2))*1000)),IF(O1544&lt;=cota_s*100+fi_s/20,0,(OFFSET('Base de dados'!$A$4,IF(O1544&lt;20,1,IF(O1544&gt;1000,10,MATCH(O1544,Cargas,1))),Coluna_fis,1,1))*(PI()*(fi_s/1000)^2/4)*(2*9.81*(O1544/100-cota_s-fi_s/2/1000))^0.5*1000)))</f>
        <v>4.349206696296303</v>
      </c>
      <c r="R1544" s="38">
        <f t="shared" ca="1" si="205"/>
        <v>9.5945783776345088</v>
      </c>
      <c r="S1544" s="38">
        <f t="shared" ca="1" si="206"/>
        <v>482.1875</v>
      </c>
    </row>
    <row r="1545" spans="13:19">
      <c r="M1545" s="132">
        <f t="shared" ca="1" si="203"/>
        <v>492.09834449618199</v>
      </c>
      <c r="N1545" s="38">
        <f t="shared" si="204"/>
        <v>14.475</v>
      </c>
      <c r="O1545" s="36">
        <f t="shared" si="202"/>
        <v>386</v>
      </c>
      <c r="P1545" s="38">
        <f ca="1">IF(ISERROR(IF(O1545&lt;fi_h/20,0,(OFFSET('Base de dados'!$A$5,IF(O1545&lt;20,1,IF(O1545&gt;1000,10,MATCH(O1545,Cargas,1))),Coluna_fih,1,1))*(1+0.13*0.25)*(PI()*(fi_h/1000)^2/4)*SQRT(2*9.81*(O1545/100-fi_h/2/1000))*1000)),"",IF(O1545&lt;fi_h/20,0,(OFFSET('Base de dados'!$A$5,IF(O1545&lt;20,1,IF(O1545&gt;1000,10,MATCH(O1545,Cargas,1))),Coluna_fih,1,1))*(PI()*(fi_h/1000)^2/4)*SQRT(2*9.81*(O1545/100-fi_h/2/1000))*1000))</f>
        <v>5.2470789257319517</v>
      </c>
      <c r="Q1545" s="38">
        <f ca="1">IF(O1545="","",IF(Tipo_Vertedor="Retangular",IF(O1545&lt;=cota_s*100,0,IF(Tipo_Vertedor="Retangular",Cd_sr*Lef_sr*((O1545/100-cota_s)^(3/2))*1000)),IF(O1545&lt;=cota_s*100+fi_s/20,0,(OFFSET('Base de dados'!$A$4,IF(O1545&lt;20,1,IF(O1545&gt;1000,10,MATCH(O1545,Cargas,1))),Coluna_fis,1,1))*(PI()*(fi_s/1000)^2/4)*(2*9.81*(O1545/100-cota_s-fi_s/2/1000))^0.5*1000)))</f>
        <v>4.3512655704500709</v>
      </c>
      <c r="R1545" s="38">
        <f t="shared" ca="1" si="205"/>
        <v>9.5983444961820226</v>
      </c>
      <c r="S1545" s="38">
        <f t="shared" ca="1" si="206"/>
        <v>482.5</v>
      </c>
    </row>
    <row r="1546" spans="13:19">
      <c r="M1546" s="132">
        <f t="shared" ca="1" si="203"/>
        <v>492.4146090856932</v>
      </c>
      <c r="N1546" s="38">
        <f t="shared" si="204"/>
        <v>14.484375</v>
      </c>
      <c r="O1546" s="36">
        <f t="shared" si="202"/>
        <v>386.25</v>
      </c>
      <c r="P1546" s="38">
        <f ca="1">IF(ISERROR(IF(O1546&lt;fi_h/20,0,(OFFSET('Base de dados'!$A$5,IF(O1546&lt;20,1,IF(O1546&gt;1000,10,MATCH(O1546,Cargas,1))),Coluna_fih,1,1))*(1+0.13*0.25)*(PI()*(fi_h/1000)^2/4)*SQRT(2*9.81*(O1546/100-fi_h/2/1000))*1000)),"",IF(O1546&lt;fi_h/20,0,(OFFSET('Base de dados'!$A$5,IF(O1546&lt;20,1,IF(O1546&gt;1000,10,MATCH(O1546,Cargas,1))),Coluna_fih,1,1))*(PI()*(fi_h/1000)^2/4)*SQRT(2*9.81*(O1546/100-fi_h/2/1000))*1000))</f>
        <v>5.248785614819484</v>
      </c>
      <c r="Q1546" s="38">
        <f ca="1">IF(O1546="","",IF(Tipo_Vertedor="Retangular",IF(O1546&lt;=cota_s*100,0,IF(Tipo_Vertedor="Retangular",Cd_sr*Lef_sr*((O1546/100-cota_s)^(3/2))*1000)),IF(O1546&lt;=cota_s*100+fi_s/20,0,(OFFSET('Base de dados'!$A$4,IF(O1546&lt;20,1,IF(O1546&gt;1000,10,MATCH(O1546,Cargas,1))),Coluna_fis,1,1))*(PI()*(fi_s/1000)^2/4)*(2*9.81*(O1546/100-cota_s-fi_s/2/1000))^0.5*1000)))</f>
        <v>4.3533234708736908</v>
      </c>
      <c r="R1546" s="38">
        <f t="shared" ca="1" si="205"/>
        <v>9.6021090856931757</v>
      </c>
      <c r="S1546" s="38">
        <f t="shared" ca="1" si="206"/>
        <v>482.8125</v>
      </c>
    </row>
    <row r="1547" spans="13:19">
      <c r="M1547" s="132">
        <f t="shared" ca="1" si="203"/>
        <v>492.7308721480897</v>
      </c>
      <c r="N1547" s="38">
        <f t="shared" si="204"/>
        <v>14.49375</v>
      </c>
      <c r="O1547" s="36">
        <f t="shared" si="202"/>
        <v>386.5</v>
      </c>
      <c r="P1547" s="38">
        <f ca="1">IF(ISERROR(IF(O1547&lt;fi_h/20,0,(OFFSET('Base de dados'!$A$5,IF(O1547&lt;20,1,IF(O1547&gt;1000,10,MATCH(O1547,Cargas,1))),Coluna_fih,1,1))*(1+0.13*0.25)*(PI()*(fi_h/1000)^2/4)*SQRT(2*9.81*(O1547/100-fi_h/2/1000))*1000)),"",IF(O1547&lt;fi_h/20,0,(OFFSET('Base de dados'!$A$5,IF(O1547&lt;20,1,IF(O1547&gt;1000,10,MATCH(O1547,Cargas,1))),Coluna_fih,1,1))*(PI()*(fi_h/1000)^2/4)*SQRT(2*9.81*(O1547/100-fi_h/2/1000))*1000))</f>
        <v>5.2504917491423155</v>
      </c>
      <c r="Q1547" s="38">
        <f ca="1">IF(O1547="","",IF(Tipo_Vertedor="Retangular",IF(O1547&lt;=cota_s*100,0,IF(Tipo_Vertedor="Retangular",Cd_sr*Lef_sr*((O1547/100-cota_s)^(3/2))*1000)),IF(O1547&lt;=cota_s*100+fi_s/20,0,(OFFSET('Base de dados'!$A$4,IF(O1547&lt;20,1,IF(O1547&gt;1000,10,MATCH(O1547,Cargas,1))),Coluna_fis,1,1))*(PI()*(fi_s/1000)^2/4)*(2*9.81*(O1547/100-cota_s-fi_s/2/1000))^0.5*1000)))</f>
        <v>4.355380398947414</v>
      </c>
      <c r="R1547" s="38">
        <f t="shared" ca="1" si="205"/>
        <v>9.6058721480897304</v>
      </c>
      <c r="S1547" s="38">
        <f t="shared" ca="1" si="206"/>
        <v>483.125</v>
      </c>
    </row>
    <row r="1548" spans="13:19">
      <c r="M1548" s="132">
        <f t="shared" ca="1" si="203"/>
        <v>493.04713368528934</v>
      </c>
      <c r="N1548" s="38">
        <f t="shared" si="204"/>
        <v>14.503125000000001</v>
      </c>
      <c r="O1548" s="36">
        <f t="shared" si="202"/>
        <v>386.75</v>
      </c>
      <c r="P1548" s="38">
        <f ca="1">IF(ISERROR(IF(O1548&lt;fi_h/20,0,(OFFSET('Base de dados'!$A$5,IF(O1548&lt;20,1,IF(O1548&gt;1000,10,MATCH(O1548,Cargas,1))),Coluna_fih,1,1))*(1+0.13*0.25)*(PI()*(fi_h/1000)^2/4)*SQRT(2*9.81*(O1548/100-fi_h/2/1000))*1000)),"",IF(O1548&lt;fi_h/20,0,(OFFSET('Base de dados'!$A$5,IF(O1548&lt;20,1,IF(O1548&gt;1000,10,MATCH(O1548,Cargas,1))),Coluna_fih,1,1))*(PI()*(fi_h/1000)^2/4)*SQRT(2*9.81*(O1548/100-fi_h/2/1000))*1000))</f>
        <v>5.2521973292410777</v>
      </c>
      <c r="Q1548" s="38">
        <f ca="1">IF(O1548="","",IF(Tipo_Vertedor="Retangular",IF(O1548&lt;=cota_s*100,0,IF(Tipo_Vertedor="Retangular",Cd_sr*Lef_sr*((O1548/100-cota_s)^(3/2))*1000)),IF(O1548&lt;=cota_s*100+fi_s/20,0,(OFFSET('Base de dados'!$A$4,IF(O1548&lt;20,1,IF(O1548&gt;1000,10,MATCH(O1548,Cargas,1))),Coluna_fis,1,1))*(PI()*(fi_s/1000)^2/4)*(2*9.81*(O1548/100-cota_s-fi_s/2/1000))^0.5*1000)))</f>
        <v>4.3574363560482343</v>
      </c>
      <c r="R1548" s="38">
        <f t="shared" ca="1" si="205"/>
        <v>9.6096336852893121</v>
      </c>
      <c r="S1548" s="38">
        <f t="shared" ca="1" si="206"/>
        <v>483.4375</v>
      </c>
    </row>
    <row r="1549" spans="13:19">
      <c r="M1549" s="132">
        <f t="shared" ca="1" si="203"/>
        <v>493.36339369920546</v>
      </c>
      <c r="N1549" s="38">
        <f t="shared" si="204"/>
        <v>14.512500000000001</v>
      </c>
      <c r="O1549" s="36">
        <f t="shared" si="202"/>
        <v>387</v>
      </c>
      <c r="P1549" s="38">
        <f ca="1">IF(ISERROR(IF(O1549&lt;fi_h/20,0,(OFFSET('Base de dados'!$A$5,IF(O1549&lt;20,1,IF(O1549&gt;1000,10,MATCH(O1549,Cargas,1))),Coluna_fih,1,1))*(1+0.13*0.25)*(PI()*(fi_h/1000)^2/4)*SQRT(2*9.81*(O1549/100-fi_h/2/1000))*1000)),"",IF(O1549&lt;fi_h/20,0,(OFFSET('Base de dados'!$A$5,IF(O1549&lt;20,1,IF(O1549&gt;1000,10,MATCH(O1549,Cargas,1))),Coluna_fih,1,1))*(PI()*(fi_h/1000)^2/4)*SQRT(2*9.81*(O1549/100-fi_h/2/1000))*1000))</f>
        <v>5.2539023556555255</v>
      </c>
      <c r="Q1549" s="38">
        <f ca="1">IF(O1549="","",IF(Tipo_Vertedor="Retangular",IF(O1549&lt;=cota_s*100,0,IF(Tipo_Vertedor="Retangular",Cd_sr*Lef_sr*((O1549/100-cota_s)^(3/2))*1000)),IF(O1549&lt;=cota_s*100+fi_s/20,0,(OFFSET('Base de dados'!$A$4,IF(O1549&lt;20,1,IF(O1549&gt;1000,10,MATCH(O1549,Cargas,1))),Coluna_fis,1,1))*(PI()*(fi_s/1000)^2/4)*(2*9.81*(O1549/100-cota_s-fi_s/2/1000))^0.5*1000)))</f>
        <v>4.3594913435498972</v>
      </c>
      <c r="R1549" s="38">
        <f t="shared" ca="1" si="205"/>
        <v>9.6133936992054227</v>
      </c>
      <c r="S1549" s="38">
        <f t="shared" ca="1" si="206"/>
        <v>483.75000000000006</v>
      </c>
    </row>
    <row r="1550" spans="13:19">
      <c r="M1550" s="132">
        <f t="shared" ca="1" si="203"/>
        <v>493.67965219174744</v>
      </c>
      <c r="N1550" s="38">
        <f t="shared" si="204"/>
        <v>14.521875</v>
      </c>
      <c r="O1550" s="36">
        <f t="shared" si="202"/>
        <v>387.25</v>
      </c>
      <c r="P1550" s="38">
        <f ca="1">IF(ISERROR(IF(O1550&lt;fi_h/20,0,(OFFSET('Base de dados'!$A$5,IF(O1550&lt;20,1,IF(O1550&gt;1000,10,MATCH(O1550,Cargas,1))),Coluna_fih,1,1))*(1+0.13*0.25)*(PI()*(fi_h/1000)^2/4)*SQRT(2*9.81*(O1550/100-fi_h/2/1000))*1000)),"",IF(O1550&lt;fi_h/20,0,(OFFSET('Base de dados'!$A$5,IF(O1550&lt;20,1,IF(O1550&gt;1000,10,MATCH(O1550,Cargas,1))),Coluna_fih,1,1))*(PI()*(fi_h/1000)^2/4)*SQRT(2*9.81*(O1550/100-fi_h/2/1000))*1000))</f>
        <v>5.255606828924539</v>
      </c>
      <c r="Q1550" s="38">
        <f ca="1">IF(O1550="","",IF(Tipo_Vertedor="Retangular",IF(O1550&lt;=cota_s*100,0,IF(Tipo_Vertedor="Retangular",Cd_sr*Lef_sr*((O1550/100-cota_s)^(3/2))*1000)),IF(O1550&lt;=cota_s*100+fi_s/20,0,(OFFSET('Base de dados'!$A$4,IF(O1550&lt;20,1,IF(O1550&gt;1000,10,MATCH(O1550,Cargas,1))),Coluna_fis,1,1))*(PI()*(fi_s/1000)^2/4)*(2*9.81*(O1550/100-cota_s-fi_s/2/1000))^0.5*1000)))</f>
        <v>4.3615453628229135</v>
      </c>
      <c r="R1550" s="38">
        <f t="shared" ca="1" si="205"/>
        <v>9.6171521917474525</v>
      </c>
      <c r="S1550" s="38">
        <f t="shared" ca="1" si="206"/>
        <v>484.0625</v>
      </c>
    </row>
    <row r="1551" spans="13:19">
      <c r="M1551" s="132">
        <f t="shared" ca="1" si="203"/>
        <v>493.99590916482072</v>
      </c>
      <c r="N1551" s="38">
        <f t="shared" si="204"/>
        <v>14.53125</v>
      </c>
      <c r="O1551" s="36">
        <f t="shared" si="202"/>
        <v>387.5</v>
      </c>
      <c r="P1551" s="38">
        <f ca="1">IF(ISERROR(IF(O1551&lt;fi_h/20,0,(OFFSET('Base de dados'!$A$5,IF(O1551&lt;20,1,IF(O1551&gt;1000,10,MATCH(O1551,Cargas,1))),Coluna_fih,1,1))*(1+0.13*0.25)*(PI()*(fi_h/1000)^2/4)*SQRT(2*9.81*(O1551/100-fi_h/2/1000))*1000)),"",IF(O1551&lt;fi_h/20,0,(OFFSET('Base de dados'!$A$5,IF(O1551&lt;20,1,IF(O1551&gt;1000,10,MATCH(O1551,Cargas,1))),Coluna_fih,1,1))*(PI()*(fi_h/1000)^2/4)*SQRT(2*9.81*(O1551/100-fi_h/2/1000))*1000))</f>
        <v>5.2573107495861251</v>
      </c>
      <c r="Q1551" s="38">
        <f ca="1">IF(O1551="","",IF(Tipo_Vertedor="Retangular",IF(O1551&lt;=cota_s*100,0,IF(Tipo_Vertedor="Retangular",Cd_sr*Lef_sr*((O1551/100-cota_s)^(3/2))*1000)),IF(O1551&lt;=cota_s*100+fi_s/20,0,(OFFSET('Base de dados'!$A$4,IF(O1551&lt;20,1,IF(O1551&gt;1000,10,MATCH(O1551,Cargas,1))),Coluna_fis,1,1))*(PI()*(fi_s/1000)^2/4)*(2*9.81*(O1551/100-cota_s-fi_s/2/1000))^0.5*1000)))</f>
        <v>4.3635984152345682</v>
      </c>
      <c r="R1551" s="38">
        <f t="shared" ca="1" si="205"/>
        <v>9.6209091648206932</v>
      </c>
      <c r="S1551" s="38">
        <f t="shared" ca="1" si="206"/>
        <v>484.375</v>
      </c>
    </row>
    <row r="1552" spans="13:19">
      <c r="M1552" s="132">
        <f t="shared" ca="1" si="203"/>
        <v>494.31216462032637</v>
      </c>
      <c r="N1552" s="38">
        <f t="shared" si="204"/>
        <v>14.540625</v>
      </c>
      <c r="O1552" s="36">
        <f t="shared" si="202"/>
        <v>387.75</v>
      </c>
      <c r="P1552" s="38">
        <f ca="1">IF(ISERROR(IF(O1552&lt;fi_h/20,0,(OFFSET('Base de dados'!$A$5,IF(O1552&lt;20,1,IF(O1552&gt;1000,10,MATCH(O1552,Cargas,1))),Coluna_fih,1,1))*(1+0.13*0.25)*(PI()*(fi_h/1000)^2/4)*SQRT(2*9.81*(O1552/100-fi_h/2/1000))*1000)),"",IF(O1552&lt;fi_h/20,0,(OFFSET('Base de dados'!$A$5,IF(O1552&lt;20,1,IF(O1552&gt;1000,10,MATCH(O1552,Cargas,1))),Coluna_fih,1,1))*(PI()*(fi_h/1000)^2/4)*SQRT(2*9.81*(O1552/100-fi_h/2/1000))*1000))</f>
        <v>5.2590141181774177</v>
      </c>
      <c r="Q1552" s="38">
        <f ca="1">IF(O1552="","",IF(Tipo_Vertedor="Retangular",IF(O1552&lt;=cota_s*100,0,IF(Tipo_Vertedor="Retangular",Cd_sr*Lef_sr*((O1552/100-cota_s)^(3/2))*1000)),IF(O1552&lt;=cota_s*100+fi_s/20,0,(OFFSET('Base de dados'!$A$4,IF(O1552&lt;20,1,IF(O1552&gt;1000,10,MATCH(O1552,Cargas,1))),Coluna_fis,1,1))*(PI()*(fi_s/1000)^2/4)*(2*9.81*(O1552/100-cota_s-fi_s/2/1000))^0.5*1000)))</f>
        <v>4.3656505021489309</v>
      </c>
      <c r="R1552" s="38">
        <f t="shared" ca="1" si="205"/>
        <v>9.6246646203263495</v>
      </c>
      <c r="S1552" s="38">
        <f t="shared" ca="1" si="206"/>
        <v>484.6875</v>
      </c>
    </row>
    <row r="1553" spans="13:19">
      <c r="M1553" s="132">
        <f t="shared" ca="1" si="203"/>
        <v>494.62841856016149</v>
      </c>
      <c r="N1553" s="38">
        <f t="shared" si="204"/>
        <v>14.549999999999999</v>
      </c>
      <c r="O1553" s="36">
        <f t="shared" si="202"/>
        <v>388</v>
      </c>
      <c r="P1553" s="38">
        <f ca="1">IF(ISERROR(IF(O1553&lt;fi_h/20,0,(OFFSET('Base de dados'!$A$5,IF(O1553&lt;20,1,IF(O1553&gt;1000,10,MATCH(O1553,Cargas,1))),Coluna_fih,1,1))*(1+0.13*0.25)*(PI()*(fi_h/1000)^2/4)*SQRT(2*9.81*(O1553/100-fi_h/2/1000))*1000)),"",IF(O1553&lt;fi_h/20,0,(OFFSET('Base de dados'!$A$5,IF(O1553&lt;20,1,IF(O1553&gt;1000,10,MATCH(O1553,Cargas,1))),Coluna_fih,1,1))*(PI()*(fi_h/1000)^2/4)*SQRT(2*9.81*(O1553/100-fi_h/2/1000))*1000))</f>
        <v>5.2607169352346812</v>
      </c>
      <c r="Q1553" s="38">
        <f ca="1">IF(O1553="","",IF(Tipo_Vertedor="Retangular",IF(O1553&lt;=cota_s*100,0,IF(Tipo_Vertedor="Retangular",Cd_sr*Lef_sr*((O1553/100-cota_s)^(3/2))*1000)),IF(O1553&lt;=cota_s*100+fi_s/20,0,(OFFSET('Base de dados'!$A$4,IF(O1553&lt;20,1,IF(O1553&gt;1000,10,MATCH(O1553,Cargas,1))),Coluna_fis,1,1))*(PI()*(fi_s/1000)^2/4)*(2*9.81*(O1553/100-cota_s-fi_s/2/1000))^0.5*1000)))</f>
        <v>4.3677016249268661</v>
      </c>
      <c r="R1553" s="38">
        <f t="shared" ca="1" si="205"/>
        <v>9.6284185601615473</v>
      </c>
      <c r="S1553" s="38">
        <f t="shared" ca="1" si="206"/>
        <v>484.99999999999994</v>
      </c>
    </row>
    <row r="1554" spans="13:19">
      <c r="M1554" s="132">
        <f t="shared" ca="1" si="203"/>
        <v>494.94467098621936</v>
      </c>
      <c r="N1554" s="38">
        <f t="shared" si="204"/>
        <v>14.559374999999999</v>
      </c>
      <c r="O1554" s="36">
        <f t="shared" si="202"/>
        <v>388.25</v>
      </c>
      <c r="P1554" s="38">
        <f ca="1">IF(ISERROR(IF(O1554&lt;fi_h/20,0,(OFFSET('Base de dados'!$A$5,IF(O1554&lt;20,1,IF(O1554&gt;1000,10,MATCH(O1554,Cargas,1))),Coluna_fih,1,1))*(1+0.13*0.25)*(PI()*(fi_h/1000)^2/4)*SQRT(2*9.81*(O1554/100-fi_h/2/1000))*1000)),"",IF(O1554&lt;fi_h/20,0,(OFFSET('Base de dados'!$A$5,IF(O1554&lt;20,1,IF(O1554&gt;1000,10,MATCH(O1554,Cargas,1))),Coluna_fih,1,1))*(PI()*(fi_h/1000)^2/4)*SQRT(2*9.81*(O1554/100-fi_h/2/1000))*1000))</f>
        <v>5.2624192012933149</v>
      </c>
      <c r="Q1554" s="38">
        <f ca="1">IF(O1554="","",IF(Tipo_Vertedor="Retangular",IF(O1554&lt;=cota_s*100,0,IF(Tipo_Vertedor="Retangular",Cd_sr*Lef_sr*((O1554/100-cota_s)^(3/2))*1000)),IF(O1554&lt;=cota_s*100+fi_s/20,0,(OFFSET('Base de dados'!$A$4,IF(O1554&lt;20,1,IF(O1554&gt;1000,10,MATCH(O1554,Cargas,1))),Coluna_fis,1,1))*(PI()*(fi_s/1000)^2/4)*(2*9.81*(O1554/100-cota_s-fi_s/2/1000))^0.5*1000)))</f>
        <v>4.3697517849260459</v>
      </c>
      <c r="R1554" s="38">
        <f t="shared" ca="1" si="205"/>
        <v>9.6321709862193607</v>
      </c>
      <c r="S1554" s="38">
        <f t="shared" ca="1" si="206"/>
        <v>485.3125</v>
      </c>
    </row>
    <row r="1555" spans="13:19">
      <c r="M1555" s="132">
        <f t="shared" ca="1" si="203"/>
        <v>495.26092190038878</v>
      </c>
      <c r="N1555" s="38">
        <f t="shared" si="204"/>
        <v>14.56875</v>
      </c>
      <c r="O1555" s="36">
        <f t="shared" ref="O1555:O1618" si="207">IF(ISERROR(IF(O1554+passo_altura&gt;h_max_puls*100,"",O1554+passo_altura)),"",IF(O1554+passo_altura&gt;h_max_puls*100,"",O1554+passo_altura))</f>
        <v>388.5</v>
      </c>
      <c r="P1555" s="38">
        <f ca="1">IF(ISERROR(IF(O1555&lt;fi_h/20,0,(OFFSET('Base de dados'!$A$5,IF(O1555&lt;20,1,IF(O1555&gt;1000,10,MATCH(O1555,Cargas,1))),Coluna_fih,1,1))*(1+0.13*0.25)*(PI()*(fi_h/1000)^2/4)*SQRT(2*9.81*(O1555/100-fi_h/2/1000))*1000)),"",IF(O1555&lt;fi_h/20,0,(OFFSET('Base de dados'!$A$5,IF(O1555&lt;20,1,IF(O1555&gt;1000,10,MATCH(O1555,Cargas,1))),Coluna_fih,1,1))*(PI()*(fi_h/1000)^2/4)*SQRT(2*9.81*(O1555/100-fi_h/2/1000))*1000))</f>
        <v>5.2641209168878449</v>
      </c>
      <c r="Q1555" s="38">
        <f ca="1">IF(O1555="","",IF(Tipo_Vertedor="Retangular",IF(O1555&lt;=cota_s*100,0,IF(Tipo_Vertedor="Retangular",Cd_sr*Lef_sr*((O1555/100-cota_s)^(3/2))*1000)),IF(O1555&lt;=cota_s*100+fi_s/20,0,(OFFSET('Base de dados'!$A$4,IF(O1555&lt;20,1,IF(O1555&gt;1000,10,MATCH(O1555,Cargas,1))),Coluna_fis,1,1))*(PI()*(fi_s/1000)^2/4)*(2*9.81*(O1555/100-cota_s-fi_s/2/1000))^0.5*1000)))</f>
        <v>4.3718009835009575</v>
      </c>
      <c r="R1555" s="38">
        <f t="shared" ca="1" si="205"/>
        <v>9.6359219003888015</v>
      </c>
      <c r="S1555" s="38">
        <f t="shared" ca="1" si="206"/>
        <v>485.625</v>
      </c>
    </row>
    <row r="1556" spans="13:19">
      <c r="M1556" s="132">
        <f t="shared" ca="1" si="203"/>
        <v>495.57717130455484</v>
      </c>
      <c r="N1556" s="38">
        <f t="shared" si="204"/>
        <v>14.578125</v>
      </c>
      <c r="O1556" s="36">
        <f t="shared" si="207"/>
        <v>388.75</v>
      </c>
      <c r="P1556" s="38">
        <f ca="1">IF(ISERROR(IF(O1556&lt;fi_h/20,0,(OFFSET('Base de dados'!$A$5,IF(O1556&lt;20,1,IF(O1556&gt;1000,10,MATCH(O1556,Cargas,1))),Coluna_fih,1,1))*(1+0.13*0.25)*(PI()*(fi_h/1000)^2/4)*SQRT(2*9.81*(O1556/100-fi_h/2/1000))*1000)),"",IF(O1556&lt;fi_h/20,0,(OFFSET('Base de dados'!$A$5,IF(O1556&lt;20,1,IF(O1556&gt;1000,10,MATCH(O1556,Cargas,1))),Coluna_fih,1,1))*(PI()*(fi_h/1000)^2/4)*SQRT(2*9.81*(O1556/100-fi_h/2/1000))*1000))</f>
        <v>5.2658220825519448</v>
      </c>
      <c r="Q1556" s="38">
        <f ca="1">IF(O1556="","",IF(Tipo_Vertedor="Retangular",IF(O1556&lt;=cota_s*100,0,IF(Tipo_Vertedor="Retangular",Cd_sr*Lef_sr*((O1556/100-cota_s)^(3/2))*1000)),IF(O1556&lt;=cota_s*100+fi_s/20,0,(OFFSET('Base de dados'!$A$4,IF(O1556&lt;20,1,IF(O1556&gt;1000,10,MATCH(O1556,Cargas,1))),Coluna_fis,1,1))*(PI()*(fi_s/1000)^2/4)*(2*9.81*(O1556/100-cota_s-fi_s/2/1000))^0.5*1000)))</f>
        <v>4.3738492220029155</v>
      </c>
      <c r="R1556" s="38">
        <f t="shared" ca="1" si="205"/>
        <v>9.6396713045548594</v>
      </c>
      <c r="S1556" s="38">
        <f t="shared" ca="1" si="206"/>
        <v>485.9375</v>
      </c>
    </row>
    <row r="1557" spans="13:19">
      <c r="M1557" s="132">
        <f t="shared" ca="1" si="203"/>
        <v>495.89341920059849</v>
      </c>
      <c r="N1557" s="38">
        <f t="shared" si="204"/>
        <v>14.5875</v>
      </c>
      <c r="O1557" s="36">
        <f t="shared" si="207"/>
        <v>389</v>
      </c>
      <c r="P1557" s="38">
        <f ca="1">IF(ISERROR(IF(O1557&lt;fi_h/20,0,(OFFSET('Base de dados'!$A$5,IF(O1557&lt;20,1,IF(O1557&gt;1000,10,MATCH(O1557,Cargas,1))),Coluna_fih,1,1))*(1+0.13*0.25)*(PI()*(fi_h/1000)^2/4)*SQRT(2*9.81*(O1557/100-fi_h/2/1000))*1000)),"",IF(O1557&lt;fi_h/20,0,(OFFSET('Base de dados'!$A$5,IF(O1557&lt;20,1,IF(O1557&gt;1000,10,MATCH(O1557,Cargas,1))),Coluna_fih,1,1))*(PI()*(fi_h/1000)^2/4)*SQRT(2*9.81*(O1557/100-fi_h/2/1000))*1000))</f>
        <v>5.2675226988184187</v>
      </c>
      <c r="Q1557" s="38">
        <f ca="1">IF(O1557="","",IF(Tipo_Vertedor="Retangular",IF(O1557&lt;=cota_s*100,0,IF(Tipo_Vertedor="Retangular",Cd_sr*Lef_sr*((O1557/100-cota_s)^(3/2))*1000)),IF(O1557&lt;=cota_s*100+fi_s/20,0,(OFFSET('Base de dados'!$A$4,IF(O1557&lt;20,1,IF(O1557&gt;1000,10,MATCH(O1557,Cargas,1))),Coluna_fis,1,1))*(PI()*(fi_s/1000)^2/4)*(2*9.81*(O1557/100-cota_s-fi_s/2/1000))^0.5*1000)))</f>
        <v>4.3758965017800735</v>
      </c>
      <c r="R1557" s="38">
        <f t="shared" ca="1" si="205"/>
        <v>9.6434192005984922</v>
      </c>
      <c r="S1557" s="38">
        <f t="shared" ca="1" si="206"/>
        <v>486.25</v>
      </c>
    </row>
    <row r="1558" spans="13:19">
      <c r="M1558" s="132">
        <f t="shared" ca="1" si="203"/>
        <v>496.20966559039664</v>
      </c>
      <c r="N1558" s="38">
        <f t="shared" si="204"/>
        <v>14.596875000000001</v>
      </c>
      <c r="O1558" s="36">
        <f t="shared" si="207"/>
        <v>389.25</v>
      </c>
      <c r="P1558" s="38">
        <f ca="1">IF(ISERROR(IF(O1558&lt;fi_h/20,0,(OFFSET('Base de dados'!$A$5,IF(O1558&lt;20,1,IF(O1558&gt;1000,10,MATCH(O1558,Cargas,1))),Coluna_fih,1,1))*(1+0.13*0.25)*(PI()*(fi_h/1000)^2/4)*SQRT(2*9.81*(O1558/100-fi_h/2/1000))*1000)),"",IF(O1558&lt;fi_h/20,0,(OFFSET('Base de dados'!$A$5,IF(O1558&lt;20,1,IF(O1558&gt;1000,10,MATCH(O1558,Cargas,1))),Coluna_fih,1,1))*(PI()*(fi_h/1000)^2/4)*SQRT(2*9.81*(O1558/100-fi_h/2/1000))*1000))</f>
        <v>5.2692227662192135</v>
      </c>
      <c r="Q1558" s="38">
        <f ca="1">IF(O1558="","",IF(Tipo_Vertedor="Retangular",IF(O1558&lt;=cota_s*100,0,IF(Tipo_Vertedor="Retangular",Cd_sr*Lef_sr*((O1558/100-cota_s)^(3/2))*1000)),IF(O1558&lt;=cota_s*100+fi_s/20,0,(OFFSET('Base de dados'!$A$4,IF(O1558&lt;20,1,IF(O1558&gt;1000,10,MATCH(O1558,Cargas,1))),Coluna_fis,1,1))*(PI()*(fi_s/1000)^2/4)*(2*9.81*(O1558/100-cota_s-fi_s/2/1000))^0.5*1000)))</f>
        <v>4.3779428241774312</v>
      </c>
      <c r="R1558" s="38">
        <f t="shared" ca="1" si="205"/>
        <v>9.6471655903966447</v>
      </c>
      <c r="S1558" s="38">
        <f t="shared" ca="1" si="206"/>
        <v>486.5625</v>
      </c>
    </row>
    <row r="1559" spans="13:19">
      <c r="M1559" s="132">
        <f t="shared" ref="M1559:M1622" ca="1" si="208">IF(O1559="","",2*N1559*1000/(Passo*60)+R1559)</f>
        <v>496.52591047582229</v>
      </c>
      <c r="N1559" s="38">
        <f t="shared" ref="N1559:N1622" si="209">IF(O1559="","",b_0*(O1559/100)^c_0)</f>
        <v>14.606249999999999</v>
      </c>
      <c r="O1559" s="36">
        <f t="shared" si="207"/>
        <v>389.5</v>
      </c>
      <c r="P1559" s="38">
        <f ca="1">IF(ISERROR(IF(O1559&lt;fi_h/20,0,(OFFSET('Base de dados'!$A$5,IF(O1559&lt;20,1,IF(O1559&gt;1000,10,MATCH(O1559,Cargas,1))),Coluna_fih,1,1))*(1+0.13*0.25)*(PI()*(fi_h/1000)^2/4)*SQRT(2*9.81*(O1559/100-fi_h/2/1000))*1000)),"",IF(O1559&lt;fi_h/20,0,(OFFSET('Base de dados'!$A$5,IF(O1559&lt;20,1,IF(O1559&gt;1000,10,MATCH(O1559,Cargas,1))),Coluna_fih,1,1))*(PI()*(fi_h/1000)^2/4)*SQRT(2*9.81*(O1559/100-fi_h/2/1000))*1000))</f>
        <v>5.2709222852854172</v>
      </c>
      <c r="Q1559" s="38">
        <f ca="1">IF(O1559="","",IF(Tipo_Vertedor="Retangular",IF(O1559&lt;=cota_s*100,0,IF(Tipo_Vertedor="Retangular",Cd_sr*Lef_sr*((O1559/100-cota_s)^(3/2))*1000)),IF(O1559&lt;=cota_s*100+fi_s/20,0,(OFFSET('Base de dados'!$A$4,IF(O1559&lt;20,1,IF(O1559&gt;1000,10,MATCH(O1559,Cargas,1))),Coluna_fis,1,1))*(PI()*(fi_s/1000)^2/4)*(2*9.81*(O1559/100-cota_s-fi_s/2/1000))^0.5*1000)))</f>
        <v>4.3799881905368467</v>
      </c>
      <c r="R1559" s="38">
        <f t="shared" ref="R1559:R1622" ca="1" si="210">IF(O1559="","",Q1559+P1559)</f>
        <v>9.6509104758222648</v>
      </c>
      <c r="S1559" s="38">
        <f t="shared" ref="S1559:S1622" ca="1" si="211">IF(M1559="","",2*N1559*1000/(Passo*60))</f>
        <v>486.875</v>
      </c>
    </row>
    <row r="1560" spans="13:19">
      <c r="M1560" s="132">
        <f t="shared" ca="1" si="208"/>
        <v>496.84215385874433</v>
      </c>
      <c r="N1560" s="38">
        <f t="shared" si="209"/>
        <v>14.615625</v>
      </c>
      <c r="O1560" s="36">
        <f t="shared" si="207"/>
        <v>389.75</v>
      </c>
      <c r="P1560" s="38">
        <f ca="1">IF(ISERROR(IF(O1560&lt;fi_h/20,0,(OFFSET('Base de dados'!$A$5,IF(O1560&lt;20,1,IF(O1560&gt;1000,10,MATCH(O1560,Cargas,1))),Coluna_fih,1,1))*(1+0.13*0.25)*(PI()*(fi_h/1000)^2/4)*SQRT(2*9.81*(O1560/100-fi_h/2/1000))*1000)),"",IF(O1560&lt;fi_h/20,0,(OFFSET('Base de dados'!$A$5,IF(O1560&lt;20,1,IF(O1560&gt;1000,10,MATCH(O1560,Cargas,1))),Coluna_fih,1,1))*(PI()*(fi_h/1000)^2/4)*SQRT(2*9.81*(O1560/100-fi_h/2/1000))*1000))</f>
        <v>5.2726212565472599</v>
      </c>
      <c r="Q1560" s="38">
        <f ca="1">IF(O1560="","",IF(Tipo_Vertedor="Retangular",IF(O1560&lt;=cota_s*100,0,IF(Tipo_Vertedor="Retangular",Cd_sr*Lef_sr*((O1560/100-cota_s)^(3/2))*1000)),IF(O1560&lt;=cota_s*100+fi_s/20,0,(OFFSET('Base de dados'!$A$4,IF(O1560&lt;20,1,IF(O1560&gt;1000,10,MATCH(O1560,Cargas,1))),Coluna_fis,1,1))*(PI()*(fi_s/1000)^2/4)*(2*9.81*(O1560/100-cota_s-fi_s/2/1000))^0.5*1000)))</f>
        <v>4.3820326021970457</v>
      </c>
      <c r="R1560" s="38">
        <f t="shared" ca="1" si="210"/>
        <v>9.6546538587443056</v>
      </c>
      <c r="S1560" s="38">
        <f t="shared" ca="1" si="211"/>
        <v>487.1875</v>
      </c>
    </row>
    <row r="1561" spans="13:19">
      <c r="M1561" s="132">
        <f t="shared" ca="1" si="208"/>
        <v>497.15839574102779</v>
      </c>
      <c r="N1561" s="38">
        <f t="shared" si="209"/>
        <v>14.625</v>
      </c>
      <c r="O1561" s="36">
        <f t="shared" si="207"/>
        <v>390</v>
      </c>
      <c r="P1561" s="38">
        <f ca="1">IF(ISERROR(IF(O1561&lt;fi_h/20,0,(OFFSET('Base de dados'!$A$5,IF(O1561&lt;20,1,IF(O1561&gt;1000,10,MATCH(O1561,Cargas,1))),Coluna_fih,1,1))*(1+0.13*0.25)*(PI()*(fi_h/1000)^2/4)*SQRT(2*9.81*(O1561/100-fi_h/2/1000))*1000)),"",IF(O1561&lt;fi_h/20,0,(OFFSET('Base de dados'!$A$5,IF(O1561&lt;20,1,IF(O1561&gt;1000,10,MATCH(O1561,Cargas,1))),Coluna_fih,1,1))*(PI()*(fi_h/1000)^2/4)*SQRT(2*9.81*(O1561/100-fi_h/2/1000))*1000))</f>
        <v>5.2743196805341244</v>
      </c>
      <c r="Q1561" s="38">
        <f ca="1">IF(O1561="","",IF(Tipo_Vertedor="Retangular",IF(O1561&lt;=cota_s*100,0,IF(Tipo_Vertedor="Retangular",Cd_sr*Lef_sr*((O1561/100-cota_s)^(3/2))*1000)),IF(O1561&lt;=cota_s*100+fi_s/20,0,(OFFSET('Base de dados'!$A$4,IF(O1561&lt;20,1,IF(O1561&gt;1000,10,MATCH(O1561,Cargas,1))),Coluna_fis,1,1))*(PI()*(fi_s/1000)^2/4)*(2*9.81*(O1561/100-cota_s-fi_s/2/1000))^0.5*1000)))</f>
        <v>4.3840760604936353</v>
      </c>
      <c r="R1561" s="38">
        <f t="shared" ca="1" si="210"/>
        <v>9.6583957410277606</v>
      </c>
      <c r="S1561" s="38">
        <f t="shared" ca="1" si="211"/>
        <v>487.5</v>
      </c>
    </row>
    <row r="1562" spans="13:19">
      <c r="M1562" s="132">
        <f t="shared" ca="1" si="208"/>
        <v>497.47463612453356</v>
      </c>
      <c r="N1562" s="38">
        <f t="shared" si="209"/>
        <v>14.634374999999999</v>
      </c>
      <c r="O1562" s="36">
        <f t="shared" si="207"/>
        <v>390.25</v>
      </c>
      <c r="P1562" s="38">
        <f ca="1">IF(ISERROR(IF(O1562&lt;fi_h/20,0,(OFFSET('Base de dados'!$A$5,IF(O1562&lt;20,1,IF(O1562&gt;1000,10,MATCH(O1562,Cargas,1))),Coluna_fih,1,1))*(1+0.13*0.25)*(PI()*(fi_h/1000)^2/4)*SQRT(2*9.81*(O1562/100-fi_h/2/1000))*1000)),"",IF(O1562&lt;fi_h/20,0,(OFFSET('Base de dados'!$A$5,IF(O1562&lt;20,1,IF(O1562&gt;1000,10,MATCH(O1562,Cargas,1))),Coluna_fih,1,1))*(PI()*(fi_h/1000)^2/4)*SQRT(2*9.81*(O1562/100-fi_h/2/1000))*1000))</f>
        <v>5.2760175577745336</v>
      </c>
      <c r="Q1562" s="38">
        <f ca="1">IF(O1562="","",IF(Tipo_Vertedor="Retangular",IF(O1562&lt;=cota_s*100,0,IF(Tipo_Vertedor="Retangular",Cd_sr*Lef_sr*((O1562/100-cota_s)^(3/2))*1000)),IF(O1562&lt;=cota_s*100+fi_s/20,0,(OFFSET('Base de dados'!$A$4,IF(O1562&lt;20,1,IF(O1562&gt;1000,10,MATCH(O1562,Cargas,1))),Coluna_fis,1,1))*(PI()*(fi_s/1000)^2/4)*(2*9.81*(O1562/100-cota_s-fi_s/2/1000))^0.5*1000)))</f>
        <v>4.3861185667591061</v>
      </c>
      <c r="R1562" s="38">
        <f t="shared" ca="1" si="210"/>
        <v>9.6621361245336388</v>
      </c>
      <c r="S1562" s="38">
        <f t="shared" ca="1" si="211"/>
        <v>487.81249999999994</v>
      </c>
    </row>
    <row r="1563" spans="13:19">
      <c r="M1563" s="132">
        <f t="shared" ca="1" si="208"/>
        <v>497.79087501111894</v>
      </c>
      <c r="N1563" s="38">
        <f t="shared" si="209"/>
        <v>14.643749999999999</v>
      </c>
      <c r="O1563" s="36">
        <f t="shared" si="207"/>
        <v>390.5</v>
      </c>
      <c r="P1563" s="38">
        <f ca="1">IF(ISERROR(IF(O1563&lt;fi_h/20,0,(OFFSET('Base de dados'!$A$5,IF(O1563&lt;20,1,IF(O1563&gt;1000,10,MATCH(O1563,Cargas,1))),Coluna_fih,1,1))*(1+0.13*0.25)*(PI()*(fi_h/1000)^2/4)*SQRT(2*9.81*(O1563/100-fi_h/2/1000))*1000)),"",IF(O1563&lt;fi_h/20,0,(OFFSET('Base de dados'!$A$5,IF(O1563&lt;20,1,IF(O1563&gt;1000,10,MATCH(O1563,Cargas,1))),Coluna_fih,1,1))*(PI()*(fi_h/1000)^2/4)*SQRT(2*9.81*(O1563/100-fi_h/2/1000))*1000))</f>
        <v>5.2777148887961669</v>
      </c>
      <c r="Q1563" s="38">
        <f ca="1">IF(O1563="","",IF(Tipo_Vertedor="Retangular",IF(O1563&lt;=cota_s*100,0,IF(Tipo_Vertedor="Retangular",Cd_sr*Lef_sr*((O1563/100-cota_s)^(3/2))*1000)),IF(O1563&lt;=cota_s*100+fi_s/20,0,(OFFSET('Base de dados'!$A$4,IF(O1563&lt;20,1,IF(O1563&gt;1000,10,MATCH(O1563,Cargas,1))),Coluna_fis,1,1))*(PI()*(fi_s/1000)^2/4)*(2*9.81*(O1563/100-cota_s-fi_s/2/1000))^0.5*1000)))</f>
        <v>4.3881601223228559</v>
      </c>
      <c r="R1563" s="38">
        <f t="shared" ca="1" si="210"/>
        <v>9.6658750111190237</v>
      </c>
      <c r="S1563" s="38">
        <f t="shared" ca="1" si="211"/>
        <v>488.12499999999994</v>
      </c>
    </row>
    <row r="1564" spans="13:19">
      <c r="M1564" s="132">
        <f t="shared" ca="1" si="208"/>
        <v>498.10711240263709</v>
      </c>
      <c r="N1564" s="38">
        <f t="shared" si="209"/>
        <v>14.653125000000001</v>
      </c>
      <c r="O1564" s="36">
        <f t="shared" si="207"/>
        <v>390.75</v>
      </c>
      <c r="P1564" s="38">
        <f ca="1">IF(ISERROR(IF(O1564&lt;fi_h/20,0,(OFFSET('Base de dados'!$A$5,IF(O1564&lt;20,1,IF(O1564&gt;1000,10,MATCH(O1564,Cargas,1))),Coluna_fih,1,1))*(1+0.13*0.25)*(PI()*(fi_h/1000)^2/4)*SQRT(2*9.81*(O1564/100-fi_h/2/1000))*1000)),"",IF(O1564&lt;fi_h/20,0,(OFFSET('Base de dados'!$A$5,IF(O1564&lt;20,1,IF(O1564&gt;1000,10,MATCH(O1564,Cargas,1))),Coluna_fih,1,1))*(PI()*(fi_h/1000)^2/4)*SQRT(2*9.81*(O1564/100-fi_h/2/1000))*1000))</f>
        <v>5.279411674125849</v>
      </c>
      <c r="Q1564" s="38">
        <f ca="1">IF(O1564="","",IF(Tipo_Vertedor="Retangular",IF(O1564&lt;=cota_s*100,0,IF(Tipo_Vertedor="Retangular",Cd_sr*Lef_sr*((O1564/100-cota_s)^(3/2))*1000)),IF(O1564&lt;=cota_s*100+fi_s/20,0,(OFFSET('Base de dados'!$A$4,IF(O1564&lt;20,1,IF(O1564&gt;1000,10,MATCH(O1564,Cargas,1))),Coluna_fis,1,1))*(PI()*(fi_s/1000)^2/4)*(2*9.81*(O1564/100-cota_s-fi_s/2/1000))^0.5*1000)))</f>
        <v>4.3902007285111821</v>
      </c>
      <c r="R1564" s="38">
        <f t="shared" ca="1" si="210"/>
        <v>9.669612402637032</v>
      </c>
      <c r="S1564" s="38">
        <f t="shared" ca="1" si="211"/>
        <v>488.43750000000006</v>
      </c>
    </row>
    <row r="1565" spans="13:19">
      <c r="M1565" s="132">
        <f t="shared" ca="1" si="208"/>
        <v>498.42334830093694</v>
      </c>
      <c r="N1565" s="38">
        <f t="shared" si="209"/>
        <v>14.662500000000001</v>
      </c>
      <c r="O1565" s="36">
        <f t="shared" si="207"/>
        <v>391</v>
      </c>
      <c r="P1565" s="38">
        <f ca="1">IF(ISERROR(IF(O1565&lt;fi_h/20,0,(OFFSET('Base de dados'!$A$5,IF(O1565&lt;20,1,IF(O1565&gt;1000,10,MATCH(O1565,Cargas,1))),Coluna_fih,1,1))*(1+0.13*0.25)*(PI()*(fi_h/1000)^2/4)*SQRT(2*9.81*(O1565/100-fi_h/2/1000))*1000)),"",IF(O1565&lt;fi_h/20,0,(OFFSET('Base de dados'!$A$5,IF(O1565&lt;20,1,IF(O1565&gt;1000,10,MATCH(O1565,Cargas,1))),Coluna_fih,1,1))*(PI()*(fi_h/1000)^2/4)*SQRT(2*9.81*(O1565/100-fi_h/2/1000))*1000))</f>
        <v>5.2811079142895663</v>
      </c>
      <c r="Q1565" s="38">
        <f ca="1">IF(O1565="","",IF(Tipo_Vertedor="Retangular",IF(O1565&lt;=cota_s*100,0,IF(Tipo_Vertedor="Retangular",Cd_sr*Lef_sr*((O1565/100-cota_s)^(3/2))*1000)),IF(O1565&lt;=cota_s*100+fi_s/20,0,(OFFSET('Base de dados'!$A$4,IF(O1565&lt;20,1,IF(O1565&gt;1000,10,MATCH(O1565,Cargas,1))),Coluna_fis,1,1))*(PI()*(fi_s/1000)^2/4)*(2*9.81*(O1565/100-cota_s-fi_s/2/1000))^0.5*1000)))</f>
        <v>4.3922403866473081</v>
      </c>
      <c r="R1565" s="38">
        <f t="shared" ca="1" si="210"/>
        <v>9.6733483009368744</v>
      </c>
      <c r="S1565" s="38">
        <f t="shared" ca="1" si="211"/>
        <v>488.75000000000006</v>
      </c>
    </row>
    <row r="1566" spans="13:19">
      <c r="M1566" s="132">
        <f t="shared" ca="1" si="208"/>
        <v>498.73958270786386</v>
      </c>
      <c r="N1566" s="38">
        <f t="shared" si="209"/>
        <v>14.671875</v>
      </c>
      <c r="O1566" s="36">
        <f t="shared" si="207"/>
        <v>391.25</v>
      </c>
      <c r="P1566" s="38">
        <f ca="1">IF(ISERROR(IF(O1566&lt;fi_h/20,0,(OFFSET('Base de dados'!$A$5,IF(O1566&lt;20,1,IF(O1566&gt;1000,10,MATCH(O1566,Cargas,1))),Coluna_fih,1,1))*(1+0.13*0.25)*(PI()*(fi_h/1000)^2/4)*SQRT(2*9.81*(O1566/100-fi_h/2/1000))*1000)),"",IF(O1566&lt;fi_h/20,0,(OFFSET('Base de dados'!$A$5,IF(O1566&lt;20,1,IF(O1566&gt;1000,10,MATCH(O1566,Cargas,1))),Coluna_fih,1,1))*(PI()*(fi_h/1000)^2/4)*SQRT(2*9.81*(O1566/100-fi_h/2/1000))*1000))</f>
        <v>5.2828036098124516</v>
      </c>
      <c r="Q1566" s="38">
        <f ca="1">IF(O1566="","",IF(Tipo_Vertedor="Retangular",IF(O1566&lt;=cota_s*100,0,IF(Tipo_Vertedor="Retangular",Cd_sr*Lef_sr*((O1566/100-cota_s)^(3/2))*1000)),IF(O1566&lt;=cota_s*100+fi_s/20,0,(OFFSET('Base de dados'!$A$4,IF(O1566&lt;20,1,IF(O1566&gt;1000,10,MATCH(O1566,Cargas,1))),Coluna_fis,1,1))*(PI()*(fi_s/1000)^2/4)*(2*9.81*(O1566/100-cota_s-fi_s/2/1000))^0.5*1000)))</f>
        <v>4.3942790980513822</v>
      </c>
      <c r="R1566" s="38">
        <f t="shared" ca="1" si="210"/>
        <v>9.6770827078638337</v>
      </c>
      <c r="S1566" s="38">
        <f t="shared" ca="1" si="211"/>
        <v>489.0625</v>
      </c>
    </row>
    <row r="1567" spans="13:19">
      <c r="M1567" s="132">
        <f t="shared" ca="1" si="208"/>
        <v>499.0558156252593</v>
      </c>
      <c r="N1567" s="38">
        <f t="shared" si="209"/>
        <v>14.68125</v>
      </c>
      <c r="O1567" s="36">
        <f t="shared" si="207"/>
        <v>391.5</v>
      </c>
      <c r="P1567" s="38">
        <f ca="1">IF(ISERROR(IF(O1567&lt;fi_h/20,0,(OFFSET('Base de dados'!$A$5,IF(O1567&lt;20,1,IF(O1567&gt;1000,10,MATCH(O1567,Cargas,1))),Coluna_fih,1,1))*(1+0.13*0.25)*(PI()*(fi_h/1000)^2/4)*SQRT(2*9.81*(O1567/100-fi_h/2/1000))*1000)),"",IF(O1567&lt;fi_h/20,0,(OFFSET('Base de dados'!$A$5,IF(O1567&lt;20,1,IF(O1567&gt;1000,10,MATCH(O1567,Cargas,1))),Coluna_fih,1,1))*(PI()*(fi_h/1000)^2/4)*SQRT(2*9.81*(O1567/100-fi_h/2/1000))*1000))</f>
        <v>5.2844987612188001</v>
      </c>
      <c r="Q1567" s="38">
        <f ca="1">IF(O1567="","",IF(Tipo_Vertedor="Retangular",IF(O1567&lt;=cota_s*100,0,IF(Tipo_Vertedor="Retangular",Cd_sr*Lef_sr*((O1567/100-cota_s)^(3/2))*1000)),IF(O1567&lt;=cota_s*100+fi_s/20,0,(OFFSET('Base de dados'!$A$4,IF(O1567&lt;20,1,IF(O1567&gt;1000,10,MATCH(O1567,Cargas,1))),Coluna_fis,1,1))*(PI()*(fi_s/1000)^2/4)*(2*9.81*(O1567/100-cota_s-fi_s/2/1000))^0.5*1000)))</f>
        <v>4.3963168640404939</v>
      </c>
      <c r="R1567" s="38">
        <f t="shared" ca="1" si="210"/>
        <v>9.6808156252592941</v>
      </c>
      <c r="S1567" s="38">
        <f t="shared" ca="1" si="211"/>
        <v>489.375</v>
      </c>
    </row>
    <row r="1568" spans="13:19">
      <c r="M1568" s="132">
        <f t="shared" ca="1" si="208"/>
        <v>499.37204705496077</v>
      </c>
      <c r="N1568" s="38">
        <f t="shared" si="209"/>
        <v>14.690625000000001</v>
      </c>
      <c r="O1568" s="36">
        <f t="shared" si="207"/>
        <v>391.75</v>
      </c>
      <c r="P1568" s="38">
        <f ca="1">IF(ISERROR(IF(O1568&lt;fi_h/20,0,(OFFSET('Base de dados'!$A$5,IF(O1568&lt;20,1,IF(O1568&gt;1000,10,MATCH(O1568,Cargas,1))),Coluna_fih,1,1))*(1+0.13*0.25)*(PI()*(fi_h/1000)^2/4)*SQRT(2*9.81*(O1568/100-fi_h/2/1000))*1000)),"",IF(O1568&lt;fi_h/20,0,(OFFSET('Base de dados'!$A$5,IF(O1568&lt;20,1,IF(O1568&gt;1000,10,MATCH(O1568,Cargas,1))),Coluna_fih,1,1))*(PI()*(fi_h/1000)^2/4)*SQRT(2*9.81*(O1568/100-fi_h/2/1000))*1000))</f>
        <v>5.2861933690320697</v>
      </c>
      <c r="Q1568" s="38">
        <f ca="1">IF(O1568="","",IF(Tipo_Vertedor="Retangular",IF(O1568&lt;=cota_s*100,0,IF(Tipo_Vertedor="Retangular",Cd_sr*Lef_sr*((O1568/100-cota_s)^(3/2))*1000)),IF(O1568&lt;=cota_s*100+fi_s/20,0,(OFFSET('Base de dados'!$A$4,IF(O1568&lt;20,1,IF(O1568&gt;1000,10,MATCH(O1568,Cargas,1))),Coluna_fis,1,1))*(PI()*(fi_s/1000)^2/4)*(2*9.81*(O1568/100-cota_s-fi_s/2/1000))^0.5*1000)))</f>
        <v>4.398353685928682</v>
      </c>
      <c r="R1568" s="38">
        <f t="shared" ca="1" si="210"/>
        <v>9.6845470549607526</v>
      </c>
      <c r="S1568" s="38">
        <f t="shared" ca="1" si="211"/>
        <v>489.6875</v>
      </c>
    </row>
    <row r="1569" spans="13:19">
      <c r="M1569" s="132">
        <f t="shared" ca="1" si="208"/>
        <v>499.68827699880183</v>
      </c>
      <c r="N1569" s="38">
        <f t="shared" si="209"/>
        <v>14.7</v>
      </c>
      <c r="O1569" s="36">
        <f t="shared" si="207"/>
        <v>392</v>
      </c>
      <c r="P1569" s="38">
        <f ca="1">IF(ISERROR(IF(O1569&lt;fi_h/20,0,(OFFSET('Base de dados'!$A$5,IF(O1569&lt;20,1,IF(O1569&gt;1000,10,MATCH(O1569,Cargas,1))),Coluna_fih,1,1))*(1+0.13*0.25)*(PI()*(fi_h/1000)^2/4)*SQRT(2*9.81*(O1569/100-fi_h/2/1000))*1000)),"",IF(O1569&lt;fi_h/20,0,(OFFSET('Base de dados'!$A$5,IF(O1569&lt;20,1,IF(O1569&gt;1000,10,MATCH(O1569,Cargas,1))),Coluna_fih,1,1))*(PI()*(fi_h/1000)^2/4)*SQRT(2*9.81*(O1569/100-fi_h/2/1000))*1000))</f>
        <v>5.2878874337748698</v>
      </c>
      <c r="Q1569" s="38">
        <f ca="1">IF(O1569="","",IF(Tipo_Vertedor="Retangular",IF(O1569&lt;=cota_s*100,0,IF(Tipo_Vertedor="Retangular",Cd_sr*Lef_sr*((O1569/100-cota_s)^(3/2))*1000)),IF(O1569&lt;=cota_s*100+fi_s/20,0,(OFFSET('Base de dados'!$A$4,IF(O1569&lt;20,1,IF(O1569&gt;1000,10,MATCH(O1569,Cargas,1))),Coluna_fis,1,1))*(PI()*(fi_s/1000)^2/4)*(2*9.81*(O1569/100-cota_s-fi_s/2/1000))^0.5*1000)))</f>
        <v>4.4003895650269413</v>
      </c>
      <c r="R1569" s="38">
        <f t="shared" ca="1" si="210"/>
        <v>9.6882769988018111</v>
      </c>
      <c r="S1569" s="38">
        <f t="shared" ca="1" si="211"/>
        <v>490</v>
      </c>
    </row>
    <row r="1570" spans="13:19">
      <c r="M1570" s="132">
        <f t="shared" ca="1" si="208"/>
        <v>500.00450545861224</v>
      </c>
      <c r="N1570" s="38">
        <f t="shared" si="209"/>
        <v>14.709375</v>
      </c>
      <c r="O1570" s="36">
        <f t="shared" si="207"/>
        <v>392.25</v>
      </c>
      <c r="P1570" s="38">
        <f ca="1">IF(ISERROR(IF(O1570&lt;fi_h/20,0,(OFFSET('Base de dados'!$A$5,IF(O1570&lt;20,1,IF(O1570&gt;1000,10,MATCH(O1570,Cargas,1))),Coluna_fih,1,1))*(1+0.13*0.25)*(PI()*(fi_h/1000)^2/4)*SQRT(2*9.81*(O1570/100-fi_h/2/1000))*1000)),"",IF(O1570&lt;fi_h/20,0,(OFFSET('Base de dados'!$A$5,IF(O1570&lt;20,1,IF(O1570&gt;1000,10,MATCH(O1570,Cargas,1))),Coluna_fih,1,1))*(PI()*(fi_h/1000)^2/4)*SQRT(2*9.81*(O1570/100-fi_h/2/1000))*1000))</f>
        <v>5.2895809559689848</v>
      </c>
      <c r="Q1570" s="38">
        <f ca="1">IF(O1570="","",IF(Tipo_Vertedor="Retangular",IF(O1570&lt;=cota_s*100,0,IF(Tipo_Vertedor="Retangular",Cd_sr*Lef_sr*((O1570/100-cota_s)^(3/2))*1000)),IF(O1570&lt;=cota_s*100+fi_s/20,0,(OFFSET('Base de dados'!$A$4,IF(O1570&lt;20,1,IF(O1570&gt;1000,10,MATCH(O1570,Cargas,1))),Coluna_fis,1,1))*(PI()*(fi_s/1000)^2/4)*(2*9.81*(O1570/100-cota_s-fi_s/2/1000))^0.5*1000)))</f>
        <v>4.4024245026432389</v>
      </c>
      <c r="R1570" s="38">
        <f t="shared" ca="1" si="210"/>
        <v>9.6920054586122237</v>
      </c>
      <c r="S1570" s="38">
        <f t="shared" ca="1" si="211"/>
        <v>490.3125</v>
      </c>
    </row>
    <row r="1571" spans="13:19">
      <c r="M1571" s="132">
        <f t="shared" ca="1" si="208"/>
        <v>500.3207324362179</v>
      </c>
      <c r="N1571" s="38">
        <f t="shared" si="209"/>
        <v>14.71875</v>
      </c>
      <c r="O1571" s="36">
        <f t="shared" si="207"/>
        <v>392.5</v>
      </c>
      <c r="P1571" s="38">
        <f ca="1">IF(ISERROR(IF(O1571&lt;fi_h/20,0,(OFFSET('Base de dados'!$A$5,IF(O1571&lt;20,1,IF(O1571&gt;1000,10,MATCH(O1571,Cargas,1))),Coluna_fih,1,1))*(1+0.13*0.25)*(PI()*(fi_h/1000)^2/4)*SQRT(2*9.81*(O1571/100-fi_h/2/1000))*1000)),"",IF(O1571&lt;fi_h/20,0,(OFFSET('Base de dados'!$A$5,IF(O1571&lt;20,1,IF(O1571&gt;1000,10,MATCH(O1571,Cargas,1))),Coluna_fih,1,1))*(PI()*(fi_h/1000)^2/4)*SQRT(2*9.81*(O1571/100-fi_h/2/1000))*1000))</f>
        <v>5.2912739361353562</v>
      </c>
      <c r="Q1571" s="38">
        <f ca="1">IF(O1571="","",IF(Tipo_Vertedor="Retangular",IF(O1571&lt;=cota_s*100,0,IF(Tipo_Vertedor="Retangular",Cd_sr*Lef_sr*((O1571/100-cota_s)^(3/2))*1000)),IF(O1571&lt;=cota_s*100+fi_s/20,0,(OFFSET('Base de dados'!$A$4,IF(O1571&lt;20,1,IF(O1571&gt;1000,10,MATCH(O1571,Cargas,1))),Coluna_fis,1,1))*(PI()*(fi_s/1000)^2/4)*(2*9.81*(O1571/100-cota_s-fi_s/2/1000))^0.5*1000)))</f>
        <v>4.4044585000825176</v>
      </c>
      <c r="R1571" s="38">
        <f t="shared" ca="1" si="210"/>
        <v>9.6957324362178738</v>
      </c>
      <c r="S1571" s="38">
        <f t="shared" ca="1" si="211"/>
        <v>490.625</v>
      </c>
    </row>
    <row r="1572" spans="13:19">
      <c r="M1572" s="132">
        <f t="shared" ca="1" si="208"/>
        <v>500.63695793344078</v>
      </c>
      <c r="N1572" s="38">
        <f t="shared" si="209"/>
        <v>14.728125</v>
      </c>
      <c r="O1572" s="36">
        <f t="shared" si="207"/>
        <v>392.75</v>
      </c>
      <c r="P1572" s="38">
        <f ca="1">IF(ISERROR(IF(O1572&lt;fi_h/20,0,(OFFSET('Base de dados'!$A$5,IF(O1572&lt;20,1,IF(O1572&gt;1000,10,MATCH(O1572,Cargas,1))),Coluna_fih,1,1))*(1+0.13*0.25)*(PI()*(fi_h/1000)^2/4)*SQRT(2*9.81*(O1572/100-fi_h/2/1000))*1000)),"",IF(O1572&lt;fi_h/20,0,(OFFSET('Base de dados'!$A$5,IF(O1572&lt;20,1,IF(O1572&gt;1000,10,MATCH(O1572,Cargas,1))),Coluna_fih,1,1))*(PI()*(fi_h/1000)^2/4)*SQRT(2*9.81*(O1572/100-fi_h/2/1000))*1000))</f>
        <v>5.2929663747940925</v>
      </c>
      <c r="Q1572" s="38">
        <f ca="1">IF(O1572="","",IF(Tipo_Vertedor="Retangular",IF(O1572&lt;=cota_s*100,0,IF(Tipo_Vertedor="Retangular",Cd_sr*Lef_sr*((O1572/100-cota_s)^(3/2))*1000)),IF(O1572&lt;=cota_s*100+fi_s/20,0,(OFFSET('Base de dados'!$A$4,IF(O1572&lt;20,1,IF(O1572&gt;1000,10,MATCH(O1572,Cargas,1))),Coluna_fis,1,1))*(PI()*(fi_s/1000)^2/4)*(2*9.81*(O1572/100-cota_s-fi_s/2/1000))^0.5*1000)))</f>
        <v>4.406491558646711</v>
      </c>
      <c r="R1572" s="38">
        <f t="shared" ca="1" si="210"/>
        <v>9.6994579334408044</v>
      </c>
      <c r="S1572" s="38">
        <f t="shared" ca="1" si="211"/>
        <v>490.9375</v>
      </c>
    </row>
    <row r="1573" spans="13:19">
      <c r="M1573" s="132">
        <f t="shared" ca="1" si="208"/>
        <v>500.95318195209921</v>
      </c>
      <c r="N1573" s="38">
        <f t="shared" si="209"/>
        <v>14.737500000000001</v>
      </c>
      <c r="O1573" s="36">
        <f t="shared" si="207"/>
        <v>393</v>
      </c>
      <c r="P1573" s="38">
        <f ca="1">IF(ISERROR(IF(O1573&lt;fi_h/20,0,(OFFSET('Base de dados'!$A$5,IF(O1573&lt;20,1,IF(O1573&gt;1000,10,MATCH(O1573,Cargas,1))),Coluna_fih,1,1))*(1+0.13*0.25)*(PI()*(fi_h/1000)^2/4)*SQRT(2*9.81*(O1573/100-fi_h/2/1000))*1000)),"",IF(O1573&lt;fi_h/20,0,(OFFSET('Base de dados'!$A$5,IF(O1573&lt;20,1,IF(O1573&gt;1000,10,MATCH(O1573,Cargas,1))),Coluna_fih,1,1))*(PI()*(fi_h/1000)^2/4)*SQRT(2*9.81*(O1573/100-fi_h/2/1000))*1000))</f>
        <v>5.2946582724644742</v>
      </c>
      <c r="Q1573" s="38">
        <f ca="1">IF(O1573="","",IF(Tipo_Vertedor="Retangular",IF(O1573&lt;=cota_s*100,0,IF(Tipo_Vertedor="Retangular",Cd_sr*Lef_sr*((O1573/100-cota_s)^(3/2))*1000)),IF(O1573&lt;=cota_s*100+fi_s/20,0,(OFFSET('Base de dados'!$A$4,IF(O1573&lt;20,1,IF(O1573&gt;1000,10,MATCH(O1573,Cargas,1))),Coluna_fis,1,1))*(PI()*(fi_s/1000)^2/4)*(2*9.81*(O1573/100-cota_s-fi_s/2/1000))^0.5*1000)))</f>
        <v>4.4085236796347482</v>
      </c>
      <c r="R1573" s="38">
        <f t="shared" ca="1" si="210"/>
        <v>9.7031819520992215</v>
      </c>
      <c r="S1573" s="38">
        <f t="shared" ca="1" si="211"/>
        <v>491.25</v>
      </c>
    </row>
    <row r="1574" spans="13:19">
      <c r="M1574" s="132">
        <f t="shared" ca="1" si="208"/>
        <v>501.26940449400757</v>
      </c>
      <c r="N1574" s="38">
        <f t="shared" si="209"/>
        <v>14.746875000000001</v>
      </c>
      <c r="O1574" s="36">
        <f t="shared" si="207"/>
        <v>393.25</v>
      </c>
      <c r="P1574" s="38">
        <f ca="1">IF(ISERROR(IF(O1574&lt;fi_h/20,0,(OFFSET('Base de dados'!$A$5,IF(O1574&lt;20,1,IF(O1574&gt;1000,10,MATCH(O1574,Cargas,1))),Coluna_fih,1,1))*(1+0.13*0.25)*(PI()*(fi_h/1000)^2/4)*SQRT(2*9.81*(O1574/100-fi_h/2/1000))*1000)),"",IF(O1574&lt;fi_h/20,0,(OFFSET('Base de dados'!$A$5,IF(O1574&lt;20,1,IF(O1574&gt;1000,10,MATCH(O1574,Cargas,1))),Coluna_fih,1,1))*(PI()*(fi_h/1000)^2/4)*SQRT(2*9.81*(O1574/100-fi_h/2/1000))*1000))</f>
        <v>5.2963496296649506</v>
      </c>
      <c r="Q1574" s="38">
        <f ca="1">IF(O1574="","",IF(Tipo_Vertedor="Retangular",IF(O1574&lt;=cota_s*100,0,IF(Tipo_Vertedor="Retangular",Cd_sr*Lef_sr*((O1574/100-cota_s)^(3/2))*1000)),IF(O1574&lt;=cota_s*100+fi_s/20,0,(OFFSET('Base de dados'!$A$4,IF(O1574&lt;20,1,IF(O1574&gt;1000,10,MATCH(O1574,Cargas,1))),Coluna_fis,1,1))*(PI()*(fi_s/1000)^2/4)*(2*9.81*(O1574/100-cota_s-fi_s/2/1000))^0.5*1000)))</f>
        <v>4.4105548643425658</v>
      </c>
      <c r="R1574" s="38">
        <f t="shared" ca="1" si="210"/>
        <v>9.7069044940075173</v>
      </c>
      <c r="S1574" s="38">
        <f t="shared" ca="1" si="211"/>
        <v>491.56250000000006</v>
      </c>
    </row>
    <row r="1575" spans="13:19">
      <c r="M1575" s="132">
        <f t="shared" ca="1" si="208"/>
        <v>501.58562556097627</v>
      </c>
      <c r="N1575" s="38">
        <f t="shared" si="209"/>
        <v>14.75625</v>
      </c>
      <c r="O1575" s="36">
        <f t="shared" si="207"/>
        <v>393.5</v>
      </c>
      <c r="P1575" s="38">
        <f ca="1">IF(ISERROR(IF(O1575&lt;fi_h/20,0,(OFFSET('Base de dados'!$A$5,IF(O1575&lt;20,1,IF(O1575&gt;1000,10,MATCH(O1575,Cargas,1))),Coluna_fih,1,1))*(1+0.13*0.25)*(PI()*(fi_h/1000)^2/4)*SQRT(2*9.81*(O1575/100-fi_h/2/1000))*1000)),"",IF(O1575&lt;fi_h/20,0,(OFFSET('Base de dados'!$A$5,IF(O1575&lt;20,1,IF(O1575&gt;1000,10,MATCH(O1575,Cargas,1))),Coluna_fih,1,1))*(PI()*(fi_h/1000)^2/4)*SQRT(2*9.81*(O1575/100-fi_h/2/1000))*1000))</f>
        <v>5.298040446913145</v>
      </c>
      <c r="Q1575" s="38">
        <f ca="1">IF(O1575="","",IF(Tipo_Vertedor="Retangular",IF(O1575&lt;=cota_s*100,0,IF(Tipo_Vertedor="Retangular",Cd_sr*Lef_sr*((O1575/100-cota_s)^(3/2))*1000)),IF(O1575&lt;=cota_s*100+fi_s/20,0,(OFFSET('Base de dados'!$A$4,IF(O1575&lt;20,1,IF(O1575&gt;1000,10,MATCH(O1575,Cargas,1))),Coluna_fis,1,1))*(PI()*(fi_s/1000)^2/4)*(2*9.81*(O1575/100-cota_s-fi_s/2/1000))^0.5*1000)))</f>
        <v>4.4125851140631207</v>
      </c>
      <c r="R1575" s="38">
        <f t="shared" ca="1" si="210"/>
        <v>9.7106255609762648</v>
      </c>
      <c r="S1575" s="38">
        <f t="shared" ca="1" si="211"/>
        <v>491.875</v>
      </c>
    </row>
    <row r="1576" spans="13:19">
      <c r="M1576" s="132">
        <f t="shared" ca="1" si="208"/>
        <v>501.90184515481224</v>
      </c>
      <c r="N1576" s="38">
        <f t="shared" si="209"/>
        <v>14.765625</v>
      </c>
      <c r="O1576" s="36">
        <f t="shared" si="207"/>
        <v>393.75</v>
      </c>
      <c r="P1576" s="38">
        <f ca="1">IF(ISERROR(IF(O1576&lt;fi_h/20,0,(OFFSET('Base de dados'!$A$5,IF(O1576&lt;20,1,IF(O1576&gt;1000,10,MATCH(O1576,Cargas,1))),Coluna_fih,1,1))*(1+0.13*0.25)*(PI()*(fi_h/1000)^2/4)*SQRT(2*9.81*(O1576/100-fi_h/2/1000))*1000)),"",IF(O1576&lt;fi_h/20,0,(OFFSET('Base de dados'!$A$5,IF(O1576&lt;20,1,IF(O1576&gt;1000,10,MATCH(O1576,Cargas,1))),Coluna_fih,1,1))*(PI()*(fi_h/1000)^2/4)*SQRT(2*9.81*(O1576/100-fi_h/2/1000))*1000))</f>
        <v>5.2997307247258529</v>
      </c>
      <c r="Q1576" s="38">
        <f ca="1">IF(O1576="","",IF(Tipo_Vertedor="Retangular",IF(O1576&lt;=cota_s*100,0,IF(Tipo_Vertedor="Retangular",Cd_sr*Lef_sr*((O1576/100-cota_s)^(3/2))*1000)),IF(O1576&lt;=cota_s*100+fi_s/20,0,(OFFSET('Base de dados'!$A$4,IF(O1576&lt;20,1,IF(O1576&gt;1000,10,MATCH(O1576,Cargas,1))),Coluna_fis,1,1))*(PI()*(fi_s/1000)^2/4)*(2*9.81*(O1576/100-cota_s-fi_s/2/1000))^0.5*1000)))</f>
        <v>4.4146144300863943</v>
      </c>
      <c r="R1576" s="38">
        <f t="shared" ca="1" si="210"/>
        <v>9.7143451548122464</v>
      </c>
      <c r="S1576" s="38">
        <f t="shared" ca="1" si="211"/>
        <v>492.1875</v>
      </c>
    </row>
    <row r="1577" spans="13:19">
      <c r="M1577" s="132">
        <f t="shared" ca="1" si="208"/>
        <v>502.21806327731844</v>
      </c>
      <c r="N1577" s="38">
        <f t="shared" si="209"/>
        <v>14.775</v>
      </c>
      <c r="O1577" s="36">
        <f t="shared" si="207"/>
        <v>394</v>
      </c>
      <c r="P1577" s="38">
        <f ca="1">IF(ISERROR(IF(O1577&lt;fi_h/20,0,(OFFSET('Base de dados'!$A$5,IF(O1577&lt;20,1,IF(O1577&gt;1000,10,MATCH(O1577,Cargas,1))),Coluna_fih,1,1))*(1+0.13*0.25)*(PI()*(fi_h/1000)^2/4)*SQRT(2*9.81*(O1577/100-fi_h/2/1000))*1000)),"",IF(O1577&lt;fi_h/20,0,(OFFSET('Base de dados'!$A$5,IF(O1577&lt;20,1,IF(O1577&gt;1000,10,MATCH(O1577,Cargas,1))),Coluna_fih,1,1))*(PI()*(fi_h/1000)^2/4)*SQRT(2*9.81*(O1577/100-fi_h/2/1000))*1000))</f>
        <v>5.3014204636190465</v>
      </c>
      <c r="Q1577" s="38">
        <f ca="1">IF(O1577="","",IF(Tipo_Vertedor="Retangular",IF(O1577&lt;=cota_s*100,0,IF(Tipo_Vertedor="Retangular",Cd_sr*Lef_sr*((O1577/100-cota_s)^(3/2))*1000)),IF(O1577&lt;=cota_s*100+fi_s/20,0,(OFFSET('Base de dados'!$A$4,IF(O1577&lt;20,1,IF(O1577&gt;1000,10,MATCH(O1577,Cargas,1))),Coluna_fis,1,1))*(PI()*(fi_s/1000)^2/4)*(2*9.81*(O1577/100-cota_s-fi_s/2/1000))^0.5*1000)))</f>
        <v>4.4166428136994051</v>
      </c>
      <c r="R1577" s="38">
        <f t="shared" ca="1" si="210"/>
        <v>9.7180632773184517</v>
      </c>
      <c r="S1577" s="38">
        <f t="shared" ca="1" si="211"/>
        <v>492.5</v>
      </c>
    </row>
    <row r="1578" spans="13:19">
      <c r="M1578" s="132">
        <f t="shared" ca="1" si="208"/>
        <v>502.53427993029402</v>
      </c>
      <c r="N1578" s="38">
        <f t="shared" si="209"/>
        <v>14.784374999999999</v>
      </c>
      <c r="O1578" s="36">
        <f t="shared" si="207"/>
        <v>394.25</v>
      </c>
      <c r="P1578" s="38">
        <f ca="1">IF(ISERROR(IF(O1578&lt;fi_h/20,0,(OFFSET('Base de dados'!$A$5,IF(O1578&lt;20,1,IF(O1578&gt;1000,10,MATCH(O1578,Cargas,1))),Coluna_fih,1,1))*(1+0.13*0.25)*(PI()*(fi_h/1000)^2/4)*SQRT(2*9.81*(O1578/100-fi_h/2/1000))*1000)),"",IF(O1578&lt;fi_h/20,0,(OFFSET('Base de dados'!$A$5,IF(O1578&lt;20,1,IF(O1578&gt;1000,10,MATCH(O1578,Cargas,1))),Coluna_fih,1,1))*(PI()*(fi_h/1000)^2/4)*SQRT(2*9.81*(O1578/100-fi_h/2/1000))*1000))</f>
        <v>5.3031096641078772</v>
      </c>
      <c r="Q1578" s="38">
        <f ca="1">IF(O1578="","",IF(Tipo_Vertedor="Retangular",IF(O1578&lt;=cota_s*100,0,IF(Tipo_Vertedor="Retangular",Cd_sr*Lef_sr*((O1578/100-cota_s)^(3/2))*1000)),IF(O1578&lt;=cota_s*100+fi_s/20,0,(OFFSET('Base de dados'!$A$4,IF(O1578&lt;20,1,IF(O1578&gt;1000,10,MATCH(O1578,Cargas,1))),Coluna_fis,1,1))*(PI()*(fi_s/1000)^2/4)*(2*9.81*(O1578/100-cota_s-fi_s/2/1000))^0.5*1000)))</f>
        <v>4.4186702661862167</v>
      </c>
      <c r="R1578" s="38">
        <f t="shared" ca="1" si="210"/>
        <v>9.7217799302940939</v>
      </c>
      <c r="S1578" s="38">
        <f t="shared" ca="1" si="211"/>
        <v>492.81249999999994</v>
      </c>
    </row>
    <row r="1579" spans="13:19">
      <c r="M1579" s="132">
        <f t="shared" ca="1" si="208"/>
        <v>502.85049511553461</v>
      </c>
      <c r="N1579" s="38">
        <f t="shared" si="209"/>
        <v>14.793749999999999</v>
      </c>
      <c r="O1579" s="36">
        <f t="shared" si="207"/>
        <v>394.5</v>
      </c>
      <c r="P1579" s="38">
        <f ca="1">IF(ISERROR(IF(O1579&lt;fi_h/20,0,(OFFSET('Base de dados'!$A$5,IF(O1579&lt;20,1,IF(O1579&gt;1000,10,MATCH(O1579,Cargas,1))),Coluna_fih,1,1))*(1+0.13*0.25)*(PI()*(fi_h/1000)^2/4)*SQRT(2*9.81*(O1579/100-fi_h/2/1000))*1000)),"",IF(O1579&lt;fi_h/20,0,(OFFSET('Base de dados'!$A$5,IF(O1579&lt;20,1,IF(O1579&gt;1000,10,MATCH(O1579,Cargas,1))),Coluna_fih,1,1))*(PI()*(fi_h/1000)^2/4)*SQRT(2*9.81*(O1579/100-fi_h/2/1000))*1000))</f>
        <v>5.3047983267066749</v>
      </c>
      <c r="Q1579" s="38">
        <f ca="1">IF(O1579="","",IF(Tipo_Vertedor="Retangular",IF(O1579&lt;=cota_s*100,0,IF(Tipo_Vertedor="Retangular",Cd_sr*Lef_sr*((O1579/100-cota_s)^(3/2))*1000)),IF(O1579&lt;=cota_s*100+fi_s/20,0,(OFFSET('Base de dados'!$A$4,IF(O1579&lt;20,1,IF(O1579&gt;1000,10,MATCH(O1579,Cargas,1))),Coluna_fis,1,1))*(PI()*(fi_s/1000)^2/4)*(2*9.81*(O1579/100-cota_s-fi_s/2/1000))^0.5*1000)))</f>
        <v>4.42069678882795</v>
      </c>
      <c r="R1579" s="38">
        <f t="shared" ca="1" si="210"/>
        <v>9.7254951155346241</v>
      </c>
      <c r="S1579" s="38">
        <f t="shared" ca="1" si="211"/>
        <v>493.125</v>
      </c>
    </row>
    <row r="1580" spans="13:19">
      <c r="M1580" s="132">
        <f t="shared" ca="1" si="208"/>
        <v>503.16670883483175</v>
      </c>
      <c r="N1580" s="38">
        <f t="shared" si="209"/>
        <v>14.803125</v>
      </c>
      <c r="O1580" s="36">
        <f t="shared" si="207"/>
        <v>394.75</v>
      </c>
      <c r="P1580" s="38">
        <f ca="1">IF(ISERROR(IF(O1580&lt;fi_h/20,0,(OFFSET('Base de dados'!$A$5,IF(O1580&lt;20,1,IF(O1580&gt;1000,10,MATCH(O1580,Cargas,1))),Coluna_fih,1,1))*(1+0.13*0.25)*(PI()*(fi_h/1000)^2/4)*SQRT(2*9.81*(O1580/100-fi_h/2/1000))*1000)),"",IF(O1580&lt;fi_h/20,0,(OFFSET('Base de dados'!$A$5,IF(O1580&lt;20,1,IF(O1580&gt;1000,10,MATCH(O1580,Cargas,1))),Coluna_fih,1,1))*(PI()*(fi_h/1000)^2/4)*SQRT(2*9.81*(O1580/100-fi_h/2/1000))*1000))</f>
        <v>5.3064864519289525</v>
      </c>
      <c r="Q1580" s="38">
        <f ca="1">IF(O1580="","",IF(Tipo_Vertedor="Retangular",IF(O1580&lt;=cota_s*100,0,IF(Tipo_Vertedor="Retangular",Cd_sr*Lef_sr*((O1580/100-cota_s)^(3/2))*1000)),IF(O1580&lt;=cota_s*100+fi_s/20,0,(OFFSET('Base de dados'!$A$4,IF(O1580&lt;20,1,IF(O1580&gt;1000,10,MATCH(O1580,Cargas,1))),Coluna_fis,1,1))*(PI()*(fi_s/1000)^2/4)*(2*9.81*(O1580/100-cota_s-fi_s/2/1000))^0.5*1000)))</f>
        <v>4.422722382902788</v>
      </c>
      <c r="R1580" s="38">
        <f t="shared" ca="1" si="210"/>
        <v>9.7292088348317414</v>
      </c>
      <c r="S1580" s="38">
        <f t="shared" ca="1" si="211"/>
        <v>493.4375</v>
      </c>
    </row>
    <row r="1581" spans="13:19">
      <c r="M1581" s="132">
        <f t="shared" ca="1" si="208"/>
        <v>503.48292108997339</v>
      </c>
      <c r="N1581" s="38">
        <f t="shared" si="209"/>
        <v>14.8125</v>
      </c>
      <c r="O1581" s="36">
        <f t="shared" si="207"/>
        <v>395</v>
      </c>
      <c r="P1581" s="38">
        <f ca="1">IF(ISERROR(IF(O1581&lt;fi_h/20,0,(OFFSET('Base de dados'!$A$5,IF(O1581&lt;20,1,IF(O1581&gt;1000,10,MATCH(O1581,Cargas,1))),Coluna_fih,1,1))*(1+0.13*0.25)*(PI()*(fi_h/1000)^2/4)*SQRT(2*9.81*(O1581/100-fi_h/2/1000))*1000)),"",IF(O1581&lt;fi_h/20,0,(OFFSET('Base de dados'!$A$5,IF(O1581&lt;20,1,IF(O1581&gt;1000,10,MATCH(O1581,Cargas,1))),Coluna_fih,1,1))*(PI()*(fi_h/1000)^2/4)*SQRT(2*9.81*(O1581/100-fi_h/2/1000))*1000))</f>
        <v>5.3081740402874029</v>
      </c>
      <c r="Q1581" s="38">
        <f ca="1">IF(O1581="","",IF(Tipo_Vertedor="Retangular",IF(O1581&lt;=cota_s*100,0,IF(Tipo_Vertedor="Retangular",Cd_sr*Lef_sr*((O1581/100-cota_s)^(3/2))*1000)),IF(O1581&lt;=cota_s*100+fi_s/20,0,(OFFSET('Base de dados'!$A$4,IF(O1581&lt;20,1,IF(O1581&gt;1000,10,MATCH(O1581,Cargas,1))),Coluna_fis,1,1))*(PI()*(fi_s/1000)^2/4)*(2*9.81*(O1581/100-cota_s-fi_s/2/1000))^0.5*1000)))</f>
        <v>4.4247470496859931</v>
      </c>
      <c r="R1581" s="38">
        <f t="shared" ca="1" si="210"/>
        <v>9.7329210899733951</v>
      </c>
      <c r="S1581" s="38">
        <f t="shared" ca="1" si="211"/>
        <v>493.75</v>
      </c>
    </row>
    <row r="1582" spans="13:19">
      <c r="M1582" s="132">
        <f t="shared" ca="1" si="208"/>
        <v>503.79913188274384</v>
      </c>
      <c r="N1582" s="38">
        <f t="shared" si="209"/>
        <v>14.821875</v>
      </c>
      <c r="O1582" s="36">
        <f t="shared" si="207"/>
        <v>395.25</v>
      </c>
      <c r="P1582" s="38">
        <f ca="1">IF(ISERROR(IF(O1582&lt;fi_h/20,0,(OFFSET('Base de dados'!$A$5,IF(O1582&lt;20,1,IF(O1582&gt;1000,10,MATCH(O1582,Cargas,1))),Coluna_fih,1,1))*(1+0.13*0.25)*(PI()*(fi_h/1000)^2/4)*SQRT(2*9.81*(O1582/100-fi_h/2/1000))*1000)),"",IF(O1582&lt;fi_h/20,0,(OFFSET('Base de dados'!$A$5,IF(O1582&lt;20,1,IF(O1582&gt;1000,10,MATCH(O1582,Cargas,1))),Coluna_fih,1,1))*(PI()*(fi_h/1000)^2/4)*SQRT(2*9.81*(O1582/100-fi_h/2/1000))*1000))</f>
        <v>5.3098610922939082</v>
      </c>
      <c r="Q1582" s="38">
        <f ca="1">IF(O1582="","",IF(Tipo_Vertedor="Retangular",IF(O1582&lt;=cota_s*100,0,IF(Tipo_Vertedor="Retangular",Cd_sr*Lef_sr*((O1582/100-cota_s)^(3/2))*1000)),IF(O1582&lt;=cota_s*100+fi_s/20,0,(OFFSET('Base de dados'!$A$4,IF(O1582&lt;20,1,IF(O1582&gt;1000,10,MATCH(O1582,Cargas,1))),Coluna_fis,1,1))*(PI()*(fi_s/1000)^2/4)*(2*9.81*(O1582/100-cota_s-fi_s/2/1000))^0.5*1000)))</f>
        <v>4.426770790449905</v>
      </c>
      <c r="R1582" s="38">
        <f t="shared" ca="1" si="210"/>
        <v>9.7366318827438132</v>
      </c>
      <c r="S1582" s="38">
        <f t="shared" ca="1" si="211"/>
        <v>494.0625</v>
      </c>
    </row>
    <row r="1583" spans="13:19">
      <c r="M1583" s="132">
        <f t="shared" ca="1" si="208"/>
        <v>504.11534121492349</v>
      </c>
      <c r="N1583" s="38">
        <f t="shared" si="209"/>
        <v>14.831250000000001</v>
      </c>
      <c r="O1583" s="36">
        <f t="shared" si="207"/>
        <v>395.5</v>
      </c>
      <c r="P1583" s="38">
        <f ca="1">IF(ISERROR(IF(O1583&lt;fi_h/20,0,(OFFSET('Base de dados'!$A$5,IF(O1583&lt;20,1,IF(O1583&gt;1000,10,MATCH(O1583,Cargas,1))),Coluna_fih,1,1))*(1+0.13*0.25)*(PI()*(fi_h/1000)^2/4)*SQRT(2*9.81*(O1583/100-fi_h/2/1000))*1000)),"",IF(O1583&lt;fi_h/20,0,(OFFSET('Base de dados'!$A$5,IF(O1583&lt;20,1,IF(O1583&gt;1000,10,MATCH(O1583,Cargas,1))),Coluna_fih,1,1))*(PI()*(fi_h/1000)^2/4)*SQRT(2*9.81*(O1583/100-fi_h/2/1000))*1000))</f>
        <v>5.3115476084595388</v>
      </c>
      <c r="Q1583" s="38">
        <f ca="1">IF(O1583="","",IF(Tipo_Vertedor="Retangular",IF(O1583&lt;=cota_s*100,0,IF(Tipo_Vertedor="Retangular",Cd_sr*Lef_sr*((O1583/100-cota_s)^(3/2))*1000)),IF(O1583&lt;=cota_s*100+fi_s/20,0,(OFFSET('Base de dados'!$A$4,IF(O1583&lt;20,1,IF(O1583&gt;1000,10,MATCH(O1583,Cargas,1))),Coluna_fis,1,1))*(PI()*(fi_s/1000)^2/4)*(2*9.81*(O1583/100-cota_s-fi_s/2/1000))^0.5*1000)))</f>
        <v>4.4287936064639597</v>
      </c>
      <c r="R1583" s="38">
        <f t="shared" ca="1" si="210"/>
        <v>9.7403412149234985</v>
      </c>
      <c r="S1583" s="38">
        <f t="shared" ca="1" si="211"/>
        <v>494.375</v>
      </c>
    </row>
    <row r="1584" spans="13:19">
      <c r="M1584" s="132">
        <f t="shared" ca="1" si="208"/>
        <v>504.43154908828922</v>
      </c>
      <c r="N1584" s="38">
        <f t="shared" si="209"/>
        <v>14.840624999999999</v>
      </c>
      <c r="O1584" s="36">
        <f t="shared" si="207"/>
        <v>395.75</v>
      </c>
      <c r="P1584" s="38">
        <f ca="1">IF(ISERROR(IF(O1584&lt;fi_h/20,0,(OFFSET('Base de dados'!$A$5,IF(O1584&lt;20,1,IF(O1584&gt;1000,10,MATCH(O1584,Cargas,1))),Coluna_fih,1,1))*(1+0.13*0.25)*(PI()*(fi_h/1000)^2/4)*SQRT(2*9.81*(O1584/100-fi_h/2/1000))*1000)),"",IF(O1584&lt;fi_h/20,0,(OFFSET('Base de dados'!$A$5,IF(O1584&lt;20,1,IF(O1584&gt;1000,10,MATCH(O1584,Cargas,1))),Coluna_fih,1,1))*(PI()*(fi_h/1000)^2/4)*SQRT(2*9.81*(O1584/100-fi_h/2/1000))*1000))</f>
        <v>5.3132335892945477</v>
      </c>
      <c r="Q1584" s="38">
        <f ca="1">IF(O1584="","",IF(Tipo_Vertedor="Retangular",IF(O1584&lt;=cota_s*100,0,IF(Tipo_Vertedor="Retangular",Cd_sr*Lef_sr*((O1584/100-cota_s)^(3/2))*1000)),IF(O1584&lt;=cota_s*100+fi_s/20,0,(OFFSET('Base de dados'!$A$4,IF(O1584&lt;20,1,IF(O1584&gt;1000,10,MATCH(O1584,Cargas,1))),Coluna_fis,1,1))*(PI()*(fi_s/1000)^2/4)*(2*9.81*(O1584/100-cota_s-fi_s/2/1000))^0.5*1000)))</f>
        <v>4.4308154989946962</v>
      </c>
      <c r="R1584" s="38">
        <f t="shared" ca="1" si="210"/>
        <v>9.7440490882892448</v>
      </c>
      <c r="S1584" s="38">
        <f t="shared" ca="1" si="211"/>
        <v>494.6875</v>
      </c>
    </row>
    <row r="1585" spans="13:19">
      <c r="M1585" s="132">
        <f t="shared" ca="1" si="208"/>
        <v>504.74775550461413</v>
      </c>
      <c r="N1585" s="38">
        <f t="shared" si="209"/>
        <v>14.85</v>
      </c>
      <c r="O1585" s="36">
        <f t="shared" si="207"/>
        <v>396</v>
      </c>
      <c r="P1585" s="38">
        <f ca="1">IF(ISERROR(IF(O1585&lt;fi_h/20,0,(OFFSET('Base de dados'!$A$5,IF(O1585&lt;20,1,IF(O1585&gt;1000,10,MATCH(O1585,Cargas,1))),Coluna_fih,1,1))*(1+0.13*0.25)*(PI()*(fi_h/1000)^2/4)*SQRT(2*9.81*(O1585/100-fi_h/2/1000))*1000)),"",IF(O1585&lt;fi_h/20,0,(OFFSET('Base de dados'!$A$5,IF(O1585&lt;20,1,IF(O1585&gt;1000,10,MATCH(O1585,Cargas,1))),Coluna_fih,1,1))*(PI()*(fi_h/1000)^2/4)*SQRT(2*9.81*(O1585/100-fi_h/2/1000))*1000))</f>
        <v>5.3149190353083835</v>
      </c>
      <c r="Q1585" s="38">
        <f ca="1">IF(O1585="","",IF(Tipo_Vertedor="Retangular",IF(O1585&lt;=cota_s*100,0,IF(Tipo_Vertedor="Retangular",Cd_sr*Lef_sr*((O1585/100-cota_s)^(3/2))*1000)),IF(O1585&lt;=cota_s*100+fi_s/20,0,(OFFSET('Base de dados'!$A$4,IF(O1585&lt;20,1,IF(O1585&gt;1000,10,MATCH(O1585,Cargas,1))),Coluna_fis,1,1))*(PI()*(fi_s/1000)^2/4)*(2*9.81*(O1585/100-cota_s-fi_s/2/1000))^0.5*1000)))</f>
        <v>4.432836469305764</v>
      </c>
      <c r="R1585" s="38">
        <f t="shared" ca="1" si="210"/>
        <v>9.7477555046141475</v>
      </c>
      <c r="S1585" s="38">
        <f t="shared" ca="1" si="211"/>
        <v>495</v>
      </c>
    </row>
    <row r="1586" spans="13:19">
      <c r="M1586" s="132">
        <f t="shared" ca="1" si="208"/>
        <v>505.06396046566761</v>
      </c>
      <c r="N1586" s="38">
        <f t="shared" si="209"/>
        <v>14.859375</v>
      </c>
      <c r="O1586" s="36">
        <f t="shared" si="207"/>
        <v>396.25</v>
      </c>
      <c r="P1586" s="38">
        <f ca="1">IF(ISERROR(IF(O1586&lt;fi_h/20,0,(OFFSET('Base de dados'!$A$5,IF(O1586&lt;20,1,IF(O1586&gt;1000,10,MATCH(O1586,Cargas,1))),Coluna_fih,1,1))*(1+0.13*0.25)*(PI()*(fi_h/1000)^2/4)*SQRT(2*9.81*(O1586/100-fi_h/2/1000))*1000)),"",IF(O1586&lt;fi_h/20,0,(OFFSET('Base de dados'!$A$5,IF(O1586&lt;20,1,IF(O1586&gt;1000,10,MATCH(O1586,Cargas,1))),Coluna_fih,1,1))*(PI()*(fi_h/1000)^2/4)*SQRT(2*9.81*(O1586/100-fi_h/2/1000))*1000))</f>
        <v>5.3166039470096855</v>
      </c>
      <c r="Q1586" s="38">
        <f ca="1">IF(O1586="","",IF(Tipo_Vertedor="Retangular",IF(O1586&lt;=cota_s*100,0,IF(Tipo_Vertedor="Retangular",Cd_sr*Lef_sr*((O1586/100-cota_s)^(3/2))*1000)),IF(O1586&lt;=cota_s*100+fi_s/20,0,(OFFSET('Base de dados'!$A$4,IF(O1586&lt;20,1,IF(O1586&gt;1000,10,MATCH(O1586,Cargas,1))),Coluna_fis,1,1))*(PI()*(fi_s/1000)^2/4)*(2*9.81*(O1586/100-cota_s-fi_s/2/1000))^0.5*1000)))</f>
        <v>4.4348565186579343</v>
      </c>
      <c r="R1586" s="38">
        <f t="shared" ca="1" si="210"/>
        <v>9.7514604656676198</v>
      </c>
      <c r="S1586" s="38">
        <f t="shared" ca="1" si="211"/>
        <v>495.3125</v>
      </c>
    </row>
    <row r="1587" spans="13:19">
      <c r="M1587" s="132">
        <f t="shared" ca="1" si="208"/>
        <v>505.38016397321536</v>
      </c>
      <c r="N1587" s="38">
        <f t="shared" si="209"/>
        <v>14.868749999999999</v>
      </c>
      <c r="O1587" s="36">
        <f t="shared" si="207"/>
        <v>396.5</v>
      </c>
      <c r="P1587" s="38">
        <f ca="1">IF(ISERROR(IF(O1587&lt;fi_h/20,0,(OFFSET('Base de dados'!$A$5,IF(O1587&lt;20,1,IF(O1587&gt;1000,10,MATCH(O1587,Cargas,1))),Coluna_fih,1,1))*(1+0.13*0.25)*(PI()*(fi_h/1000)^2/4)*SQRT(2*9.81*(O1587/100-fi_h/2/1000))*1000)),"",IF(O1587&lt;fi_h/20,0,(OFFSET('Base de dados'!$A$5,IF(O1587&lt;20,1,IF(O1587&gt;1000,10,MATCH(O1587,Cargas,1))),Coluna_fih,1,1))*(PI()*(fi_h/1000)^2/4)*SQRT(2*9.81*(O1587/100-fi_h/2/1000))*1000))</f>
        <v>5.3182883249062893</v>
      </c>
      <c r="Q1587" s="38">
        <f ca="1">IF(O1587="","",IF(Tipo_Vertedor="Retangular",IF(O1587&lt;=cota_s*100,0,IF(Tipo_Vertedor="Retangular",Cd_sr*Lef_sr*((O1587/100-cota_s)^(3/2))*1000)),IF(O1587&lt;=cota_s*100+fi_s/20,0,(OFFSET('Base de dados'!$A$4,IF(O1587&lt;20,1,IF(O1587&gt;1000,10,MATCH(O1587,Cargas,1))),Coluna_fis,1,1))*(PI()*(fi_s/1000)^2/4)*(2*9.81*(O1587/100-cota_s-fi_s/2/1000))^0.5*1000)))</f>
        <v>4.4368756483091056</v>
      </c>
      <c r="R1587" s="38">
        <f t="shared" ca="1" si="210"/>
        <v>9.7551639732153959</v>
      </c>
      <c r="S1587" s="38">
        <f t="shared" ca="1" si="211"/>
        <v>495.62499999999994</v>
      </c>
    </row>
    <row r="1588" spans="13:19">
      <c r="M1588" s="132">
        <f t="shared" ca="1" si="208"/>
        <v>505.69636602901949</v>
      </c>
      <c r="N1588" s="38">
        <f t="shared" si="209"/>
        <v>14.878124999999999</v>
      </c>
      <c r="O1588" s="36">
        <f t="shared" si="207"/>
        <v>396.75</v>
      </c>
      <c r="P1588" s="38">
        <f ca="1">IF(ISERROR(IF(O1588&lt;fi_h/20,0,(OFFSET('Base de dados'!$A$5,IF(O1588&lt;20,1,IF(O1588&gt;1000,10,MATCH(O1588,Cargas,1))),Coluna_fih,1,1))*(1+0.13*0.25)*(PI()*(fi_h/1000)^2/4)*SQRT(2*9.81*(O1588/100-fi_h/2/1000))*1000)),"",IF(O1588&lt;fi_h/20,0,(OFFSET('Base de dados'!$A$5,IF(O1588&lt;20,1,IF(O1588&gt;1000,10,MATCH(O1588,Cargas,1))),Coluna_fih,1,1))*(PI()*(fi_h/1000)^2/4)*SQRT(2*9.81*(O1588/100-fi_h/2/1000))*1000))</f>
        <v>5.319972169505224</v>
      </c>
      <c r="Q1588" s="38">
        <f ca="1">IF(O1588="","",IF(Tipo_Vertedor="Retangular",IF(O1588&lt;=cota_s*100,0,IF(Tipo_Vertedor="Retangular",Cd_sr*Lef_sr*((O1588/100-cota_s)^(3/2))*1000)),IF(O1588&lt;=cota_s*100+fi_s/20,0,(OFFSET('Base de dados'!$A$4,IF(O1588&lt;20,1,IF(O1588&gt;1000,10,MATCH(O1588,Cargas,1))),Coluna_fis,1,1))*(PI()*(fi_s/1000)^2/4)*(2*9.81*(O1588/100-cota_s-fi_s/2/1000))^0.5*1000)))</f>
        <v>4.4388938595143186</v>
      </c>
      <c r="R1588" s="38">
        <f t="shared" ca="1" si="210"/>
        <v>9.7588660290195435</v>
      </c>
      <c r="S1588" s="38">
        <f t="shared" ca="1" si="211"/>
        <v>495.93749999999994</v>
      </c>
    </row>
    <row r="1589" spans="13:19">
      <c r="M1589" s="132">
        <f t="shared" ca="1" si="208"/>
        <v>506.01256663483855</v>
      </c>
      <c r="N1589" s="38">
        <f t="shared" si="209"/>
        <v>14.887500000000001</v>
      </c>
      <c r="O1589" s="36">
        <f t="shared" si="207"/>
        <v>397</v>
      </c>
      <c r="P1589" s="38">
        <f ca="1">IF(ISERROR(IF(O1589&lt;fi_h/20,0,(OFFSET('Base de dados'!$A$5,IF(O1589&lt;20,1,IF(O1589&gt;1000,10,MATCH(O1589,Cargas,1))),Coluna_fih,1,1))*(1+0.13*0.25)*(PI()*(fi_h/1000)^2/4)*SQRT(2*9.81*(O1589/100-fi_h/2/1000))*1000)),"",IF(O1589&lt;fi_h/20,0,(OFFSET('Base de dados'!$A$5,IF(O1589&lt;20,1,IF(O1589&gt;1000,10,MATCH(O1589,Cargas,1))),Coluna_fih,1,1))*(PI()*(fi_h/1000)^2/4)*SQRT(2*9.81*(O1589/100-fi_h/2/1000))*1000))</f>
        <v>5.3216554813127175</v>
      </c>
      <c r="Q1589" s="38">
        <f ca="1">IF(O1589="","",IF(Tipo_Vertedor="Retangular",IF(O1589&lt;=cota_s*100,0,IF(Tipo_Vertedor="Retangular",Cd_sr*Lef_sr*((O1589/100-cota_s)^(3/2))*1000)),IF(O1589&lt;=cota_s*100+fi_s/20,0,(OFFSET('Base de dados'!$A$4,IF(O1589&lt;20,1,IF(O1589&gt;1000,10,MATCH(O1589,Cargas,1))),Coluna_fis,1,1))*(PI()*(fi_s/1000)^2/4)*(2*9.81*(O1589/100-cota_s-fi_s/2/1000))^0.5*1000)))</f>
        <v>4.4409111535257599</v>
      </c>
      <c r="R1589" s="38">
        <f t="shared" ca="1" si="210"/>
        <v>9.7625666348384783</v>
      </c>
      <c r="S1589" s="38">
        <f t="shared" ca="1" si="211"/>
        <v>496.25000000000006</v>
      </c>
    </row>
    <row r="1590" spans="13:19">
      <c r="M1590" s="132">
        <f t="shared" ca="1" si="208"/>
        <v>506.32876579242702</v>
      </c>
      <c r="N1590" s="38">
        <f t="shared" si="209"/>
        <v>14.896875000000001</v>
      </c>
      <c r="O1590" s="36">
        <f t="shared" si="207"/>
        <v>397.25</v>
      </c>
      <c r="P1590" s="38">
        <f ca="1">IF(ISERROR(IF(O1590&lt;fi_h/20,0,(OFFSET('Base de dados'!$A$5,IF(O1590&lt;20,1,IF(O1590&gt;1000,10,MATCH(O1590,Cargas,1))),Coluna_fih,1,1))*(1+0.13*0.25)*(PI()*(fi_h/1000)^2/4)*SQRT(2*9.81*(O1590/100-fi_h/2/1000))*1000)),"",IF(O1590&lt;fi_h/20,0,(OFFSET('Base de dados'!$A$5,IF(O1590&lt;20,1,IF(O1590&gt;1000,10,MATCH(O1590,Cargas,1))),Coluna_fih,1,1))*(PI()*(fi_h/1000)^2/4)*SQRT(2*9.81*(O1590/100-fi_h/2/1000))*1000))</f>
        <v>5.3233382608341984</v>
      </c>
      <c r="Q1590" s="38">
        <f ca="1">IF(O1590="","",IF(Tipo_Vertedor="Retangular",IF(O1590&lt;=cota_s*100,0,IF(Tipo_Vertedor="Retangular",Cd_sr*Lef_sr*((O1590/100-cota_s)^(3/2))*1000)),IF(O1590&lt;=cota_s*100+fi_s/20,0,(OFFSET('Base de dados'!$A$4,IF(O1590&lt;20,1,IF(O1590&gt;1000,10,MATCH(O1590,Cargas,1))),Coluna_fis,1,1))*(PI()*(fi_s/1000)^2/4)*(2*9.81*(O1590/100-cota_s-fi_s/2/1000))^0.5*1000)))</f>
        <v>4.4429275315927752</v>
      </c>
      <c r="R1590" s="38">
        <f t="shared" ca="1" si="210"/>
        <v>9.7662657924269745</v>
      </c>
      <c r="S1590" s="38">
        <f t="shared" ca="1" si="211"/>
        <v>496.56250000000006</v>
      </c>
    </row>
    <row r="1591" spans="13:19">
      <c r="M1591" s="132">
        <f t="shared" ca="1" si="208"/>
        <v>506.64496350353619</v>
      </c>
      <c r="N1591" s="38">
        <f t="shared" si="209"/>
        <v>14.90625</v>
      </c>
      <c r="O1591" s="36">
        <f t="shared" si="207"/>
        <v>397.5</v>
      </c>
      <c r="P1591" s="38">
        <f ca="1">IF(ISERROR(IF(O1591&lt;fi_h/20,0,(OFFSET('Base de dados'!$A$5,IF(O1591&lt;20,1,IF(O1591&gt;1000,10,MATCH(O1591,Cargas,1))),Coluna_fih,1,1))*(1+0.13*0.25)*(PI()*(fi_h/1000)^2/4)*SQRT(2*9.81*(O1591/100-fi_h/2/1000))*1000)),"",IF(O1591&lt;fi_h/20,0,(OFFSET('Base de dados'!$A$5,IF(O1591&lt;20,1,IF(O1591&gt;1000,10,MATCH(O1591,Cargas,1))),Coluna_fih,1,1))*(PI()*(fi_h/1000)^2/4)*SQRT(2*9.81*(O1591/100-fi_h/2/1000))*1000))</f>
        <v>5.325020508574295</v>
      </c>
      <c r="Q1591" s="38">
        <f ca="1">IF(O1591="","",IF(Tipo_Vertedor="Retangular",IF(O1591&lt;=cota_s*100,0,IF(Tipo_Vertedor="Retangular",Cd_sr*Lef_sr*((O1591/100-cota_s)^(3/2))*1000)),IF(O1591&lt;=cota_s*100+fi_s/20,0,(OFFSET('Base de dados'!$A$4,IF(O1591&lt;20,1,IF(O1591&gt;1000,10,MATCH(O1591,Cargas,1))),Coluna_fis,1,1))*(PI()*(fi_s/1000)^2/4)*(2*9.81*(O1591/100-cota_s-fi_s/2/1000))^0.5*1000)))</f>
        <v>4.4449429949618766</v>
      </c>
      <c r="R1591" s="38">
        <f t="shared" ca="1" si="210"/>
        <v>9.7699635035361716</v>
      </c>
      <c r="S1591" s="38">
        <f t="shared" ca="1" si="211"/>
        <v>496.875</v>
      </c>
    </row>
    <row r="1592" spans="13:19">
      <c r="M1592" s="132">
        <f t="shared" ca="1" si="208"/>
        <v>506.96115976991359</v>
      </c>
      <c r="N1592" s="38">
        <f t="shared" si="209"/>
        <v>14.915625</v>
      </c>
      <c r="O1592" s="36">
        <f t="shared" si="207"/>
        <v>397.75</v>
      </c>
      <c r="P1592" s="38">
        <f ca="1">IF(ISERROR(IF(O1592&lt;fi_h/20,0,(OFFSET('Base de dados'!$A$5,IF(O1592&lt;20,1,IF(O1592&gt;1000,10,MATCH(O1592,Cargas,1))),Coluna_fih,1,1))*(1+0.13*0.25)*(PI()*(fi_h/1000)^2/4)*SQRT(2*9.81*(O1592/100-fi_h/2/1000))*1000)),"",IF(O1592&lt;fi_h/20,0,(OFFSET('Base de dados'!$A$5,IF(O1592&lt;20,1,IF(O1592&gt;1000,10,MATCH(O1592,Cargas,1))),Coluna_fih,1,1))*(PI()*(fi_h/1000)^2/4)*SQRT(2*9.81*(O1592/100-fi_h/2/1000))*1000))</f>
        <v>5.3267022250368399</v>
      </c>
      <c r="Q1592" s="38">
        <f ca="1">IF(O1592="","",IF(Tipo_Vertedor="Retangular",IF(O1592&lt;=cota_s*100,0,IF(Tipo_Vertedor="Retangular",Cd_sr*Lef_sr*((O1592/100-cota_s)^(3/2))*1000)),IF(O1592&lt;=cota_s*100+fi_s/20,0,(OFFSET('Base de dados'!$A$4,IF(O1592&lt;20,1,IF(O1592&gt;1000,10,MATCH(O1592,Cargas,1))),Coluna_fis,1,1))*(PI()*(fi_s/1000)^2/4)*(2*9.81*(O1592/100-cota_s-fi_s/2/1000))^0.5*1000)))</f>
        <v>4.4469575448767467</v>
      </c>
      <c r="R1592" s="38">
        <f t="shared" ca="1" si="210"/>
        <v>9.7736597699135856</v>
      </c>
      <c r="S1592" s="38">
        <f t="shared" ca="1" si="211"/>
        <v>497.1875</v>
      </c>
    </row>
    <row r="1593" spans="13:19">
      <c r="M1593" s="132">
        <f t="shared" ca="1" si="208"/>
        <v>507.27735459330313</v>
      </c>
      <c r="N1593" s="38">
        <f t="shared" si="209"/>
        <v>14.925000000000001</v>
      </c>
      <c r="O1593" s="36">
        <f t="shared" si="207"/>
        <v>398</v>
      </c>
      <c r="P1593" s="38">
        <f ca="1">IF(ISERROR(IF(O1593&lt;fi_h/20,0,(OFFSET('Base de dados'!$A$5,IF(O1593&lt;20,1,IF(O1593&gt;1000,10,MATCH(O1593,Cargas,1))),Coluna_fih,1,1))*(1+0.13*0.25)*(PI()*(fi_h/1000)^2/4)*SQRT(2*9.81*(O1593/100-fi_h/2/1000))*1000)),"",IF(O1593&lt;fi_h/20,0,(OFFSET('Base de dados'!$A$5,IF(O1593&lt;20,1,IF(O1593&gt;1000,10,MATCH(O1593,Cargas,1))),Coluna_fih,1,1))*(PI()*(fi_h/1000)^2/4)*SQRT(2*9.81*(O1593/100-fi_h/2/1000))*1000))</f>
        <v>5.3283834107248698</v>
      </c>
      <c r="Q1593" s="38">
        <f ca="1">IF(O1593="","",IF(Tipo_Vertedor="Retangular",IF(O1593&lt;=cota_s*100,0,IF(Tipo_Vertedor="Retangular",Cd_sr*Lef_sr*((O1593/100-cota_s)^(3/2))*1000)),IF(O1593&lt;=cota_s*100+fi_s/20,0,(OFFSET('Base de dados'!$A$4,IF(O1593&lt;20,1,IF(O1593&gt;1000,10,MATCH(O1593,Cargas,1))),Coluna_fis,1,1))*(PI()*(fi_s/1000)^2/4)*(2*9.81*(O1593/100-cota_s-fi_s/2/1000))^0.5*1000)))</f>
        <v>4.4489711825782603</v>
      </c>
      <c r="R1593" s="38">
        <f t="shared" ca="1" si="210"/>
        <v>9.7773545933031301</v>
      </c>
      <c r="S1593" s="38">
        <f t="shared" ca="1" si="211"/>
        <v>497.5</v>
      </c>
    </row>
    <row r="1594" spans="13:19">
      <c r="M1594" s="132">
        <f t="shared" ca="1" si="208"/>
        <v>507.59354797544512</v>
      </c>
      <c r="N1594" s="38">
        <f t="shared" si="209"/>
        <v>14.934374999999999</v>
      </c>
      <c r="O1594" s="36">
        <f t="shared" si="207"/>
        <v>398.25</v>
      </c>
      <c r="P1594" s="38">
        <f ca="1">IF(ISERROR(IF(O1594&lt;fi_h/20,0,(OFFSET('Base de dados'!$A$5,IF(O1594&lt;20,1,IF(O1594&gt;1000,10,MATCH(O1594,Cargas,1))),Coluna_fih,1,1))*(1+0.13*0.25)*(PI()*(fi_h/1000)^2/4)*SQRT(2*9.81*(O1594/100-fi_h/2/1000))*1000)),"",IF(O1594&lt;fi_h/20,0,(OFFSET('Base de dados'!$A$5,IF(O1594&lt;20,1,IF(O1594&gt;1000,10,MATCH(O1594,Cargas,1))),Coluna_fih,1,1))*(PI()*(fi_h/1000)^2/4)*SQRT(2*9.81*(O1594/100-fi_h/2/1000))*1000))</f>
        <v>5.3300640661406291</v>
      </c>
      <c r="Q1594" s="38">
        <f ca="1">IF(O1594="","",IF(Tipo_Vertedor="Retangular",IF(O1594&lt;=cota_s*100,0,IF(Tipo_Vertedor="Retangular",Cd_sr*Lef_sr*((O1594/100-cota_s)^(3/2))*1000)),IF(O1594&lt;=cota_s*100+fi_s/20,0,(OFFSET('Base de dados'!$A$4,IF(O1594&lt;20,1,IF(O1594&gt;1000,10,MATCH(O1594,Cargas,1))),Coluna_fis,1,1))*(PI()*(fi_s/1000)^2/4)*(2*9.81*(O1594/100-cota_s-fi_s/2/1000))^0.5*1000)))</f>
        <v>4.4509839093044787</v>
      </c>
      <c r="R1594" s="38">
        <f t="shared" ca="1" si="210"/>
        <v>9.7810479754451087</v>
      </c>
      <c r="S1594" s="38">
        <f t="shared" ca="1" si="211"/>
        <v>497.8125</v>
      </c>
    </row>
    <row r="1595" spans="13:19">
      <c r="M1595" s="132">
        <f t="shared" ca="1" si="208"/>
        <v>507.90973991807624</v>
      </c>
      <c r="N1595" s="38">
        <f t="shared" si="209"/>
        <v>14.94375</v>
      </c>
      <c r="O1595" s="36">
        <f t="shared" si="207"/>
        <v>398.5</v>
      </c>
      <c r="P1595" s="38">
        <f ca="1">IF(ISERROR(IF(O1595&lt;fi_h/20,0,(OFFSET('Base de dados'!$A$5,IF(O1595&lt;20,1,IF(O1595&gt;1000,10,MATCH(O1595,Cargas,1))),Coluna_fih,1,1))*(1+0.13*0.25)*(PI()*(fi_h/1000)^2/4)*SQRT(2*9.81*(O1595/100-fi_h/2/1000))*1000)),"",IF(O1595&lt;fi_h/20,0,(OFFSET('Base de dados'!$A$5,IF(O1595&lt;20,1,IF(O1595&gt;1000,10,MATCH(O1595,Cargas,1))),Coluna_fih,1,1))*(PI()*(fi_h/1000)^2/4)*SQRT(2*9.81*(O1595/100-fi_h/2/1000))*1000))</f>
        <v>5.3317441917855692</v>
      </c>
      <c r="Q1595" s="38">
        <f ca="1">IF(O1595="","",IF(Tipo_Vertedor="Retangular",IF(O1595&lt;=cota_s*100,0,IF(Tipo_Vertedor="Retangular",Cd_sr*Lef_sr*((O1595/100-cota_s)^(3/2))*1000)),IF(O1595&lt;=cota_s*100+fi_s/20,0,(OFFSET('Base de dados'!$A$4,IF(O1595&lt;20,1,IF(O1595&gt;1000,10,MATCH(O1595,Cargas,1))),Coluna_fis,1,1))*(PI()*(fi_s/1000)^2/4)*(2*9.81*(O1595/100-cota_s-fi_s/2/1000))^0.5*1000)))</f>
        <v>4.4529957262906681</v>
      </c>
      <c r="R1595" s="38">
        <f t="shared" ca="1" si="210"/>
        <v>9.7847399180762373</v>
      </c>
      <c r="S1595" s="38">
        <f t="shared" ca="1" si="211"/>
        <v>498.125</v>
      </c>
    </row>
    <row r="1596" spans="13:19">
      <c r="M1596" s="132">
        <f t="shared" ca="1" si="208"/>
        <v>508.22593042292965</v>
      </c>
      <c r="N1596" s="38">
        <f t="shared" si="209"/>
        <v>14.953125</v>
      </c>
      <c r="O1596" s="36">
        <f t="shared" si="207"/>
        <v>398.75</v>
      </c>
      <c r="P1596" s="38">
        <f ca="1">IF(ISERROR(IF(O1596&lt;fi_h/20,0,(OFFSET('Base de dados'!$A$5,IF(O1596&lt;20,1,IF(O1596&gt;1000,10,MATCH(O1596,Cargas,1))),Coluna_fih,1,1))*(1+0.13*0.25)*(PI()*(fi_h/1000)^2/4)*SQRT(2*9.81*(O1596/100-fi_h/2/1000))*1000)),"",IF(O1596&lt;fi_h/20,0,(OFFSET('Base de dados'!$A$5,IF(O1596&lt;20,1,IF(O1596&gt;1000,10,MATCH(O1596,Cargas,1))),Coluna_fih,1,1))*(PI()*(fi_h/1000)^2/4)*SQRT(2*9.81*(O1596/100-fi_h/2/1000))*1000))</f>
        <v>5.3334237881603528</v>
      </c>
      <c r="Q1596" s="38">
        <f ca="1">IF(O1596="","",IF(Tipo_Vertedor="Retangular",IF(O1596&lt;=cota_s*100,0,IF(Tipo_Vertedor="Retangular",Cd_sr*Lef_sr*((O1596/100-cota_s)^(3/2))*1000)),IF(O1596&lt;=cota_s*100+fi_s/20,0,(OFFSET('Base de dados'!$A$4,IF(O1596&lt;20,1,IF(O1596&gt;1000,10,MATCH(O1596,Cargas,1))),Coluna_fis,1,1))*(PI()*(fi_s/1000)^2/4)*(2*9.81*(O1596/100-cota_s-fi_s/2/1000))^0.5*1000)))</f>
        <v>4.4550066347693047</v>
      </c>
      <c r="R1596" s="38">
        <f t="shared" ca="1" si="210"/>
        <v>9.7884304229296575</v>
      </c>
      <c r="S1596" s="38">
        <f t="shared" ca="1" si="211"/>
        <v>498.4375</v>
      </c>
    </row>
    <row r="1597" spans="13:19">
      <c r="M1597" s="132">
        <f t="shared" ca="1" si="208"/>
        <v>508.54211949173492</v>
      </c>
      <c r="N1597" s="38">
        <f t="shared" si="209"/>
        <v>14.9625</v>
      </c>
      <c r="O1597" s="36">
        <f t="shared" si="207"/>
        <v>399</v>
      </c>
      <c r="P1597" s="38">
        <f ca="1">IF(ISERROR(IF(O1597&lt;fi_h/20,0,(OFFSET('Base de dados'!$A$5,IF(O1597&lt;20,1,IF(O1597&gt;1000,10,MATCH(O1597,Cargas,1))),Coluna_fih,1,1))*(1+0.13*0.25)*(PI()*(fi_h/1000)^2/4)*SQRT(2*9.81*(O1597/100-fi_h/2/1000))*1000)),"",IF(O1597&lt;fi_h/20,0,(OFFSET('Base de dados'!$A$5,IF(O1597&lt;20,1,IF(O1597&gt;1000,10,MATCH(O1597,Cargas,1))),Coluna_fih,1,1))*(PI()*(fi_h/1000)^2/4)*SQRT(2*9.81*(O1597/100-fi_h/2/1000))*1000))</f>
        <v>5.3351028557648545</v>
      </c>
      <c r="Q1597" s="38">
        <f ca="1">IF(O1597="","",IF(Tipo_Vertedor="Retangular",IF(O1597&lt;=cota_s*100,0,IF(Tipo_Vertedor="Retangular",Cd_sr*Lef_sr*((O1597/100-cota_s)^(3/2))*1000)),IF(O1597&lt;=cota_s*100+fi_s/20,0,(OFFSET('Base de dados'!$A$4,IF(O1597&lt;20,1,IF(O1597&gt;1000,10,MATCH(O1597,Cargas,1))),Coluna_fis,1,1))*(PI()*(fi_s/1000)^2/4)*(2*9.81*(O1597/100-cota_s-fi_s/2/1000))^0.5*1000)))</f>
        <v>4.4570166359700858</v>
      </c>
      <c r="R1597" s="38">
        <f t="shared" ca="1" si="210"/>
        <v>9.7921194917349403</v>
      </c>
      <c r="S1597" s="38">
        <f t="shared" ca="1" si="211"/>
        <v>498.75</v>
      </c>
    </row>
    <row r="1598" spans="13:19">
      <c r="M1598" s="132">
        <f t="shared" ca="1" si="208"/>
        <v>508.85830712621811</v>
      </c>
      <c r="N1598" s="38">
        <f t="shared" si="209"/>
        <v>14.971875000000001</v>
      </c>
      <c r="O1598" s="36">
        <f t="shared" si="207"/>
        <v>399.25</v>
      </c>
      <c r="P1598" s="38">
        <f ca="1">IF(ISERROR(IF(O1598&lt;fi_h/20,0,(OFFSET('Base de dados'!$A$5,IF(O1598&lt;20,1,IF(O1598&gt;1000,10,MATCH(O1598,Cargas,1))),Coluna_fih,1,1))*(1+0.13*0.25)*(PI()*(fi_h/1000)^2/4)*SQRT(2*9.81*(O1598/100-fi_h/2/1000))*1000)),"",IF(O1598&lt;fi_h/20,0,(OFFSET('Base de dados'!$A$5,IF(O1598&lt;20,1,IF(O1598&gt;1000,10,MATCH(O1598,Cargas,1))),Coluna_fih,1,1))*(PI()*(fi_h/1000)^2/4)*SQRT(2*9.81*(O1598/100-fi_h/2/1000))*1000))</f>
        <v>5.3367813950981615</v>
      </c>
      <c r="Q1598" s="38">
        <f ca="1">IF(O1598="","",IF(Tipo_Vertedor="Retangular",IF(O1598&lt;=cota_s*100,0,IF(Tipo_Vertedor="Retangular",Cd_sr*Lef_sr*((O1598/100-cota_s)^(3/2))*1000)),IF(O1598&lt;=cota_s*100+fi_s/20,0,(OFFSET('Base de dados'!$A$4,IF(O1598&lt;20,1,IF(O1598&gt;1000,10,MATCH(O1598,Cargas,1))),Coluna_fis,1,1))*(PI()*(fi_s/1000)^2/4)*(2*9.81*(O1598/100-cota_s-fi_s/2/1000))^0.5*1000)))</f>
        <v>4.4590257311199366</v>
      </c>
      <c r="R1598" s="38">
        <f t="shared" ca="1" si="210"/>
        <v>9.7958071262180972</v>
      </c>
      <c r="S1598" s="38">
        <f t="shared" ca="1" si="211"/>
        <v>499.0625</v>
      </c>
    </row>
    <row r="1599" spans="13:19">
      <c r="M1599" s="132">
        <f t="shared" ca="1" si="208"/>
        <v>509.17449332810168</v>
      </c>
      <c r="N1599" s="38">
        <f t="shared" si="209"/>
        <v>14.981250000000001</v>
      </c>
      <c r="O1599" s="36">
        <f t="shared" si="207"/>
        <v>399.5</v>
      </c>
      <c r="P1599" s="38">
        <f ca="1">IF(ISERROR(IF(O1599&lt;fi_h/20,0,(OFFSET('Base de dados'!$A$5,IF(O1599&lt;20,1,IF(O1599&gt;1000,10,MATCH(O1599,Cargas,1))),Coluna_fih,1,1))*(1+0.13*0.25)*(PI()*(fi_h/1000)^2/4)*SQRT(2*9.81*(O1599/100-fi_h/2/1000))*1000)),"",IF(O1599&lt;fi_h/20,0,(OFFSET('Base de dados'!$A$5,IF(O1599&lt;20,1,IF(O1599&gt;1000,10,MATCH(O1599,Cargas,1))),Coluna_fih,1,1))*(PI()*(fi_h/1000)^2/4)*SQRT(2*9.81*(O1599/100-fi_h/2/1000))*1000))</f>
        <v>5.3384594066585773</v>
      </c>
      <c r="Q1599" s="38">
        <f ca="1">IF(O1599="","",IF(Tipo_Vertedor="Retangular",IF(O1599&lt;=cota_s*100,0,IF(Tipo_Vertedor="Retangular",Cd_sr*Lef_sr*((O1599/100-cota_s)^(3/2))*1000)),IF(O1599&lt;=cota_s*100+fi_s/20,0,(OFFSET('Base de dados'!$A$4,IF(O1599&lt;20,1,IF(O1599&gt;1000,10,MATCH(O1599,Cargas,1))),Coluna_fis,1,1))*(PI()*(fi_s/1000)^2/4)*(2*9.81*(O1599/100-cota_s-fi_s/2/1000))^0.5*1000)))</f>
        <v>4.4610339214430166</v>
      </c>
      <c r="R1599" s="38">
        <f t="shared" ca="1" si="210"/>
        <v>9.7994933281015939</v>
      </c>
      <c r="S1599" s="38">
        <f t="shared" ca="1" si="211"/>
        <v>499.37500000000006</v>
      </c>
    </row>
    <row r="1600" spans="13:19">
      <c r="M1600" s="132">
        <f t="shared" ca="1" si="208"/>
        <v>509.49067809910434</v>
      </c>
      <c r="N1600" s="38">
        <f t="shared" si="209"/>
        <v>14.990625</v>
      </c>
      <c r="O1600" s="36">
        <f t="shared" si="207"/>
        <v>399.75</v>
      </c>
      <c r="P1600" s="38">
        <f ca="1">IF(ISERROR(IF(O1600&lt;fi_h/20,0,(OFFSET('Base de dados'!$A$5,IF(O1600&lt;20,1,IF(O1600&gt;1000,10,MATCH(O1600,Cargas,1))),Coluna_fih,1,1))*(1+0.13*0.25)*(PI()*(fi_h/1000)^2/4)*SQRT(2*9.81*(O1600/100-fi_h/2/1000))*1000)),"",IF(O1600&lt;fi_h/20,0,(OFFSET('Base de dados'!$A$5,IF(O1600&lt;20,1,IF(O1600&gt;1000,10,MATCH(O1600,Cargas,1))),Coluna_fih,1,1))*(PI()*(fi_h/1000)^2/4)*SQRT(2*9.81*(O1600/100-fi_h/2/1000))*1000))</f>
        <v>5.3401368909436231</v>
      </c>
      <c r="Q1600" s="38">
        <f ca="1">IF(O1600="","",IF(Tipo_Vertedor="Retangular",IF(O1600&lt;=cota_s*100,0,IF(Tipo_Vertedor="Retangular",Cd_sr*Lef_sr*((O1600/100-cota_s)^(3/2))*1000)),IF(O1600&lt;=cota_s*100+fi_s/20,0,(OFFSET('Base de dados'!$A$4,IF(O1600&lt;20,1,IF(O1600&gt;1000,10,MATCH(O1600,Cargas,1))),Coluna_fis,1,1))*(PI()*(fi_s/1000)^2/4)*(2*9.81*(O1600/100-cota_s-fi_s/2/1000))^0.5*1000)))</f>
        <v>4.4630412081607354</v>
      </c>
      <c r="R1600" s="38">
        <f t="shared" ca="1" si="210"/>
        <v>9.8031780991043576</v>
      </c>
      <c r="S1600" s="38">
        <f t="shared" ca="1" si="211"/>
        <v>499.6875</v>
      </c>
    </row>
    <row r="1601" spans="13:19">
      <c r="M1601" s="132">
        <f t="shared" ca="1" si="208"/>
        <v>509.80686144094182</v>
      </c>
      <c r="N1601" s="38">
        <f t="shared" si="209"/>
        <v>15</v>
      </c>
      <c r="O1601" s="36">
        <f t="shared" si="207"/>
        <v>400</v>
      </c>
      <c r="P1601" s="38">
        <f ca="1">IF(ISERROR(IF(O1601&lt;fi_h/20,0,(OFFSET('Base de dados'!$A$5,IF(O1601&lt;20,1,IF(O1601&gt;1000,10,MATCH(O1601,Cargas,1))),Coluna_fih,1,1))*(1+0.13*0.25)*(PI()*(fi_h/1000)^2/4)*SQRT(2*9.81*(O1601/100-fi_h/2/1000))*1000)),"",IF(O1601&lt;fi_h/20,0,(OFFSET('Base de dados'!$A$5,IF(O1601&lt;20,1,IF(O1601&gt;1000,10,MATCH(O1601,Cargas,1))),Coluna_fih,1,1))*(PI()*(fi_h/1000)^2/4)*SQRT(2*9.81*(O1601/100-fi_h/2/1000))*1000))</f>
        <v>5.3418138484500375</v>
      </c>
      <c r="Q1601" s="38">
        <f ca="1">IF(O1601="","",IF(Tipo_Vertedor="Retangular",IF(O1601&lt;=cota_s*100,0,IF(Tipo_Vertedor="Retangular",Cd_sr*Lef_sr*((O1601/100-cota_s)^(3/2))*1000)),IF(O1601&lt;=cota_s*100+fi_s/20,0,(OFFSET('Base de dados'!$A$4,IF(O1601&lt;20,1,IF(O1601&gt;1000,10,MATCH(O1601,Cargas,1))),Coluna_fis,1,1))*(PI()*(fi_s/1000)^2/4)*(2*9.81*(O1601/100-cota_s-fi_s/2/1000))^0.5*1000)))</f>
        <v>4.4650475924917536</v>
      </c>
      <c r="R1601" s="38">
        <f t="shared" ca="1" si="210"/>
        <v>9.8068614409417911</v>
      </c>
      <c r="S1601" s="38">
        <f t="shared" ca="1" si="211"/>
        <v>500</v>
      </c>
    </row>
    <row r="1602" spans="13:19">
      <c r="M1602" s="132">
        <f t="shared" ca="1" si="208"/>
        <v>510.12304335532582</v>
      </c>
      <c r="N1602" s="38">
        <f t="shared" si="209"/>
        <v>15.009375000000002</v>
      </c>
      <c r="O1602" s="36">
        <f t="shared" si="207"/>
        <v>400.25</v>
      </c>
      <c r="P1602" s="38">
        <f ca="1">IF(ISERROR(IF(O1602&lt;fi_h/20,0,(OFFSET('Base de dados'!$A$5,IF(O1602&lt;20,1,IF(O1602&gt;1000,10,MATCH(O1602,Cargas,1))),Coluna_fih,1,1))*(1+0.13*0.25)*(PI()*(fi_h/1000)^2/4)*SQRT(2*9.81*(O1602/100-fi_h/2/1000))*1000)),"",IF(O1602&lt;fi_h/20,0,(OFFSET('Base de dados'!$A$5,IF(O1602&lt;20,1,IF(O1602&gt;1000,10,MATCH(O1602,Cargas,1))),Coluna_fih,1,1))*(PI()*(fi_h/1000)^2/4)*SQRT(2*9.81*(O1602/100-fi_h/2/1000))*1000))</f>
        <v>5.3434902796737811</v>
      </c>
      <c r="Q1602" s="38">
        <f ca="1">IF(O1602="","",IF(Tipo_Vertedor="Retangular",IF(O1602&lt;=cota_s*100,0,IF(Tipo_Vertedor="Retangular",Cd_sr*Lef_sr*((O1602/100-cota_s)^(3/2))*1000)),IF(O1602&lt;=cota_s*100+fi_s/20,0,(OFFSET('Base de dados'!$A$4,IF(O1602&lt;20,1,IF(O1602&gt;1000,10,MATCH(O1602,Cargas,1))),Coluna_fis,1,1))*(PI()*(fi_s/1000)^2/4)*(2*9.81*(O1602/100-cota_s-fi_s/2/1000))^0.5*1000)))</f>
        <v>4.4670530756519993</v>
      </c>
      <c r="R1602" s="38">
        <f t="shared" ca="1" si="210"/>
        <v>9.8105433553257804</v>
      </c>
      <c r="S1602" s="38">
        <f t="shared" ca="1" si="211"/>
        <v>500.31250000000006</v>
      </c>
    </row>
    <row r="1603" spans="13:19">
      <c r="M1603" s="132">
        <f t="shared" ca="1" si="208"/>
        <v>510.43922384396467</v>
      </c>
      <c r="N1603" s="38">
        <f t="shared" si="209"/>
        <v>15.018749999999999</v>
      </c>
      <c r="O1603" s="36">
        <f t="shared" si="207"/>
        <v>400.5</v>
      </c>
      <c r="P1603" s="38">
        <f ca="1">IF(ISERROR(IF(O1603&lt;fi_h/20,0,(OFFSET('Base de dados'!$A$5,IF(O1603&lt;20,1,IF(O1603&gt;1000,10,MATCH(O1603,Cargas,1))),Coluna_fih,1,1))*(1+0.13*0.25)*(PI()*(fi_h/1000)^2/4)*SQRT(2*9.81*(O1603/100-fi_h/2/1000))*1000)),"",IF(O1603&lt;fi_h/20,0,(OFFSET('Base de dados'!$A$5,IF(O1603&lt;20,1,IF(O1603&gt;1000,10,MATCH(O1603,Cargas,1))),Coluna_fih,1,1))*(PI()*(fi_h/1000)^2/4)*SQRT(2*9.81*(O1603/100-fi_h/2/1000))*1000))</f>
        <v>5.3451661851100329</v>
      </c>
      <c r="Q1603" s="38">
        <f ca="1">IF(O1603="","",IF(Tipo_Vertedor="Retangular",IF(O1603&lt;=cota_s*100,0,IF(Tipo_Vertedor="Retangular",Cd_sr*Lef_sr*((O1603/100-cota_s)^(3/2))*1000)),IF(O1603&lt;=cota_s*100+fi_s/20,0,(OFFSET('Base de dados'!$A$4,IF(O1603&lt;20,1,IF(O1603&gt;1000,10,MATCH(O1603,Cargas,1))),Coluna_fis,1,1))*(PI()*(fi_s/1000)^2/4)*(2*9.81*(O1603/100-cota_s-fi_s/2/1000))^0.5*1000)))</f>
        <v>4.4690576588546662</v>
      </c>
      <c r="R1603" s="38">
        <f t="shared" ca="1" si="210"/>
        <v>9.8142238439646992</v>
      </c>
      <c r="S1603" s="38">
        <f t="shared" ca="1" si="211"/>
        <v>500.62499999999994</v>
      </c>
    </row>
    <row r="1604" spans="13:19">
      <c r="M1604" s="132">
        <f t="shared" ca="1" si="208"/>
        <v>510.7554029085635</v>
      </c>
      <c r="N1604" s="38">
        <f t="shared" si="209"/>
        <v>15.028125000000001</v>
      </c>
      <c r="O1604" s="36">
        <f t="shared" si="207"/>
        <v>400.75</v>
      </c>
      <c r="P1604" s="38">
        <f ca="1">IF(ISERROR(IF(O1604&lt;fi_h/20,0,(OFFSET('Base de dados'!$A$5,IF(O1604&lt;20,1,IF(O1604&gt;1000,10,MATCH(O1604,Cargas,1))),Coluna_fih,1,1))*(1+0.13*0.25)*(PI()*(fi_h/1000)^2/4)*SQRT(2*9.81*(O1604/100-fi_h/2/1000))*1000)),"",IF(O1604&lt;fi_h/20,0,(OFFSET('Base de dados'!$A$5,IF(O1604&lt;20,1,IF(O1604&gt;1000,10,MATCH(O1604,Cargas,1))),Coluna_fih,1,1))*(PI()*(fi_h/1000)^2/4)*SQRT(2*9.81*(O1604/100-fi_h/2/1000))*1000))</f>
        <v>5.3468415652532038</v>
      </c>
      <c r="Q1604" s="38">
        <f ca="1">IF(O1604="","",IF(Tipo_Vertedor="Retangular",IF(O1604&lt;=cota_s*100,0,IF(Tipo_Vertedor="Retangular",Cd_sr*Lef_sr*((O1604/100-cota_s)^(3/2))*1000)),IF(O1604&lt;=cota_s*100+fi_s/20,0,(OFFSET('Base de dados'!$A$4,IF(O1604&lt;20,1,IF(O1604&gt;1000,10,MATCH(O1604,Cargas,1))),Coluna_fis,1,1))*(PI()*(fi_s/1000)^2/4)*(2*9.81*(O1604/100-cota_s-fi_s/2/1000))^0.5*1000)))</f>
        <v>4.471061343310236</v>
      </c>
      <c r="R1604" s="38">
        <f t="shared" ca="1" si="210"/>
        <v>9.8179029085634397</v>
      </c>
      <c r="S1604" s="38">
        <f t="shared" ca="1" si="211"/>
        <v>500.93750000000006</v>
      </c>
    </row>
    <row r="1605" spans="13:19">
      <c r="M1605" s="132">
        <f t="shared" ca="1" si="208"/>
        <v>511.0715805508234</v>
      </c>
      <c r="N1605" s="38">
        <f t="shared" si="209"/>
        <v>15.0375</v>
      </c>
      <c r="O1605" s="36">
        <f t="shared" si="207"/>
        <v>401</v>
      </c>
      <c r="P1605" s="38">
        <f ca="1">IF(ISERROR(IF(O1605&lt;fi_h/20,0,(OFFSET('Base de dados'!$A$5,IF(O1605&lt;20,1,IF(O1605&gt;1000,10,MATCH(O1605,Cargas,1))),Coluna_fih,1,1))*(1+0.13*0.25)*(PI()*(fi_h/1000)^2/4)*SQRT(2*9.81*(O1605/100-fi_h/2/1000))*1000)),"",IF(O1605&lt;fi_h/20,0,(OFFSET('Base de dados'!$A$5,IF(O1605&lt;20,1,IF(O1605&gt;1000,10,MATCH(O1605,Cargas,1))),Coluna_fih,1,1))*(PI()*(fi_h/1000)^2/4)*SQRT(2*9.81*(O1605/100-fi_h/2/1000))*1000))</f>
        <v>5.3485164205969209</v>
      </c>
      <c r="Q1605" s="38">
        <f ca="1">IF(O1605="","",IF(Tipo_Vertedor="Retangular",IF(O1605&lt;=cota_s*100,0,IF(Tipo_Vertedor="Retangular",Cd_sr*Lef_sr*((O1605/100-cota_s)^(3/2))*1000)),IF(O1605&lt;=cota_s*100+fi_s/20,0,(OFFSET('Base de dados'!$A$4,IF(O1605&lt;20,1,IF(O1605&gt;1000,10,MATCH(O1605,Cargas,1))),Coluna_fis,1,1))*(PI()*(fi_s/1000)^2/4)*(2*9.81*(O1605/100-cota_s-fi_s/2/1000))^0.5*1000)))</f>
        <v>4.4730641302264713</v>
      </c>
      <c r="R1605" s="38">
        <f t="shared" ca="1" si="210"/>
        <v>9.8215805508233913</v>
      </c>
      <c r="S1605" s="38">
        <f t="shared" ca="1" si="211"/>
        <v>501.25</v>
      </c>
    </row>
    <row r="1606" spans="13:19">
      <c r="M1606" s="132">
        <f t="shared" ca="1" si="208"/>
        <v>511.38775677244246</v>
      </c>
      <c r="N1606" s="38">
        <f t="shared" si="209"/>
        <v>15.046875</v>
      </c>
      <c r="O1606" s="36">
        <f t="shared" si="207"/>
        <v>401.25</v>
      </c>
      <c r="P1606" s="38">
        <f ca="1">IF(ISERROR(IF(O1606&lt;fi_h/20,0,(OFFSET('Base de dados'!$A$5,IF(O1606&lt;20,1,IF(O1606&gt;1000,10,MATCH(O1606,Cargas,1))),Coluna_fih,1,1))*(1+0.13*0.25)*(PI()*(fi_h/1000)^2/4)*SQRT(2*9.81*(O1606/100-fi_h/2/1000))*1000)),"",IF(O1606&lt;fi_h/20,0,(OFFSET('Base de dados'!$A$5,IF(O1606&lt;20,1,IF(O1606&gt;1000,10,MATCH(O1606,Cargas,1))),Coluna_fih,1,1))*(PI()*(fi_h/1000)^2/4)*SQRT(2*9.81*(O1606/100-fi_h/2/1000))*1000))</f>
        <v>5.3501907516340461</v>
      </c>
      <c r="Q1606" s="38">
        <f ca="1">IF(O1606="","",IF(Tipo_Vertedor="Retangular",IF(O1606&lt;=cota_s*100,0,IF(Tipo_Vertedor="Retangular",Cd_sr*Lef_sr*((O1606/100-cota_s)^(3/2))*1000)),IF(O1606&lt;=cota_s*100+fi_s/20,0,(OFFSET('Base de dados'!$A$4,IF(O1606&lt;20,1,IF(O1606&gt;1000,10,MATCH(O1606,Cargas,1))),Coluna_fis,1,1))*(PI()*(fi_s/1000)^2/4)*(2*9.81*(O1606/100-cota_s-fi_s/2/1000))^0.5*1000)))</f>
        <v>4.4750660208084394</v>
      </c>
      <c r="R1606" s="38">
        <f t="shared" ca="1" si="210"/>
        <v>9.8252567724424864</v>
      </c>
      <c r="S1606" s="38">
        <f t="shared" ca="1" si="211"/>
        <v>501.5625</v>
      </c>
    </row>
    <row r="1607" spans="13:19">
      <c r="M1607" s="132">
        <f t="shared" ca="1" si="208"/>
        <v>511.70393157511512</v>
      </c>
      <c r="N1607" s="38">
        <f t="shared" si="209"/>
        <v>15.056249999999999</v>
      </c>
      <c r="O1607" s="36">
        <f t="shared" si="207"/>
        <v>401.5</v>
      </c>
      <c r="P1607" s="38">
        <f ca="1">IF(ISERROR(IF(O1607&lt;fi_h/20,0,(OFFSET('Base de dados'!$A$5,IF(O1607&lt;20,1,IF(O1607&gt;1000,10,MATCH(O1607,Cargas,1))),Coluna_fih,1,1))*(1+0.13*0.25)*(PI()*(fi_h/1000)^2/4)*SQRT(2*9.81*(O1607/100-fi_h/2/1000))*1000)),"",IF(O1607&lt;fi_h/20,0,(OFFSET('Base de dados'!$A$5,IF(O1607&lt;20,1,IF(O1607&gt;1000,10,MATCH(O1607,Cargas,1))),Coluna_fih,1,1))*(PI()*(fi_h/1000)^2/4)*SQRT(2*9.81*(O1607/100-fi_h/2/1000))*1000))</f>
        <v>5.3518645588566658</v>
      </c>
      <c r="Q1607" s="38">
        <f ca="1">IF(O1607="","",IF(Tipo_Vertedor="Retangular",IF(O1607&lt;=cota_s*100,0,IF(Tipo_Vertedor="Retangular",Cd_sr*Lef_sr*((O1607/100-cota_s)^(3/2))*1000)),IF(O1607&lt;=cota_s*100+fi_s/20,0,(OFFSET('Base de dados'!$A$4,IF(O1607&lt;20,1,IF(O1607&gt;1000,10,MATCH(O1607,Cargas,1))),Coluna_fis,1,1))*(PI()*(fi_s/1000)^2/4)*(2*9.81*(O1607/100-cota_s-fi_s/2/1000))^0.5*1000)))</f>
        <v>4.4770670162585073</v>
      </c>
      <c r="R1607" s="38">
        <f t="shared" ca="1" si="210"/>
        <v>9.828931575115174</v>
      </c>
      <c r="S1607" s="38">
        <f t="shared" ca="1" si="211"/>
        <v>501.87499999999994</v>
      </c>
    </row>
    <row r="1608" spans="13:19">
      <c r="M1608" s="132">
        <f t="shared" ca="1" si="208"/>
        <v>512.02010496053242</v>
      </c>
      <c r="N1608" s="38">
        <f t="shared" si="209"/>
        <v>15.065625000000001</v>
      </c>
      <c r="O1608" s="36">
        <f t="shared" si="207"/>
        <v>401.75</v>
      </c>
      <c r="P1608" s="38">
        <f ca="1">IF(ISERROR(IF(O1608&lt;fi_h/20,0,(OFFSET('Base de dados'!$A$5,IF(O1608&lt;20,1,IF(O1608&gt;1000,10,MATCH(O1608,Cargas,1))),Coluna_fih,1,1))*(1+0.13*0.25)*(PI()*(fi_h/1000)^2/4)*SQRT(2*9.81*(O1608/100-fi_h/2/1000))*1000)),"",IF(O1608&lt;fi_h/20,0,(OFFSET('Base de dados'!$A$5,IF(O1608&lt;20,1,IF(O1608&gt;1000,10,MATCH(O1608,Cargas,1))),Coluna_fih,1,1))*(PI()*(fi_h/1000)^2/4)*SQRT(2*9.81*(O1608/100-fi_h/2/1000))*1000))</f>
        <v>5.3535378427560998</v>
      </c>
      <c r="Q1608" s="38">
        <f ca="1">IF(O1608="","",IF(Tipo_Vertedor="Retangular",IF(O1608&lt;=cota_s*100,0,IF(Tipo_Vertedor="Retangular",Cd_sr*Lef_sr*((O1608/100-cota_s)^(3/2))*1000)),IF(O1608&lt;=cota_s*100+fi_s/20,0,(OFFSET('Base de dados'!$A$4,IF(O1608&lt;20,1,IF(O1608&gt;1000,10,MATCH(O1608,Cargas,1))),Coluna_fis,1,1))*(PI()*(fi_s/1000)^2/4)*(2*9.81*(O1608/100-cota_s-fi_s/2/1000))^0.5*1000)))</f>
        <v>4.4790671177763608</v>
      </c>
      <c r="R1608" s="38">
        <f t="shared" ca="1" si="210"/>
        <v>9.8326049605324606</v>
      </c>
      <c r="S1608" s="38">
        <f t="shared" ca="1" si="211"/>
        <v>502.1875</v>
      </c>
    </row>
    <row r="1609" spans="13:19">
      <c r="M1609" s="132">
        <f t="shared" ca="1" si="208"/>
        <v>512.33627693038193</v>
      </c>
      <c r="N1609" s="38">
        <f t="shared" si="209"/>
        <v>15.074999999999999</v>
      </c>
      <c r="O1609" s="36">
        <f t="shared" si="207"/>
        <v>402</v>
      </c>
      <c r="P1609" s="38">
        <f ca="1">IF(ISERROR(IF(O1609&lt;fi_h/20,0,(OFFSET('Base de dados'!$A$5,IF(O1609&lt;20,1,IF(O1609&gt;1000,10,MATCH(O1609,Cargas,1))),Coluna_fih,1,1))*(1+0.13*0.25)*(PI()*(fi_h/1000)^2/4)*SQRT(2*9.81*(O1609/100-fi_h/2/1000))*1000)),"",IF(O1609&lt;fi_h/20,0,(OFFSET('Base de dados'!$A$5,IF(O1609&lt;20,1,IF(O1609&gt;1000,10,MATCH(O1609,Cargas,1))),Coluna_fih,1,1))*(PI()*(fi_h/1000)^2/4)*SQRT(2*9.81*(O1609/100-fi_h/2/1000))*1000))</f>
        <v>5.355210603822897</v>
      </c>
      <c r="Q1609" s="38">
        <f ca="1">IF(O1609="","",IF(Tipo_Vertedor="Retangular",IF(O1609&lt;=cota_s*100,0,IF(Tipo_Vertedor="Retangular",Cd_sr*Lef_sr*((O1609/100-cota_s)^(3/2))*1000)),IF(O1609&lt;=cota_s*100+fi_s/20,0,(OFFSET('Base de dados'!$A$4,IF(O1609&lt;20,1,IF(O1609&gt;1000,10,MATCH(O1609,Cargas,1))),Coluna_fis,1,1))*(PI()*(fi_s/1000)^2/4)*(2*9.81*(O1609/100-cota_s-fi_s/2/1000))^0.5*1000)))</f>
        <v>4.4810663265590032</v>
      </c>
      <c r="R1609" s="38">
        <f t="shared" ca="1" si="210"/>
        <v>9.8362769303818993</v>
      </c>
      <c r="S1609" s="38">
        <f t="shared" ca="1" si="211"/>
        <v>502.5</v>
      </c>
    </row>
    <row r="1610" spans="13:19">
      <c r="M1610" s="132">
        <f t="shared" ca="1" si="208"/>
        <v>512.65244748634757</v>
      </c>
      <c r="N1610" s="38">
        <f t="shared" si="209"/>
        <v>15.084375</v>
      </c>
      <c r="O1610" s="36">
        <f t="shared" si="207"/>
        <v>402.25</v>
      </c>
      <c r="P1610" s="38">
        <f ca="1">IF(ISERROR(IF(O1610&lt;fi_h/20,0,(OFFSET('Base de dados'!$A$5,IF(O1610&lt;20,1,IF(O1610&gt;1000,10,MATCH(O1610,Cargas,1))),Coluna_fih,1,1))*(1+0.13*0.25)*(PI()*(fi_h/1000)^2/4)*SQRT(2*9.81*(O1610/100-fi_h/2/1000))*1000)),"",IF(O1610&lt;fi_h/20,0,(OFFSET('Base de dados'!$A$5,IF(O1610&lt;20,1,IF(O1610&gt;1000,10,MATCH(O1610,Cargas,1))),Coluna_fih,1,1))*(PI()*(fi_h/1000)^2/4)*SQRT(2*9.81*(O1610/100-fi_h/2/1000))*1000))</f>
        <v>5.3568828425468462</v>
      </c>
      <c r="Q1610" s="38">
        <f ca="1">IF(O1610="","",IF(Tipo_Vertedor="Retangular",IF(O1610&lt;=cota_s*100,0,IF(Tipo_Vertedor="Retangular",Cd_sr*Lef_sr*((O1610/100-cota_s)^(3/2))*1000)),IF(O1610&lt;=cota_s*100+fi_s/20,0,(OFFSET('Base de dados'!$A$4,IF(O1610&lt;20,1,IF(O1610&gt;1000,10,MATCH(O1610,Cargas,1))),Coluna_fis,1,1))*(PI()*(fi_s/1000)^2/4)*(2*9.81*(O1610/100-cota_s-fi_s/2/1000))^0.5*1000)))</f>
        <v>4.4830646438007768</v>
      </c>
      <c r="R1610" s="38">
        <f t="shared" ca="1" si="210"/>
        <v>9.8399474863476222</v>
      </c>
      <c r="S1610" s="38">
        <f t="shared" ca="1" si="211"/>
        <v>502.8125</v>
      </c>
    </row>
    <row r="1611" spans="13:19">
      <c r="M1611" s="132">
        <f t="shared" ca="1" si="208"/>
        <v>512.96861663011043</v>
      </c>
      <c r="N1611" s="38">
        <f t="shared" si="209"/>
        <v>15.093750000000002</v>
      </c>
      <c r="O1611" s="36">
        <f t="shared" si="207"/>
        <v>402.5</v>
      </c>
      <c r="P1611" s="38">
        <f ca="1">IF(ISERROR(IF(O1611&lt;fi_h/20,0,(OFFSET('Base de dados'!$A$5,IF(O1611&lt;20,1,IF(O1611&gt;1000,10,MATCH(O1611,Cargas,1))),Coluna_fih,1,1))*(1+0.13*0.25)*(PI()*(fi_h/1000)^2/4)*SQRT(2*9.81*(O1611/100-fi_h/2/1000))*1000)),"",IF(O1611&lt;fi_h/20,0,(OFFSET('Base de dados'!$A$5,IF(O1611&lt;20,1,IF(O1611&gt;1000,10,MATCH(O1611,Cargas,1))),Coluna_fih,1,1))*(PI()*(fi_h/1000)^2/4)*SQRT(2*9.81*(O1611/100-fi_h/2/1000))*1000))</f>
        <v>5.3585545594169668</v>
      </c>
      <c r="Q1611" s="38">
        <f ca="1">IF(O1611="","",IF(Tipo_Vertedor="Retangular",IF(O1611&lt;=cota_s*100,0,IF(Tipo_Vertedor="Retangular",Cd_sr*Lef_sr*((O1611/100-cota_s)^(3/2))*1000)),IF(O1611&lt;=cota_s*100+fi_s/20,0,(OFFSET('Base de dados'!$A$4,IF(O1611&lt;20,1,IF(O1611&gt;1000,10,MATCH(O1611,Cargas,1))),Coluna_fis,1,1))*(PI()*(fi_s/1000)^2/4)*(2*9.81*(O1611/100-cota_s-fi_s/2/1000))^0.5*1000)))</f>
        <v>4.4850620706933544</v>
      </c>
      <c r="R1611" s="38">
        <f t="shared" ca="1" si="210"/>
        <v>9.8436166301103221</v>
      </c>
      <c r="S1611" s="38">
        <f t="shared" ca="1" si="211"/>
        <v>503.12500000000006</v>
      </c>
    </row>
    <row r="1612" spans="13:19">
      <c r="M1612" s="132">
        <f t="shared" ca="1" si="208"/>
        <v>513.28478436334717</v>
      </c>
      <c r="N1612" s="38">
        <f t="shared" si="209"/>
        <v>15.103124999999999</v>
      </c>
      <c r="O1612" s="36">
        <f t="shared" si="207"/>
        <v>402.75</v>
      </c>
      <c r="P1612" s="38">
        <f ca="1">IF(ISERROR(IF(O1612&lt;fi_h/20,0,(OFFSET('Base de dados'!$A$5,IF(O1612&lt;20,1,IF(O1612&gt;1000,10,MATCH(O1612,Cargas,1))),Coluna_fih,1,1))*(1+0.13*0.25)*(PI()*(fi_h/1000)^2/4)*SQRT(2*9.81*(O1612/100-fi_h/2/1000))*1000)),"",IF(O1612&lt;fi_h/20,0,(OFFSET('Base de dados'!$A$5,IF(O1612&lt;20,1,IF(O1612&gt;1000,10,MATCH(O1612,Cargas,1))),Coluna_fih,1,1))*(PI()*(fi_h/1000)^2/4)*SQRT(2*9.81*(O1612/100-fi_h/2/1000))*1000))</f>
        <v>5.3602257549215144</v>
      </c>
      <c r="Q1612" s="38">
        <f ca="1">IF(O1612="","",IF(Tipo_Vertedor="Retangular",IF(O1612&lt;=cota_s*100,0,IF(Tipo_Vertedor="Retangular",Cd_sr*Lef_sr*((O1612/100-cota_s)^(3/2))*1000)),IF(O1612&lt;=cota_s*100+fi_s/20,0,(OFFSET('Base de dados'!$A$4,IF(O1612&lt;20,1,IF(O1612&gt;1000,10,MATCH(O1612,Cargas,1))),Coluna_fis,1,1))*(PI()*(fi_s/1000)^2/4)*(2*9.81*(O1612/100-cota_s-fi_s/2/1000))^0.5*1000)))</f>
        <v>4.4870586084257615</v>
      </c>
      <c r="R1612" s="38">
        <f t="shared" ca="1" si="210"/>
        <v>9.847284363347276</v>
      </c>
      <c r="S1612" s="38">
        <f t="shared" ca="1" si="211"/>
        <v>503.43749999999994</v>
      </c>
    </row>
    <row r="1613" spans="13:19">
      <c r="M1613" s="132">
        <f t="shared" ca="1" si="208"/>
        <v>513.60095068773239</v>
      </c>
      <c r="N1613" s="38">
        <f t="shared" si="209"/>
        <v>15.112500000000001</v>
      </c>
      <c r="O1613" s="36">
        <f t="shared" si="207"/>
        <v>403</v>
      </c>
      <c r="P1613" s="38">
        <f ca="1">IF(ISERROR(IF(O1613&lt;fi_h/20,0,(OFFSET('Base de dados'!$A$5,IF(O1613&lt;20,1,IF(O1613&gt;1000,10,MATCH(O1613,Cargas,1))),Coluna_fih,1,1))*(1+0.13*0.25)*(PI()*(fi_h/1000)^2/4)*SQRT(2*9.81*(O1613/100-fi_h/2/1000))*1000)),"",IF(O1613&lt;fi_h/20,0,(OFFSET('Base de dados'!$A$5,IF(O1613&lt;20,1,IF(O1613&gt;1000,10,MATCH(O1613,Cargas,1))),Coluna_fih,1,1))*(PI()*(fi_h/1000)^2/4)*SQRT(2*9.81*(O1613/100-fi_h/2/1000))*1000))</f>
        <v>5.3618964295479925</v>
      </c>
      <c r="Q1613" s="38">
        <f ca="1">IF(O1613="","",IF(Tipo_Vertedor="Retangular",IF(O1613&lt;=cota_s*100,0,IF(Tipo_Vertedor="Retangular",Cd_sr*Lef_sr*((O1613/100-cota_s)^(3/2))*1000)),IF(O1613&lt;=cota_s*100+fi_s/20,0,(OFFSET('Base de dados'!$A$4,IF(O1613&lt;20,1,IF(O1613&gt;1000,10,MATCH(O1613,Cargas,1))),Coluna_fis,1,1))*(PI()*(fi_s/1000)^2/4)*(2*9.81*(O1613/100-cota_s-fi_s/2/1000))^0.5*1000)))</f>
        <v>4.4890542581843791</v>
      </c>
      <c r="R1613" s="38">
        <f t="shared" ca="1" si="210"/>
        <v>9.8509506877323716</v>
      </c>
      <c r="S1613" s="38">
        <f t="shared" ca="1" si="211"/>
        <v>503.75</v>
      </c>
    </row>
    <row r="1614" spans="13:19">
      <c r="M1614" s="132">
        <f t="shared" ca="1" si="208"/>
        <v>513.91711560493604</v>
      </c>
      <c r="N1614" s="38">
        <f t="shared" si="209"/>
        <v>15.121874999999999</v>
      </c>
      <c r="O1614" s="36">
        <f t="shared" si="207"/>
        <v>403.25</v>
      </c>
      <c r="P1614" s="38">
        <f ca="1">IF(ISERROR(IF(O1614&lt;fi_h/20,0,(OFFSET('Base de dados'!$A$5,IF(O1614&lt;20,1,IF(O1614&gt;1000,10,MATCH(O1614,Cargas,1))),Coluna_fih,1,1))*(1+0.13*0.25)*(PI()*(fi_h/1000)^2/4)*SQRT(2*9.81*(O1614/100-fi_h/2/1000))*1000)),"",IF(O1614&lt;fi_h/20,0,(OFFSET('Base de dados'!$A$5,IF(O1614&lt;20,1,IF(O1614&gt;1000,10,MATCH(O1614,Cargas,1))),Coluna_fih,1,1))*(PI()*(fi_h/1000)^2/4)*SQRT(2*9.81*(O1614/100-fi_h/2/1000))*1000))</f>
        <v>5.3635665837831352</v>
      </c>
      <c r="Q1614" s="38">
        <f ca="1">IF(O1614="","",IF(Tipo_Vertedor="Retangular",IF(O1614&lt;=cota_s*100,0,IF(Tipo_Vertedor="Retangular",Cd_sr*Lef_sr*((O1614/100-cota_s)^(3/2))*1000)),IF(O1614&lt;=cota_s*100+fi_s/20,0,(OFFSET('Base de dados'!$A$4,IF(O1614&lt;20,1,IF(O1614&gt;1000,10,MATCH(O1614,Cargas,1))),Coluna_fis,1,1))*(PI()*(fi_s/1000)^2/4)*(2*9.81*(O1614/100-cota_s-fi_s/2/1000))^0.5*1000)))</f>
        <v>4.4910490211529517</v>
      </c>
      <c r="R1614" s="38">
        <f t="shared" ca="1" si="210"/>
        <v>9.854615604936086</v>
      </c>
      <c r="S1614" s="38">
        <f t="shared" ca="1" si="211"/>
        <v>504.0625</v>
      </c>
    </row>
    <row r="1615" spans="13:19">
      <c r="M1615" s="132">
        <f t="shared" ca="1" si="208"/>
        <v>514.23327911662557</v>
      </c>
      <c r="N1615" s="38">
        <f t="shared" si="209"/>
        <v>15.131250000000001</v>
      </c>
      <c r="O1615" s="36">
        <f t="shared" si="207"/>
        <v>403.5</v>
      </c>
      <c r="P1615" s="38">
        <f ca="1">IF(ISERROR(IF(O1615&lt;fi_h/20,0,(OFFSET('Base de dados'!$A$5,IF(O1615&lt;20,1,IF(O1615&gt;1000,10,MATCH(O1615,Cargas,1))),Coluna_fih,1,1))*(1+0.13*0.25)*(PI()*(fi_h/1000)^2/4)*SQRT(2*9.81*(O1615/100-fi_h/2/1000))*1000)),"",IF(O1615&lt;fi_h/20,0,(OFFSET('Base de dados'!$A$5,IF(O1615&lt;20,1,IF(O1615&gt;1000,10,MATCH(O1615,Cargas,1))),Coluna_fih,1,1))*(PI()*(fi_h/1000)^2/4)*SQRT(2*9.81*(O1615/100-fi_h/2/1000))*1000))</f>
        <v>5.3652362181129227</v>
      </c>
      <c r="Q1615" s="38">
        <f ca="1">IF(O1615="","",IF(Tipo_Vertedor="Retangular",IF(O1615&lt;=cota_s*100,0,IF(Tipo_Vertedor="Retangular",Cd_sr*Lef_sr*((O1615/100-cota_s)^(3/2))*1000)),IF(O1615&lt;=cota_s*100+fi_s/20,0,(OFFSET('Base de dados'!$A$4,IF(O1615&lt;20,1,IF(O1615&gt;1000,10,MATCH(O1615,Cargas,1))),Coluna_fis,1,1))*(PI()*(fi_s/1000)^2/4)*(2*9.81*(O1615/100-cota_s-fi_s/2/1000))^0.5*1000)))</f>
        <v>4.493042898512595</v>
      </c>
      <c r="R1615" s="38">
        <f t="shared" ca="1" si="210"/>
        <v>9.8582791166255177</v>
      </c>
      <c r="S1615" s="38">
        <f t="shared" ca="1" si="211"/>
        <v>504.37500000000006</v>
      </c>
    </row>
    <row r="1616" spans="13:19">
      <c r="M1616" s="132">
        <f t="shared" ca="1" si="208"/>
        <v>514.54944122446432</v>
      </c>
      <c r="N1616" s="38">
        <f t="shared" si="209"/>
        <v>15.140624999999998</v>
      </c>
      <c r="O1616" s="36">
        <f t="shared" si="207"/>
        <v>403.75</v>
      </c>
      <c r="P1616" s="38">
        <f ca="1">IF(ISERROR(IF(O1616&lt;fi_h/20,0,(OFFSET('Base de dados'!$A$5,IF(O1616&lt;20,1,IF(O1616&gt;1000,10,MATCH(O1616,Cargas,1))),Coluna_fih,1,1))*(1+0.13*0.25)*(PI()*(fi_h/1000)^2/4)*SQRT(2*9.81*(O1616/100-fi_h/2/1000))*1000)),"",IF(O1616&lt;fi_h/20,0,(OFFSET('Base de dados'!$A$5,IF(O1616&lt;20,1,IF(O1616&gt;1000,10,MATCH(O1616,Cargas,1))),Coluna_fih,1,1))*(PI()*(fi_h/1000)^2/4)*SQRT(2*9.81*(O1616/100-fi_h/2/1000))*1000))</f>
        <v>5.366905333022582</v>
      </c>
      <c r="Q1616" s="38">
        <f ca="1">IF(O1616="","",IF(Tipo_Vertedor="Retangular",IF(O1616&lt;=cota_s*100,0,IF(Tipo_Vertedor="Retangular",Cd_sr*Lef_sr*((O1616/100-cota_s)^(3/2))*1000)),IF(O1616&lt;=cota_s*100+fi_s/20,0,(OFFSET('Base de dados'!$A$4,IF(O1616&lt;20,1,IF(O1616&gt;1000,10,MATCH(O1616,Cargas,1))),Coluna_fis,1,1))*(PI()*(fi_s/1000)^2/4)*(2*9.81*(O1616/100-cota_s-fi_s/2/1000))^0.5*1000)))</f>
        <v>4.4950358914418063</v>
      </c>
      <c r="R1616" s="38">
        <f t="shared" ca="1" si="210"/>
        <v>9.8619412244643883</v>
      </c>
      <c r="S1616" s="38">
        <f t="shared" ca="1" si="211"/>
        <v>504.68749999999994</v>
      </c>
    </row>
    <row r="1617" spans="13:19">
      <c r="M1617" s="132">
        <f t="shared" ca="1" si="208"/>
        <v>514.86560193011303</v>
      </c>
      <c r="N1617" s="38">
        <f t="shared" si="209"/>
        <v>15.15</v>
      </c>
      <c r="O1617" s="36">
        <f t="shared" si="207"/>
        <v>404</v>
      </c>
      <c r="P1617" s="38">
        <f ca="1">IF(ISERROR(IF(O1617&lt;fi_h/20,0,(OFFSET('Base de dados'!$A$5,IF(O1617&lt;20,1,IF(O1617&gt;1000,10,MATCH(O1617,Cargas,1))),Coluna_fih,1,1))*(1+0.13*0.25)*(PI()*(fi_h/1000)^2/4)*SQRT(2*9.81*(O1617/100-fi_h/2/1000))*1000)),"",IF(O1617&lt;fi_h/20,0,(OFFSET('Base de dados'!$A$5,IF(O1617&lt;20,1,IF(O1617&gt;1000,10,MATCH(O1617,Cargas,1))),Coluna_fih,1,1))*(PI()*(fi_h/1000)^2/4)*SQRT(2*9.81*(O1617/100-fi_h/2/1000))*1000))</f>
        <v>5.3685739289965824</v>
      </c>
      <c r="Q1617" s="38">
        <f ca="1">IF(O1617="","",IF(Tipo_Vertedor="Retangular",IF(O1617&lt;=cota_s*100,0,IF(Tipo_Vertedor="Retangular",Cd_sr*Lef_sr*((O1617/100-cota_s)^(3/2))*1000)),IF(O1617&lt;=cota_s*100+fi_s/20,0,(OFFSET('Base de dados'!$A$4,IF(O1617&lt;20,1,IF(O1617&gt;1000,10,MATCH(O1617,Cargas,1))),Coluna_fis,1,1))*(PI()*(fi_s/1000)^2/4)*(2*9.81*(O1617/100-cota_s-fi_s/2/1000))^0.5*1000)))</f>
        <v>4.4970280011164716</v>
      </c>
      <c r="R1617" s="38">
        <f t="shared" ca="1" si="210"/>
        <v>9.8656019301130549</v>
      </c>
      <c r="S1617" s="38">
        <f t="shared" ca="1" si="211"/>
        <v>505</v>
      </c>
    </row>
    <row r="1618" spans="13:19">
      <c r="M1618" s="132">
        <f t="shared" ca="1" si="208"/>
        <v>515.18176123522846</v>
      </c>
      <c r="N1618" s="38">
        <f t="shared" si="209"/>
        <v>15.159375000000001</v>
      </c>
      <c r="O1618" s="36">
        <f t="shared" si="207"/>
        <v>404.25</v>
      </c>
      <c r="P1618" s="38">
        <f ca="1">IF(ISERROR(IF(O1618&lt;fi_h/20,0,(OFFSET('Base de dados'!$A$5,IF(O1618&lt;20,1,IF(O1618&gt;1000,10,MATCH(O1618,Cargas,1))),Coluna_fih,1,1))*(1+0.13*0.25)*(PI()*(fi_h/1000)^2/4)*SQRT(2*9.81*(O1618/100-fi_h/2/1000))*1000)),"",IF(O1618&lt;fi_h/20,0,(OFFSET('Base de dados'!$A$5,IF(O1618&lt;20,1,IF(O1618&gt;1000,10,MATCH(O1618,Cargas,1))),Coluna_fih,1,1))*(PI()*(fi_h/1000)^2/4)*SQRT(2*9.81*(O1618/100-fi_h/2/1000))*1000))</f>
        <v>5.3702420065186436</v>
      </c>
      <c r="Q1618" s="38">
        <f ca="1">IF(O1618="","",IF(Tipo_Vertedor="Retangular",IF(O1618&lt;=cota_s*100,0,IF(Tipo_Vertedor="Retangular",Cd_sr*Lef_sr*((O1618/100-cota_s)^(3/2))*1000)),IF(O1618&lt;=cota_s*100+fi_s/20,0,(OFFSET('Base de dados'!$A$4,IF(O1618&lt;20,1,IF(O1618&gt;1000,10,MATCH(O1618,Cargas,1))),Coluna_fis,1,1))*(PI()*(fi_s/1000)^2/4)*(2*9.81*(O1618/100-cota_s-fi_s/2/1000))^0.5*1000)))</f>
        <v>4.4990192287098738</v>
      </c>
      <c r="R1618" s="38">
        <f t="shared" ca="1" si="210"/>
        <v>9.8692612352285174</v>
      </c>
      <c r="S1618" s="38">
        <f t="shared" ca="1" si="211"/>
        <v>505.3125</v>
      </c>
    </row>
    <row r="1619" spans="13:19">
      <c r="M1619" s="132">
        <f t="shared" ca="1" si="208"/>
        <v>515.49791914146442</v>
      </c>
      <c r="N1619" s="38">
        <f t="shared" si="209"/>
        <v>15.168749999999999</v>
      </c>
      <c r="O1619" s="36">
        <f t="shared" ref="O1619:O1682" si="212">IF(ISERROR(IF(O1618+passo_altura&gt;h_max_puls*100,"",O1618+passo_altura)),"",IF(O1618+passo_altura&gt;h_max_puls*100,"",O1618+passo_altura))</f>
        <v>404.5</v>
      </c>
      <c r="P1619" s="38">
        <f ca="1">IF(ISERROR(IF(O1619&lt;fi_h/20,0,(OFFSET('Base de dados'!$A$5,IF(O1619&lt;20,1,IF(O1619&gt;1000,10,MATCH(O1619,Cargas,1))),Coluna_fih,1,1))*(1+0.13*0.25)*(PI()*(fi_h/1000)^2/4)*SQRT(2*9.81*(O1619/100-fi_h/2/1000))*1000)),"",IF(O1619&lt;fi_h/20,0,(OFFSET('Base de dados'!$A$5,IF(O1619&lt;20,1,IF(O1619&gt;1000,10,MATCH(O1619,Cargas,1))),Coluna_fih,1,1))*(PI()*(fi_h/1000)^2/4)*SQRT(2*9.81*(O1619/100-fi_h/2/1000))*1000))</f>
        <v>5.3719095660717295</v>
      </c>
      <c r="Q1619" s="38">
        <f ca="1">IF(O1619="","",IF(Tipo_Vertedor="Retangular",IF(O1619&lt;=cota_s*100,0,IF(Tipo_Vertedor="Retangular",Cd_sr*Lef_sr*((O1619/100-cota_s)^(3/2))*1000)),IF(O1619&lt;=cota_s*100+fi_s/20,0,(OFFSET('Base de dados'!$A$4,IF(O1619&lt;20,1,IF(O1619&gt;1000,10,MATCH(O1619,Cargas,1))),Coluna_fis,1,1))*(PI()*(fi_s/1000)^2/4)*(2*9.81*(O1619/100-cota_s-fi_s/2/1000))^0.5*1000)))</f>
        <v>4.5010095753926986</v>
      </c>
      <c r="R1619" s="38">
        <f t="shared" ca="1" si="210"/>
        <v>9.8729191414644291</v>
      </c>
      <c r="S1619" s="38">
        <f t="shared" ca="1" si="211"/>
        <v>505.625</v>
      </c>
    </row>
    <row r="1620" spans="13:19">
      <c r="M1620" s="132">
        <f t="shared" ca="1" si="208"/>
        <v>515.81407565047118</v>
      </c>
      <c r="N1620" s="38">
        <f t="shared" si="209"/>
        <v>15.178125000000001</v>
      </c>
      <c r="O1620" s="36">
        <f t="shared" si="212"/>
        <v>404.75</v>
      </c>
      <c r="P1620" s="38">
        <f ca="1">IF(ISERROR(IF(O1620&lt;fi_h/20,0,(OFFSET('Base de dados'!$A$5,IF(O1620&lt;20,1,IF(O1620&gt;1000,10,MATCH(O1620,Cargas,1))),Coluna_fih,1,1))*(1+0.13*0.25)*(PI()*(fi_h/1000)^2/4)*SQRT(2*9.81*(O1620/100-fi_h/2/1000))*1000)),"",IF(O1620&lt;fi_h/20,0,(OFFSET('Base de dados'!$A$5,IF(O1620&lt;20,1,IF(O1620&gt;1000,10,MATCH(O1620,Cargas,1))),Coluna_fih,1,1))*(PI()*(fi_h/1000)^2/4)*SQRT(2*9.81*(O1620/100-fi_h/2/1000))*1000))</f>
        <v>5.3735766081380607</v>
      </c>
      <c r="Q1620" s="38">
        <f ca="1">IF(O1620="","",IF(Tipo_Vertedor="Retangular",IF(O1620&lt;=cota_s*100,0,IF(Tipo_Vertedor="Retangular",Cd_sr*Lef_sr*((O1620/100-cota_s)^(3/2))*1000)),IF(O1620&lt;=cota_s*100+fi_s/20,0,(OFFSET('Base de dados'!$A$4,IF(O1620&lt;20,1,IF(O1620&gt;1000,10,MATCH(O1620,Cargas,1))),Coluna_fis,1,1))*(PI()*(fi_s/1000)^2/4)*(2*9.81*(O1620/100-cota_s-fi_s/2/1000))^0.5*1000)))</f>
        <v>4.5029990423330464</v>
      </c>
      <c r="R1620" s="38">
        <f t="shared" ca="1" si="210"/>
        <v>9.8765756504711071</v>
      </c>
      <c r="S1620" s="38">
        <f t="shared" ca="1" si="211"/>
        <v>505.93750000000006</v>
      </c>
    </row>
    <row r="1621" spans="13:19">
      <c r="M1621" s="132">
        <f t="shared" ca="1" si="208"/>
        <v>516.1302307638955</v>
      </c>
      <c r="N1621" s="38">
        <f t="shared" si="209"/>
        <v>15.1875</v>
      </c>
      <c r="O1621" s="36">
        <f t="shared" si="212"/>
        <v>405</v>
      </c>
      <c r="P1621" s="38">
        <f ca="1">IF(ISERROR(IF(O1621&lt;fi_h/20,0,(OFFSET('Base de dados'!$A$5,IF(O1621&lt;20,1,IF(O1621&gt;1000,10,MATCH(O1621,Cargas,1))),Coluna_fih,1,1))*(1+0.13*0.25)*(PI()*(fi_h/1000)^2/4)*SQRT(2*9.81*(O1621/100-fi_h/2/1000))*1000)),"",IF(O1621&lt;fi_h/20,0,(OFFSET('Base de dados'!$A$5,IF(O1621&lt;20,1,IF(O1621&gt;1000,10,MATCH(O1621,Cargas,1))),Coluna_fih,1,1))*(PI()*(fi_h/1000)^2/4)*SQRT(2*9.81*(O1621/100-fi_h/2/1000))*1000))</f>
        <v>5.3752431331991026</v>
      </c>
      <c r="Q1621" s="38">
        <f ca="1">IF(O1621="","",IF(Tipo_Vertedor="Retangular",IF(O1621&lt;=cota_s*100,0,IF(Tipo_Vertedor="Retangular",Cd_sr*Lef_sr*((O1621/100-cota_s)^(3/2))*1000)),IF(O1621&lt;=cota_s*100+fi_s/20,0,(OFFSET('Base de dados'!$A$4,IF(O1621&lt;20,1,IF(O1621&gt;1000,10,MATCH(O1621,Cargas,1))),Coluna_fis,1,1))*(PI()*(fi_s/1000)^2/4)*(2*9.81*(O1621/100-cota_s-fi_s/2/1000))^0.5*1000)))</f>
        <v>4.5049876306964389</v>
      </c>
      <c r="R1621" s="38">
        <f t="shared" ca="1" si="210"/>
        <v>9.8802307638955416</v>
      </c>
      <c r="S1621" s="38">
        <f t="shared" ca="1" si="211"/>
        <v>506.25</v>
      </c>
    </row>
    <row r="1622" spans="13:19">
      <c r="M1622" s="132">
        <f t="shared" ca="1" si="208"/>
        <v>516.44638448338139</v>
      </c>
      <c r="N1622" s="38">
        <f t="shared" si="209"/>
        <v>15.196875</v>
      </c>
      <c r="O1622" s="36">
        <f t="shared" si="212"/>
        <v>405.25</v>
      </c>
      <c r="P1622" s="38">
        <f ca="1">IF(ISERROR(IF(O1622&lt;fi_h/20,0,(OFFSET('Base de dados'!$A$5,IF(O1622&lt;20,1,IF(O1622&gt;1000,10,MATCH(O1622,Cargas,1))),Coluna_fih,1,1))*(1+0.13*0.25)*(PI()*(fi_h/1000)^2/4)*SQRT(2*9.81*(O1622/100-fi_h/2/1000))*1000)),"",IF(O1622&lt;fi_h/20,0,(OFFSET('Base de dados'!$A$5,IF(O1622&lt;20,1,IF(O1622&gt;1000,10,MATCH(O1622,Cargas,1))),Coluna_fih,1,1))*(PI()*(fi_h/1000)^2/4)*SQRT(2*9.81*(O1622/100-fi_h/2/1000))*1000))</f>
        <v>5.3769091417355837</v>
      </c>
      <c r="Q1622" s="38">
        <f ca="1">IF(O1622="","",IF(Tipo_Vertedor="Retangular",IF(O1622&lt;=cota_s*100,0,IF(Tipo_Vertedor="Retangular",Cd_sr*Lef_sr*((O1622/100-cota_s)^(3/2))*1000)),IF(O1622&lt;=cota_s*100+fi_s/20,0,(OFFSET('Base de dados'!$A$4,IF(O1622&lt;20,1,IF(O1622&gt;1000,10,MATCH(O1622,Cargas,1))),Coluna_fis,1,1))*(PI()*(fi_s/1000)^2/4)*(2*9.81*(O1622/100-cota_s-fi_s/2/1000))^0.5*1000)))</f>
        <v>4.5069753416458243</v>
      </c>
      <c r="R1622" s="38">
        <f t="shared" ca="1" si="210"/>
        <v>9.8838844833814079</v>
      </c>
      <c r="S1622" s="38">
        <f t="shared" ca="1" si="211"/>
        <v>506.5625</v>
      </c>
    </row>
    <row r="1623" spans="13:19">
      <c r="M1623" s="132">
        <f t="shared" ref="M1623:M1686" ca="1" si="213">IF(O1623="","",2*N1623*1000/(Passo*60)+R1623)</f>
        <v>516.76253681056903</v>
      </c>
      <c r="N1623" s="38">
        <f t="shared" ref="N1623:N1686" si="214">IF(O1623="","",b_0*(O1623/100)^c_0)</f>
        <v>15.206249999999999</v>
      </c>
      <c r="O1623" s="36">
        <f t="shared" si="212"/>
        <v>405.5</v>
      </c>
      <c r="P1623" s="38">
        <f ca="1">IF(ISERROR(IF(O1623&lt;fi_h/20,0,(OFFSET('Base de dados'!$A$5,IF(O1623&lt;20,1,IF(O1623&gt;1000,10,MATCH(O1623,Cargas,1))),Coluna_fih,1,1))*(1+0.13*0.25)*(PI()*(fi_h/1000)^2/4)*SQRT(2*9.81*(O1623/100-fi_h/2/1000))*1000)),"",IF(O1623&lt;fi_h/20,0,(OFFSET('Base de dados'!$A$5,IF(O1623&lt;20,1,IF(O1623&gt;1000,10,MATCH(O1623,Cargas,1))),Coluna_fih,1,1))*(PI()*(fi_h/1000)^2/4)*SQRT(2*9.81*(O1623/100-fi_h/2/1000))*1000))</f>
        <v>5.3785746342274789</v>
      </c>
      <c r="Q1623" s="38">
        <f ca="1">IF(O1623="","",IF(Tipo_Vertedor="Retangular",IF(O1623&lt;=cota_s*100,0,IF(Tipo_Vertedor="Retangular",Cd_sr*Lef_sr*((O1623/100-cota_s)^(3/2))*1000)),IF(O1623&lt;=cota_s*100+fi_s/20,0,(OFFSET('Base de dados'!$A$4,IF(O1623&lt;20,1,IF(O1623&gt;1000,10,MATCH(O1623,Cargas,1))),Coluna_fis,1,1))*(PI()*(fi_s/1000)^2/4)*(2*9.81*(O1623/100-cota_s-fi_s/2/1000))^0.5*1000)))</f>
        <v>4.508962176341587</v>
      </c>
      <c r="R1623" s="38">
        <f t="shared" ref="R1623:R1686" ca="1" si="215">IF(O1623="","",Q1623+P1623)</f>
        <v>9.8875368105690669</v>
      </c>
      <c r="S1623" s="38">
        <f t="shared" ref="S1623:S1686" ca="1" si="216">IF(M1623="","",2*N1623*1000/(Passo*60))</f>
        <v>506.87499999999994</v>
      </c>
    </row>
    <row r="1624" spans="13:19">
      <c r="M1624" s="132">
        <f t="shared" ca="1" si="213"/>
        <v>517.07868774709561</v>
      </c>
      <c r="N1624" s="38">
        <f t="shared" si="214"/>
        <v>15.215625000000001</v>
      </c>
      <c r="O1624" s="36">
        <f t="shared" si="212"/>
        <v>405.75</v>
      </c>
      <c r="P1624" s="38">
        <f ca="1">IF(ISERROR(IF(O1624&lt;fi_h/20,0,(OFFSET('Base de dados'!$A$5,IF(O1624&lt;20,1,IF(O1624&gt;1000,10,MATCH(O1624,Cargas,1))),Coluna_fih,1,1))*(1+0.13*0.25)*(PI()*(fi_h/1000)^2/4)*SQRT(2*9.81*(O1624/100-fi_h/2/1000))*1000)),"",IF(O1624&lt;fi_h/20,0,(OFFSET('Base de dados'!$A$5,IF(O1624&lt;20,1,IF(O1624&gt;1000,10,MATCH(O1624,Cargas,1))),Coluna_fih,1,1))*(PI()*(fi_h/1000)^2/4)*SQRT(2*9.81*(O1624/100-fi_h/2/1000))*1000))</f>
        <v>5.3802396111540274</v>
      </c>
      <c r="Q1624" s="38">
        <f ca="1">IF(O1624="","",IF(Tipo_Vertedor="Retangular",IF(O1624&lt;=cota_s*100,0,IF(Tipo_Vertedor="Retangular",Cd_sr*Lef_sr*((O1624/100-cota_s)^(3/2))*1000)),IF(O1624&lt;=cota_s*100+fi_s/20,0,(OFFSET('Base de dados'!$A$4,IF(O1624&lt;20,1,IF(O1624&gt;1000,10,MATCH(O1624,Cargas,1))),Coluna_fis,1,1))*(PI()*(fi_s/1000)^2/4)*(2*9.81*(O1624/100-cota_s-fi_s/2/1000))^0.5*1000)))</f>
        <v>4.5109481359415611</v>
      </c>
      <c r="R1624" s="38">
        <f t="shared" ca="1" si="215"/>
        <v>9.8911877470955893</v>
      </c>
      <c r="S1624" s="38">
        <f t="shared" ca="1" si="216"/>
        <v>507.18750000000006</v>
      </c>
    </row>
    <row r="1625" spans="13:19">
      <c r="M1625" s="132">
        <f t="shared" ca="1" si="213"/>
        <v>517.39483729459471</v>
      </c>
      <c r="N1625" s="38">
        <f t="shared" si="214"/>
        <v>15.224999999999998</v>
      </c>
      <c r="O1625" s="36">
        <f t="shared" si="212"/>
        <v>406</v>
      </c>
      <c r="P1625" s="38">
        <f ca="1">IF(ISERROR(IF(O1625&lt;fi_h/20,0,(OFFSET('Base de dados'!$A$5,IF(O1625&lt;20,1,IF(O1625&gt;1000,10,MATCH(O1625,Cargas,1))),Coluna_fih,1,1))*(1+0.13*0.25)*(PI()*(fi_h/1000)^2/4)*SQRT(2*9.81*(O1625/100-fi_h/2/1000))*1000)),"",IF(O1625&lt;fi_h/20,0,(OFFSET('Base de dados'!$A$5,IF(O1625&lt;20,1,IF(O1625&gt;1000,10,MATCH(O1625,Cargas,1))),Coluna_fih,1,1))*(PI()*(fi_h/1000)^2/4)*SQRT(2*9.81*(O1625/100-fi_h/2/1000))*1000))</f>
        <v>5.3819040729937209</v>
      </c>
      <c r="Q1625" s="38">
        <f ca="1">IF(O1625="","",IF(Tipo_Vertedor="Retangular",IF(O1625&lt;=cota_s*100,0,IF(Tipo_Vertedor="Retangular",Cd_sr*Lef_sr*((O1625/100-cota_s)^(3/2))*1000)),IF(O1625&lt;=cota_s*100+fi_s/20,0,(OFFSET('Base de dados'!$A$4,IF(O1625&lt;20,1,IF(O1625&gt;1000,10,MATCH(O1625,Cargas,1))),Coluna_fis,1,1))*(PI()*(fi_s/1000)^2/4)*(2*9.81*(O1625/100-cota_s-fi_s/2/1000))^0.5*1000)))</f>
        <v>4.5129332216010258</v>
      </c>
      <c r="R1625" s="38">
        <f t="shared" ca="1" si="215"/>
        <v>9.8948372945947476</v>
      </c>
      <c r="S1625" s="38">
        <f t="shared" ca="1" si="216"/>
        <v>507.49999999999994</v>
      </c>
    </row>
    <row r="1626" spans="13:19">
      <c r="M1626" s="132">
        <f t="shared" ca="1" si="213"/>
        <v>517.71098545469704</v>
      </c>
      <c r="N1626" s="38">
        <f t="shared" si="214"/>
        <v>15.234375</v>
      </c>
      <c r="O1626" s="36">
        <f t="shared" si="212"/>
        <v>406.25</v>
      </c>
      <c r="P1626" s="38">
        <f ca="1">IF(ISERROR(IF(O1626&lt;fi_h/20,0,(OFFSET('Base de dados'!$A$5,IF(O1626&lt;20,1,IF(O1626&gt;1000,10,MATCH(O1626,Cargas,1))),Coluna_fih,1,1))*(1+0.13*0.25)*(PI()*(fi_h/1000)^2/4)*SQRT(2*9.81*(O1626/100-fi_h/2/1000))*1000)),"",IF(O1626&lt;fi_h/20,0,(OFFSET('Base de dados'!$A$5,IF(O1626&lt;20,1,IF(O1626&gt;1000,10,MATCH(O1626,Cargas,1))),Coluna_fih,1,1))*(PI()*(fi_h/1000)^2/4)*SQRT(2*9.81*(O1626/100-fi_h/2/1000))*1000))</f>
        <v>5.3835680202243186</v>
      </c>
      <c r="Q1626" s="38">
        <f ca="1">IF(O1626="","",IF(Tipo_Vertedor="Retangular",IF(O1626&lt;=cota_s*100,0,IF(Tipo_Vertedor="Retangular",Cd_sr*Lef_sr*((O1626/100-cota_s)^(3/2))*1000)),IF(O1626&lt;=cota_s*100+fi_s/20,0,(OFFSET('Base de dados'!$A$4,IF(O1626&lt;20,1,IF(O1626&gt;1000,10,MATCH(O1626,Cargas,1))),Coluna_fis,1,1))*(PI()*(fi_s/1000)^2/4)*(2*9.81*(O1626/100-cota_s-fi_s/2/1000))^0.5*1000)))</f>
        <v>4.5149174344727268</v>
      </c>
      <c r="R1626" s="38">
        <f t="shared" ca="1" si="215"/>
        <v>9.8984854546970453</v>
      </c>
      <c r="S1626" s="38">
        <f t="shared" ca="1" si="216"/>
        <v>507.8125</v>
      </c>
    </row>
    <row r="1627" spans="13:19">
      <c r="M1627" s="132">
        <f t="shared" ca="1" si="213"/>
        <v>518.0271322290298</v>
      </c>
      <c r="N1627" s="38">
        <f t="shared" si="214"/>
        <v>15.243750000000002</v>
      </c>
      <c r="O1627" s="36">
        <f t="shared" si="212"/>
        <v>406.5</v>
      </c>
      <c r="P1627" s="38">
        <f ca="1">IF(ISERROR(IF(O1627&lt;fi_h/20,0,(OFFSET('Base de dados'!$A$5,IF(O1627&lt;20,1,IF(O1627&gt;1000,10,MATCH(O1627,Cargas,1))),Coluna_fih,1,1))*(1+0.13*0.25)*(PI()*(fi_h/1000)^2/4)*SQRT(2*9.81*(O1627/100-fi_h/2/1000))*1000)),"",IF(O1627&lt;fi_h/20,0,(OFFSET('Base de dados'!$A$5,IF(O1627&lt;20,1,IF(O1627&gt;1000,10,MATCH(O1627,Cargas,1))),Coluna_fih,1,1))*(PI()*(fi_h/1000)^2/4)*SQRT(2*9.81*(O1627/100-fi_h/2/1000))*1000))</f>
        <v>5.3852314533228345</v>
      </c>
      <c r="Q1627" s="38">
        <f ca="1">IF(O1627="","",IF(Tipo_Vertedor="Retangular",IF(O1627&lt;=cota_s*100,0,IF(Tipo_Vertedor="Retangular",Cd_sr*Lef_sr*((O1627/100-cota_s)^(3/2))*1000)),IF(O1627&lt;=cota_s*100+fi_s/20,0,(OFFSET('Base de dados'!$A$4,IF(O1627&lt;20,1,IF(O1627&gt;1000,10,MATCH(O1627,Cargas,1))),Coluna_fis,1,1))*(PI()*(fi_s/1000)^2/4)*(2*9.81*(O1627/100-cota_s-fi_s/2/1000))^0.5*1000)))</f>
        <v>4.5169007757068753</v>
      </c>
      <c r="R1627" s="38">
        <f t="shared" ca="1" si="215"/>
        <v>9.9021322290297107</v>
      </c>
      <c r="S1627" s="38">
        <f t="shared" ca="1" si="216"/>
        <v>508.12500000000006</v>
      </c>
    </row>
    <row r="1628" spans="13:19">
      <c r="M1628" s="132">
        <f t="shared" ca="1" si="213"/>
        <v>518.34327761921668</v>
      </c>
      <c r="N1628" s="38">
        <f t="shared" si="214"/>
        <v>15.253124999999999</v>
      </c>
      <c r="O1628" s="36">
        <f t="shared" si="212"/>
        <v>406.75</v>
      </c>
      <c r="P1628" s="38">
        <f ca="1">IF(ISERROR(IF(O1628&lt;fi_h/20,0,(OFFSET('Base de dados'!$A$5,IF(O1628&lt;20,1,IF(O1628&gt;1000,10,MATCH(O1628,Cargas,1))),Coluna_fih,1,1))*(1+0.13*0.25)*(PI()*(fi_h/1000)^2/4)*SQRT(2*9.81*(O1628/100-fi_h/2/1000))*1000)),"",IF(O1628&lt;fi_h/20,0,(OFFSET('Base de dados'!$A$5,IF(O1628&lt;20,1,IF(O1628&gt;1000,10,MATCH(O1628,Cargas,1))),Coluna_fih,1,1))*(PI()*(fi_h/1000)^2/4)*SQRT(2*9.81*(O1628/100-fi_h/2/1000))*1000))</f>
        <v>5.3868943727655489</v>
      </c>
      <c r="Q1628" s="38">
        <f ca="1">IF(O1628="","",IF(Tipo_Vertedor="Retangular",IF(O1628&lt;=cota_s*100,0,IF(Tipo_Vertedor="Retangular",Cd_sr*Lef_sr*((O1628/100-cota_s)^(3/2))*1000)),IF(O1628&lt;=cota_s*100+fi_s/20,0,(OFFSET('Base de dados'!$A$4,IF(O1628&lt;20,1,IF(O1628&gt;1000,10,MATCH(O1628,Cargas,1))),Coluna_fis,1,1))*(PI()*(fi_s/1000)^2/4)*(2*9.81*(O1628/100-cota_s-fi_s/2/1000))^0.5*1000)))</f>
        <v>4.5188832464511561</v>
      </c>
      <c r="R1628" s="38">
        <f t="shared" ca="1" si="215"/>
        <v>9.9057776192167051</v>
      </c>
      <c r="S1628" s="38">
        <f t="shared" ca="1" si="216"/>
        <v>508.43749999999994</v>
      </c>
    </row>
    <row r="1629" spans="13:19">
      <c r="M1629" s="132">
        <f t="shared" ca="1" si="213"/>
        <v>518.65942162687884</v>
      </c>
      <c r="N1629" s="38">
        <f t="shared" si="214"/>
        <v>15.262500000000001</v>
      </c>
      <c r="O1629" s="36">
        <f t="shared" si="212"/>
        <v>407</v>
      </c>
      <c r="P1629" s="38">
        <f ca="1">IF(ISERROR(IF(O1629&lt;fi_h/20,0,(OFFSET('Base de dados'!$A$5,IF(O1629&lt;20,1,IF(O1629&gt;1000,10,MATCH(O1629,Cargas,1))),Coluna_fih,1,1))*(1+0.13*0.25)*(PI()*(fi_h/1000)^2/4)*SQRT(2*9.81*(O1629/100-fi_h/2/1000))*1000)),"",IF(O1629&lt;fi_h/20,0,(OFFSET('Base de dados'!$A$5,IF(O1629&lt;20,1,IF(O1629&gt;1000,10,MATCH(O1629,Cargas,1))),Coluna_fih,1,1))*(PI()*(fi_h/1000)^2/4)*SQRT(2*9.81*(O1629/100-fi_h/2/1000))*1000))</f>
        <v>5.3885567790280096</v>
      </c>
      <c r="Q1629" s="38">
        <f ca="1">IF(O1629="","",IF(Tipo_Vertedor="Retangular",IF(O1629&lt;=cota_s*100,0,IF(Tipo_Vertedor="Retangular",Cd_sr*Lef_sr*((O1629/100-cota_s)^(3/2))*1000)),IF(O1629&lt;=cota_s*100+fi_s/20,0,(OFFSET('Base de dados'!$A$4,IF(O1629&lt;20,1,IF(O1629&gt;1000,10,MATCH(O1629,Cargas,1))),Coluna_fis,1,1))*(PI()*(fi_s/1000)^2/4)*(2*9.81*(O1629/100-cota_s-fi_s/2/1000))^0.5*1000)))</f>
        <v>4.5208648478507429</v>
      </c>
      <c r="R1629" s="38">
        <f t="shared" ca="1" si="215"/>
        <v>9.9094216268787534</v>
      </c>
      <c r="S1629" s="38">
        <f t="shared" ca="1" si="216"/>
        <v>508.75000000000006</v>
      </c>
    </row>
    <row r="1630" spans="13:19">
      <c r="M1630" s="132">
        <f t="shared" ca="1" si="213"/>
        <v>518.97556425363337</v>
      </c>
      <c r="N1630" s="38">
        <f t="shared" si="214"/>
        <v>15.271875</v>
      </c>
      <c r="O1630" s="36">
        <f t="shared" si="212"/>
        <v>407.25</v>
      </c>
      <c r="P1630" s="38">
        <f ca="1">IF(ISERROR(IF(O1630&lt;fi_h/20,0,(OFFSET('Base de dados'!$A$5,IF(O1630&lt;20,1,IF(O1630&gt;1000,10,MATCH(O1630,Cargas,1))),Coluna_fih,1,1))*(1+0.13*0.25)*(PI()*(fi_h/1000)^2/4)*SQRT(2*9.81*(O1630/100-fi_h/2/1000))*1000)),"",IF(O1630&lt;fi_h/20,0,(OFFSET('Base de dados'!$A$5,IF(O1630&lt;20,1,IF(O1630&gt;1000,10,MATCH(O1630,Cargas,1))),Coluna_fih,1,1))*(PI()*(fi_h/1000)^2/4)*SQRT(2*9.81*(O1630/100-fi_h/2/1000))*1000))</f>
        <v>5.3902186725850267</v>
      </c>
      <c r="Q1630" s="38">
        <f ca="1">IF(O1630="","",IF(Tipo_Vertedor="Retangular",IF(O1630&lt;=cota_s*100,0,IF(Tipo_Vertedor="Retangular",Cd_sr*Lef_sr*((O1630/100-cota_s)^(3/2))*1000)),IF(O1630&lt;=cota_s*100+fi_s/20,0,(OFFSET('Base de dados'!$A$4,IF(O1630&lt;20,1,IF(O1630&gt;1000,10,MATCH(O1630,Cargas,1))),Coluna_fis,1,1))*(PI()*(fi_s/1000)^2/4)*(2*9.81*(O1630/100-cota_s-fi_s/2/1000))^0.5*1000)))</f>
        <v>4.5228455810482959</v>
      </c>
      <c r="R1630" s="38">
        <f t="shared" ca="1" si="215"/>
        <v>9.9130642536333227</v>
      </c>
      <c r="S1630" s="38">
        <f t="shared" ca="1" si="216"/>
        <v>509.0625</v>
      </c>
    </row>
    <row r="1631" spans="13:19">
      <c r="M1631" s="132">
        <f t="shared" ca="1" si="213"/>
        <v>519.29170550109461</v>
      </c>
      <c r="N1631" s="38">
        <f t="shared" si="214"/>
        <v>15.28125</v>
      </c>
      <c r="O1631" s="36">
        <f t="shared" si="212"/>
        <v>407.5</v>
      </c>
      <c r="P1631" s="38">
        <f ca="1">IF(ISERROR(IF(O1631&lt;fi_h/20,0,(OFFSET('Base de dados'!$A$5,IF(O1631&lt;20,1,IF(O1631&gt;1000,10,MATCH(O1631,Cargas,1))),Coluna_fih,1,1))*(1+0.13*0.25)*(PI()*(fi_h/1000)^2/4)*SQRT(2*9.81*(O1631/100-fi_h/2/1000))*1000)),"",IF(O1631&lt;fi_h/20,0,(OFFSET('Base de dados'!$A$5,IF(O1631&lt;20,1,IF(O1631&gt;1000,10,MATCH(O1631,Cargas,1))),Coluna_fih,1,1))*(PI()*(fi_h/1000)^2/4)*SQRT(2*9.81*(O1631/100-fi_h/2/1000))*1000))</f>
        <v>5.3918800539106826</v>
      </c>
      <c r="Q1631" s="38">
        <f ca="1">IF(O1631="","",IF(Tipo_Vertedor="Retangular",IF(O1631&lt;=cota_s*100,0,IF(Tipo_Vertedor="Retangular",Cd_sr*Lef_sr*((O1631/100-cota_s)^(3/2))*1000)),IF(O1631&lt;=cota_s*100+fi_s/20,0,(OFFSET('Base de dados'!$A$4,IF(O1631&lt;20,1,IF(O1631&gt;1000,10,MATCH(O1631,Cargas,1))),Coluna_fis,1,1))*(PI()*(fi_s/1000)^2/4)*(2*9.81*(O1631/100-cota_s-fi_s/2/1000))^0.5*1000)))</f>
        <v>4.5248254471839759</v>
      </c>
      <c r="R1631" s="38">
        <f t="shared" ca="1" si="215"/>
        <v>9.9167055010946576</v>
      </c>
      <c r="S1631" s="38">
        <f t="shared" ca="1" si="216"/>
        <v>509.375</v>
      </c>
    </row>
    <row r="1632" spans="13:19">
      <c r="M1632" s="132">
        <f t="shared" ca="1" si="213"/>
        <v>519.60784537087375</v>
      </c>
      <c r="N1632" s="38">
        <f t="shared" si="214"/>
        <v>15.290624999999999</v>
      </c>
      <c r="O1632" s="36">
        <f t="shared" si="212"/>
        <v>407.75</v>
      </c>
      <c r="P1632" s="38">
        <f ca="1">IF(ISERROR(IF(O1632&lt;fi_h/20,0,(OFFSET('Base de dados'!$A$5,IF(O1632&lt;20,1,IF(O1632&gt;1000,10,MATCH(O1632,Cargas,1))),Coluna_fih,1,1))*(1+0.13*0.25)*(PI()*(fi_h/1000)^2/4)*SQRT(2*9.81*(O1632/100-fi_h/2/1000))*1000)),"",IF(O1632&lt;fi_h/20,0,(OFFSET('Base de dados'!$A$5,IF(O1632&lt;20,1,IF(O1632&gt;1000,10,MATCH(O1632,Cargas,1))),Coluna_fih,1,1))*(PI()*(fi_h/1000)^2/4)*SQRT(2*9.81*(O1632/100-fi_h/2/1000))*1000))</f>
        <v>5.3935409234783256</v>
      </c>
      <c r="Q1632" s="38">
        <f ca="1">IF(O1632="","",IF(Tipo_Vertedor="Retangular",IF(O1632&lt;=cota_s*100,0,IF(Tipo_Vertedor="Retangular",Cd_sr*Lef_sr*((O1632/100-cota_s)^(3/2))*1000)),IF(O1632&lt;=cota_s*100+fi_s/20,0,(OFFSET('Base de dados'!$A$4,IF(O1632&lt;20,1,IF(O1632&gt;1000,10,MATCH(O1632,Cargas,1))),Coluna_fis,1,1))*(PI()*(fi_s/1000)^2/4)*(2*9.81*(O1632/100-cota_s-fi_s/2/1000))^0.5*1000)))</f>
        <v>4.5268044473954507</v>
      </c>
      <c r="R1632" s="38">
        <f t="shared" ca="1" si="215"/>
        <v>9.9203453708737754</v>
      </c>
      <c r="S1632" s="38">
        <f t="shared" ca="1" si="216"/>
        <v>509.68749999999994</v>
      </c>
    </row>
    <row r="1633" spans="13:19">
      <c r="M1633" s="132">
        <f t="shared" ca="1" si="213"/>
        <v>519.92398386457853</v>
      </c>
      <c r="N1633" s="38">
        <f t="shared" si="214"/>
        <v>15.3</v>
      </c>
      <c r="O1633" s="36">
        <f t="shared" si="212"/>
        <v>408</v>
      </c>
      <c r="P1633" s="38">
        <f ca="1">IF(ISERROR(IF(O1633&lt;fi_h/20,0,(OFFSET('Base de dados'!$A$5,IF(O1633&lt;20,1,IF(O1633&gt;1000,10,MATCH(O1633,Cargas,1))),Coluna_fih,1,1))*(1+0.13*0.25)*(PI()*(fi_h/1000)^2/4)*SQRT(2*9.81*(O1633/100-fi_h/2/1000))*1000)),"",IF(O1633&lt;fi_h/20,0,(OFFSET('Base de dados'!$A$5,IF(O1633&lt;20,1,IF(O1633&gt;1000,10,MATCH(O1633,Cargas,1))),Coluna_fih,1,1))*(PI()*(fi_h/1000)^2/4)*SQRT(2*9.81*(O1633/100-fi_h/2/1000))*1000))</f>
        <v>5.3952012817605803</v>
      </c>
      <c r="Q1633" s="38">
        <f ca="1">IF(O1633="","",IF(Tipo_Vertedor="Retangular",IF(O1633&lt;=cota_s*100,0,IF(Tipo_Vertedor="Retangular",Cd_sr*Lef_sr*((O1633/100-cota_s)^(3/2))*1000)),IF(O1633&lt;=cota_s*100+fi_s/20,0,(OFFSET('Base de dados'!$A$4,IF(O1633&lt;20,1,IF(O1633&gt;1000,10,MATCH(O1633,Cargas,1))),Coluna_fis,1,1))*(PI()*(fi_s/1000)^2/4)*(2*9.81*(O1633/100-cota_s-fi_s/2/1000))^0.5*1000)))</f>
        <v>4.5287825828179056</v>
      </c>
      <c r="R1633" s="38">
        <f t="shared" ca="1" si="215"/>
        <v>9.923983864578485</v>
      </c>
      <c r="S1633" s="38">
        <f t="shared" ca="1" si="216"/>
        <v>510</v>
      </c>
    </row>
    <row r="1634" spans="13:19">
      <c r="M1634" s="132">
        <f t="shared" ca="1" si="213"/>
        <v>520.24012098381343</v>
      </c>
      <c r="N1634" s="38">
        <f t="shared" si="214"/>
        <v>15.309374999999999</v>
      </c>
      <c r="O1634" s="36">
        <f t="shared" si="212"/>
        <v>408.25</v>
      </c>
      <c r="P1634" s="38">
        <f ca="1">IF(ISERROR(IF(O1634&lt;fi_h/20,0,(OFFSET('Base de dados'!$A$5,IF(O1634&lt;20,1,IF(O1634&gt;1000,10,MATCH(O1634,Cargas,1))),Coluna_fih,1,1))*(1+0.13*0.25)*(PI()*(fi_h/1000)^2/4)*SQRT(2*9.81*(O1634/100-fi_h/2/1000))*1000)),"",IF(O1634&lt;fi_h/20,0,(OFFSET('Base de dados'!$A$5,IF(O1634&lt;20,1,IF(O1634&gt;1000,10,MATCH(O1634,Cargas,1))),Coluna_fih,1,1))*(PI()*(fi_h/1000)^2/4)*SQRT(2*9.81*(O1634/100-fi_h/2/1000))*1000))</f>
        <v>5.3968611292293405</v>
      </c>
      <c r="Q1634" s="38">
        <f ca="1">IF(O1634="","",IF(Tipo_Vertedor="Retangular",IF(O1634&lt;=cota_s*100,0,IF(Tipo_Vertedor="Retangular",Cd_sr*Lef_sr*((O1634/100-cota_s)^(3/2))*1000)),IF(O1634&lt;=cota_s*100+fi_s/20,0,(OFFSET('Base de dados'!$A$4,IF(O1634&lt;20,1,IF(O1634&gt;1000,10,MATCH(O1634,Cargas,1))),Coluna_fis,1,1))*(PI()*(fi_s/1000)^2/4)*(2*9.81*(O1634/100-cota_s-fi_s/2/1000))^0.5*1000)))</f>
        <v>4.5307598545840397</v>
      </c>
      <c r="R1634" s="38">
        <f t="shared" ca="1" si="215"/>
        <v>9.9276209838133802</v>
      </c>
      <c r="S1634" s="38">
        <f t="shared" ca="1" si="216"/>
        <v>510.3125</v>
      </c>
    </row>
    <row r="1635" spans="13:19">
      <c r="M1635" s="132">
        <f t="shared" ca="1" si="213"/>
        <v>520.55625673017983</v>
      </c>
      <c r="N1635" s="38">
        <f t="shared" si="214"/>
        <v>15.31875</v>
      </c>
      <c r="O1635" s="36">
        <f t="shared" si="212"/>
        <v>408.5</v>
      </c>
      <c r="P1635" s="38">
        <f ca="1">IF(ISERROR(IF(O1635&lt;fi_h/20,0,(OFFSET('Base de dados'!$A$5,IF(O1635&lt;20,1,IF(O1635&gt;1000,10,MATCH(O1635,Cargas,1))),Coluna_fih,1,1))*(1+0.13*0.25)*(PI()*(fi_h/1000)^2/4)*SQRT(2*9.81*(O1635/100-fi_h/2/1000))*1000)),"",IF(O1635&lt;fi_h/20,0,(OFFSET('Base de dados'!$A$5,IF(O1635&lt;20,1,IF(O1635&gt;1000,10,MATCH(O1635,Cargas,1))),Coluna_fih,1,1))*(PI()*(fi_h/1000)^2/4)*SQRT(2*9.81*(O1635/100-fi_h/2/1000))*1000))</f>
        <v>5.3985204663557749</v>
      </c>
      <c r="Q1635" s="38">
        <f ca="1">IF(O1635="","",IF(Tipo_Vertedor="Retangular",IF(O1635&lt;=cota_s*100,0,IF(Tipo_Vertedor="Retangular",Cd_sr*Lef_sr*((O1635/100-cota_s)^(3/2))*1000)),IF(O1635&lt;=cota_s*100+fi_s/20,0,(OFFSET('Base de dados'!$A$4,IF(O1635&lt;20,1,IF(O1635&gt;1000,10,MATCH(O1635,Cargas,1))),Coluna_fis,1,1))*(PI()*(fi_s/1000)^2/4)*(2*9.81*(O1635/100-cota_s-fi_s/2/1000))^0.5*1000)))</f>
        <v>4.5327362638240905</v>
      </c>
      <c r="R1635" s="38">
        <f t="shared" ca="1" si="215"/>
        <v>9.9312567301798644</v>
      </c>
      <c r="S1635" s="38">
        <f t="shared" ca="1" si="216"/>
        <v>510.625</v>
      </c>
    </row>
    <row r="1636" spans="13:19">
      <c r="M1636" s="132">
        <f t="shared" ca="1" si="213"/>
        <v>520.87239110527617</v>
      </c>
      <c r="N1636" s="38">
        <f t="shared" si="214"/>
        <v>15.328125000000002</v>
      </c>
      <c r="O1636" s="36">
        <f t="shared" si="212"/>
        <v>408.75</v>
      </c>
      <c r="P1636" s="38">
        <f ca="1">IF(ISERROR(IF(O1636&lt;fi_h/20,0,(OFFSET('Base de dados'!$A$5,IF(O1636&lt;20,1,IF(O1636&gt;1000,10,MATCH(O1636,Cargas,1))),Coluna_fih,1,1))*(1+0.13*0.25)*(PI()*(fi_h/1000)^2/4)*SQRT(2*9.81*(O1636/100-fi_h/2/1000))*1000)),"",IF(O1636&lt;fi_h/20,0,(OFFSET('Base de dados'!$A$5,IF(O1636&lt;20,1,IF(O1636&gt;1000,10,MATCH(O1636,Cargas,1))),Coluna_fih,1,1))*(PI()*(fi_h/1000)^2/4)*SQRT(2*9.81*(O1636/100-fi_h/2/1000))*1000))</f>
        <v>5.4001792936103277</v>
      </c>
      <c r="Q1636" s="38">
        <f ca="1">IF(O1636="","",IF(Tipo_Vertedor="Retangular",IF(O1636&lt;=cota_s*100,0,IF(Tipo_Vertedor="Retangular",Cd_sr*Lef_sr*((O1636/100-cota_s)^(3/2))*1000)),IF(O1636&lt;=cota_s*100+fi_s/20,0,(OFFSET('Base de dados'!$A$4,IF(O1636&lt;20,1,IF(O1636&gt;1000,10,MATCH(O1636,Cargas,1))),Coluna_fis,1,1))*(PI()*(fi_s/1000)^2/4)*(2*9.81*(O1636/100-cota_s-fi_s/2/1000))^0.5*1000)))</f>
        <v>4.5347118116658249</v>
      </c>
      <c r="R1636" s="38">
        <f t="shared" ca="1" si="215"/>
        <v>9.9348911052761526</v>
      </c>
      <c r="S1636" s="38">
        <f t="shared" ca="1" si="216"/>
        <v>510.93750000000006</v>
      </c>
    </row>
    <row r="1637" spans="13:19">
      <c r="M1637" s="132">
        <f t="shared" ca="1" si="213"/>
        <v>521.18852411069724</v>
      </c>
      <c r="N1637" s="38">
        <f t="shared" si="214"/>
        <v>15.337499999999999</v>
      </c>
      <c r="O1637" s="36">
        <f t="shared" si="212"/>
        <v>409</v>
      </c>
      <c r="P1637" s="38">
        <f ca="1">IF(ISERROR(IF(O1637&lt;fi_h/20,0,(OFFSET('Base de dados'!$A$5,IF(O1637&lt;20,1,IF(O1637&gt;1000,10,MATCH(O1637,Cargas,1))),Coluna_fih,1,1))*(1+0.13*0.25)*(PI()*(fi_h/1000)^2/4)*SQRT(2*9.81*(O1637/100-fi_h/2/1000))*1000)),"",IF(O1637&lt;fi_h/20,0,(OFFSET('Base de dados'!$A$5,IF(O1637&lt;20,1,IF(O1637&gt;1000,10,MATCH(O1637,Cargas,1))),Coluna_fih,1,1))*(PI()*(fi_h/1000)^2/4)*SQRT(2*9.81*(O1637/100-fi_h/2/1000))*1000))</f>
        <v>5.4018376114627245</v>
      </c>
      <c r="Q1637" s="38">
        <f ca="1">IF(O1637="","",IF(Tipo_Vertedor="Retangular",IF(O1637&lt;=cota_s*100,0,IF(Tipo_Vertedor="Retangular",Cd_sr*Lef_sr*((O1637/100-cota_s)^(3/2))*1000)),IF(O1637&lt;=cota_s*100+fi_s/20,0,(OFFSET('Base de dados'!$A$4,IF(O1637&lt;20,1,IF(O1637&gt;1000,10,MATCH(O1637,Cargas,1))),Coluna_fis,1,1))*(PI()*(fi_s/1000)^2/4)*(2*9.81*(O1637/100-cota_s-fi_s/2/1000))^0.5*1000)))</f>
        <v>4.536686499234559</v>
      </c>
      <c r="R1637" s="38">
        <f t="shared" ca="1" si="215"/>
        <v>9.9385241106972835</v>
      </c>
      <c r="S1637" s="38">
        <f t="shared" ca="1" si="216"/>
        <v>511.24999999999994</v>
      </c>
    </row>
    <row r="1638" spans="13:19">
      <c r="M1638" s="132">
        <f t="shared" ca="1" si="213"/>
        <v>521.50465574803513</v>
      </c>
      <c r="N1638" s="38">
        <f t="shared" si="214"/>
        <v>15.346875000000001</v>
      </c>
      <c r="O1638" s="36">
        <f t="shared" si="212"/>
        <v>409.25</v>
      </c>
      <c r="P1638" s="38">
        <f ca="1">IF(ISERROR(IF(O1638&lt;fi_h/20,0,(OFFSET('Base de dados'!$A$5,IF(O1638&lt;20,1,IF(O1638&gt;1000,10,MATCH(O1638,Cargas,1))),Coluna_fih,1,1))*(1+0.13*0.25)*(PI()*(fi_h/1000)^2/4)*SQRT(2*9.81*(O1638/100-fi_h/2/1000))*1000)),"",IF(O1638&lt;fi_h/20,0,(OFFSET('Base de dados'!$A$5,IF(O1638&lt;20,1,IF(O1638&gt;1000,10,MATCH(O1638,Cargas,1))),Coluna_fih,1,1))*(PI()*(fi_h/1000)^2/4)*SQRT(2*9.81*(O1638/100-fi_h/2/1000))*1000))</f>
        <v>5.4034954203819678</v>
      </c>
      <c r="Q1638" s="38">
        <f ca="1">IF(O1638="","",IF(Tipo_Vertedor="Retangular",IF(O1638&lt;=cota_s*100,0,IF(Tipo_Vertedor="Retangular",Cd_sr*Lef_sr*((O1638/100-cota_s)^(3/2))*1000)),IF(O1638&lt;=cota_s*100+fi_s/20,0,(OFFSET('Base de dados'!$A$4,IF(O1638&lt;20,1,IF(O1638&gt;1000,10,MATCH(O1638,Cargas,1))),Coluna_fis,1,1))*(PI()*(fi_s/1000)^2/4)*(2*9.81*(O1638/100-cota_s-fi_s/2/1000))^0.5*1000)))</f>
        <v>4.5386603276531607</v>
      </c>
      <c r="R1638" s="38">
        <f t="shared" ca="1" si="215"/>
        <v>9.9421557480351286</v>
      </c>
      <c r="S1638" s="38">
        <f t="shared" ca="1" si="216"/>
        <v>511.5625</v>
      </c>
    </row>
    <row r="1639" spans="13:19">
      <c r="M1639" s="132">
        <f t="shared" ca="1" si="213"/>
        <v>521.82078601887838</v>
      </c>
      <c r="N1639" s="38">
        <f t="shared" si="214"/>
        <v>15.356249999999999</v>
      </c>
      <c r="O1639" s="36">
        <f t="shared" si="212"/>
        <v>409.5</v>
      </c>
      <c r="P1639" s="38">
        <f ca="1">IF(ISERROR(IF(O1639&lt;fi_h/20,0,(OFFSET('Base de dados'!$A$5,IF(O1639&lt;20,1,IF(O1639&gt;1000,10,MATCH(O1639,Cargas,1))),Coluna_fih,1,1))*(1+0.13*0.25)*(PI()*(fi_h/1000)^2/4)*SQRT(2*9.81*(O1639/100-fi_h/2/1000))*1000)),"",IF(O1639&lt;fi_h/20,0,(OFFSET('Base de dados'!$A$5,IF(O1639&lt;20,1,IF(O1639&gt;1000,10,MATCH(O1639,Cargas,1))),Coluna_fih,1,1))*(PI()*(fi_h/1000)^2/4)*SQRT(2*9.81*(O1639/100-fi_h/2/1000))*1000))</f>
        <v>5.4051527208363375</v>
      </c>
      <c r="Q1639" s="38">
        <f ca="1">IF(O1639="","",IF(Tipo_Vertedor="Retangular",IF(O1639&lt;=cota_s*100,0,IF(Tipo_Vertedor="Retangular",Cd_sr*Lef_sr*((O1639/100-cota_s)^(3/2))*1000)),IF(O1639&lt;=cota_s*100+fi_s/20,0,(OFFSET('Base de dados'!$A$4,IF(O1639&lt;20,1,IF(O1639&gt;1000,10,MATCH(O1639,Cargas,1))),Coluna_fis,1,1))*(PI()*(fi_s/1000)^2/4)*(2*9.81*(O1639/100-cota_s-fi_s/2/1000))^0.5*1000)))</f>
        <v>4.5406332980420547</v>
      </c>
      <c r="R1639" s="38">
        <f t="shared" ca="1" si="215"/>
        <v>9.9457860188783922</v>
      </c>
      <c r="S1639" s="38">
        <f t="shared" ca="1" si="216"/>
        <v>511.875</v>
      </c>
    </row>
    <row r="1640" spans="13:19">
      <c r="M1640" s="132">
        <f t="shared" ca="1" si="213"/>
        <v>522.1369149248128</v>
      </c>
      <c r="N1640" s="38">
        <f t="shared" si="214"/>
        <v>15.365625000000001</v>
      </c>
      <c r="O1640" s="36">
        <f t="shared" si="212"/>
        <v>409.75</v>
      </c>
      <c r="P1640" s="38">
        <f ca="1">IF(ISERROR(IF(O1640&lt;fi_h/20,0,(OFFSET('Base de dados'!$A$5,IF(O1640&lt;20,1,IF(O1640&gt;1000,10,MATCH(O1640,Cargas,1))),Coluna_fih,1,1))*(1+0.13*0.25)*(PI()*(fi_h/1000)^2/4)*SQRT(2*9.81*(O1640/100-fi_h/2/1000))*1000)),"",IF(O1640&lt;fi_h/20,0,(OFFSET('Base de dados'!$A$5,IF(O1640&lt;20,1,IF(O1640&gt;1000,10,MATCH(O1640,Cargas,1))),Coluna_fih,1,1))*(PI()*(fi_h/1000)^2/4)*SQRT(2*9.81*(O1640/100-fi_h/2/1000))*1000))</f>
        <v>5.4068095132934024</v>
      </c>
      <c r="Q1640" s="38">
        <f ca="1">IF(O1640="","",IF(Tipo_Vertedor="Retangular",IF(O1640&lt;=cota_s*100,0,IF(Tipo_Vertedor="Retangular",Cd_sr*Lef_sr*((O1640/100-cota_s)^(3/2))*1000)),IF(O1640&lt;=cota_s*100+fi_s/20,0,(OFFSET('Base de dados'!$A$4,IF(O1640&lt;20,1,IF(O1640&gt;1000,10,MATCH(O1640,Cargas,1))),Coluna_fis,1,1))*(PI()*(fi_s/1000)^2/4)*(2*9.81*(O1640/100-cota_s-fi_s/2/1000))^0.5*1000)))</f>
        <v>4.5426054115192365</v>
      </c>
      <c r="R1640" s="38">
        <f t="shared" ca="1" si="215"/>
        <v>9.9494149248126398</v>
      </c>
      <c r="S1640" s="38">
        <f t="shared" ca="1" si="216"/>
        <v>512.18750000000011</v>
      </c>
    </row>
    <row r="1641" spans="13:19">
      <c r="M1641" s="132">
        <f t="shared" ca="1" si="213"/>
        <v>522.45304246742012</v>
      </c>
      <c r="N1641" s="38">
        <f t="shared" si="214"/>
        <v>15.374999999999998</v>
      </c>
      <c r="O1641" s="36">
        <f t="shared" si="212"/>
        <v>410</v>
      </c>
      <c r="P1641" s="38">
        <f ca="1">IF(ISERROR(IF(O1641&lt;fi_h/20,0,(OFFSET('Base de dados'!$A$5,IF(O1641&lt;20,1,IF(O1641&gt;1000,10,MATCH(O1641,Cargas,1))),Coluna_fih,1,1))*(1+0.13*0.25)*(PI()*(fi_h/1000)^2/4)*SQRT(2*9.81*(O1641/100-fi_h/2/1000))*1000)),"",IF(O1641&lt;fi_h/20,0,(OFFSET('Base de dados'!$A$5,IF(O1641&lt;20,1,IF(O1641&gt;1000,10,MATCH(O1641,Cargas,1))),Coluna_fih,1,1))*(PI()*(fi_h/1000)^2/4)*SQRT(2*9.81*(O1641/100-fi_h/2/1000))*1000))</f>
        <v>5.4084657982200106</v>
      </c>
      <c r="Q1641" s="38">
        <f ca="1">IF(O1641="","",IF(Tipo_Vertedor="Retangular",IF(O1641&lt;=cota_s*100,0,IF(Tipo_Vertedor="Retangular",Cd_sr*Lef_sr*((O1641/100-cota_s)^(3/2))*1000)),IF(O1641&lt;=cota_s*100+fi_s/20,0,(OFFSET('Base de dados'!$A$4,IF(O1641&lt;20,1,IF(O1641&gt;1000,10,MATCH(O1641,Cargas,1))),Coluna_fis,1,1))*(PI()*(fi_s/1000)^2/4)*(2*9.81*(O1641/100-cota_s-fi_s/2/1000))^0.5*1000)))</f>
        <v>4.5445766692002696</v>
      </c>
      <c r="R1641" s="38">
        <f t="shared" ca="1" si="215"/>
        <v>9.9530424674202802</v>
      </c>
      <c r="S1641" s="38">
        <f t="shared" ca="1" si="216"/>
        <v>512.49999999999989</v>
      </c>
    </row>
    <row r="1642" spans="13:19">
      <c r="M1642" s="132">
        <f t="shared" ca="1" si="213"/>
        <v>522.76916864828058</v>
      </c>
      <c r="N1642" s="38">
        <f t="shared" si="214"/>
        <v>15.384375</v>
      </c>
      <c r="O1642" s="36">
        <f t="shared" si="212"/>
        <v>410.25</v>
      </c>
      <c r="P1642" s="38">
        <f ca="1">IF(ISERROR(IF(O1642&lt;fi_h/20,0,(OFFSET('Base de dados'!$A$5,IF(O1642&lt;20,1,IF(O1642&gt;1000,10,MATCH(O1642,Cargas,1))),Coluna_fih,1,1))*(1+0.13*0.25)*(PI()*(fi_h/1000)^2/4)*SQRT(2*9.81*(O1642/100-fi_h/2/1000))*1000)),"",IF(O1642&lt;fi_h/20,0,(OFFSET('Base de dados'!$A$5,IF(O1642&lt;20,1,IF(O1642&gt;1000,10,MATCH(O1642,Cargas,1))),Coluna_fih,1,1))*(PI()*(fi_h/1000)^2/4)*SQRT(2*9.81*(O1642/100-fi_h/2/1000))*1000))</f>
        <v>5.4101215760822967</v>
      </c>
      <c r="Q1642" s="38">
        <f ca="1">IF(O1642="","",IF(Tipo_Vertedor="Retangular",IF(O1642&lt;=cota_s*100,0,IF(Tipo_Vertedor="Retangular",Cd_sr*Lef_sr*((O1642/100-cota_s)^(3/2))*1000)),IF(O1642&lt;=cota_s*100+fi_s/20,0,(OFFSET('Base de dados'!$A$4,IF(O1642&lt;20,1,IF(O1642&gt;1000,10,MATCH(O1642,Cargas,1))),Coluna_fis,1,1))*(PI()*(fi_s/1000)^2/4)*(2*9.81*(O1642/100-cota_s-fi_s/2/1000))^0.5*1000)))</f>
        <v>4.5465470721983072</v>
      </c>
      <c r="R1642" s="38">
        <f t="shared" ca="1" si="215"/>
        <v>9.9566686482806048</v>
      </c>
      <c r="S1642" s="38">
        <f t="shared" ca="1" si="216"/>
        <v>512.8125</v>
      </c>
    </row>
    <row r="1643" spans="13:19">
      <c r="M1643" s="132">
        <f t="shared" ca="1" si="213"/>
        <v>523.08529346896978</v>
      </c>
      <c r="N1643" s="38">
        <f t="shared" si="214"/>
        <v>15.393750000000001</v>
      </c>
      <c r="O1643" s="36">
        <f t="shared" si="212"/>
        <v>410.5</v>
      </c>
      <c r="P1643" s="38">
        <f ca="1">IF(ISERROR(IF(O1643&lt;fi_h/20,0,(OFFSET('Base de dados'!$A$5,IF(O1643&lt;20,1,IF(O1643&gt;1000,10,MATCH(O1643,Cargas,1))),Coluna_fih,1,1))*(1+0.13*0.25)*(PI()*(fi_h/1000)^2/4)*SQRT(2*9.81*(O1643/100-fi_h/2/1000))*1000)),"",IF(O1643&lt;fi_h/20,0,(OFFSET('Base de dados'!$A$5,IF(O1643&lt;20,1,IF(O1643&gt;1000,10,MATCH(O1643,Cargas,1))),Coluna_fih,1,1))*(PI()*(fi_h/1000)^2/4)*SQRT(2*9.81*(O1643/100-fi_h/2/1000))*1000))</f>
        <v>5.4117768473456822</v>
      </c>
      <c r="Q1643" s="38">
        <f ca="1">IF(O1643="","",IF(Tipo_Vertedor="Retangular",IF(O1643&lt;=cota_s*100,0,IF(Tipo_Vertedor="Retangular",Cd_sr*Lef_sr*((O1643/100-cota_s)^(3/2))*1000)),IF(O1643&lt;=cota_s*100+fi_s/20,0,(OFFSET('Base de dados'!$A$4,IF(O1643&lt;20,1,IF(O1643&gt;1000,10,MATCH(O1643,Cargas,1))),Coluna_fis,1,1))*(PI()*(fi_s/1000)^2/4)*(2*9.81*(O1643/100-cota_s-fi_s/2/1000))^0.5*1000)))</f>
        <v>4.5485166216240849</v>
      </c>
      <c r="R1643" s="38">
        <f t="shared" ca="1" si="215"/>
        <v>9.9602934689697662</v>
      </c>
      <c r="S1643" s="38">
        <f t="shared" ca="1" si="216"/>
        <v>513.125</v>
      </c>
    </row>
    <row r="1644" spans="13:19">
      <c r="M1644" s="132">
        <f t="shared" ca="1" si="213"/>
        <v>523.40141693106079</v>
      </c>
      <c r="N1644" s="38">
        <f t="shared" si="214"/>
        <v>15.403124999999999</v>
      </c>
      <c r="O1644" s="36">
        <f t="shared" si="212"/>
        <v>410.75</v>
      </c>
      <c r="P1644" s="38">
        <f ca="1">IF(ISERROR(IF(O1644&lt;fi_h/20,0,(OFFSET('Base de dados'!$A$5,IF(O1644&lt;20,1,IF(O1644&gt;1000,10,MATCH(O1644,Cargas,1))),Coluna_fih,1,1))*(1+0.13*0.25)*(PI()*(fi_h/1000)^2/4)*SQRT(2*9.81*(O1644/100-fi_h/2/1000))*1000)),"",IF(O1644&lt;fi_h/20,0,(OFFSET('Base de dados'!$A$5,IF(O1644&lt;20,1,IF(O1644&gt;1000,10,MATCH(O1644,Cargas,1))),Coluna_fih,1,1))*(PI()*(fi_h/1000)^2/4)*SQRT(2*9.81*(O1644/100-fi_h/2/1000))*1000))</f>
        <v>5.4134316124748771</v>
      </c>
      <c r="Q1644" s="38">
        <f ca="1">IF(O1644="","",IF(Tipo_Vertedor="Retangular",IF(O1644&lt;=cota_s*100,0,IF(Tipo_Vertedor="Retangular",Cd_sr*Lef_sr*((O1644/100-cota_s)^(3/2))*1000)),IF(O1644&lt;=cota_s*100+fi_s/20,0,(OFFSET('Base de dados'!$A$4,IF(O1644&lt;20,1,IF(O1644&gt;1000,10,MATCH(O1644,Cargas,1))),Coluna_fis,1,1))*(PI()*(fi_s/1000)^2/4)*(2*9.81*(O1644/100-cota_s-fi_s/2/1000))^0.5*1000)))</f>
        <v>4.5504853185859364</v>
      </c>
      <c r="R1644" s="38">
        <f t="shared" ca="1" si="215"/>
        <v>9.9639169310608136</v>
      </c>
      <c r="S1644" s="38">
        <f t="shared" ca="1" si="216"/>
        <v>513.4375</v>
      </c>
    </row>
    <row r="1645" spans="13:19">
      <c r="M1645" s="132">
        <f t="shared" ca="1" si="213"/>
        <v>523.71753903612375</v>
      </c>
      <c r="N1645" s="38">
        <f t="shared" si="214"/>
        <v>15.412500000000001</v>
      </c>
      <c r="O1645" s="36">
        <f t="shared" si="212"/>
        <v>411</v>
      </c>
      <c r="P1645" s="38">
        <f ca="1">IF(ISERROR(IF(O1645&lt;fi_h/20,0,(OFFSET('Base de dados'!$A$5,IF(O1645&lt;20,1,IF(O1645&gt;1000,10,MATCH(O1645,Cargas,1))),Coluna_fih,1,1))*(1+0.13*0.25)*(PI()*(fi_h/1000)^2/4)*SQRT(2*9.81*(O1645/100-fi_h/2/1000))*1000)),"",IF(O1645&lt;fi_h/20,0,(OFFSET('Base de dados'!$A$5,IF(O1645&lt;20,1,IF(O1645&gt;1000,10,MATCH(O1645,Cargas,1))),Coluna_fih,1,1))*(PI()*(fi_h/1000)^2/4)*SQRT(2*9.81*(O1645/100-fi_h/2/1000))*1000))</f>
        <v>5.415085871933881</v>
      </c>
      <c r="Q1645" s="38">
        <f ca="1">IF(O1645="","",IF(Tipo_Vertedor="Retangular",IF(O1645&lt;=cota_s*100,0,IF(Tipo_Vertedor="Retangular",Cd_sr*Lef_sr*((O1645/100-cota_s)^(3/2))*1000)),IF(O1645&lt;=cota_s*100+fi_s/20,0,(OFFSET('Base de dados'!$A$4,IF(O1645&lt;20,1,IF(O1645&gt;1000,10,MATCH(O1645,Cargas,1))),Coluna_fis,1,1))*(PI()*(fi_s/1000)^2/4)*(2*9.81*(O1645/100-cota_s-fi_s/2/1000))^0.5*1000)))</f>
        <v>4.5524531641898003</v>
      </c>
      <c r="R1645" s="38">
        <f t="shared" ca="1" si="215"/>
        <v>9.9675390361236822</v>
      </c>
      <c r="S1645" s="38">
        <f t="shared" ca="1" si="216"/>
        <v>513.75000000000011</v>
      </c>
    </row>
    <row r="1646" spans="13:19">
      <c r="M1646" s="132">
        <f t="shared" ca="1" si="213"/>
        <v>524.03365978572526</v>
      </c>
      <c r="N1646" s="38">
        <f t="shared" si="214"/>
        <v>15.421875</v>
      </c>
      <c r="O1646" s="36">
        <f t="shared" si="212"/>
        <v>411.25</v>
      </c>
      <c r="P1646" s="38">
        <f ca="1">IF(ISERROR(IF(O1646&lt;fi_h/20,0,(OFFSET('Base de dados'!$A$5,IF(O1646&lt;20,1,IF(O1646&gt;1000,10,MATCH(O1646,Cargas,1))),Coluna_fih,1,1))*(1+0.13*0.25)*(PI()*(fi_h/1000)^2/4)*SQRT(2*9.81*(O1646/100-fi_h/2/1000))*1000)),"",IF(O1646&lt;fi_h/20,0,(OFFSET('Base de dados'!$A$5,IF(O1646&lt;20,1,IF(O1646&gt;1000,10,MATCH(O1646,Cargas,1))),Coluna_fih,1,1))*(PI()*(fi_h/1000)^2/4)*SQRT(2*9.81*(O1646/100-fi_h/2/1000))*1000))</f>
        <v>5.4167396261859855</v>
      </c>
      <c r="Q1646" s="38">
        <f ca="1">IF(O1646="","",IF(Tipo_Vertedor="Retangular",IF(O1646&lt;=cota_s*100,0,IF(Tipo_Vertedor="Retangular",Cd_sr*Lef_sr*((O1646/100-cota_s)^(3/2))*1000)),IF(O1646&lt;=cota_s*100+fi_s/20,0,(OFFSET('Base de dados'!$A$4,IF(O1646&lt;20,1,IF(O1646&gt;1000,10,MATCH(O1646,Cargas,1))),Coluna_fis,1,1))*(PI()*(fi_s/1000)^2/4)*(2*9.81*(O1646/100-cota_s-fi_s/2/1000))^0.5*1000)))</f>
        <v>4.5544201595392249</v>
      </c>
      <c r="R1646" s="38">
        <f t="shared" ca="1" si="215"/>
        <v>9.9711597857252094</v>
      </c>
      <c r="S1646" s="38">
        <f t="shared" ca="1" si="216"/>
        <v>514.0625</v>
      </c>
    </row>
    <row r="1647" spans="13:19">
      <c r="M1647" s="132">
        <f t="shared" ca="1" si="213"/>
        <v>524.3497791814292</v>
      </c>
      <c r="N1647" s="38">
        <f t="shared" si="214"/>
        <v>15.43125</v>
      </c>
      <c r="O1647" s="36">
        <f t="shared" si="212"/>
        <v>411.5</v>
      </c>
      <c r="P1647" s="38">
        <f ca="1">IF(ISERROR(IF(O1647&lt;fi_h/20,0,(OFFSET('Base de dados'!$A$5,IF(O1647&lt;20,1,IF(O1647&gt;1000,10,MATCH(O1647,Cargas,1))),Coluna_fih,1,1))*(1+0.13*0.25)*(PI()*(fi_h/1000)^2/4)*SQRT(2*9.81*(O1647/100-fi_h/2/1000))*1000)),"",IF(O1647&lt;fi_h/20,0,(OFFSET('Base de dados'!$A$5,IF(O1647&lt;20,1,IF(O1647&gt;1000,10,MATCH(O1647,Cargas,1))),Coluna_fih,1,1))*(PI()*(fi_h/1000)^2/4)*SQRT(2*9.81*(O1647/100-fi_h/2/1000))*1000))</f>
        <v>5.418392875693776</v>
      </c>
      <c r="Q1647" s="38">
        <f ca="1">IF(O1647="","",IF(Tipo_Vertedor="Retangular",IF(O1647&lt;=cota_s*100,0,IF(Tipo_Vertedor="Retangular",Cd_sr*Lef_sr*((O1647/100-cota_s)^(3/2))*1000)),IF(O1647&lt;=cota_s*100+fi_s/20,0,(OFFSET('Base de dados'!$A$4,IF(O1647&lt;20,1,IF(O1647&gt;1000,10,MATCH(O1647,Cargas,1))),Coluna_fis,1,1))*(PI()*(fi_s/1000)^2/4)*(2*9.81*(O1647/100-cota_s-fi_s/2/1000))^0.5*1000)))</f>
        <v>4.5563863057353773</v>
      </c>
      <c r="R1647" s="38">
        <f t="shared" ca="1" si="215"/>
        <v>9.9747791814291524</v>
      </c>
      <c r="S1647" s="38">
        <f t="shared" ca="1" si="216"/>
        <v>514.375</v>
      </c>
    </row>
    <row r="1648" spans="13:19">
      <c r="M1648" s="132">
        <f t="shared" ca="1" si="213"/>
        <v>524.66589722479603</v>
      </c>
      <c r="N1648" s="38">
        <f t="shared" si="214"/>
        <v>15.440624999999999</v>
      </c>
      <c r="O1648" s="36">
        <f t="shared" si="212"/>
        <v>411.75</v>
      </c>
      <c r="P1648" s="38">
        <f ca="1">IF(ISERROR(IF(O1648&lt;fi_h/20,0,(OFFSET('Base de dados'!$A$5,IF(O1648&lt;20,1,IF(O1648&gt;1000,10,MATCH(O1648,Cargas,1))),Coluna_fih,1,1))*(1+0.13*0.25)*(PI()*(fi_h/1000)^2/4)*SQRT(2*9.81*(O1648/100-fi_h/2/1000))*1000)),"",IF(O1648&lt;fi_h/20,0,(OFFSET('Base de dados'!$A$5,IF(O1648&lt;20,1,IF(O1648&gt;1000,10,MATCH(O1648,Cargas,1))),Coluna_fih,1,1))*(PI()*(fi_h/1000)^2/4)*SQRT(2*9.81*(O1648/100-fi_h/2/1000))*1000))</f>
        <v>5.4200456209191312</v>
      </c>
      <c r="Q1648" s="38">
        <f ca="1">IF(O1648="","",IF(Tipo_Vertedor="Retangular",IF(O1648&lt;=cota_s*100,0,IF(Tipo_Vertedor="Retangular",Cd_sr*Lef_sr*((O1648/100-cota_s)^(3/2))*1000)),IF(O1648&lt;=cota_s*100+fi_s/20,0,(OFFSET('Base de dados'!$A$4,IF(O1648&lt;20,1,IF(O1648&gt;1000,10,MATCH(O1648,Cargas,1))),Coluna_fis,1,1))*(PI()*(fi_s/1000)^2/4)*(2*9.81*(O1648/100-cota_s-fi_s/2/1000))^0.5*1000)))</f>
        <v>4.5583516038770471</v>
      </c>
      <c r="R1648" s="38">
        <f t="shared" ca="1" si="215"/>
        <v>9.9783972247961792</v>
      </c>
      <c r="S1648" s="38">
        <f t="shared" ca="1" si="216"/>
        <v>514.68749999999989</v>
      </c>
    </row>
    <row r="1649" spans="13:19">
      <c r="M1649" s="132">
        <f t="shared" ca="1" si="213"/>
        <v>524.98201391738405</v>
      </c>
      <c r="N1649" s="38">
        <f t="shared" si="214"/>
        <v>15.450000000000001</v>
      </c>
      <c r="O1649" s="36">
        <f t="shared" si="212"/>
        <v>412</v>
      </c>
      <c r="P1649" s="38">
        <f ca="1">IF(ISERROR(IF(O1649&lt;fi_h/20,0,(OFFSET('Base de dados'!$A$5,IF(O1649&lt;20,1,IF(O1649&gt;1000,10,MATCH(O1649,Cargas,1))),Coluna_fih,1,1))*(1+0.13*0.25)*(PI()*(fi_h/1000)^2/4)*SQRT(2*9.81*(O1649/100-fi_h/2/1000))*1000)),"",IF(O1649&lt;fi_h/20,0,(OFFSET('Base de dados'!$A$5,IF(O1649&lt;20,1,IF(O1649&gt;1000,10,MATCH(O1649,Cargas,1))),Coluna_fih,1,1))*(PI()*(fi_h/1000)^2/4)*SQRT(2*9.81*(O1649/100-fi_h/2/1000))*1000))</f>
        <v>5.4216978623232244</v>
      </c>
      <c r="Q1649" s="38">
        <f ca="1">IF(O1649="","",IF(Tipo_Vertedor="Retangular",IF(O1649&lt;=cota_s*100,0,IF(Tipo_Vertedor="Retangular",Cd_sr*Lef_sr*((O1649/100-cota_s)^(3/2))*1000)),IF(O1649&lt;=cota_s*100+fi_s/20,0,(OFFSET('Base de dados'!$A$4,IF(O1649&lt;20,1,IF(O1649&gt;1000,10,MATCH(O1649,Cargas,1))),Coluna_fis,1,1))*(PI()*(fi_s/1000)^2/4)*(2*9.81*(O1649/100-cota_s-fi_s/2/1000))^0.5*1000)))</f>
        <v>4.5603160550606612</v>
      </c>
      <c r="R1649" s="38">
        <f t="shared" ca="1" si="215"/>
        <v>9.9820139173838847</v>
      </c>
      <c r="S1649" s="38">
        <f t="shared" ca="1" si="216"/>
        <v>515.00000000000011</v>
      </c>
    </row>
    <row r="1650" spans="13:19">
      <c r="M1650" s="132">
        <f t="shared" ca="1" si="213"/>
        <v>525.29812926074669</v>
      </c>
      <c r="N1650" s="38">
        <f t="shared" si="214"/>
        <v>15.459374999999998</v>
      </c>
      <c r="O1650" s="36">
        <f t="shared" si="212"/>
        <v>412.25</v>
      </c>
      <c r="P1650" s="38">
        <f ca="1">IF(ISERROR(IF(O1650&lt;fi_h/20,0,(OFFSET('Base de dados'!$A$5,IF(O1650&lt;20,1,IF(O1650&gt;1000,10,MATCH(O1650,Cargas,1))),Coluna_fih,1,1))*(1+0.13*0.25)*(PI()*(fi_h/1000)^2/4)*SQRT(2*9.81*(O1650/100-fi_h/2/1000))*1000)),"",IF(O1650&lt;fi_h/20,0,(OFFSET('Base de dados'!$A$5,IF(O1650&lt;20,1,IF(O1650&gt;1000,10,MATCH(O1650,Cargas,1))),Coluna_fih,1,1))*(PI()*(fi_h/1000)^2/4)*SQRT(2*9.81*(O1650/100-fi_h/2/1000))*1000))</f>
        <v>5.4233496003665289</v>
      </c>
      <c r="Q1650" s="38">
        <f ca="1">IF(O1650="","",IF(Tipo_Vertedor="Retangular",IF(O1650&lt;=cota_s*100,0,IF(Tipo_Vertedor="Retangular",Cd_sr*Lef_sr*((O1650/100-cota_s)^(3/2))*1000)),IF(O1650&lt;=cota_s*100+fi_s/20,0,(OFFSET('Base de dados'!$A$4,IF(O1650&lt;20,1,IF(O1650&gt;1000,10,MATCH(O1650,Cargas,1))),Coluna_fis,1,1))*(PI()*(fi_s/1000)^2/4)*(2*9.81*(O1650/100-cota_s-fi_s/2/1000))^0.5*1000)))</f>
        <v>4.5622796603802787</v>
      </c>
      <c r="R1650" s="38">
        <f t="shared" ca="1" si="215"/>
        <v>9.9856292607468085</v>
      </c>
      <c r="S1650" s="38">
        <f t="shared" ca="1" si="216"/>
        <v>515.31249999999989</v>
      </c>
    </row>
    <row r="1651" spans="13:19">
      <c r="M1651" s="132">
        <f t="shared" ca="1" si="213"/>
        <v>525.61424325643645</v>
      </c>
      <c r="N1651" s="38">
        <f t="shared" si="214"/>
        <v>15.46875</v>
      </c>
      <c r="O1651" s="36">
        <f t="shared" si="212"/>
        <v>412.5</v>
      </c>
      <c r="P1651" s="38">
        <f ca="1">IF(ISERROR(IF(O1651&lt;fi_h/20,0,(OFFSET('Base de dados'!$A$5,IF(O1651&lt;20,1,IF(O1651&gt;1000,10,MATCH(O1651,Cargas,1))),Coluna_fih,1,1))*(1+0.13*0.25)*(PI()*(fi_h/1000)^2/4)*SQRT(2*9.81*(O1651/100-fi_h/2/1000))*1000)),"",IF(O1651&lt;fi_h/20,0,(OFFSET('Base de dados'!$A$5,IF(O1651&lt;20,1,IF(O1651&gt;1000,10,MATCH(O1651,Cargas,1))),Coluna_fih,1,1))*(PI()*(fi_h/1000)^2/4)*SQRT(2*9.81*(O1651/100-fi_h/2/1000))*1000))</f>
        <v>5.4250008355088175</v>
      </c>
      <c r="Q1651" s="38">
        <f ca="1">IF(O1651="","",IF(Tipo_Vertedor="Retangular",IF(O1651&lt;=cota_s*100,0,IF(Tipo_Vertedor="Retangular",Cd_sr*Lef_sr*((O1651/100-cota_s)^(3/2))*1000)),IF(O1651&lt;=cota_s*100+fi_s/20,0,(OFFSET('Base de dados'!$A$4,IF(O1651&lt;20,1,IF(O1651&gt;1000,10,MATCH(O1651,Cargas,1))),Coluna_fis,1,1))*(PI()*(fi_s/1000)^2/4)*(2*9.81*(O1651/100-cota_s-fi_s/2/1000))^0.5*1000)))</f>
        <v>4.5642424209276147</v>
      </c>
      <c r="R1651" s="38">
        <f t="shared" ca="1" si="215"/>
        <v>9.9892432564364313</v>
      </c>
      <c r="S1651" s="38">
        <f t="shared" ca="1" si="216"/>
        <v>515.625</v>
      </c>
    </row>
    <row r="1652" spans="13:19">
      <c r="M1652" s="132">
        <f t="shared" ca="1" si="213"/>
        <v>525.9303559060013</v>
      </c>
      <c r="N1652" s="38">
        <f t="shared" si="214"/>
        <v>15.478125000000002</v>
      </c>
      <c r="O1652" s="36">
        <f t="shared" si="212"/>
        <v>412.75</v>
      </c>
      <c r="P1652" s="38">
        <f ca="1">IF(ISERROR(IF(O1652&lt;fi_h/20,0,(OFFSET('Base de dados'!$A$5,IF(O1652&lt;20,1,IF(O1652&gt;1000,10,MATCH(O1652,Cargas,1))),Coluna_fih,1,1))*(1+0.13*0.25)*(PI()*(fi_h/1000)^2/4)*SQRT(2*9.81*(O1652/100-fi_h/2/1000))*1000)),"",IF(O1652&lt;fi_h/20,0,(OFFSET('Base de dados'!$A$5,IF(O1652&lt;20,1,IF(O1652&gt;1000,10,MATCH(O1652,Cargas,1))),Coluna_fih,1,1))*(PI()*(fi_h/1000)^2/4)*SQRT(2*9.81*(O1652/100-fi_h/2/1000))*1000))</f>
        <v>5.4266515682091612</v>
      </c>
      <c r="Q1652" s="38">
        <f ca="1">IF(O1652="","",IF(Tipo_Vertedor="Retangular",IF(O1652&lt;=cota_s*100,0,IF(Tipo_Vertedor="Retangular",Cd_sr*Lef_sr*((O1652/100-cota_s)^(3/2))*1000)),IF(O1652&lt;=cota_s*100+fi_s/20,0,(OFFSET('Base de dados'!$A$4,IF(O1652&lt;20,1,IF(O1652&gt;1000,10,MATCH(O1652,Cargas,1))),Coluna_fis,1,1))*(PI()*(fi_s/1000)^2/4)*(2*9.81*(O1652/100-cota_s-fi_s/2/1000))^0.5*1000)))</f>
        <v>4.5662043377920298</v>
      </c>
      <c r="R1652" s="38">
        <f t="shared" ca="1" si="215"/>
        <v>9.992855906001191</v>
      </c>
      <c r="S1652" s="38">
        <f t="shared" ca="1" si="216"/>
        <v>515.93750000000011</v>
      </c>
    </row>
    <row r="1653" spans="13:19">
      <c r="M1653" s="132">
        <f t="shared" ca="1" si="213"/>
        <v>526.24646721098634</v>
      </c>
      <c r="N1653" s="38">
        <f t="shared" si="214"/>
        <v>15.487499999999999</v>
      </c>
      <c r="O1653" s="36">
        <f t="shared" si="212"/>
        <v>413</v>
      </c>
      <c r="P1653" s="38">
        <f ca="1">IF(ISERROR(IF(O1653&lt;fi_h/20,0,(OFFSET('Base de dados'!$A$5,IF(O1653&lt;20,1,IF(O1653&gt;1000,10,MATCH(O1653,Cargas,1))),Coluna_fih,1,1))*(1+0.13*0.25)*(PI()*(fi_h/1000)^2/4)*SQRT(2*9.81*(O1653/100-fi_h/2/1000))*1000)),"",IF(O1653&lt;fi_h/20,0,(OFFSET('Base de dados'!$A$5,IF(O1653&lt;20,1,IF(O1653&gt;1000,10,MATCH(O1653,Cargas,1))),Coluna_fih,1,1))*(PI()*(fi_h/1000)^2/4)*SQRT(2*9.81*(O1653/100-fi_h/2/1000))*1000))</f>
        <v>5.4283017989259328</v>
      </c>
      <c r="Q1653" s="38">
        <f ca="1">IF(O1653="","",IF(Tipo_Vertedor="Retangular",IF(O1653&lt;=cota_s*100,0,IF(Tipo_Vertedor="Retangular",Cd_sr*Lef_sr*((O1653/100-cota_s)^(3/2))*1000)),IF(O1653&lt;=cota_s*100+fi_s/20,0,(OFFSET('Base de dados'!$A$4,IF(O1653&lt;20,1,IF(O1653&gt;1000,10,MATCH(O1653,Cargas,1))),Coluna_fis,1,1))*(PI()*(fi_s/1000)^2/4)*(2*9.81*(O1653/100-cota_s-fi_s/2/1000))^0.5*1000)))</f>
        <v>4.5681654120605488</v>
      </c>
      <c r="R1653" s="38">
        <f t="shared" ca="1" si="215"/>
        <v>9.9964672109864807</v>
      </c>
      <c r="S1653" s="38">
        <f t="shared" ca="1" si="216"/>
        <v>516.24999999999989</v>
      </c>
    </row>
    <row r="1654" spans="13:19">
      <c r="M1654" s="132">
        <f t="shared" ca="1" si="213"/>
        <v>526.56257717293477</v>
      </c>
      <c r="N1654" s="38">
        <f t="shared" si="214"/>
        <v>15.496875000000001</v>
      </c>
      <c r="O1654" s="36">
        <f t="shared" si="212"/>
        <v>413.25</v>
      </c>
      <c r="P1654" s="38">
        <f ca="1">IF(ISERROR(IF(O1654&lt;fi_h/20,0,(OFFSET('Base de dados'!$A$5,IF(O1654&lt;20,1,IF(O1654&gt;1000,10,MATCH(O1654,Cargas,1))),Coluna_fih,1,1))*(1+0.13*0.25)*(PI()*(fi_h/1000)^2/4)*SQRT(2*9.81*(O1654/100-fi_h/2/1000))*1000)),"",IF(O1654&lt;fi_h/20,0,(OFFSET('Base de dados'!$A$5,IF(O1654&lt;20,1,IF(O1654&gt;1000,10,MATCH(O1654,Cargas,1))),Coluna_fih,1,1))*(PI()*(fi_h/1000)^2/4)*SQRT(2*9.81*(O1654/100-fi_h/2/1000))*1000))</f>
        <v>5.4299515281168125</v>
      </c>
      <c r="Q1654" s="38">
        <f ca="1">IF(O1654="","",IF(Tipo_Vertedor="Retangular",IF(O1654&lt;=cota_s*100,0,IF(Tipo_Vertedor="Retangular",Cd_sr*Lef_sr*((O1654/100-cota_s)^(3/2))*1000)),IF(O1654&lt;=cota_s*100+fi_s/20,0,(OFFSET('Base de dados'!$A$4,IF(O1654&lt;20,1,IF(O1654&gt;1000,10,MATCH(O1654,Cargas,1))),Coluna_fis,1,1))*(PI()*(fi_s/1000)^2/4)*(2*9.81*(O1654/100-cota_s-fi_s/2/1000))^0.5*1000)))</f>
        <v>4.5701256448178649</v>
      </c>
      <c r="R1654" s="38">
        <f t="shared" ca="1" si="215"/>
        <v>10.000077172934677</v>
      </c>
      <c r="S1654" s="38">
        <f t="shared" ca="1" si="216"/>
        <v>516.56250000000011</v>
      </c>
    </row>
    <row r="1655" spans="13:19">
      <c r="M1655" s="132">
        <f t="shared" ca="1" si="213"/>
        <v>526.8786857933851</v>
      </c>
      <c r="N1655" s="38">
        <f t="shared" si="214"/>
        <v>15.50625</v>
      </c>
      <c r="O1655" s="36">
        <f t="shared" si="212"/>
        <v>413.5</v>
      </c>
      <c r="P1655" s="38">
        <f ca="1">IF(ISERROR(IF(O1655&lt;fi_h/20,0,(OFFSET('Base de dados'!$A$5,IF(O1655&lt;20,1,IF(O1655&gt;1000,10,MATCH(O1655,Cargas,1))),Coluna_fih,1,1))*(1+0.13*0.25)*(PI()*(fi_h/1000)^2/4)*SQRT(2*9.81*(O1655/100-fi_h/2/1000))*1000)),"",IF(O1655&lt;fi_h/20,0,(OFFSET('Base de dados'!$A$5,IF(O1655&lt;20,1,IF(O1655&gt;1000,10,MATCH(O1655,Cargas,1))),Coluna_fih,1,1))*(PI()*(fi_h/1000)^2/4)*SQRT(2*9.81*(O1655/100-fi_h/2/1000))*1000))</f>
        <v>5.4316007562387787</v>
      </c>
      <c r="Q1655" s="38">
        <f ca="1">IF(O1655="","",IF(Tipo_Vertedor="Retangular",IF(O1655&lt;=cota_s*100,0,IF(Tipo_Vertedor="Retangular",Cd_sr*Lef_sr*((O1655/100-cota_s)^(3/2))*1000)),IF(O1655&lt;=cota_s*100+fi_s/20,0,(OFFSET('Base de dados'!$A$4,IF(O1655&lt;20,1,IF(O1655&gt;1000,10,MATCH(O1655,Cargas,1))),Coluna_fis,1,1))*(PI()*(fi_s/1000)^2/4)*(2*9.81*(O1655/100-cota_s-fi_s/2/1000))^0.5*1000)))</f>
        <v>4.5720850371463433</v>
      </c>
      <c r="R1655" s="38">
        <f t="shared" ca="1" si="215"/>
        <v>10.003685793385122</v>
      </c>
      <c r="S1655" s="38">
        <f t="shared" ca="1" si="216"/>
        <v>516.875</v>
      </c>
    </row>
    <row r="1656" spans="13:19">
      <c r="M1656" s="132">
        <f t="shared" ca="1" si="213"/>
        <v>527.19479307387417</v>
      </c>
      <c r="N1656" s="38">
        <f t="shared" si="214"/>
        <v>15.515625</v>
      </c>
      <c r="O1656" s="36">
        <f t="shared" si="212"/>
        <v>413.75</v>
      </c>
      <c r="P1656" s="38">
        <f ca="1">IF(ISERROR(IF(O1656&lt;fi_h/20,0,(OFFSET('Base de dados'!$A$5,IF(O1656&lt;20,1,IF(O1656&gt;1000,10,MATCH(O1656,Cargas,1))),Coluna_fih,1,1))*(1+0.13*0.25)*(PI()*(fi_h/1000)^2/4)*SQRT(2*9.81*(O1656/100-fi_h/2/1000))*1000)),"",IF(O1656&lt;fi_h/20,0,(OFFSET('Base de dados'!$A$5,IF(O1656&lt;20,1,IF(O1656&gt;1000,10,MATCH(O1656,Cargas,1))),Coluna_fih,1,1))*(PI()*(fi_h/1000)^2/4)*SQRT(2*9.81*(O1656/100-fi_h/2/1000))*1000))</f>
        <v>5.4332494837481242</v>
      </c>
      <c r="Q1656" s="38">
        <f ca="1">IF(O1656="","",IF(Tipo_Vertedor="Retangular",IF(O1656&lt;=cota_s*100,0,IF(Tipo_Vertedor="Retangular",Cd_sr*Lef_sr*((O1656/100-cota_s)^(3/2))*1000)),IF(O1656&lt;=cota_s*100+fi_s/20,0,(OFFSET('Base de dados'!$A$4,IF(O1656&lt;20,1,IF(O1656&gt;1000,10,MATCH(O1656,Cargas,1))),Coluna_fis,1,1))*(PI()*(fi_s/1000)^2/4)*(2*9.81*(O1656/100-cota_s-fi_s/2/1000))^0.5*1000)))</f>
        <v>4.574043590126033</v>
      </c>
      <c r="R1656" s="38">
        <f t="shared" ca="1" si="215"/>
        <v>10.007293073874157</v>
      </c>
      <c r="S1656" s="38">
        <f t="shared" ca="1" si="216"/>
        <v>517.1875</v>
      </c>
    </row>
    <row r="1657" spans="13:19">
      <c r="M1657" s="132">
        <f t="shared" ca="1" si="213"/>
        <v>527.51089901593502</v>
      </c>
      <c r="N1657" s="38">
        <f t="shared" si="214"/>
        <v>15.524999999999999</v>
      </c>
      <c r="O1657" s="36">
        <f t="shared" si="212"/>
        <v>414</v>
      </c>
      <c r="P1657" s="38">
        <f ca="1">IF(ISERROR(IF(O1657&lt;fi_h/20,0,(OFFSET('Base de dados'!$A$5,IF(O1657&lt;20,1,IF(O1657&gt;1000,10,MATCH(O1657,Cargas,1))),Coluna_fih,1,1))*(1+0.13*0.25)*(PI()*(fi_h/1000)^2/4)*SQRT(2*9.81*(O1657/100-fi_h/2/1000))*1000)),"",IF(O1657&lt;fi_h/20,0,(OFFSET('Base de dados'!$A$5,IF(O1657&lt;20,1,IF(O1657&gt;1000,10,MATCH(O1657,Cargas,1))),Coluna_fih,1,1))*(PI()*(fi_h/1000)^2/4)*SQRT(2*9.81*(O1657/100-fi_h/2/1000))*1000))</f>
        <v>5.434897711100442</v>
      </c>
      <c r="Q1657" s="38">
        <f ca="1">IF(O1657="","",IF(Tipo_Vertedor="Retangular",IF(O1657&lt;=cota_s*100,0,IF(Tipo_Vertedor="Retangular",Cd_sr*Lef_sr*((O1657/100-cota_s)^(3/2))*1000)),IF(O1657&lt;=cota_s*100+fi_s/20,0,(OFFSET('Base de dados'!$A$4,IF(O1657&lt;20,1,IF(O1657&gt;1000,10,MATCH(O1657,Cargas,1))),Coluna_fis,1,1))*(PI()*(fi_s/1000)^2/4)*(2*9.81*(O1657/100-cota_s-fi_s/2/1000))^0.5*1000)))</f>
        <v>4.5760013048346728</v>
      </c>
      <c r="R1657" s="38">
        <f t="shared" ca="1" si="215"/>
        <v>10.010899015935115</v>
      </c>
      <c r="S1657" s="38">
        <f t="shared" ca="1" si="216"/>
        <v>517.49999999999989</v>
      </c>
    </row>
    <row r="1658" spans="13:19">
      <c r="M1658" s="132">
        <f t="shared" ca="1" si="213"/>
        <v>527.82700362109836</v>
      </c>
      <c r="N1658" s="38">
        <f t="shared" si="214"/>
        <v>15.534375000000001</v>
      </c>
      <c r="O1658" s="36">
        <f t="shared" si="212"/>
        <v>414.25</v>
      </c>
      <c r="P1658" s="38">
        <f ca="1">IF(ISERROR(IF(O1658&lt;fi_h/20,0,(OFFSET('Base de dados'!$A$5,IF(O1658&lt;20,1,IF(O1658&gt;1000,10,MATCH(O1658,Cargas,1))),Coluna_fih,1,1))*(1+0.13*0.25)*(PI()*(fi_h/1000)^2/4)*SQRT(2*9.81*(O1658/100-fi_h/2/1000))*1000)),"",IF(O1658&lt;fi_h/20,0,(OFFSET('Base de dados'!$A$5,IF(O1658&lt;20,1,IF(O1658&gt;1000,10,MATCH(O1658,Cargas,1))),Coluna_fih,1,1))*(PI()*(fi_h/1000)^2/4)*SQRT(2*9.81*(O1658/100-fi_h/2/1000))*1000))</f>
        <v>5.4365454387506409</v>
      </c>
      <c r="Q1658" s="38">
        <f ca="1">IF(O1658="","",IF(Tipo_Vertedor="Retangular",IF(O1658&lt;=cota_s*100,0,IF(Tipo_Vertedor="Retangular",Cd_sr*Lef_sr*((O1658/100-cota_s)^(3/2))*1000)),IF(O1658&lt;=cota_s*100+fi_s/20,0,(OFFSET('Base de dados'!$A$4,IF(O1658&lt;20,1,IF(O1658&gt;1000,10,MATCH(O1658,Cargas,1))),Coluna_fis,1,1))*(PI()*(fi_s/1000)^2/4)*(2*9.81*(O1658/100-cota_s-fi_s/2/1000))^0.5*1000)))</f>
        <v>4.577958182347694</v>
      </c>
      <c r="R1658" s="38">
        <f t="shared" ca="1" si="215"/>
        <v>10.014503621098335</v>
      </c>
      <c r="S1658" s="38">
        <f t="shared" ca="1" si="216"/>
        <v>517.8125</v>
      </c>
    </row>
    <row r="1659" spans="13:19">
      <c r="M1659" s="132">
        <f t="shared" ca="1" si="213"/>
        <v>528.1431068908912</v>
      </c>
      <c r="N1659" s="38">
        <f t="shared" si="214"/>
        <v>15.543749999999999</v>
      </c>
      <c r="O1659" s="36">
        <f t="shared" si="212"/>
        <v>414.5</v>
      </c>
      <c r="P1659" s="38">
        <f ca="1">IF(ISERROR(IF(O1659&lt;fi_h/20,0,(OFFSET('Base de dados'!$A$5,IF(O1659&lt;20,1,IF(O1659&gt;1000,10,MATCH(O1659,Cargas,1))),Coluna_fih,1,1))*(1+0.13*0.25)*(PI()*(fi_h/1000)^2/4)*SQRT(2*9.81*(O1659/100-fi_h/2/1000))*1000)),"",IF(O1659&lt;fi_h/20,0,(OFFSET('Base de dados'!$A$5,IF(O1659&lt;20,1,IF(O1659&gt;1000,10,MATCH(O1659,Cargas,1))),Coluna_fih,1,1))*(PI()*(fi_h/1000)^2/4)*SQRT(2*9.81*(O1659/100-fi_h/2/1000))*1000))</f>
        <v>5.4381926671529364</v>
      </c>
      <c r="Q1659" s="38">
        <f ca="1">IF(O1659="","",IF(Tipo_Vertedor="Retangular",IF(O1659&lt;=cota_s*100,0,IF(Tipo_Vertedor="Retangular",Cd_sr*Lef_sr*((O1659/100-cota_s)^(3/2))*1000)),IF(O1659&lt;=cota_s*100+fi_s/20,0,(OFFSET('Base de dados'!$A$4,IF(O1659&lt;20,1,IF(O1659&gt;1000,10,MATCH(O1659,Cargas,1))),Coluna_fis,1,1))*(PI()*(fi_s/1000)^2/4)*(2*9.81*(O1659/100-cota_s-fi_s/2/1000))^0.5*1000)))</f>
        <v>4.579914223738232</v>
      </c>
      <c r="R1659" s="38">
        <f t="shared" ca="1" si="215"/>
        <v>10.018106890891168</v>
      </c>
      <c r="S1659" s="38">
        <f t="shared" ca="1" si="216"/>
        <v>518.125</v>
      </c>
    </row>
    <row r="1660" spans="13:19">
      <c r="M1660" s="132">
        <f t="shared" ca="1" si="213"/>
        <v>528.45920882683799</v>
      </c>
      <c r="N1660" s="38">
        <f t="shared" si="214"/>
        <v>15.553125</v>
      </c>
      <c r="O1660" s="36">
        <f t="shared" si="212"/>
        <v>414.75</v>
      </c>
      <c r="P1660" s="38">
        <f ca="1">IF(ISERROR(IF(O1660&lt;fi_h/20,0,(OFFSET('Base de dados'!$A$5,IF(O1660&lt;20,1,IF(O1660&gt;1000,10,MATCH(O1660,Cargas,1))),Coluna_fih,1,1))*(1+0.13*0.25)*(PI()*(fi_h/1000)^2/4)*SQRT(2*9.81*(O1660/100-fi_h/2/1000))*1000)),"",IF(O1660&lt;fi_h/20,0,(OFFSET('Base de dados'!$A$5,IF(O1660&lt;20,1,IF(O1660&gt;1000,10,MATCH(O1660,Cargas,1))),Coluna_fih,1,1))*(PI()*(fi_h/1000)^2/4)*SQRT(2*9.81*(O1660/100-fi_h/2/1000))*1000))</f>
        <v>5.4398393967608589</v>
      </c>
      <c r="Q1660" s="38">
        <f ca="1">IF(O1660="","",IF(Tipo_Vertedor="Retangular",IF(O1660&lt;=cota_s*100,0,IF(Tipo_Vertedor="Retangular",Cd_sr*Lef_sr*((O1660/100-cota_s)^(3/2))*1000)),IF(O1660&lt;=cota_s*100+fi_s/20,0,(OFFSET('Base de dados'!$A$4,IF(O1660&lt;20,1,IF(O1660&gt;1000,10,MATCH(O1660,Cargas,1))),Coluna_fis,1,1))*(PI()*(fi_s/1000)^2/4)*(2*9.81*(O1660/100-cota_s-fi_s/2/1000))^0.5*1000)))</f>
        <v>4.5818694300771332</v>
      </c>
      <c r="R1660" s="38">
        <f t="shared" ca="1" si="215"/>
        <v>10.021708826837992</v>
      </c>
      <c r="S1660" s="38">
        <f t="shared" ca="1" si="216"/>
        <v>518.4375</v>
      </c>
    </row>
    <row r="1661" spans="13:19">
      <c r="M1661" s="132">
        <f t="shared" ca="1" si="213"/>
        <v>528.77530943046031</v>
      </c>
      <c r="N1661" s="38">
        <f t="shared" si="214"/>
        <v>15.562500000000002</v>
      </c>
      <c r="O1661" s="36">
        <f t="shared" si="212"/>
        <v>415</v>
      </c>
      <c r="P1661" s="38">
        <f ca="1">IF(ISERROR(IF(O1661&lt;fi_h/20,0,(OFFSET('Base de dados'!$A$5,IF(O1661&lt;20,1,IF(O1661&gt;1000,10,MATCH(O1661,Cargas,1))),Coluna_fih,1,1))*(1+0.13*0.25)*(PI()*(fi_h/1000)^2/4)*SQRT(2*9.81*(O1661/100-fi_h/2/1000))*1000)),"",IF(O1661&lt;fi_h/20,0,(OFFSET('Base de dados'!$A$5,IF(O1661&lt;20,1,IF(O1661&gt;1000,10,MATCH(O1661,Cargas,1))),Coluna_fih,1,1))*(PI()*(fi_h/1000)^2/4)*SQRT(2*9.81*(O1661/100-fi_h/2/1000))*1000))</f>
        <v>5.4414856280272508</v>
      </c>
      <c r="Q1661" s="38">
        <f ca="1">IF(O1661="","",IF(Tipo_Vertedor="Retangular",IF(O1661&lt;=cota_s*100,0,IF(Tipo_Vertedor="Retangular",Cd_sr*Lef_sr*((O1661/100-cota_s)^(3/2))*1000)),IF(O1661&lt;=cota_s*100+fi_s/20,0,(OFFSET('Base de dados'!$A$4,IF(O1661&lt;20,1,IF(O1661&gt;1000,10,MATCH(O1661,Cargas,1))),Coluna_fis,1,1))*(PI()*(fi_s/1000)^2/4)*(2*9.81*(O1661/100-cota_s-fi_s/2/1000))^0.5*1000)))</f>
        <v>4.5838238024329572</v>
      </c>
      <c r="R1661" s="38">
        <f t="shared" ca="1" si="215"/>
        <v>10.025309430460208</v>
      </c>
      <c r="S1661" s="38">
        <f t="shared" ca="1" si="216"/>
        <v>518.75000000000011</v>
      </c>
    </row>
    <row r="1662" spans="13:19">
      <c r="M1662" s="132">
        <f t="shared" ca="1" si="213"/>
        <v>529.0914087032761</v>
      </c>
      <c r="N1662" s="38">
        <f t="shared" si="214"/>
        <v>15.571874999999999</v>
      </c>
      <c r="O1662" s="36">
        <f t="shared" si="212"/>
        <v>415.25</v>
      </c>
      <c r="P1662" s="38">
        <f ca="1">IF(ISERROR(IF(O1662&lt;fi_h/20,0,(OFFSET('Base de dados'!$A$5,IF(O1662&lt;20,1,IF(O1662&gt;1000,10,MATCH(O1662,Cargas,1))),Coluna_fih,1,1))*(1+0.13*0.25)*(PI()*(fi_h/1000)^2/4)*SQRT(2*9.81*(O1662/100-fi_h/2/1000))*1000)),"",IF(O1662&lt;fi_h/20,0,(OFFSET('Base de dados'!$A$5,IF(O1662&lt;20,1,IF(O1662&gt;1000,10,MATCH(O1662,Cargas,1))),Coluna_fih,1,1))*(PI()*(fi_h/1000)^2/4)*SQRT(2*9.81*(O1662/100-fi_h/2/1000))*1000))</f>
        <v>5.4431313614042693</v>
      </c>
      <c r="Q1662" s="38">
        <f ca="1">IF(O1662="","",IF(Tipo_Vertedor="Retangular",IF(O1662&lt;=cota_s*100,0,IF(Tipo_Vertedor="Retangular",Cd_sr*Lef_sr*((O1662/100-cota_s)^(3/2))*1000)),IF(O1662&lt;=cota_s*100+fi_s/20,0,(OFFSET('Base de dados'!$A$4,IF(O1662&lt;20,1,IF(O1662&gt;1000,10,MATCH(O1662,Cargas,1))),Coluna_fis,1,1))*(PI()*(fi_s/1000)^2/4)*(2*9.81*(O1662/100-cota_s-fi_s/2/1000))^0.5*1000)))</f>
        <v>4.5857773418719869</v>
      </c>
      <c r="R1662" s="38">
        <f t="shared" ca="1" si="215"/>
        <v>10.028908703276256</v>
      </c>
      <c r="S1662" s="38">
        <f t="shared" ca="1" si="216"/>
        <v>519.06249999999989</v>
      </c>
    </row>
    <row r="1663" spans="13:19">
      <c r="M1663" s="132">
        <f t="shared" ca="1" si="213"/>
        <v>529.40750664680161</v>
      </c>
      <c r="N1663" s="38">
        <f t="shared" si="214"/>
        <v>15.581250000000001</v>
      </c>
      <c r="O1663" s="36">
        <f t="shared" si="212"/>
        <v>415.5</v>
      </c>
      <c r="P1663" s="38">
        <f ca="1">IF(ISERROR(IF(O1663&lt;fi_h/20,0,(OFFSET('Base de dados'!$A$5,IF(O1663&lt;20,1,IF(O1663&gt;1000,10,MATCH(O1663,Cargas,1))),Coluna_fih,1,1))*(1+0.13*0.25)*(PI()*(fi_h/1000)^2/4)*SQRT(2*9.81*(O1663/100-fi_h/2/1000))*1000)),"",IF(O1663&lt;fi_h/20,0,(OFFSET('Base de dados'!$A$5,IF(O1663&lt;20,1,IF(O1663&gt;1000,10,MATCH(O1663,Cargas,1))),Coluna_fih,1,1))*(PI()*(fi_h/1000)^2/4)*SQRT(2*9.81*(O1663/100-fi_h/2/1000))*1000))</f>
        <v>5.4447765973433917</v>
      </c>
      <c r="Q1663" s="38">
        <f ca="1">IF(O1663="","",IF(Tipo_Vertedor="Retangular",IF(O1663&lt;=cota_s*100,0,IF(Tipo_Vertedor="Retangular",Cd_sr*Lef_sr*((O1663/100-cota_s)^(3/2))*1000)),IF(O1663&lt;=cota_s*100+fi_s/20,0,(OFFSET('Base de dados'!$A$4,IF(O1663&lt;20,1,IF(O1663&gt;1000,10,MATCH(O1663,Cargas,1))),Coluna_fis,1,1))*(PI()*(fi_s/1000)^2/4)*(2*9.81*(O1663/100-cota_s-fi_s/2/1000))^0.5*1000)))</f>
        <v>4.5877300494582371</v>
      </c>
      <c r="R1663" s="38">
        <f t="shared" ca="1" si="215"/>
        <v>10.032506646801629</v>
      </c>
      <c r="S1663" s="38">
        <f t="shared" ca="1" si="216"/>
        <v>519.375</v>
      </c>
    </row>
    <row r="1664" spans="13:19">
      <c r="M1664" s="132">
        <f t="shared" ca="1" si="213"/>
        <v>529.72360326254886</v>
      </c>
      <c r="N1664" s="38">
        <f t="shared" si="214"/>
        <v>15.590624999999999</v>
      </c>
      <c r="O1664" s="36">
        <f t="shared" si="212"/>
        <v>415.75</v>
      </c>
      <c r="P1664" s="38">
        <f ca="1">IF(ISERROR(IF(O1664&lt;fi_h/20,0,(OFFSET('Base de dados'!$A$5,IF(O1664&lt;20,1,IF(O1664&gt;1000,10,MATCH(O1664,Cargas,1))),Coluna_fih,1,1))*(1+0.13*0.25)*(PI()*(fi_h/1000)^2/4)*SQRT(2*9.81*(O1664/100-fi_h/2/1000))*1000)),"",IF(O1664&lt;fi_h/20,0,(OFFSET('Base de dados'!$A$5,IF(O1664&lt;20,1,IF(O1664&gt;1000,10,MATCH(O1664,Cargas,1))),Coluna_fih,1,1))*(PI()*(fi_h/1000)^2/4)*SQRT(2*9.81*(O1664/100-fi_h/2/1000))*1000))</f>
        <v>5.4464213362954075</v>
      </c>
      <c r="Q1664" s="38">
        <f ca="1">IF(O1664="","",IF(Tipo_Vertedor="Retangular",IF(O1664&lt;=cota_s*100,0,IF(Tipo_Vertedor="Retangular",Cd_sr*Lef_sr*((O1664/100-cota_s)^(3/2))*1000)),IF(O1664&lt;=cota_s*100+fi_s/20,0,(OFFSET('Base de dados'!$A$4,IF(O1664&lt;20,1,IF(O1664&gt;1000,10,MATCH(O1664,Cargas,1))),Coluna_fis,1,1))*(PI()*(fi_s/1000)^2/4)*(2*9.81*(O1664/100-cota_s-fi_s/2/1000))^0.5*1000)))</f>
        <v>4.5896819262534585</v>
      </c>
      <c r="R1664" s="38">
        <f t="shared" ca="1" si="215"/>
        <v>10.036103262548867</v>
      </c>
      <c r="S1664" s="38">
        <f t="shared" ca="1" si="216"/>
        <v>519.6875</v>
      </c>
    </row>
    <row r="1665" spans="13:19">
      <c r="M1665" s="132">
        <f t="shared" ca="1" si="213"/>
        <v>530.03969855202763</v>
      </c>
      <c r="N1665" s="38">
        <f t="shared" si="214"/>
        <v>15.600000000000001</v>
      </c>
      <c r="O1665" s="36">
        <f t="shared" si="212"/>
        <v>416</v>
      </c>
      <c r="P1665" s="38">
        <f ca="1">IF(ISERROR(IF(O1665&lt;fi_h/20,0,(OFFSET('Base de dados'!$A$5,IF(O1665&lt;20,1,IF(O1665&gt;1000,10,MATCH(O1665,Cargas,1))),Coluna_fih,1,1))*(1+0.13*0.25)*(PI()*(fi_h/1000)^2/4)*SQRT(2*9.81*(O1665/100-fi_h/2/1000))*1000)),"",IF(O1665&lt;fi_h/20,0,(OFFSET('Base de dados'!$A$5,IF(O1665&lt;20,1,IF(O1665&gt;1000,10,MATCH(O1665,Cargas,1))),Coluna_fih,1,1))*(PI()*(fi_h/1000)^2/4)*SQRT(2*9.81*(O1665/100-fi_h/2/1000))*1000))</f>
        <v>5.4480655787104313</v>
      </c>
      <c r="Q1665" s="38">
        <f ca="1">IF(O1665="","",IF(Tipo_Vertedor="Retangular",IF(O1665&lt;=cota_s*100,0,IF(Tipo_Vertedor="Retangular",Cd_sr*Lef_sr*((O1665/100-cota_s)^(3/2))*1000)),IF(O1665&lt;=cota_s*100+fi_s/20,0,(OFFSET('Base de dados'!$A$4,IF(O1665&lt;20,1,IF(O1665&gt;1000,10,MATCH(O1665,Cargas,1))),Coluna_fis,1,1))*(PI()*(fi_s/1000)^2/4)*(2*9.81*(O1665/100-cota_s-fi_s/2/1000))^0.5*1000)))</f>
        <v>4.591632973317143</v>
      </c>
      <c r="R1665" s="38">
        <f t="shared" ca="1" si="215"/>
        <v>10.039698552027573</v>
      </c>
      <c r="S1665" s="38">
        <f t="shared" ca="1" si="216"/>
        <v>520.00000000000011</v>
      </c>
    </row>
    <row r="1666" spans="13:19">
      <c r="M1666" s="132">
        <f t="shared" ca="1" si="213"/>
        <v>530.35579251674426</v>
      </c>
      <c r="N1666" s="38">
        <f t="shared" si="214"/>
        <v>15.609374999999998</v>
      </c>
      <c r="O1666" s="36">
        <f t="shared" si="212"/>
        <v>416.25</v>
      </c>
      <c r="P1666" s="38">
        <f ca="1">IF(ISERROR(IF(O1666&lt;fi_h/20,0,(OFFSET('Base de dados'!$A$5,IF(O1666&lt;20,1,IF(O1666&gt;1000,10,MATCH(O1666,Cargas,1))),Coluna_fih,1,1))*(1+0.13*0.25)*(PI()*(fi_h/1000)^2/4)*SQRT(2*9.81*(O1666/100-fi_h/2/1000))*1000)),"",IF(O1666&lt;fi_h/20,0,(OFFSET('Base de dados'!$A$5,IF(O1666&lt;20,1,IF(O1666&gt;1000,10,MATCH(O1666,Cargas,1))),Coluna_fih,1,1))*(PI()*(fi_h/1000)^2/4)*SQRT(2*9.81*(O1666/100-fi_h/2/1000))*1000))</f>
        <v>5.4497093250378956</v>
      </c>
      <c r="Q1666" s="38">
        <f ca="1">IF(O1666="","",IF(Tipo_Vertedor="Retangular",IF(O1666&lt;=cota_s*100,0,IF(Tipo_Vertedor="Retangular",Cd_sr*Lef_sr*((O1666/100-cota_s)^(3/2))*1000)),IF(O1666&lt;=cota_s*100+fi_s/20,0,(OFFSET('Base de dados'!$A$4,IF(O1666&lt;20,1,IF(O1666&gt;1000,10,MATCH(O1666,Cargas,1))),Coluna_fis,1,1))*(PI()*(fi_s/1000)^2/4)*(2*9.81*(O1666/100-cota_s-fi_s/2/1000))^0.5*1000)))</f>
        <v>4.5935831917065348</v>
      </c>
      <c r="R1666" s="38">
        <f t="shared" ca="1" si="215"/>
        <v>10.04329251674443</v>
      </c>
      <c r="S1666" s="38">
        <f t="shared" ca="1" si="216"/>
        <v>520.31249999999989</v>
      </c>
    </row>
    <row r="1667" spans="13:19">
      <c r="M1667" s="132">
        <f t="shared" ca="1" si="213"/>
        <v>530.67188515820317</v>
      </c>
      <c r="N1667" s="38">
        <f t="shared" si="214"/>
        <v>15.61875</v>
      </c>
      <c r="O1667" s="36">
        <f t="shared" si="212"/>
        <v>416.5</v>
      </c>
      <c r="P1667" s="38">
        <f ca="1">IF(ISERROR(IF(O1667&lt;fi_h/20,0,(OFFSET('Base de dados'!$A$5,IF(O1667&lt;20,1,IF(O1667&gt;1000,10,MATCH(O1667,Cargas,1))),Coluna_fih,1,1))*(1+0.13*0.25)*(PI()*(fi_h/1000)^2/4)*SQRT(2*9.81*(O1667/100-fi_h/2/1000))*1000)),"",IF(O1667&lt;fi_h/20,0,(OFFSET('Base de dados'!$A$5,IF(O1667&lt;20,1,IF(O1667&gt;1000,10,MATCH(O1667,Cargas,1))),Coluna_fih,1,1))*(PI()*(fi_h/1000)^2/4)*SQRT(2*9.81*(O1667/100-fi_h/2/1000))*1000))</f>
        <v>5.451352575726558</v>
      </c>
      <c r="Q1667" s="38">
        <f ca="1">IF(O1667="","",IF(Tipo_Vertedor="Retangular",IF(O1667&lt;=cota_s*100,0,IF(Tipo_Vertedor="Retangular",Cd_sr*Lef_sr*((O1667/100-cota_s)^(3/2))*1000)),IF(O1667&lt;=cota_s*100+fi_s/20,0,(OFFSET('Base de dados'!$A$4,IF(O1667&lt;20,1,IF(O1667&gt;1000,10,MATCH(O1667,Cargas,1))),Coluna_fis,1,1))*(PI()*(fi_s/1000)^2/4)*(2*9.81*(O1667/100-cota_s-fi_s/2/1000))^0.5*1000)))</f>
        <v>4.5955325824766362</v>
      </c>
      <c r="R1667" s="38">
        <f t="shared" ca="1" si="215"/>
        <v>10.046885158203194</v>
      </c>
      <c r="S1667" s="38">
        <f t="shared" ca="1" si="216"/>
        <v>520.625</v>
      </c>
    </row>
    <row r="1668" spans="13:19">
      <c r="M1668" s="132">
        <f t="shared" ca="1" si="213"/>
        <v>530.98797647790468</v>
      </c>
      <c r="N1668" s="38">
        <f t="shared" si="214"/>
        <v>15.628125000000001</v>
      </c>
      <c r="O1668" s="36">
        <f t="shared" si="212"/>
        <v>416.75</v>
      </c>
      <c r="P1668" s="38">
        <f ca="1">IF(ISERROR(IF(O1668&lt;fi_h/20,0,(OFFSET('Base de dados'!$A$5,IF(O1668&lt;20,1,IF(O1668&gt;1000,10,MATCH(O1668,Cargas,1))),Coluna_fih,1,1))*(1+0.13*0.25)*(PI()*(fi_h/1000)^2/4)*SQRT(2*9.81*(O1668/100-fi_h/2/1000))*1000)),"",IF(O1668&lt;fi_h/20,0,(OFFSET('Base de dados'!$A$5,IF(O1668&lt;20,1,IF(O1668&gt;1000,10,MATCH(O1668,Cargas,1))),Coluna_fih,1,1))*(PI()*(fi_h/1000)^2/4)*SQRT(2*9.81*(O1668/100-fi_h/2/1000))*1000))</f>
        <v>5.4529953312244963</v>
      </c>
      <c r="Q1668" s="38">
        <f ca="1">IF(O1668="","",IF(Tipo_Vertedor="Retangular",IF(O1668&lt;=cota_s*100,0,IF(Tipo_Vertedor="Retangular",Cd_sr*Lef_sr*((O1668/100-cota_s)^(3/2))*1000)),IF(O1668&lt;=cota_s*100+fi_s/20,0,(OFFSET('Base de dados'!$A$4,IF(O1668&lt;20,1,IF(O1668&gt;1000,10,MATCH(O1668,Cargas,1))),Coluna_fis,1,1))*(PI()*(fi_s/1000)^2/4)*(2*9.81*(O1668/100-cota_s-fi_s/2/1000))^0.5*1000)))</f>
        <v>4.5974811466802086</v>
      </c>
      <c r="R1668" s="38">
        <f t="shared" ca="1" si="215"/>
        <v>10.050476477904706</v>
      </c>
      <c r="S1668" s="38">
        <f t="shared" ca="1" si="216"/>
        <v>520.9375</v>
      </c>
    </row>
    <row r="1669" spans="13:19">
      <c r="M1669" s="132">
        <f t="shared" ca="1" si="213"/>
        <v>531.30406647734685</v>
      </c>
      <c r="N1669" s="38">
        <f t="shared" si="214"/>
        <v>15.637499999999999</v>
      </c>
      <c r="O1669" s="36">
        <f t="shared" si="212"/>
        <v>417</v>
      </c>
      <c r="P1669" s="38">
        <f ca="1">IF(ISERROR(IF(O1669&lt;fi_h/20,0,(OFFSET('Base de dados'!$A$5,IF(O1669&lt;20,1,IF(O1669&gt;1000,10,MATCH(O1669,Cargas,1))),Coluna_fih,1,1))*(1+0.13*0.25)*(PI()*(fi_h/1000)^2/4)*SQRT(2*9.81*(O1669/100-fi_h/2/1000))*1000)),"",IF(O1669&lt;fi_h/20,0,(OFFSET('Base de dados'!$A$5,IF(O1669&lt;20,1,IF(O1669&gt;1000,10,MATCH(O1669,Cargas,1))),Coluna_fih,1,1))*(PI()*(fi_h/1000)^2/4)*SQRT(2*9.81*(O1669/100-fi_h/2/1000))*1000))</f>
        <v>5.4546375919791164</v>
      </c>
      <c r="Q1669" s="38">
        <f ca="1">IF(O1669="","",IF(Tipo_Vertedor="Retangular",IF(O1669&lt;=cota_s*100,0,IF(Tipo_Vertedor="Retangular",Cd_sr*Lef_sr*((O1669/100-cota_s)^(3/2))*1000)),IF(O1669&lt;=cota_s*100+fi_s/20,0,(OFFSET('Base de dados'!$A$4,IF(O1669&lt;20,1,IF(O1669&gt;1000,10,MATCH(O1669,Cargas,1))),Coluna_fis,1,1))*(PI()*(fi_s/1000)^2/4)*(2*9.81*(O1669/100-cota_s-fi_s/2/1000))^0.5*1000)))</f>
        <v>4.5994288853677832</v>
      </c>
      <c r="R1669" s="38">
        <f t="shared" ca="1" si="215"/>
        <v>10.0540664773469</v>
      </c>
      <c r="S1669" s="38">
        <f t="shared" ca="1" si="216"/>
        <v>521.25</v>
      </c>
    </row>
    <row r="1670" spans="13:19">
      <c r="M1670" s="132">
        <f t="shared" ca="1" si="213"/>
        <v>531.62015515802489</v>
      </c>
      <c r="N1670" s="38">
        <f t="shared" si="214"/>
        <v>15.646875000000001</v>
      </c>
      <c r="O1670" s="36">
        <f t="shared" si="212"/>
        <v>417.25</v>
      </c>
      <c r="P1670" s="38">
        <f ca="1">IF(ISERROR(IF(O1670&lt;fi_h/20,0,(OFFSET('Base de dados'!$A$5,IF(O1670&lt;20,1,IF(O1670&gt;1000,10,MATCH(O1670,Cargas,1))),Coluna_fih,1,1))*(1+0.13*0.25)*(PI()*(fi_h/1000)^2/4)*SQRT(2*9.81*(O1670/100-fi_h/2/1000))*1000)),"",IF(O1670&lt;fi_h/20,0,(OFFSET('Base de dados'!$A$5,IF(O1670&lt;20,1,IF(O1670&gt;1000,10,MATCH(O1670,Cargas,1))),Coluna_fih,1,1))*(PI()*(fi_h/1000)^2/4)*SQRT(2*9.81*(O1670/100-fi_h/2/1000))*1000))</f>
        <v>5.4562793584371487</v>
      </c>
      <c r="Q1670" s="38">
        <f ca="1">IF(O1670="","",IF(Tipo_Vertedor="Retangular",IF(O1670&lt;=cota_s*100,0,IF(Tipo_Vertedor="Retangular",Cd_sr*Lef_sr*((O1670/100-cota_s)^(3/2))*1000)),IF(O1670&lt;=cota_s*100+fi_s/20,0,(OFFSET('Base de dados'!$A$4,IF(O1670&lt;20,1,IF(O1670&gt;1000,10,MATCH(O1670,Cargas,1))),Coluna_fis,1,1))*(PI()*(fi_s/1000)^2/4)*(2*9.81*(O1670/100-cota_s-fi_s/2/1000))^0.5*1000)))</f>
        <v>4.6013757995876743</v>
      </c>
      <c r="R1670" s="38">
        <f t="shared" ca="1" si="215"/>
        <v>10.057655158024822</v>
      </c>
      <c r="S1670" s="38">
        <f t="shared" ca="1" si="216"/>
        <v>521.56250000000011</v>
      </c>
    </row>
    <row r="1671" spans="13:19">
      <c r="M1671" s="132">
        <f t="shared" ca="1" si="213"/>
        <v>531.93624252143059</v>
      </c>
      <c r="N1671" s="38">
        <f t="shared" si="214"/>
        <v>15.65625</v>
      </c>
      <c r="O1671" s="36">
        <f t="shared" si="212"/>
        <v>417.5</v>
      </c>
      <c r="P1671" s="38">
        <f ca="1">IF(ISERROR(IF(O1671&lt;fi_h/20,0,(OFFSET('Base de dados'!$A$5,IF(O1671&lt;20,1,IF(O1671&gt;1000,10,MATCH(O1671,Cargas,1))),Coluna_fih,1,1))*(1+0.13*0.25)*(PI()*(fi_h/1000)^2/4)*SQRT(2*9.81*(O1671/100-fi_h/2/1000))*1000)),"",IF(O1671&lt;fi_h/20,0,(OFFSET('Base de dados'!$A$5,IF(O1671&lt;20,1,IF(O1671&gt;1000,10,MATCH(O1671,Cargas,1))),Coluna_fih,1,1))*(PI()*(fi_h/1000)^2/4)*SQRT(2*9.81*(O1671/100-fi_h/2/1000))*1000))</f>
        <v>5.4579206310446544</v>
      </c>
      <c r="Q1671" s="38">
        <f ca="1">IF(O1671="","",IF(Tipo_Vertedor="Retangular",IF(O1671&lt;=cota_s*100,0,IF(Tipo_Vertedor="Retangular",Cd_sr*Lef_sr*((O1671/100-cota_s)^(3/2))*1000)),IF(O1671&lt;=cota_s*100+fi_s/20,0,(OFFSET('Base de dados'!$A$4,IF(O1671&lt;20,1,IF(O1671&gt;1000,10,MATCH(O1671,Cargas,1))),Coluna_fis,1,1))*(PI()*(fi_s/1000)^2/4)*(2*9.81*(O1671/100-cota_s-fi_s/2/1000))^0.5*1000)))</f>
        <v>4.6033218903859723</v>
      </c>
      <c r="R1671" s="38">
        <f t="shared" ca="1" si="215"/>
        <v>10.061242521430627</v>
      </c>
      <c r="S1671" s="38">
        <f t="shared" ca="1" si="216"/>
        <v>521.875</v>
      </c>
    </row>
    <row r="1672" spans="13:19">
      <c r="M1672" s="132">
        <f t="shared" ca="1" si="213"/>
        <v>532.25232856905359</v>
      </c>
      <c r="N1672" s="38">
        <f t="shared" si="214"/>
        <v>15.665625</v>
      </c>
      <c r="O1672" s="36">
        <f t="shared" si="212"/>
        <v>417.75</v>
      </c>
      <c r="P1672" s="38">
        <f ca="1">IF(ISERROR(IF(O1672&lt;fi_h/20,0,(OFFSET('Base de dados'!$A$5,IF(O1672&lt;20,1,IF(O1672&gt;1000,10,MATCH(O1672,Cargas,1))),Coluna_fih,1,1))*(1+0.13*0.25)*(PI()*(fi_h/1000)^2/4)*SQRT(2*9.81*(O1672/100-fi_h/2/1000))*1000)),"",IF(O1672&lt;fi_h/20,0,(OFFSET('Base de dados'!$A$5,IF(O1672&lt;20,1,IF(O1672&gt;1000,10,MATCH(O1672,Cargas,1))),Coluna_fih,1,1))*(PI()*(fi_h/1000)^2/4)*SQRT(2*9.81*(O1672/100-fi_h/2/1000))*1000))</f>
        <v>5.4595614102470229</v>
      </c>
      <c r="Q1672" s="38">
        <f ca="1">IF(O1672="","",IF(Tipo_Vertedor="Retangular",IF(O1672&lt;=cota_s*100,0,IF(Tipo_Vertedor="Retangular",Cd_sr*Lef_sr*((O1672/100-cota_s)^(3/2))*1000)),IF(O1672&lt;=cota_s*100+fi_s/20,0,(OFFSET('Base de dados'!$A$4,IF(O1672&lt;20,1,IF(O1672&gt;1000,10,MATCH(O1672,Cargas,1))),Coluna_fis,1,1))*(PI()*(fi_s/1000)^2/4)*(2*9.81*(O1672/100-cota_s-fi_s/2/1000))^0.5*1000)))</f>
        <v>4.6052671588065612</v>
      </c>
      <c r="R1672" s="38">
        <f t="shared" ca="1" si="215"/>
        <v>10.064828569053585</v>
      </c>
      <c r="S1672" s="38">
        <f t="shared" ca="1" si="216"/>
        <v>522.1875</v>
      </c>
    </row>
    <row r="1673" spans="13:19">
      <c r="M1673" s="132">
        <f t="shared" ca="1" si="213"/>
        <v>532.56841330238001</v>
      </c>
      <c r="N1673" s="38">
        <f t="shared" si="214"/>
        <v>15.674999999999999</v>
      </c>
      <c r="O1673" s="36">
        <f t="shared" si="212"/>
        <v>418</v>
      </c>
      <c r="P1673" s="38">
        <f ca="1">IF(ISERROR(IF(O1673&lt;fi_h/20,0,(OFFSET('Base de dados'!$A$5,IF(O1673&lt;20,1,IF(O1673&gt;1000,10,MATCH(O1673,Cargas,1))),Coluna_fih,1,1))*(1+0.13*0.25)*(PI()*(fi_h/1000)^2/4)*SQRT(2*9.81*(O1673/100-fi_h/2/1000))*1000)),"",IF(O1673&lt;fi_h/20,0,(OFFSET('Base de dados'!$A$5,IF(O1673&lt;20,1,IF(O1673&gt;1000,10,MATCH(O1673,Cargas,1))),Coluna_fih,1,1))*(PI()*(fi_h/1000)^2/4)*SQRT(2*9.81*(O1673/100-fi_h/2/1000))*1000))</f>
        <v>5.4612016964889722</v>
      </c>
      <c r="Q1673" s="38">
        <f ca="1">IF(O1673="","",IF(Tipo_Vertedor="Retangular",IF(O1673&lt;=cota_s*100,0,IF(Tipo_Vertedor="Retangular",Cd_sr*Lef_sr*((O1673/100-cota_s)^(3/2))*1000)),IF(O1673&lt;=cota_s*100+fi_s/20,0,(OFFSET('Base de dados'!$A$4,IF(O1673&lt;20,1,IF(O1673&gt;1000,10,MATCH(O1673,Cargas,1))),Coluna_fis,1,1))*(PI()*(fi_s/1000)^2/4)*(2*9.81*(O1673/100-cota_s-fi_s/2/1000))^0.5*1000)))</f>
        <v>4.6072116058911199</v>
      </c>
      <c r="R1673" s="38">
        <f t="shared" ca="1" si="215"/>
        <v>10.068413302380092</v>
      </c>
      <c r="S1673" s="38">
        <f t="shared" ca="1" si="216"/>
        <v>522.49999999999989</v>
      </c>
    </row>
    <row r="1674" spans="13:19">
      <c r="M1674" s="132">
        <f t="shared" ca="1" si="213"/>
        <v>532.8844967228938</v>
      </c>
      <c r="N1674" s="38">
        <f t="shared" si="214"/>
        <v>15.684375000000001</v>
      </c>
      <c r="O1674" s="36">
        <f t="shared" si="212"/>
        <v>418.25</v>
      </c>
      <c r="P1674" s="38">
        <f ca="1">IF(ISERROR(IF(O1674&lt;fi_h/20,0,(OFFSET('Base de dados'!$A$5,IF(O1674&lt;20,1,IF(O1674&gt;1000,10,MATCH(O1674,Cargas,1))),Coluna_fih,1,1))*(1+0.13*0.25)*(PI()*(fi_h/1000)^2/4)*SQRT(2*9.81*(O1674/100-fi_h/2/1000))*1000)),"",IF(O1674&lt;fi_h/20,0,(OFFSET('Base de dados'!$A$5,IF(O1674&lt;20,1,IF(O1674&gt;1000,10,MATCH(O1674,Cargas,1))),Coluna_fih,1,1))*(PI()*(fi_h/1000)^2/4)*SQRT(2*9.81*(O1674/100-fi_h/2/1000))*1000))</f>
        <v>5.4628414902145579</v>
      </c>
      <c r="Q1674" s="38">
        <f ca="1">IF(O1674="","",IF(Tipo_Vertedor="Retangular",IF(O1674&lt;=cota_s*100,0,IF(Tipo_Vertedor="Retangular",Cd_sr*Lef_sr*((O1674/100-cota_s)^(3/2))*1000)),IF(O1674&lt;=cota_s*100+fi_s/20,0,(OFFSET('Base de dados'!$A$4,IF(O1674&lt;20,1,IF(O1674&gt;1000,10,MATCH(O1674,Cargas,1))),Coluna_fis,1,1))*(PI()*(fi_s/1000)^2/4)*(2*9.81*(O1674/100-cota_s-fi_s/2/1000))^0.5*1000)))</f>
        <v>4.6091552326791305</v>
      </c>
      <c r="R1674" s="38">
        <f t="shared" ca="1" si="215"/>
        <v>10.071996722893688</v>
      </c>
      <c r="S1674" s="38">
        <f t="shared" ca="1" si="216"/>
        <v>522.81250000000011</v>
      </c>
    </row>
    <row r="1675" spans="13:19">
      <c r="M1675" s="132">
        <f t="shared" ca="1" si="213"/>
        <v>533.20057883207494</v>
      </c>
      <c r="N1675" s="38">
        <f t="shared" si="214"/>
        <v>15.693749999999998</v>
      </c>
      <c r="O1675" s="36">
        <f t="shared" si="212"/>
        <v>418.5</v>
      </c>
      <c r="P1675" s="38">
        <f ca="1">IF(ISERROR(IF(O1675&lt;fi_h/20,0,(OFFSET('Base de dados'!$A$5,IF(O1675&lt;20,1,IF(O1675&gt;1000,10,MATCH(O1675,Cargas,1))),Coluna_fih,1,1))*(1+0.13*0.25)*(PI()*(fi_h/1000)^2/4)*SQRT(2*9.81*(O1675/100-fi_h/2/1000))*1000)),"",IF(O1675&lt;fi_h/20,0,(OFFSET('Base de dados'!$A$5,IF(O1675&lt;20,1,IF(O1675&gt;1000,10,MATCH(O1675,Cargas,1))),Coluna_fih,1,1))*(PI()*(fi_h/1000)^2/4)*SQRT(2*9.81*(O1675/100-fi_h/2/1000))*1000))</f>
        <v>5.464480791867163</v>
      </c>
      <c r="Q1675" s="38">
        <f ca="1">IF(O1675="","",IF(Tipo_Vertedor="Retangular",IF(O1675&lt;=cota_s*100,0,IF(Tipo_Vertedor="Retangular",Cd_sr*Lef_sr*((O1675/100-cota_s)^(3/2))*1000)),IF(O1675&lt;=cota_s*100+fi_s/20,0,(OFFSET('Base de dados'!$A$4,IF(O1675&lt;20,1,IF(O1675&gt;1000,10,MATCH(O1675,Cargas,1))),Coluna_fis,1,1))*(PI()*(fi_s/1000)^2/4)*(2*9.81*(O1675/100-cota_s-fi_s/2/1000))^0.5*1000)))</f>
        <v>4.6110980402078834</v>
      </c>
      <c r="R1675" s="38">
        <f t="shared" ca="1" si="215"/>
        <v>10.075578832075045</v>
      </c>
      <c r="S1675" s="38">
        <f t="shared" ca="1" si="216"/>
        <v>523.12499999999989</v>
      </c>
    </row>
    <row r="1676" spans="13:19">
      <c r="M1676" s="132">
        <f t="shared" ca="1" si="213"/>
        <v>533.51665963140204</v>
      </c>
      <c r="N1676" s="38">
        <f t="shared" si="214"/>
        <v>15.703125</v>
      </c>
      <c r="O1676" s="36">
        <f t="shared" si="212"/>
        <v>418.75</v>
      </c>
      <c r="P1676" s="38">
        <f ca="1">IF(ISERROR(IF(O1676&lt;fi_h/20,0,(OFFSET('Base de dados'!$A$5,IF(O1676&lt;20,1,IF(O1676&gt;1000,10,MATCH(O1676,Cargas,1))),Coluna_fih,1,1))*(1+0.13*0.25)*(PI()*(fi_h/1000)^2/4)*SQRT(2*9.81*(O1676/100-fi_h/2/1000))*1000)),"",IF(O1676&lt;fi_h/20,0,(OFFSET('Base de dados'!$A$5,IF(O1676&lt;20,1,IF(O1676&gt;1000,10,MATCH(O1676,Cargas,1))),Coluna_fih,1,1))*(PI()*(fi_h/1000)^2/4)*SQRT(2*9.81*(O1676/100-fi_h/2/1000))*1000))</f>
        <v>5.4661196018895115</v>
      </c>
      <c r="Q1676" s="38">
        <f ca="1">IF(O1676="","",IF(Tipo_Vertedor="Retangular",IF(O1676&lt;=cota_s*100,0,IF(Tipo_Vertedor="Retangular",Cd_sr*Lef_sr*((O1676/100-cota_s)^(3/2))*1000)),IF(O1676&lt;=cota_s*100+fi_s/20,0,(OFFSET('Base de dados'!$A$4,IF(O1676&lt;20,1,IF(O1676&gt;1000,10,MATCH(O1676,Cargas,1))),Coluna_fis,1,1))*(PI()*(fi_s/1000)^2/4)*(2*9.81*(O1676/100-cota_s-fi_s/2/1000))^0.5*1000)))</f>
        <v>4.6130400295124865</v>
      </c>
      <c r="R1676" s="38">
        <f t="shared" ca="1" si="215"/>
        <v>10.079159631401998</v>
      </c>
      <c r="S1676" s="38">
        <f t="shared" ca="1" si="216"/>
        <v>523.4375</v>
      </c>
    </row>
    <row r="1677" spans="13:19">
      <c r="M1677" s="132">
        <f t="shared" ca="1" si="213"/>
        <v>533.83273912234961</v>
      </c>
      <c r="N1677" s="38">
        <f t="shared" si="214"/>
        <v>15.712500000000002</v>
      </c>
      <c r="O1677" s="36">
        <f t="shared" si="212"/>
        <v>419</v>
      </c>
      <c r="P1677" s="38">
        <f ca="1">IF(ISERROR(IF(O1677&lt;fi_h/20,0,(OFFSET('Base de dados'!$A$5,IF(O1677&lt;20,1,IF(O1677&gt;1000,10,MATCH(O1677,Cargas,1))),Coluna_fih,1,1))*(1+0.13*0.25)*(PI()*(fi_h/1000)^2/4)*SQRT(2*9.81*(O1677/100-fi_h/2/1000))*1000)),"",IF(O1677&lt;fi_h/20,0,(OFFSET('Base de dados'!$A$5,IF(O1677&lt;20,1,IF(O1677&gt;1000,10,MATCH(O1677,Cargas,1))),Coluna_fih,1,1))*(PI()*(fi_h/1000)^2/4)*SQRT(2*9.81*(O1677/100-fi_h/2/1000))*1000))</f>
        <v>5.4677579207236615</v>
      </c>
      <c r="Q1677" s="38">
        <f ca="1">IF(O1677="","",IF(Tipo_Vertedor="Retangular",IF(O1677&lt;=cota_s*100,0,IF(Tipo_Vertedor="Retangular",Cd_sr*Lef_sr*((O1677/100-cota_s)^(3/2))*1000)),IF(O1677&lt;=cota_s*100+fi_s/20,0,(OFFSET('Base de dados'!$A$4,IF(O1677&lt;20,1,IF(O1677&gt;1000,10,MATCH(O1677,Cargas,1))),Coluna_fis,1,1))*(PI()*(fi_s/1000)^2/4)*(2*9.81*(O1677/100-cota_s-fi_s/2/1000))^0.5*1000)))</f>
        <v>4.6149812016258673</v>
      </c>
      <c r="R1677" s="38">
        <f t="shared" ca="1" si="215"/>
        <v>10.08273912234953</v>
      </c>
      <c r="S1677" s="38">
        <f t="shared" ca="1" si="216"/>
        <v>523.75000000000011</v>
      </c>
    </row>
    <row r="1678" spans="13:19">
      <c r="M1678" s="132">
        <f t="shared" ca="1" si="213"/>
        <v>534.14881730638967</v>
      </c>
      <c r="N1678" s="38">
        <f t="shared" si="214"/>
        <v>15.721874999999999</v>
      </c>
      <c r="O1678" s="36">
        <f t="shared" si="212"/>
        <v>419.25</v>
      </c>
      <c r="P1678" s="38">
        <f ca="1">IF(ISERROR(IF(O1678&lt;fi_h/20,0,(OFFSET('Base de dados'!$A$5,IF(O1678&lt;20,1,IF(O1678&gt;1000,10,MATCH(O1678,Cargas,1))),Coluna_fih,1,1))*(1+0.13*0.25)*(PI()*(fi_h/1000)^2/4)*SQRT(2*9.81*(O1678/100-fi_h/2/1000))*1000)),"",IF(O1678&lt;fi_h/20,0,(OFFSET('Base de dados'!$A$5,IF(O1678&lt;20,1,IF(O1678&gt;1000,10,MATCH(O1678,Cargas,1))),Coluna_fih,1,1))*(PI()*(fi_h/1000)^2/4)*SQRT(2*9.81*(O1678/100-fi_h/2/1000))*1000))</f>
        <v>5.4693957488110065</v>
      </c>
      <c r="Q1678" s="38">
        <f ca="1">IF(O1678="","",IF(Tipo_Vertedor="Retangular",IF(O1678&lt;=cota_s*100,0,IF(Tipo_Vertedor="Retangular",Cd_sr*Lef_sr*((O1678/100-cota_s)^(3/2))*1000)),IF(O1678&lt;=cota_s*100+fi_s/20,0,(OFFSET('Base de dados'!$A$4,IF(O1678&lt;20,1,IF(O1678&gt;1000,10,MATCH(O1678,Cargas,1))),Coluna_fis,1,1))*(PI()*(fi_s/1000)^2/4)*(2*9.81*(O1678/100-cota_s-fi_s/2/1000))^0.5*1000)))</f>
        <v>4.6169215575787845</v>
      </c>
      <c r="R1678" s="38">
        <f t="shared" ca="1" si="215"/>
        <v>10.086317306389791</v>
      </c>
      <c r="S1678" s="38">
        <f t="shared" ca="1" si="216"/>
        <v>524.06249999999989</v>
      </c>
    </row>
    <row r="1679" spans="13:19">
      <c r="M1679" s="132">
        <f t="shared" ca="1" si="213"/>
        <v>534.4648941849922</v>
      </c>
      <c r="N1679" s="38">
        <f t="shared" si="214"/>
        <v>15.731250000000001</v>
      </c>
      <c r="O1679" s="36">
        <f t="shared" si="212"/>
        <v>419.5</v>
      </c>
      <c r="P1679" s="38">
        <f ca="1">IF(ISERROR(IF(O1679&lt;fi_h/20,0,(OFFSET('Base de dados'!$A$5,IF(O1679&lt;20,1,IF(O1679&gt;1000,10,MATCH(O1679,Cargas,1))),Coluna_fih,1,1))*(1+0.13*0.25)*(PI()*(fi_h/1000)^2/4)*SQRT(2*9.81*(O1679/100-fi_h/2/1000))*1000)),"",IF(O1679&lt;fi_h/20,0,(OFFSET('Base de dados'!$A$5,IF(O1679&lt;20,1,IF(O1679&gt;1000,10,MATCH(O1679,Cargas,1))),Coluna_fih,1,1))*(PI()*(fi_h/1000)^2/4)*SQRT(2*9.81*(O1679/100-fi_h/2/1000))*1000))</f>
        <v>5.4710330865922829</v>
      </c>
      <c r="Q1679" s="38">
        <f ca="1">IF(O1679="","",IF(Tipo_Vertedor="Retangular",IF(O1679&lt;=cota_s*100,0,IF(Tipo_Vertedor="Retangular",Cd_sr*Lef_sr*((O1679/100-cota_s)^(3/2))*1000)),IF(O1679&lt;=cota_s*100+fi_s/20,0,(OFFSET('Base de dados'!$A$4,IF(O1679&lt;20,1,IF(O1679&gt;1000,10,MATCH(O1679,Cargas,1))),Coluna_fis,1,1))*(PI()*(fi_s/1000)^2/4)*(2*9.81*(O1679/100-cota_s-fi_s/2/1000))^0.5*1000)))</f>
        <v>4.6188610983998313</v>
      </c>
      <c r="R1679" s="38">
        <f t="shared" ca="1" si="215"/>
        <v>10.089894184992115</v>
      </c>
      <c r="S1679" s="38">
        <f t="shared" ca="1" si="216"/>
        <v>524.37500000000011</v>
      </c>
    </row>
    <row r="1680" spans="13:19">
      <c r="M1680" s="132">
        <f t="shared" ca="1" si="213"/>
        <v>534.78096975962296</v>
      </c>
      <c r="N1680" s="38">
        <f t="shared" si="214"/>
        <v>15.740625</v>
      </c>
      <c r="O1680" s="36">
        <f t="shared" si="212"/>
        <v>419.75</v>
      </c>
      <c r="P1680" s="38">
        <f ca="1">IF(ISERROR(IF(O1680&lt;fi_h/20,0,(OFFSET('Base de dados'!$A$5,IF(O1680&lt;20,1,IF(O1680&gt;1000,10,MATCH(O1680,Cargas,1))),Coluna_fih,1,1))*(1+0.13*0.25)*(PI()*(fi_h/1000)^2/4)*SQRT(2*9.81*(O1680/100-fi_h/2/1000))*1000)),"",IF(O1680&lt;fi_h/20,0,(OFFSET('Base de dados'!$A$5,IF(O1680&lt;20,1,IF(O1680&gt;1000,10,MATCH(O1680,Cargas,1))),Coluna_fih,1,1))*(PI()*(fi_h/1000)^2/4)*SQRT(2*9.81*(O1680/100-fi_h/2/1000))*1000))</f>
        <v>5.4726699345075662</v>
      </c>
      <c r="Q1680" s="38">
        <f ca="1">IF(O1680="","",IF(Tipo_Vertedor="Retangular",IF(O1680&lt;=cota_s*100,0,IF(Tipo_Vertedor="Retangular",Cd_sr*Lef_sr*((O1680/100-cota_s)^(3/2))*1000)),IF(O1680&lt;=cota_s*100+fi_s/20,0,(OFFSET('Base de dados'!$A$4,IF(O1680&lt;20,1,IF(O1680&gt;1000,10,MATCH(O1680,Cargas,1))),Coluna_fis,1,1))*(PI()*(fi_s/1000)^2/4)*(2*9.81*(O1680/100-cota_s-fi_s/2/1000))^0.5*1000)))</f>
        <v>4.6207998251154381</v>
      </c>
      <c r="R1680" s="38">
        <f t="shared" ca="1" si="215"/>
        <v>10.093469759623005</v>
      </c>
      <c r="S1680" s="38">
        <f t="shared" ca="1" si="216"/>
        <v>524.6875</v>
      </c>
    </row>
    <row r="1681" spans="13:19">
      <c r="M1681" s="132">
        <f t="shared" ca="1" si="213"/>
        <v>535.09704403174612</v>
      </c>
      <c r="N1681" s="38">
        <f t="shared" si="214"/>
        <v>15.75</v>
      </c>
      <c r="O1681" s="36">
        <f t="shared" si="212"/>
        <v>420</v>
      </c>
      <c r="P1681" s="38">
        <f ca="1">IF(ISERROR(IF(O1681&lt;fi_h/20,0,(OFFSET('Base de dados'!$A$5,IF(O1681&lt;20,1,IF(O1681&gt;1000,10,MATCH(O1681,Cargas,1))),Coluna_fih,1,1))*(1+0.13*0.25)*(PI()*(fi_h/1000)^2/4)*SQRT(2*9.81*(O1681/100-fi_h/2/1000))*1000)),"",IF(O1681&lt;fi_h/20,0,(OFFSET('Base de dados'!$A$5,IF(O1681&lt;20,1,IF(O1681&gt;1000,10,MATCH(O1681,Cargas,1))),Coluna_fih,1,1))*(PI()*(fi_h/1000)^2/4)*SQRT(2*9.81*(O1681/100-fi_h/2/1000))*1000))</f>
        <v>5.4743062929962765</v>
      </c>
      <c r="Q1681" s="38">
        <f ca="1">IF(O1681="","",IF(Tipo_Vertedor="Retangular",IF(O1681&lt;=cota_s*100,0,IF(Tipo_Vertedor="Retangular",Cd_sr*Lef_sr*((O1681/100-cota_s)^(3/2))*1000)),IF(O1681&lt;=cota_s*100+fi_s/20,0,(OFFSET('Base de dados'!$A$4,IF(O1681&lt;20,1,IF(O1681&gt;1000,10,MATCH(O1681,Cargas,1))),Coluna_fis,1,1))*(PI()*(fi_s/1000)^2/4)*(2*9.81*(O1681/100-cota_s-fi_s/2/1000))^0.5*1000)))</f>
        <v>4.6227377387498896</v>
      </c>
      <c r="R1681" s="38">
        <f t="shared" ca="1" si="215"/>
        <v>10.097044031746165</v>
      </c>
      <c r="S1681" s="38">
        <f t="shared" ca="1" si="216"/>
        <v>525</v>
      </c>
    </row>
    <row r="1682" spans="13:19">
      <c r="M1682" s="132">
        <f t="shared" ca="1" si="213"/>
        <v>535.41311700282233</v>
      </c>
      <c r="N1682" s="38">
        <f t="shared" si="214"/>
        <v>15.759374999999999</v>
      </c>
      <c r="O1682" s="36">
        <f t="shared" si="212"/>
        <v>420.25</v>
      </c>
      <c r="P1682" s="38">
        <f ca="1">IF(ISERROR(IF(O1682&lt;fi_h/20,0,(OFFSET('Base de dados'!$A$5,IF(O1682&lt;20,1,IF(O1682&gt;1000,10,MATCH(O1682,Cargas,1))),Coluna_fih,1,1))*(1+0.13*0.25)*(PI()*(fi_h/1000)^2/4)*SQRT(2*9.81*(O1682/100-fi_h/2/1000))*1000)),"",IF(O1682&lt;fi_h/20,0,(OFFSET('Base de dados'!$A$5,IF(O1682&lt;20,1,IF(O1682&gt;1000,10,MATCH(O1682,Cargas,1))),Coluna_fih,1,1))*(PI()*(fi_h/1000)^2/4)*SQRT(2*9.81*(O1682/100-fi_h/2/1000))*1000))</f>
        <v>5.475942162497172</v>
      </c>
      <c r="Q1682" s="38">
        <f ca="1">IF(O1682="","",IF(Tipo_Vertedor="Retangular",IF(O1682&lt;=cota_s*100,0,IF(Tipo_Vertedor="Retangular",Cd_sr*Lef_sr*((O1682/100-cota_s)^(3/2))*1000)),IF(O1682&lt;=cota_s*100+fi_s/20,0,(OFFSET('Base de dados'!$A$4,IF(O1682&lt;20,1,IF(O1682&gt;1000,10,MATCH(O1682,Cargas,1))),Coluna_fis,1,1))*(PI()*(fi_s/1000)^2/4)*(2*9.81*(O1682/100-cota_s-fi_s/2/1000))^0.5*1000)))</f>
        <v>4.6246748403253184</v>
      </c>
      <c r="R1682" s="38">
        <f t="shared" ca="1" si="215"/>
        <v>10.10061700282249</v>
      </c>
      <c r="S1682" s="38">
        <f t="shared" ca="1" si="216"/>
        <v>525.31249999999989</v>
      </c>
    </row>
    <row r="1683" spans="13:19">
      <c r="M1683" s="132">
        <f t="shared" ca="1" si="213"/>
        <v>535.72918867431008</v>
      </c>
      <c r="N1683" s="38">
        <f t="shared" si="214"/>
        <v>15.768750000000001</v>
      </c>
      <c r="O1683" s="36">
        <f t="shared" ref="O1683:O1746" si="217">IF(ISERROR(IF(O1682+passo_altura&gt;h_max_puls*100,"",O1682+passo_altura)),"",IF(O1682+passo_altura&gt;h_max_puls*100,"",O1682+passo_altura))</f>
        <v>420.5</v>
      </c>
      <c r="P1683" s="38">
        <f ca="1">IF(ISERROR(IF(O1683&lt;fi_h/20,0,(OFFSET('Base de dados'!$A$5,IF(O1683&lt;20,1,IF(O1683&gt;1000,10,MATCH(O1683,Cargas,1))),Coluna_fih,1,1))*(1+0.13*0.25)*(PI()*(fi_h/1000)^2/4)*SQRT(2*9.81*(O1683/100-fi_h/2/1000))*1000)),"",IF(O1683&lt;fi_h/20,0,(OFFSET('Base de dados'!$A$5,IF(O1683&lt;20,1,IF(O1683&gt;1000,10,MATCH(O1683,Cargas,1))),Coluna_fih,1,1))*(PI()*(fi_h/1000)^2/4)*SQRT(2*9.81*(O1683/100-fi_h/2/1000))*1000))</f>
        <v>5.4775775434483611</v>
      </c>
      <c r="Q1683" s="38">
        <f ca="1">IF(O1683="","",IF(Tipo_Vertedor="Retangular",IF(O1683&lt;=cota_s*100,0,IF(Tipo_Vertedor="Retangular",Cd_sr*Lef_sr*((O1683/100-cota_s)^(3/2))*1000)),IF(O1683&lt;=cota_s*100+fi_s/20,0,(OFFSET('Base de dados'!$A$4,IF(O1683&lt;20,1,IF(O1683&gt;1000,10,MATCH(O1683,Cargas,1))),Coluna_fis,1,1))*(PI()*(fi_s/1000)^2/4)*(2*9.81*(O1683/100-cota_s-fi_s/2/1000))^0.5*1000)))</f>
        <v>4.6266111308617228</v>
      </c>
      <c r="R1683" s="38">
        <f t="shared" ca="1" si="215"/>
        <v>10.104188674310084</v>
      </c>
      <c r="S1683" s="38">
        <f t="shared" ca="1" si="216"/>
        <v>525.625</v>
      </c>
    </row>
    <row r="1684" spans="13:19">
      <c r="M1684" s="132">
        <f t="shared" ca="1" si="213"/>
        <v>536.04525904766422</v>
      </c>
      <c r="N1684" s="38">
        <f t="shared" si="214"/>
        <v>15.778124999999999</v>
      </c>
      <c r="O1684" s="36">
        <f t="shared" si="217"/>
        <v>420.75</v>
      </c>
      <c r="P1684" s="38">
        <f ca="1">IF(ISERROR(IF(O1684&lt;fi_h/20,0,(OFFSET('Base de dados'!$A$5,IF(O1684&lt;20,1,IF(O1684&gt;1000,10,MATCH(O1684,Cargas,1))),Coluna_fih,1,1))*(1+0.13*0.25)*(PI()*(fi_h/1000)^2/4)*SQRT(2*9.81*(O1684/100-fi_h/2/1000))*1000)),"",IF(O1684&lt;fi_h/20,0,(OFFSET('Base de dados'!$A$5,IF(O1684&lt;20,1,IF(O1684&gt;1000,10,MATCH(O1684,Cargas,1))),Coluna_fih,1,1))*(PI()*(fi_h/1000)^2/4)*SQRT(2*9.81*(O1684/100-fi_h/2/1000))*1000))</f>
        <v>5.4792124362872947</v>
      </c>
      <c r="Q1684" s="38">
        <f ca="1">IF(O1684="","",IF(Tipo_Vertedor="Retangular",IF(O1684&lt;=cota_s*100,0,IF(Tipo_Vertedor="Retangular",Cd_sr*Lef_sr*((O1684/100-cota_s)^(3/2))*1000)),IF(O1684&lt;=cota_s*100+fi_s/20,0,(OFFSET('Base de dados'!$A$4,IF(O1684&lt;20,1,IF(O1684&gt;1000,10,MATCH(O1684,Cargas,1))),Coluna_fis,1,1))*(PI()*(fi_s/1000)^2/4)*(2*9.81*(O1684/100-cota_s-fi_s/2/1000))^0.5*1000)))</f>
        <v>4.6285466113769616</v>
      </c>
      <c r="R1684" s="38">
        <f t="shared" ca="1" si="215"/>
        <v>10.107759047664256</v>
      </c>
      <c r="S1684" s="38">
        <f t="shared" ca="1" si="216"/>
        <v>525.9375</v>
      </c>
    </row>
    <row r="1685" spans="13:19">
      <c r="M1685" s="132">
        <f t="shared" ca="1" si="213"/>
        <v>536.36132812433755</v>
      </c>
      <c r="N1685" s="38">
        <f t="shared" si="214"/>
        <v>15.7875</v>
      </c>
      <c r="O1685" s="36">
        <f t="shared" si="217"/>
        <v>421</v>
      </c>
      <c r="P1685" s="38">
        <f ca="1">IF(ISERROR(IF(O1685&lt;fi_h/20,0,(OFFSET('Base de dados'!$A$5,IF(O1685&lt;20,1,IF(O1685&gt;1000,10,MATCH(O1685,Cargas,1))),Coluna_fih,1,1))*(1+0.13*0.25)*(PI()*(fi_h/1000)^2/4)*SQRT(2*9.81*(O1685/100-fi_h/2/1000))*1000)),"",IF(O1685&lt;fi_h/20,0,(OFFSET('Base de dados'!$A$5,IF(O1685&lt;20,1,IF(O1685&gt;1000,10,MATCH(O1685,Cargas,1))),Coluna_fih,1,1))*(PI()*(fi_h/1000)^2/4)*SQRT(2*9.81*(O1685/100-fi_h/2/1000))*1000))</f>
        <v>5.4808468414507754</v>
      </c>
      <c r="Q1685" s="38">
        <f ca="1">IF(O1685="","",IF(Tipo_Vertedor="Retangular",IF(O1685&lt;=cota_s*100,0,IF(Tipo_Vertedor="Retangular",Cd_sr*Lef_sr*((O1685/100-cota_s)^(3/2))*1000)),IF(O1685&lt;=cota_s*100+fi_s/20,0,(OFFSET('Base de dados'!$A$4,IF(O1685&lt;20,1,IF(O1685&gt;1000,10,MATCH(O1685,Cargas,1))),Coluna_fis,1,1))*(PI()*(fi_s/1000)^2/4)*(2*9.81*(O1685/100-cota_s-fi_s/2/1000))^0.5*1000)))</f>
        <v>4.6304812828867732</v>
      </c>
      <c r="R1685" s="38">
        <f t="shared" ca="1" si="215"/>
        <v>10.111328124337549</v>
      </c>
      <c r="S1685" s="38">
        <f t="shared" ca="1" si="216"/>
        <v>526.25</v>
      </c>
    </row>
    <row r="1686" spans="13:19">
      <c r="M1686" s="132">
        <f t="shared" ca="1" si="213"/>
        <v>536.6773959057798</v>
      </c>
      <c r="N1686" s="38">
        <f t="shared" si="214"/>
        <v>15.796875000000002</v>
      </c>
      <c r="O1686" s="36">
        <f t="shared" si="217"/>
        <v>421.25</v>
      </c>
      <c r="P1686" s="38">
        <f ca="1">IF(ISERROR(IF(O1686&lt;fi_h/20,0,(OFFSET('Base de dados'!$A$5,IF(O1686&lt;20,1,IF(O1686&gt;1000,10,MATCH(O1686,Cargas,1))),Coluna_fih,1,1))*(1+0.13*0.25)*(PI()*(fi_h/1000)^2/4)*SQRT(2*9.81*(O1686/100-fi_h/2/1000))*1000)),"",IF(O1686&lt;fi_h/20,0,(OFFSET('Base de dados'!$A$5,IF(O1686&lt;20,1,IF(O1686&gt;1000,10,MATCH(O1686,Cargas,1))),Coluna_fih,1,1))*(PI()*(fi_h/1000)^2/4)*SQRT(2*9.81*(O1686/100-fi_h/2/1000))*1000))</f>
        <v>5.4824807593749485</v>
      </c>
      <c r="Q1686" s="38">
        <f ca="1">IF(O1686="","",IF(Tipo_Vertedor="Retangular",IF(O1686&lt;=cota_s*100,0,IF(Tipo_Vertedor="Retangular",Cd_sr*Lef_sr*((O1686/100-cota_s)^(3/2))*1000)),IF(O1686&lt;=cota_s*100+fi_s/20,0,(OFFSET('Base de dados'!$A$4,IF(O1686&lt;20,1,IF(O1686&gt;1000,10,MATCH(O1686,Cargas,1))),Coluna_fis,1,1))*(PI()*(fi_s/1000)^2/4)*(2*9.81*(O1686/100-cota_s-fi_s/2/1000))^0.5*1000)))</f>
        <v>4.6324151464047683</v>
      </c>
      <c r="R1686" s="38">
        <f t="shared" ca="1" si="215"/>
        <v>10.114895905779717</v>
      </c>
      <c r="S1686" s="38">
        <f t="shared" ca="1" si="216"/>
        <v>526.56250000000011</v>
      </c>
    </row>
    <row r="1687" spans="13:19">
      <c r="M1687" s="132">
        <f t="shared" ref="M1687:M1750" ca="1" si="218">IF(O1687="","",2*N1687*1000/(Passo*60)+R1687)</f>
        <v>536.99346239343765</v>
      </c>
      <c r="N1687" s="38">
        <f t="shared" ref="N1687:N1750" si="219">IF(O1687="","",b_0*(O1687/100)^c_0)</f>
        <v>15.806249999999999</v>
      </c>
      <c r="O1687" s="36">
        <f t="shared" si="217"/>
        <v>421.5</v>
      </c>
      <c r="P1687" s="38">
        <f ca="1">IF(ISERROR(IF(O1687&lt;fi_h/20,0,(OFFSET('Base de dados'!$A$5,IF(O1687&lt;20,1,IF(O1687&gt;1000,10,MATCH(O1687,Cargas,1))),Coluna_fih,1,1))*(1+0.13*0.25)*(PI()*(fi_h/1000)^2/4)*SQRT(2*9.81*(O1687/100-fi_h/2/1000))*1000)),"",IF(O1687&lt;fi_h/20,0,(OFFSET('Base de dados'!$A$5,IF(O1687&lt;20,1,IF(O1687&gt;1000,10,MATCH(O1687,Cargas,1))),Coluna_fih,1,1))*(PI()*(fi_h/1000)^2/4)*SQRT(2*9.81*(O1687/100-fi_h/2/1000))*1000))</f>
        <v>5.4841141904953155</v>
      </c>
      <c r="Q1687" s="38">
        <f ca="1">IF(O1687="","",IF(Tipo_Vertedor="Retangular",IF(O1687&lt;=cota_s*100,0,IF(Tipo_Vertedor="Retangular",Cd_sr*Lef_sr*((O1687/100-cota_s)^(3/2))*1000)),IF(O1687&lt;=cota_s*100+fi_s/20,0,(OFFSET('Base de dados'!$A$4,IF(O1687&lt;20,1,IF(O1687&gt;1000,10,MATCH(O1687,Cargas,1))),Coluna_fis,1,1))*(PI()*(fi_s/1000)^2/4)*(2*9.81*(O1687/100-cota_s-fi_s/2/1000))^0.5*1000)))</f>
        <v>4.634348202942447</v>
      </c>
      <c r="R1687" s="38">
        <f t="shared" ref="R1687:R1750" ca="1" si="220">IF(O1687="","",Q1687+P1687)</f>
        <v>10.118462393437763</v>
      </c>
      <c r="S1687" s="38">
        <f t="shared" ref="S1687:S1750" ca="1" si="221">IF(M1687="","",2*N1687*1000/(Passo*60))</f>
        <v>526.87499999999989</v>
      </c>
    </row>
    <row r="1688" spans="13:19">
      <c r="M1688" s="132">
        <f t="shared" ca="1" si="218"/>
        <v>537.30952758875594</v>
      </c>
      <c r="N1688" s="38">
        <f t="shared" si="219"/>
        <v>15.815625000000001</v>
      </c>
      <c r="O1688" s="36">
        <f t="shared" si="217"/>
        <v>421.75</v>
      </c>
      <c r="P1688" s="38">
        <f ca="1">IF(ISERROR(IF(O1688&lt;fi_h/20,0,(OFFSET('Base de dados'!$A$5,IF(O1688&lt;20,1,IF(O1688&gt;1000,10,MATCH(O1688,Cargas,1))),Coluna_fih,1,1))*(1+0.13*0.25)*(PI()*(fi_h/1000)^2/4)*SQRT(2*9.81*(O1688/100-fi_h/2/1000))*1000)),"",IF(O1688&lt;fi_h/20,0,(OFFSET('Base de dados'!$A$5,IF(O1688&lt;20,1,IF(O1688&gt;1000,10,MATCH(O1688,Cargas,1))),Coluna_fih,1,1))*(PI()*(fi_h/1000)^2/4)*SQRT(2*9.81*(O1688/100-fi_h/2/1000))*1000))</f>
        <v>5.4857471352467257</v>
      </c>
      <c r="Q1688" s="38">
        <f ca="1">IF(O1688="","",IF(Tipo_Vertedor="Retangular",IF(O1688&lt;=cota_s*100,0,IF(Tipo_Vertedor="Retangular",Cd_sr*Lef_sr*((O1688/100-cota_s)^(3/2))*1000)),IF(O1688&lt;=cota_s*100+fi_s/20,0,(OFFSET('Base de dados'!$A$4,IF(O1688&lt;20,1,IF(O1688&gt;1000,10,MATCH(O1688,Cargas,1))),Coluna_fis,1,1))*(PI()*(fi_s/1000)^2/4)*(2*9.81*(O1688/100-cota_s-fi_s/2/1000))^0.5*1000)))</f>
        <v>4.6362804535091993</v>
      </c>
      <c r="R1688" s="38">
        <f t="shared" ca="1" si="220"/>
        <v>10.122027588755925</v>
      </c>
      <c r="S1688" s="38">
        <f t="shared" ca="1" si="221"/>
        <v>527.1875</v>
      </c>
    </row>
    <row r="1689" spans="13:19">
      <c r="M1689" s="132">
        <f t="shared" ca="1" si="218"/>
        <v>537.62559149317565</v>
      </c>
      <c r="N1689" s="38">
        <f t="shared" si="219"/>
        <v>15.824999999999999</v>
      </c>
      <c r="O1689" s="36">
        <f t="shared" si="217"/>
        <v>422</v>
      </c>
      <c r="P1689" s="38">
        <f ca="1">IF(ISERROR(IF(O1689&lt;fi_h/20,0,(OFFSET('Base de dados'!$A$5,IF(O1689&lt;20,1,IF(O1689&gt;1000,10,MATCH(O1689,Cargas,1))),Coluna_fih,1,1))*(1+0.13*0.25)*(PI()*(fi_h/1000)^2/4)*SQRT(2*9.81*(O1689/100-fi_h/2/1000))*1000)),"",IF(O1689&lt;fi_h/20,0,(OFFSET('Base de dados'!$A$5,IF(O1689&lt;20,1,IF(O1689&gt;1000,10,MATCH(O1689,Cargas,1))),Coluna_fih,1,1))*(PI()*(fi_h/1000)^2/4)*SQRT(2*9.81*(O1689/100-fi_h/2/1000))*1000))</f>
        <v>5.487379594063384</v>
      </c>
      <c r="Q1689" s="38">
        <f ca="1">IF(O1689="","",IF(Tipo_Vertedor="Retangular",IF(O1689&lt;=cota_s*100,0,IF(Tipo_Vertedor="Retangular",Cd_sr*Lef_sr*((O1689/100-cota_s)^(3/2))*1000)),IF(O1689&lt;=cota_s*100+fi_s/20,0,(OFFSET('Base de dados'!$A$4,IF(O1689&lt;20,1,IF(O1689&gt;1000,10,MATCH(O1689,Cargas,1))),Coluna_fis,1,1))*(PI()*(fi_s/1000)^2/4)*(2*9.81*(O1689/100-cota_s-fi_s/2/1000))^0.5*1000)))</f>
        <v>4.6382118991123118</v>
      </c>
      <c r="R1689" s="38">
        <f t="shared" ca="1" si="220"/>
        <v>10.125591493175696</v>
      </c>
      <c r="S1689" s="38">
        <f t="shared" ca="1" si="221"/>
        <v>527.5</v>
      </c>
    </row>
    <row r="1690" spans="13:19">
      <c r="M1690" s="132">
        <f t="shared" ca="1" si="218"/>
        <v>537.94165410813594</v>
      </c>
      <c r="N1690" s="38">
        <f t="shared" si="219"/>
        <v>15.834375000000001</v>
      </c>
      <c r="O1690" s="36">
        <f t="shared" si="217"/>
        <v>422.25</v>
      </c>
      <c r="P1690" s="38">
        <f ca="1">IF(ISERROR(IF(O1690&lt;fi_h/20,0,(OFFSET('Base de dados'!$A$5,IF(O1690&lt;20,1,IF(O1690&gt;1000,10,MATCH(O1690,Cargas,1))),Coluna_fih,1,1))*(1+0.13*0.25)*(PI()*(fi_h/1000)^2/4)*SQRT(2*9.81*(O1690/100-fi_h/2/1000))*1000)),"",IF(O1690&lt;fi_h/20,0,(OFFSET('Base de dados'!$A$5,IF(O1690&lt;20,1,IF(O1690&gt;1000,10,MATCH(O1690,Cargas,1))),Coluna_fih,1,1))*(PI()*(fi_h/1000)^2/4)*SQRT(2*9.81*(O1690/100-fi_h/2/1000))*1000))</f>
        <v>5.4890115673788493</v>
      </c>
      <c r="Q1690" s="38">
        <f ca="1">IF(O1690="","",IF(Tipo_Vertedor="Retangular",IF(O1690&lt;=cota_s*100,0,IF(Tipo_Vertedor="Retangular",Cd_sr*Lef_sr*((O1690/100-cota_s)^(3/2))*1000)),IF(O1690&lt;=cota_s*100+fi_s/20,0,(OFFSET('Base de dados'!$A$4,IF(O1690&lt;20,1,IF(O1690&gt;1000,10,MATCH(O1690,Cargas,1))),Coluna_fis,1,1))*(PI()*(fi_s/1000)^2/4)*(2*9.81*(O1690/100-cota_s-fi_s/2/1000))^0.5*1000)))</f>
        <v>4.640142540756977</v>
      </c>
      <c r="R1690" s="38">
        <f t="shared" ca="1" si="220"/>
        <v>10.129154108135825</v>
      </c>
      <c r="S1690" s="38">
        <f t="shared" ca="1" si="221"/>
        <v>527.81250000000011</v>
      </c>
    </row>
    <row r="1691" spans="13:19">
      <c r="M1691" s="132">
        <f t="shared" ca="1" si="218"/>
        <v>538.25771543507221</v>
      </c>
      <c r="N1691" s="38">
        <f t="shared" si="219"/>
        <v>15.843749999999998</v>
      </c>
      <c r="O1691" s="36">
        <f t="shared" si="217"/>
        <v>422.5</v>
      </c>
      <c r="P1691" s="38">
        <f ca="1">IF(ISERROR(IF(O1691&lt;fi_h/20,0,(OFFSET('Base de dados'!$A$5,IF(O1691&lt;20,1,IF(O1691&gt;1000,10,MATCH(O1691,Cargas,1))),Coluna_fih,1,1))*(1+0.13*0.25)*(PI()*(fi_h/1000)^2/4)*SQRT(2*9.81*(O1691/100-fi_h/2/1000))*1000)),"",IF(O1691&lt;fi_h/20,0,(OFFSET('Base de dados'!$A$5,IF(O1691&lt;20,1,IF(O1691&gt;1000,10,MATCH(O1691,Cargas,1))),Coluna_fih,1,1))*(PI()*(fi_h/1000)^2/4)*SQRT(2*9.81*(O1691/100-fi_h/2/1000))*1000))</f>
        <v>5.4906430556260331</v>
      </c>
      <c r="Q1691" s="38">
        <f ca="1">IF(O1691="","",IF(Tipo_Vertedor="Retangular",IF(O1691&lt;=cota_s*100,0,IF(Tipo_Vertedor="Retangular",Cd_sr*Lef_sr*((O1691/100-cota_s)^(3/2))*1000)),IF(O1691&lt;=cota_s*100+fi_s/20,0,(OFFSET('Base de dados'!$A$4,IF(O1691&lt;20,1,IF(O1691&gt;1000,10,MATCH(O1691,Cargas,1))),Coluna_fis,1,1))*(PI()*(fi_s/1000)^2/4)*(2*9.81*(O1691/100-cota_s-fi_s/2/1000))^0.5*1000)))</f>
        <v>4.6420723794462955</v>
      </c>
      <c r="R1691" s="38">
        <f t="shared" ca="1" si="220"/>
        <v>10.132715435072328</v>
      </c>
      <c r="S1691" s="38">
        <f t="shared" ca="1" si="221"/>
        <v>528.12499999999989</v>
      </c>
    </row>
    <row r="1692" spans="13:19">
      <c r="M1692" s="132">
        <f t="shared" ca="1" si="218"/>
        <v>538.57377547541853</v>
      </c>
      <c r="N1692" s="38">
        <f t="shared" si="219"/>
        <v>15.853125</v>
      </c>
      <c r="O1692" s="36">
        <f t="shared" si="217"/>
        <v>422.75</v>
      </c>
      <c r="P1692" s="38">
        <f ca="1">IF(ISERROR(IF(O1692&lt;fi_h/20,0,(OFFSET('Base de dados'!$A$5,IF(O1692&lt;20,1,IF(O1692&gt;1000,10,MATCH(O1692,Cargas,1))),Coluna_fih,1,1))*(1+0.13*0.25)*(PI()*(fi_h/1000)^2/4)*SQRT(2*9.81*(O1692/100-fi_h/2/1000))*1000)),"",IF(O1692&lt;fi_h/20,0,(OFFSET('Base de dados'!$A$5,IF(O1692&lt;20,1,IF(O1692&gt;1000,10,MATCH(O1692,Cargas,1))),Coluna_fih,1,1))*(PI()*(fi_h/1000)^2/4)*SQRT(2*9.81*(O1692/100-fi_h/2/1000))*1000))</f>
        <v>5.4922740592372081</v>
      </c>
      <c r="Q1692" s="38">
        <f ca="1">IF(O1692="","",IF(Tipo_Vertedor="Retangular",IF(O1692&lt;=cota_s*100,0,IF(Tipo_Vertedor="Retangular",Cd_sr*Lef_sr*((O1692/100-cota_s)^(3/2))*1000)),IF(O1692&lt;=cota_s*100+fi_s/20,0,(OFFSET('Base de dados'!$A$4,IF(O1692&lt;20,1,IF(O1692&gt;1000,10,MATCH(O1692,Cargas,1))),Coluna_fis,1,1))*(PI()*(fi_s/1000)^2/4)*(2*9.81*(O1692/100-cota_s-fi_s/2/1000))^0.5*1000)))</f>
        <v>4.6440014161812835</v>
      </c>
      <c r="R1692" s="38">
        <f t="shared" ca="1" si="220"/>
        <v>10.136275475418492</v>
      </c>
      <c r="S1692" s="38">
        <f t="shared" ca="1" si="221"/>
        <v>528.4375</v>
      </c>
    </row>
    <row r="1693" spans="13:19">
      <c r="M1693" s="132">
        <f t="shared" ca="1" si="218"/>
        <v>538.88983423060483</v>
      </c>
      <c r="N1693" s="38">
        <f t="shared" si="219"/>
        <v>15.862500000000001</v>
      </c>
      <c r="O1693" s="36">
        <f t="shared" si="217"/>
        <v>423</v>
      </c>
      <c r="P1693" s="38">
        <f ca="1">IF(ISERROR(IF(O1693&lt;fi_h/20,0,(OFFSET('Base de dados'!$A$5,IF(O1693&lt;20,1,IF(O1693&gt;1000,10,MATCH(O1693,Cargas,1))),Coluna_fih,1,1))*(1+0.13*0.25)*(PI()*(fi_h/1000)^2/4)*SQRT(2*9.81*(O1693/100-fi_h/2/1000))*1000)),"",IF(O1693&lt;fi_h/20,0,(OFFSET('Base de dados'!$A$5,IF(O1693&lt;20,1,IF(O1693&gt;1000,10,MATCH(O1693,Cargas,1))),Coluna_fih,1,1))*(PI()*(fi_h/1000)^2/4)*SQRT(2*9.81*(O1693/100-fi_h/2/1000))*1000))</f>
        <v>5.4939045786440026</v>
      </c>
      <c r="Q1693" s="38">
        <f ca="1">IF(O1693="","",IF(Tipo_Vertedor="Retangular",IF(O1693&lt;=cota_s*100,0,IF(Tipo_Vertedor="Retangular",Cd_sr*Lef_sr*((O1693/100-cota_s)^(3/2))*1000)),IF(O1693&lt;=cota_s*100+fi_s/20,0,(OFFSET('Base de dados'!$A$4,IF(O1693&lt;20,1,IF(O1693&gt;1000,10,MATCH(O1693,Cargas,1))),Coluna_fis,1,1))*(PI()*(fi_s/1000)^2/4)*(2*9.81*(O1693/100-cota_s-fi_s/2/1000))^0.5*1000)))</f>
        <v>4.6459296519608806</v>
      </c>
      <c r="R1693" s="38">
        <f t="shared" ca="1" si="220"/>
        <v>10.139834230604883</v>
      </c>
      <c r="S1693" s="38">
        <f t="shared" ca="1" si="221"/>
        <v>528.75</v>
      </c>
    </row>
    <row r="1694" spans="13:19">
      <c r="M1694" s="132">
        <f t="shared" ca="1" si="218"/>
        <v>539.20589170205938</v>
      </c>
      <c r="N1694" s="38">
        <f t="shared" si="219"/>
        <v>15.871874999999999</v>
      </c>
      <c r="O1694" s="36">
        <f t="shared" si="217"/>
        <v>423.25</v>
      </c>
      <c r="P1694" s="38">
        <f ca="1">IF(ISERROR(IF(O1694&lt;fi_h/20,0,(OFFSET('Base de dados'!$A$5,IF(O1694&lt;20,1,IF(O1694&gt;1000,10,MATCH(O1694,Cargas,1))),Coluna_fih,1,1))*(1+0.13*0.25)*(PI()*(fi_h/1000)^2/4)*SQRT(2*9.81*(O1694/100-fi_h/2/1000))*1000)),"",IF(O1694&lt;fi_h/20,0,(OFFSET('Base de dados'!$A$5,IF(O1694&lt;20,1,IF(O1694&gt;1000,10,MATCH(O1694,Cargas,1))),Coluna_fih,1,1))*(PI()*(fi_h/1000)^2/4)*SQRT(2*9.81*(O1694/100-fi_h/2/1000))*1000))</f>
        <v>5.4955346142774069</v>
      </c>
      <c r="Q1694" s="38">
        <f ca="1">IF(O1694="","",IF(Tipo_Vertedor="Retangular",IF(O1694&lt;=cota_s*100,0,IF(Tipo_Vertedor="Retangular",Cd_sr*Lef_sr*((O1694/100-cota_s)^(3/2))*1000)),IF(O1694&lt;=cota_s*100+fi_s/20,0,(OFFSET('Base de dados'!$A$4,IF(O1694&lt;20,1,IF(O1694&gt;1000,10,MATCH(O1694,Cargas,1))),Coluna_fis,1,1))*(PI()*(fi_s/1000)^2/4)*(2*9.81*(O1694/100-cota_s-fi_s/2/1000))^0.5*1000)))</f>
        <v>4.6478570877819507</v>
      </c>
      <c r="R1694" s="38">
        <f t="shared" ca="1" si="220"/>
        <v>10.143391702059358</v>
      </c>
      <c r="S1694" s="38">
        <f t="shared" ca="1" si="221"/>
        <v>529.0625</v>
      </c>
    </row>
    <row r="1695" spans="13:19">
      <c r="M1695" s="132">
        <f t="shared" ca="1" si="218"/>
        <v>539.52194789120722</v>
      </c>
      <c r="N1695" s="38">
        <f t="shared" si="219"/>
        <v>15.881250000000001</v>
      </c>
      <c r="O1695" s="36">
        <f t="shared" si="217"/>
        <v>423.5</v>
      </c>
      <c r="P1695" s="38">
        <f ca="1">IF(ISERROR(IF(O1695&lt;fi_h/20,0,(OFFSET('Base de dados'!$A$5,IF(O1695&lt;20,1,IF(O1695&gt;1000,10,MATCH(O1695,Cargas,1))),Coluna_fih,1,1))*(1+0.13*0.25)*(PI()*(fi_h/1000)^2/4)*SQRT(2*9.81*(O1695/100-fi_h/2/1000))*1000)),"",IF(O1695&lt;fi_h/20,0,(OFFSET('Base de dados'!$A$5,IF(O1695&lt;20,1,IF(O1695&gt;1000,10,MATCH(O1695,Cargas,1))),Coluna_fih,1,1))*(PI()*(fi_h/1000)^2/4)*SQRT(2*9.81*(O1695/100-fi_h/2/1000))*1000))</f>
        <v>5.4971641665677673</v>
      </c>
      <c r="Q1695" s="38">
        <f ca="1">IF(O1695="","",IF(Tipo_Vertedor="Retangular",IF(O1695&lt;=cota_s*100,0,IF(Tipo_Vertedor="Retangular",Cd_sr*Lef_sr*((O1695/100-cota_s)^(3/2))*1000)),IF(O1695&lt;=cota_s*100+fi_s/20,0,(OFFSET('Base de dados'!$A$4,IF(O1695&lt;20,1,IF(O1695&gt;1000,10,MATCH(O1695,Cargas,1))),Coluna_fis,1,1))*(PI()*(fi_s/1000)^2/4)*(2*9.81*(O1695/100-cota_s-fi_s/2/1000))^0.5*1000)))</f>
        <v>4.6497837246392972</v>
      </c>
      <c r="R1695" s="38">
        <f t="shared" ca="1" si="220"/>
        <v>10.146947891207065</v>
      </c>
      <c r="S1695" s="38">
        <f t="shared" ca="1" si="221"/>
        <v>529.37500000000011</v>
      </c>
    </row>
    <row r="1696" spans="13:19">
      <c r="M1696" s="132">
        <f t="shared" ca="1" si="218"/>
        <v>539.83800279947047</v>
      </c>
      <c r="N1696" s="38">
        <f t="shared" si="219"/>
        <v>15.890625</v>
      </c>
      <c r="O1696" s="36">
        <f t="shared" si="217"/>
        <v>423.75</v>
      </c>
      <c r="P1696" s="38">
        <f ca="1">IF(ISERROR(IF(O1696&lt;fi_h/20,0,(OFFSET('Base de dados'!$A$5,IF(O1696&lt;20,1,IF(O1696&gt;1000,10,MATCH(O1696,Cargas,1))),Coluna_fih,1,1))*(1+0.13*0.25)*(PI()*(fi_h/1000)^2/4)*SQRT(2*9.81*(O1696/100-fi_h/2/1000))*1000)),"",IF(O1696&lt;fi_h/20,0,(OFFSET('Base de dados'!$A$5,IF(O1696&lt;20,1,IF(O1696&gt;1000,10,MATCH(O1696,Cargas,1))),Coluna_fih,1,1))*(PI()*(fi_h/1000)^2/4)*SQRT(2*9.81*(O1696/100-fi_h/2/1000))*1000))</f>
        <v>5.498793235944798</v>
      </c>
      <c r="Q1696" s="38">
        <f ca="1">IF(O1696="","",IF(Tipo_Vertedor="Retangular",IF(O1696&lt;=cota_s*100,0,IF(Tipo_Vertedor="Retangular",Cd_sr*Lef_sr*((O1696/100-cota_s)^(3/2))*1000)),IF(O1696&lt;=cota_s*100+fi_s/20,0,(OFFSET('Base de dados'!$A$4,IF(O1696&lt;20,1,IF(O1696&gt;1000,10,MATCH(O1696,Cargas,1))),Coluna_fis,1,1))*(PI()*(fi_s/1000)^2/4)*(2*9.81*(O1696/100-cota_s-fi_s/2/1000))^0.5*1000)))</f>
        <v>4.6517095635256576</v>
      </c>
      <c r="R1696" s="38">
        <f t="shared" ca="1" si="220"/>
        <v>10.150502799470456</v>
      </c>
      <c r="S1696" s="38">
        <f t="shared" ca="1" si="221"/>
        <v>529.6875</v>
      </c>
    </row>
    <row r="1697" spans="13:19">
      <c r="M1697" s="132">
        <f t="shared" ca="1" si="218"/>
        <v>540.15405642826931</v>
      </c>
      <c r="N1697" s="38">
        <f t="shared" si="219"/>
        <v>15.9</v>
      </c>
      <c r="O1697" s="36">
        <f t="shared" si="217"/>
        <v>424</v>
      </c>
      <c r="P1697" s="38">
        <f ca="1">IF(ISERROR(IF(O1697&lt;fi_h/20,0,(OFFSET('Base de dados'!$A$5,IF(O1697&lt;20,1,IF(O1697&gt;1000,10,MATCH(O1697,Cargas,1))),Coluna_fih,1,1))*(1+0.13*0.25)*(PI()*(fi_h/1000)^2/4)*SQRT(2*9.81*(O1697/100-fi_h/2/1000))*1000)),"",IF(O1697&lt;fi_h/20,0,(OFFSET('Base de dados'!$A$5,IF(O1697&lt;20,1,IF(O1697&gt;1000,10,MATCH(O1697,Cargas,1))),Coluna_fih,1,1))*(PI()*(fi_h/1000)^2/4)*SQRT(2*9.81*(O1697/100-fi_h/2/1000))*1000))</f>
        <v>5.5004218228375761</v>
      </c>
      <c r="Q1697" s="38">
        <f ca="1">IF(O1697="","",IF(Tipo_Vertedor="Retangular",IF(O1697&lt;=cota_s*100,0,IF(Tipo_Vertedor="Retangular",Cd_sr*Lef_sr*((O1697/100-cota_s)^(3/2))*1000)),IF(O1697&lt;=cota_s*100+fi_s/20,0,(OFFSET('Base de dados'!$A$4,IF(O1697&lt;20,1,IF(O1697&gt;1000,10,MATCH(O1697,Cargas,1))),Coluna_fis,1,1))*(PI()*(fi_s/1000)^2/4)*(2*9.81*(O1697/100-cota_s-fi_s/2/1000))^0.5*1000)))</f>
        <v>4.6536346054317201</v>
      </c>
      <c r="R1697" s="38">
        <f t="shared" ca="1" si="220"/>
        <v>10.154056428269296</v>
      </c>
      <c r="S1697" s="38">
        <f t="shared" ca="1" si="221"/>
        <v>530</v>
      </c>
    </row>
    <row r="1698" spans="13:19">
      <c r="M1698" s="132">
        <f t="shared" ca="1" si="218"/>
        <v>540.47010877902051</v>
      </c>
      <c r="N1698" s="38">
        <f t="shared" si="219"/>
        <v>15.909374999999999</v>
      </c>
      <c r="O1698" s="36">
        <f t="shared" si="217"/>
        <v>424.25</v>
      </c>
      <c r="P1698" s="38">
        <f ca="1">IF(ISERROR(IF(O1698&lt;fi_h/20,0,(OFFSET('Base de dados'!$A$5,IF(O1698&lt;20,1,IF(O1698&gt;1000,10,MATCH(O1698,Cargas,1))),Coluna_fih,1,1))*(1+0.13*0.25)*(PI()*(fi_h/1000)^2/4)*SQRT(2*9.81*(O1698/100-fi_h/2/1000))*1000)),"",IF(O1698&lt;fi_h/20,0,(OFFSET('Base de dados'!$A$5,IF(O1698&lt;20,1,IF(O1698&gt;1000,10,MATCH(O1698,Cargas,1))),Coluna_fih,1,1))*(PI()*(fi_h/1000)^2/4)*SQRT(2*9.81*(O1698/100-fi_h/2/1000))*1000))</f>
        <v>5.5020499276745394</v>
      </c>
      <c r="Q1698" s="38">
        <f ca="1">IF(O1698="","",IF(Tipo_Vertedor="Retangular",IF(O1698&lt;=cota_s*100,0,IF(Tipo_Vertedor="Retangular",Cd_sr*Lef_sr*((O1698/100-cota_s)^(3/2))*1000)),IF(O1698&lt;=cota_s*100+fi_s/20,0,(OFFSET('Base de dados'!$A$4,IF(O1698&lt;20,1,IF(O1698&gt;1000,10,MATCH(O1698,Cargas,1))),Coluna_fis,1,1))*(PI()*(fi_s/1000)^2/4)*(2*9.81*(O1698/100-cota_s-fi_s/2/1000))^0.5*1000)))</f>
        <v>4.6555588513461208</v>
      </c>
      <c r="R1698" s="38">
        <f t="shared" ca="1" si="220"/>
        <v>10.157608779020659</v>
      </c>
      <c r="S1698" s="38">
        <f t="shared" ca="1" si="221"/>
        <v>530.31249999999989</v>
      </c>
    </row>
    <row r="1699" spans="13:19">
      <c r="M1699" s="132">
        <f t="shared" ca="1" si="218"/>
        <v>540.78615985313911</v>
      </c>
      <c r="N1699" s="38">
        <f t="shared" si="219"/>
        <v>15.918750000000001</v>
      </c>
      <c r="O1699" s="36">
        <f t="shared" si="217"/>
        <v>424.5</v>
      </c>
      <c r="P1699" s="38">
        <f ca="1">IF(ISERROR(IF(O1699&lt;fi_h/20,0,(OFFSET('Base de dados'!$A$5,IF(O1699&lt;20,1,IF(O1699&gt;1000,10,MATCH(O1699,Cargas,1))),Coluna_fih,1,1))*(1+0.13*0.25)*(PI()*(fi_h/1000)^2/4)*SQRT(2*9.81*(O1699/100-fi_h/2/1000))*1000)),"",IF(O1699&lt;fi_h/20,0,(OFFSET('Base de dados'!$A$5,IF(O1699&lt;20,1,IF(O1699&gt;1000,10,MATCH(O1699,Cargas,1))),Coluna_fih,1,1))*(PI()*(fi_h/1000)^2/4)*SQRT(2*9.81*(O1699/100-fi_h/2/1000))*1000))</f>
        <v>5.5036775508834994</v>
      </c>
      <c r="Q1699" s="38">
        <f ca="1">IF(O1699="","",IF(Tipo_Vertedor="Retangular",IF(O1699&lt;=cota_s*100,0,IF(Tipo_Vertedor="Retangular",Cd_sr*Lef_sr*((O1699/100-cota_s)^(3/2))*1000)),IF(O1699&lt;=cota_s*100+fi_s/20,0,(OFFSET('Base de dados'!$A$4,IF(O1699&lt;20,1,IF(O1699&gt;1000,10,MATCH(O1699,Cargas,1))),Coluna_fis,1,1))*(PI()*(fi_s/1000)^2/4)*(2*9.81*(O1699/100-cota_s-fi_s/2/1000))^0.5*1000)))</f>
        <v>4.6574823022554579</v>
      </c>
      <c r="R1699" s="38">
        <f t="shared" ca="1" si="220"/>
        <v>10.161159853138958</v>
      </c>
      <c r="S1699" s="38">
        <f t="shared" ca="1" si="221"/>
        <v>530.62500000000011</v>
      </c>
    </row>
    <row r="1700" spans="13:19">
      <c r="M1700" s="132">
        <f t="shared" ca="1" si="218"/>
        <v>541.10220965203575</v>
      </c>
      <c r="N1700" s="38">
        <f t="shared" si="219"/>
        <v>15.928124999999998</v>
      </c>
      <c r="O1700" s="36">
        <f t="shared" si="217"/>
        <v>424.75</v>
      </c>
      <c r="P1700" s="38">
        <f ca="1">IF(ISERROR(IF(O1700&lt;fi_h/20,0,(OFFSET('Base de dados'!$A$5,IF(O1700&lt;20,1,IF(O1700&gt;1000,10,MATCH(O1700,Cargas,1))),Coluna_fih,1,1))*(1+0.13*0.25)*(PI()*(fi_h/1000)^2/4)*SQRT(2*9.81*(O1700/100-fi_h/2/1000))*1000)),"",IF(O1700&lt;fi_h/20,0,(OFFSET('Base de dados'!$A$5,IF(O1700&lt;20,1,IF(O1700&gt;1000,10,MATCH(O1700,Cargas,1))),Coluna_fih,1,1))*(PI()*(fi_h/1000)^2/4)*SQRT(2*9.81*(O1700/100-fi_h/2/1000))*1000))</f>
        <v>5.5053046928916256</v>
      </c>
      <c r="Q1700" s="38">
        <f ca="1">IF(O1700="","",IF(Tipo_Vertedor="Retangular",IF(O1700&lt;=cota_s*100,0,IF(Tipo_Vertedor="Retangular",Cd_sr*Lef_sr*((O1700/100-cota_s)^(3/2))*1000)),IF(O1700&lt;=cota_s*100+fi_s/20,0,(OFFSET('Base de dados'!$A$4,IF(O1700&lt;20,1,IF(O1700&gt;1000,10,MATCH(O1700,Cargas,1))),Coluna_fis,1,1))*(PI()*(fi_s/1000)^2/4)*(2*9.81*(O1700/100-cota_s-fi_s/2/1000))^0.5*1000)))</f>
        <v>4.6594049591442861</v>
      </c>
      <c r="R1700" s="38">
        <f t="shared" ca="1" si="220"/>
        <v>10.164709652035912</v>
      </c>
      <c r="S1700" s="38">
        <f t="shared" ca="1" si="221"/>
        <v>530.93749999999989</v>
      </c>
    </row>
    <row r="1701" spans="13:19">
      <c r="M1701" s="132">
        <f t="shared" ca="1" si="218"/>
        <v>541.41825817712061</v>
      </c>
      <c r="N1701" s="38">
        <f t="shared" si="219"/>
        <v>15.9375</v>
      </c>
      <c r="O1701" s="36">
        <f t="shared" si="217"/>
        <v>425</v>
      </c>
      <c r="P1701" s="38">
        <f ca="1">IF(ISERROR(IF(O1701&lt;fi_h/20,0,(OFFSET('Base de dados'!$A$5,IF(O1701&lt;20,1,IF(O1701&gt;1000,10,MATCH(O1701,Cargas,1))),Coluna_fih,1,1))*(1+0.13*0.25)*(PI()*(fi_h/1000)^2/4)*SQRT(2*9.81*(O1701/100-fi_h/2/1000))*1000)),"",IF(O1701&lt;fi_h/20,0,(OFFSET('Base de dados'!$A$5,IF(O1701&lt;20,1,IF(O1701&gt;1000,10,MATCH(O1701,Cargas,1))),Coluna_fih,1,1))*(PI()*(fi_h/1000)^2/4)*SQRT(2*9.81*(O1701/100-fi_h/2/1000))*1000))</f>
        <v>5.5069313541254665</v>
      </c>
      <c r="Q1701" s="38">
        <f ca="1">IF(O1701="","",IF(Tipo_Vertedor="Retangular",IF(O1701&lt;=cota_s*100,0,IF(Tipo_Vertedor="Retangular",Cd_sr*Lef_sr*((O1701/100-cota_s)^(3/2))*1000)),IF(O1701&lt;=cota_s*100+fi_s/20,0,(OFFSET('Base de dados'!$A$4,IF(O1701&lt;20,1,IF(O1701&gt;1000,10,MATCH(O1701,Cargas,1))),Coluna_fis,1,1))*(PI()*(fi_s/1000)^2/4)*(2*9.81*(O1701/100-cota_s-fi_s/2/1000))^0.5*1000)))</f>
        <v>4.6613268229951377</v>
      </c>
      <c r="R1701" s="38">
        <f t="shared" ca="1" si="220"/>
        <v>10.168258177120604</v>
      </c>
      <c r="S1701" s="38">
        <f t="shared" ca="1" si="221"/>
        <v>531.25</v>
      </c>
    </row>
    <row r="1702" spans="13:19">
      <c r="M1702" s="132">
        <f t="shared" ca="1" si="218"/>
        <v>541.73430542979952</v>
      </c>
      <c r="N1702" s="38">
        <f t="shared" si="219"/>
        <v>15.946875000000002</v>
      </c>
      <c r="O1702" s="36">
        <f t="shared" si="217"/>
        <v>425.25</v>
      </c>
      <c r="P1702" s="38">
        <f ca="1">IF(ISERROR(IF(O1702&lt;fi_h/20,0,(OFFSET('Base de dados'!$A$5,IF(O1702&lt;20,1,IF(O1702&gt;1000,10,MATCH(O1702,Cargas,1))),Coluna_fih,1,1))*(1+0.13*0.25)*(PI()*(fi_h/1000)^2/4)*SQRT(2*9.81*(O1702/100-fi_h/2/1000))*1000)),"",IF(O1702&lt;fi_h/20,0,(OFFSET('Base de dados'!$A$5,IF(O1702&lt;20,1,IF(O1702&gt;1000,10,MATCH(O1702,Cargas,1))),Coluna_fih,1,1))*(PI()*(fi_h/1000)^2/4)*SQRT(2*9.81*(O1702/100-fi_h/2/1000))*1000))</f>
        <v>5.508557535010933</v>
      </c>
      <c r="Q1702" s="38">
        <f ca="1">IF(O1702="","",IF(Tipo_Vertedor="Retangular",IF(O1702&lt;=cota_s*100,0,IF(Tipo_Vertedor="Retangular",Cd_sr*Lef_sr*((O1702/100-cota_s)^(3/2))*1000)),IF(O1702&lt;=cota_s*100+fi_s/20,0,(OFFSET('Base de dados'!$A$4,IF(O1702&lt;20,1,IF(O1702&gt;1000,10,MATCH(O1702,Cargas,1))),Coluna_fis,1,1))*(PI()*(fi_s/1000)^2/4)*(2*9.81*(O1702/100-cota_s-fi_s/2/1000))^0.5*1000)))</f>
        <v>4.6632478947885154</v>
      </c>
      <c r="R1702" s="38">
        <f t="shared" ca="1" si="220"/>
        <v>10.171805429799448</v>
      </c>
      <c r="S1702" s="38">
        <f t="shared" ca="1" si="221"/>
        <v>531.56250000000011</v>
      </c>
    </row>
    <row r="1703" spans="13:19">
      <c r="M1703" s="132">
        <f t="shared" ca="1" si="218"/>
        <v>542.05035141147607</v>
      </c>
      <c r="N1703" s="38">
        <f t="shared" si="219"/>
        <v>15.956249999999999</v>
      </c>
      <c r="O1703" s="36">
        <f t="shared" si="217"/>
        <v>425.5</v>
      </c>
      <c r="P1703" s="38">
        <f ca="1">IF(ISERROR(IF(O1703&lt;fi_h/20,0,(OFFSET('Base de dados'!$A$5,IF(O1703&lt;20,1,IF(O1703&gt;1000,10,MATCH(O1703,Cargas,1))),Coluna_fih,1,1))*(1+0.13*0.25)*(PI()*(fi_h/1000)^2/4)*SQRT(2*9.81*(O1703/100-fi_h/2/1000))*1000)),"",IF(O1703&lt;fi_h/20,0,(OFFSET('Base de dados'!$A$5,IF(O1703&lt;20,1,IF(O1703&gt;1000,10,MATCH(O1703,Cargas,1))),Coluna_fih,1,1))*(PI()*(fi_h/1000)^2/4)*SQRT(2*9.81*(O1703/100-fi_h/2/1000))*1000))</f>
        <v>5.5101832359733098</v>
      </c>
      <c r="Q1703" s="38">
        <f ca="1">IF(O1703="","",IF(Tipo_Vertedor="Retangular",IF(O1703&lt;=cota_s*100,0,IF(Tipo_Vertedor="Retangular",Cd_sr*Lef_sr*((O1703/100-cota_s)^(3/2))*1000)),IF(O1703&lt;=cota_s*100+fi_s/20,0,(OFFSET('Base de dados'!$A$4,IF(O1703&lt;20,1,IF(O1703&gt;1000,10,MATCH(O1703,Cargas,1))),Coluna_fis,1,1))*(PI()*(fi_s/1000)^2/4)*(2*9.81*(O1703/100-cota_s-fi_s/2/1000))^0.5*1000)))</f>
        <v>4.6651681755029042</v>
      </c>
      <c r="R1703" s="38">
        <f t="shared" ca="1" si="220"/>
        <v>10.175351411476214</v>
      </c>
      <c r="S1703" s="38">
        <f t="shared" ca="1" si="221"/>
        <v>531.87499999999989</v>
      </c>
    </row>
    <row r="1704" spans="13:19">
      <c r="M1704" s="132">
        <f t="shared" ca="1" si="218"/>
        <v>542.36639612355214</v>
      </c>
      <c r="N1704" s="38">
        <f t="shared" si="219"/>
        <v>15.965625000000001</v>
      </c>
      <c r="O1704" s="36">
        <f t="shared" si="217"/>
        <v>425.75</v>
      </c>
      <c r="P1704" s="38">
        <f ca="1">IF(ISERROR(IF(O1704&lt;fi_h/20,0,(OFFSET('Base de dados'!$A$5,IF(O1704&lt;20,1,IF(O1704&gt;1000,10,MATCH(O1704,Cargas,1))),Coluna_fih,1,1))*(1+0.13*0.25)*(PI()*(fi_h/1000)^2/4)*SQRT(2*9.81*(O1704/100-fi_h/2/1000))*1000)),"",IF(O1704&lt;fi_h/20,0,(OFFSET('Base de dados'!$A$5,IF(O1704&lt;20,1,IF(O1704&gt;1000,10,MATCH(O1704,Cargas,1))),Coluna_fih,1,1))*(PI()*(fi_h/1000)^2/4)*SQRT(2*9.81*(O1704/100-fi_h/2/1000))*1000))</f>
        <v>5.5118084574372563</v>
      </c>
      <c r="Q1704" s="38">
        <f ca="1">IF(O1704="","",IF(Tipo_Vertedor="Retangular",IF(O1704&lt;=cota_s*100,0,IF(Tipo_Vertedor="Retangular",Cd_sr*Lef_sr*((O1704/100-cota_s)^(3/2))*1000)),IF(O1704&lt;=cota_s*100+fi_s/20,0,(OFFSET('Base de dados'!$A$4,IF(O1704&lt;20,1,IF(O1704&gt;1000,10,MATCH(O1704,Cargas,1))),Coluna_fis,1,1))*(PI()*(fi_s/1000)^2/4)*(2*9.81*(O1704/100-cota_s-fi_s/2/1000))^0.5*1000)))</f>
        <v>4.6670876661147762</v>
      </c>
      <c r="R1704" s="38">
        <f t="shared" ca="1" si="220"/>
        <v>10.178896123552033</v>
      </c>
      <c r="S1704" s="38">
        <f t="shared" ca="1" si="221"/>
        <v>532.18750000000011</v>
      </c>
    </row>
    <row r="1705" spans="13:19">
      <c r="M1705" s="132">
        <f t="shared" ca="1" si="218"/>
        <v>542.68243956742538</v>
      </c>
      <c r="N1705" s="38">
        <f t="shared" si="219"/>
        <v>15.975</v>
      </c>
      <c r="O1705" s="36">
        <f t="shared" si="217"/>
        <v>426</v>
      </c>
      <c r="P1705" s="38">
        <f ca="1">IF(ISERROR(IF(O1705&lt;fi_h/20,0,(OFFSET('Base de dados'!$A$5,IF(O1705&lt;20,1,IF(O1705&gt;1000,10,MATCH(O1705,Cargas,1))),Coluna_fih,1,1))*(1+0.13*0.25)*(PI()*(fi_h/1000)^2/4)*SQRT(2*9.81*(O1705/100-fi_h/2/1000))*1000)),"",IF(O1705&lt;fi_h/20,0,(OFFSET('Base de dados'!$A$5,IF(O1705&lt;20,1,IF(O1705&gt;1000,10,MATCH(O1705,Cargas,1))),Coluna_fih,1,1))*(PI()*(fi_h/1000)^2/4)*SQRT(2*9.81*(O1705/100-fi_h/2/1000))*1000))</f>
        <v>5.5134331998268049</v>
      </c>
      <c r="Q1705" s="38">
        <f ca="1">IF(O1705="","",IF(Tipo_Vertedor="Retangular",IF(O1705&lt;=cota_s*100,0,IF(Tipo_Vertedor="Retangular",Cd_sr*Lef_sr*((O1705/100-cota_s)^(3/2))*1000)),IF(O1705&lt;=cota_s*100+fi_s/20,0,(OFFSET('Base de dados'!$A$4,IF(O1705&lt;20,1,IF(O1705&gt;1000,10,MATCH(O1705,Cargas,1))),Coluna_fis,1,1))*(PI()*(fi_s/1000)^2/4)*(2*9.81*(O1705/100-cota_s-fi_s/2/1000))^0.5*1000)))</f>
        <v>4.6690063675985973</v>
      </c>
      <c r="R1705" s="38">
        <f t="shared" ca="1" si="220"/>
        <v>10.182439567425401</v>
      </c>
      <c r="S1705" s="38">
        <f t="shared" ca="1" si="221"/>
        <v>532.5</v>
      </c>
    </row>
    <row r="1706" spans="13:19">
      <c r="M1706" s="132">
        <f t="shared" ca="1" si="218"/>
        <v>542.99848174449221</v>
      </c>
      <c r="N1706" s="38">
        <f t="shared" si="219"/>
        <v>15.984375</v>
      </c>
      <c r="O1706" s="36">
        <f t="shared" si="217"/>
        <v>426.25</v>
      </c>
      <c r="P1706" s="38">
        <f ca="1">IF(ISERROR(IF(O1706&lt;fi_h/20,0,(OFFSET('Base de dados'!$A$5,IF(O1706&lt;20,1,IF(O1706&gt;1000,10,MATCH(O1706,Cargas,1))),Coluna_fih,1,1))*(1+0.13*0.25)*(PI()*(fi_h/1000)^2/4)*SQRT(2*9.81*(O1706/100-fi_h/2/1000))*1000)),"",IF(O1706&lt;fi_h/20,0,(OFFSET('Base de dados'!$A$5,IF(O1706&lt;20,1,IF(O1706&gt;1000,10,MATCH(O1706,Cargas,1))),Coluna_fih,1,1))*(PI()*(fi_h/1000)^2/4)*SQRT(2*9.81*(O1706/100-fi_h/2/1000))*1000))</f>
        <v>5.5150574635653635</v>
      </c>
      <c r="Q1706" s="38">
        <f ca="1">IF(O1706="","",IF(Tipo_Vertedor="Retangular",IF(O1706&lt;=cota_s*100,0,IF(Tipo_Vertedor="Retangular",Cd_sr*Lef_sr*((O1706/100-cota_s)^(3/2))*1000)),IF(O1706&lt;=cota_s*100+fi_s/20,0,(OFFSET('Base de dados'!$A$4,IF(O1706&lt;20,1,IF(O1706&gt;1000,10,MATCH(O1706,Cargas,1))),Coluna_fis,1,1))*(PI()*(fi_s/1000)^2/4)*(2*9.81*(O1706/100-cota_s-fi_s/2/1000))^0.5*1000)))</f>
        <v>4.6709242809268297</v>
      </c>
      <c r="R1706" s="38">
        <f t="shared" ca="1" si="220"/>
        <v>10.185981744492192</v>
      </c>
      <c r="S1706" s="38">
        <f t="shared" ca="1" si="221"/>
        <v>532.8125</v>
      </c>
    </row>
    <row r="1707" spans="13:19">
      <c r="M1707" s="132">
        <f t="shared" ca="1" si="218"/>
        <v>543.31452265614553</v>
      </c>
      <c r="N1707" s="38">
        <f t="shared" si="219"/>
        <v>15.993749999999999</v>
      </c>
      <c r="O1707" s="36">
        <f t="shared" si="217"/>
        <v>426.5</v>
      </c>
      <c r="P1707" s="38">
        <f ca="1">IF(ISERROR(IF(O1707&lt;fi_h/20,0,(OFFSET('Base de dados'!$A$5,IF(O1707&lt;20,1,IF(O1707&gt;1000,10,MATCH(O1707,Cargas,1))),Coluna_fih,1,1))*(1+0.13*0.25)*(PI()*(fi_h/1000)^2/4)*SQRT(2*9.81*(O1707/100-fi_h/2/1000))*1000)),"",IF(O1707&lt;fi_h/20,0,(OFFSET('Base de dados'!$A$5,IF(O1707&lt;20,1,IF(O1707&gt;1000,10,MATCH(O1707,Cargas,1))),Coluna_fih,1,1))*(PI()*(fi_h/1000)^2/4)*SQRT(2*9.81*(O1707/100-fi_h/2/1000))*1000))</f>
        <v>5.5166812490757158</v>
      </c>
      <c r="Q1707" s="38">
        <f ca="1">IF(O1707="","",IF(Tipo_Vertedor="Retangular",IF(O1707&lt;=cota_s*100,0,IF(Tipo_Vertedor="Retangular",Cd_sr*Lef_sr*((O1707/100-cota_s)^(3/2))*1000)),IF(O1707&lt;=cota_s*100+fi_s/20,0,(OFFSET('Base de dados'!$A$4,IF(O1707&lt;20,1,IF(O1707&gt;1000,10,MATCH(O1707,Cargas,1))),Coluna_fis,1,1))*(PI()*(fi_s/1000)^2/4)*(2*9.81*(O1707/100-cota_s-fi_s/2/1000))^0.5*1000)))</f>
        <v>4.6728414070699413</v>
      </c>
      <c r="R1707" s="38">
        <f t="shared" ca="1" si="220"/>
        <v>10.189522656145657</v>
      </c>
      <c r="S1707" s="38">
        <f t="shared" ca="1" si="221"/>
        <v>533.12499999999989</v>
      </c>
    </row>
    <row r="1708" spans="13:19">
      <c r="M1708" s="132">
        <f t="shared" ca="1" si="218"/>
        <v>543.6305623037764</v>
      </c>
      <c r="N1708" s="38">
        <f t="shared" si="219"/>
        <v>16.003125000000001</v>
      </c>
      <c r="O1708" s="36">
        <f t="shared" si="217"/>
        <v>426.75</v>
      </c>
      <c r="P1708" s="38">
        <f ca="1">IF(ISERROR(IF(O1708&lt;fi_h/20,0,(OFFSET('Base de dados'!$A$5,IF(O1708&lt;20,1,IF(O1708&gt;1000,10,MATCH(O1708,Cargas,1))),Coluna_fih,1,1))*(1+0.13*0.25)*(PI()*(fi_h/1000)^2/4)*SQRT(2*9.81*(O1708/100-fi_h/2/1000))*1000)),"",IF(O1708&lt;fi_h/20,0,(OFFSET('Base de dados'!$A$5,IF(O1708&lt;20,1,IF(O1708&gt;1000,10,MATCH(O1708,Cargas,1))),Coluna_fih,1,1))*(PI()*(fi_h/1000)^2/4)*SQRT(2*9.81*(O1708/100-fi_h/2/1000))*1000))</f>
        <v>5.5183045567800235</v>
      </c>
      <c r="Q1708" s="38">
        <f ca="1">IF(O1708="","",IF(Tipo_Vertedor="Retangular",IF(O1708&lt;=cota_s*100,0,IF(Tipo_Vertedor="Retangular",Cd_sr*Lef_sr*((O1708/100-cota_s)^(3/2))*1000)),IF(O1708&lt;=cota_s*100+fi_s/20,0,(OFFSET('Base de dados'!$A$4,IF(O1708&lt;20,1,IF(O1708&gt;1000,10,MATCH(O1708,Cargas,1))),Coluna_fis,1,1))*(PI()*(fi_s/1000)^2/4)*(2*9.81*(O1708/100-cota_s-fi_s/2/1000))^0.5*1000)))</f>
        <v>4.6747577469964119</v>
      </c>
      <c r="R1708" s="38">
        <f t="shared" ca="1" si="220"/>
        <v>10.193062303776436</v>
      </c>
      <c r="S1708" s="38">
        <f t="shared" ca="1" si="221"/>
        <v>533.4375</v>
      </c>
    </row>
    <row r="1709" spans="13:19">
      <c r="M1709" s="132">
        <f t="shared" ca="1" si="218"/>
        <v>543.94660068877261</v>
      </c>
      <c r="N1709" s="38">
        <f t="shared" si="219"/>
        <v>16.012499999999999</v>
      </c>
      <c r="O1709" s="36">
        <f t="shared" si="217"/>
        <v>427</v>
      </c>
      <c r="P1709" s="38">
        <f ca="1">IF(ISERROR(IF(O1709&lt;fi_h/20,0,(OFFSET('Base de dados'!$A$5,IF(O1709&lt;20,1,IF(O1709&gt;1000,10,MATCH(O1709,Cargas,1))),Coluna_fih,1,1))*(1+0.13*0.25)*(PI()*(fi_h/1000)^2/4)*SQRT(2*9.81*(O1709/100-fi_h/2/1000))*1000)),"",IF(O1709&lt;fi_h/20,0,(OFFSET('Base de dados'!$A$5,IF(O1709&lt;20,1,IF(O1709&gt;1000,10,MATCH(O1709,Cargas,1))),Coluna_fih,1,1))*(PI()*(fi_h/1000)^2/4)*SQRT(2*9.81*(O1709/100-fi_h/2/1000))*1000))</f>
        <v>5.5199273870998287</v>
      </c>
      <c r="Q1709" s="38">
        <f ca="1">IF(O1709="","",IF(Tipo_Vertedor="Retangular",IF(O1709&lt;=cota_s*100,0,IF(Tipo_Vertedor="Retangular",Cd_sr*Lef_sr*((O1709/100-cota_s)^(3/2))*1000)),IF(O1709&lt;=cota_s*100+fi_s/20,0,(OFFSET('Base de dados'!$A$4,IF(O1709&lt;20,1,IF(O1709&gt;1000,10,MATCH(O1709,Cargas,1))),Coluna_fis,1,1))*(PI()*(fi_s/1000)^2/4)*(2*9.81*(O1709/100-cota_s-fi_s/2/1000))^0.5*1000)))</f>
        <v>4.676673301672734</v>
      </c>
      <c r="R1709" s="38">
        <f t="shared" ca="1" si="220"/>
        <v>10.196600688772563</v>
      </c>
      <c r="S1709" s="38">
        <f t="shared" ca="1" si="221"/>
        <v>533.75</v>
      </c>
    </row>
    <row r="1710" spans="13:19">
      <c r="M1710" s="132">
        <f t="shared" ca="1" si="218"/>
        <v>544.26263781251964</v>
      </c>
      <c r="N1710" s="38">
        <f t="shared" si="219"/>
        <v>16.021875000000001</v>
      </c>
      <c r="O1710" s="36">
        <f t="shared" si="217"/>
        <v>427.25</v>
      </c>
      <c r="P1710" s="38">
        <f ca="1">IF(ISERROR(IF(O1710&lt;fi_h/20,0,(OFFSET('Base de dados'!$A$5,IF(O1710&lt;20,1,IF(O1710&gt;1000,10,MATCH(O1710,Cargas,1))),Coluna_fih,1,1))*(1+0.13*0.25)*(PI()*(fi_h/1000)^2/4)*SQRT(2*9.81*(O1710/100-fi_h/2/1000))*1000)),"",IF(O1710&lt;fi_h/20,0,(OFFSET('Base de dados'!$A$5,IF(O1710&lt;20,1,IF(O1710&gt;1000,10,MATCH(O1710,Cargas,1))),Coluna_fih,1,1))*(PI()*(fi_h/1000)^2/4)*SQRT(2*9.81*(O1710/100-fi_h/2/1000))*1000))</f>
        <v>5.5215497404560541</v>
      </c>
      <c r="Q1710" s="38">
        <f ca="1">IF(O1710="","",IF(Tipo_Vertedor="Retangular",IF(O1710&lt;=cota_s*100,0,IF(Tipo_Vertedor="Retangular",Cd_sr*Lef_sr*((O1710/100-cota_s)^(3/2))*1000)),IF(O1710&lt;=cota_s*100+fi_s/20,0,(OFFSET('Base de dados'!$A$4,IF(O1710&lt;20,1,IF(O1710&gt;1000,10,MATCH(O1710,Cargas,1))),Coluna_fis,1,1))*(PI()*(fi_s/1000)^2/4)*(2*9.81*(O1710/100-cota_s-fi_s/2/1000))^0.5*1000)))</f>
        <v>4.6785880720634214</v>
      </c>
      <c r="R1710" s="38">
        <f t="shared" ca="1" si="220"/>
        <v>10.200137812519475</v>
      </c>
      <c r="S1710" s="38">
        <f t="shared" ca="1" si="221"/>
        <v>534.06250000000011</v>
      </c>
    </row>
    <row r="1711" spans="13:19">
      <c r="M1711" s="132">
        <f t="shared" ca="1" si="218"/>
        <v>544.57867367640006</v>
      </c>
      <c r="N1711" s="38">
        <f t="shared" si="219"/>
        <v>16.03125</v>
      </c>
      <c r="O1711" s="36">
        <f t="shared" si="217"/>
        <v>427.5</v>
      </c>
      <c r="P1711" s="38">
        <f ca="1">IF(ISERROR(IF(O1711&lt;fi_h/20,0,(OFFSET('Base de dados'!$A$5,IF(O1711&lt;20,1,IF(O1711&gt;1000,10,MATCH(O1711,Cargas,1))),Coluna_fih,1,1))*(1+0.13*0.25)*(PI()*(fi_h/1000)^2/4)*SQRT(2*9.81*(O1711/100-fi_h/2/1000))*1000)),"",IF(O1711&lt;fi_h/20,0,(OFFSET('Base de dados'!$A$5,IF(O1711&lt;20,1,IF(O1711&gt;1000,10,MATCH(O1711,Cargas,1))),Coluna_fih,1,1))*(PI()*(fi_h/1000)^2/4)*SQRT(2*9.81*(O1711/100-fi_h/2/1000))*1000))</f>
        <v>5.5231716172690035</v>
      </c>
      <c r="Q1711" s="38">
        <f ca="1">IF(O1711="","",IF(Tipo_Vertedor="Retangular",IF(O1711&lt;=cota_s*100,0,IF(Tipo_Vertedor="Retangular",Cd_sr*Lef_sr*((O1711/100-cota_s)^(3/2))*1000)),IF(O1711&lt;=cota_s*100+fi_s/20,0,(OFFSET('Base de dados'!$A$4,IF(O1711&lt;20,1,IF(O1711&gt;1000,10,MATCH(O1711,Cargas,1))),Coluna_fis,1,1))*(PI()*(fi_s/1000)^2/4)*(2*9.81*(O1711/100-cota_s-fi_s/2/1000))^0.5*1000)))</f>
        <v>4.680502059131018</v>
      </c>
      <c r="R1711" s="38">
        <f t="shared" ca="1" si="220"/>
        <v>10.203673676400022</v>
      </c>
      <c r="S1711" s="38">
        <f t="shared" ca="1" si="221"/>
        <v>534.375</v>
      </c>
    </row>
    <row r="1712" spans="13:19">
      <c r="M1712" s="132">
        <f t="shared" ca="1" si="218"/>
        <v>544.89470828179435</v>
      </c>
      <c r="N1712" s="38">
        <f t="shared" si="219"/>
        <v>16.040624999999999</v>
      </c>
      <c r="O1712" s="36">
        <f t="shared" si="217"/>
        <v>427.75</v>
      </c>
      <c r="P1712" s="38">
        <f ca="1">IF(ISERROR(IF(O1712&lt;fi_h/20,0,(OFFSET('Base de dados'!$A$5,IF(O1712&lt;20,1,IF(O1712&gt;1000,10,MATCH(O1712,Cargas,1))),Coluna_fih,1,1))*(1+0.13*0.25)*(PI()*(fi_h/1000)^2/4)*SQRT(2*9.81*(O1712/100-fi_h/2/1000))*1000)),"",IF(O1712&lt;fi_h/20,0,(OFFSET('Base de dados'!$A$5,IF(O1712&lt;20,1,IF(O1712&gt;1000,10,MATCH(O1712,Cargas,1))),Coluna_fih,1,1))*(PI()*(fi_h/1000)^2/4)*SQRT(2*9.81*(O1712/100-fi_h/2/1000))*1000))</f>
        <v>5.5247930179583635</v>
      </c>
      <c r="Q1712" s="38">
        <f ca="1">IF(O1712="","",IF(Tipo_Vertedor="Retangular",IF(O1712&lt;=cota_s*100,0,IF(Tipo_Vertedor="Retangular",Cd_sr*Lef_sr*((O1712/100-cota_s)^(3/2))*1000)),IF(O1712&lt;=cota_s*100+fi_s/20,0,(OFFSET('Base de dados'!$A$4,IF(O1712&lt;20,1,IF(O1712&gt;1000,10,MATCH(O1712,Cargas,1))),Coluna_fis,1,1))*(PI()*(fi_s/1000)^2/4)*(2*9.81*(O1712/100-cota_s-fi_s/2/1000))^0.5*1000)))</f>
        <v>4.6824152638360976</v>
      </c>
      <c r="R1712" s="38">
        <f t="shared" ca="1" si="220"/>
        <v>10.207208281794461</v>
      </c>
      <c r="S1712" s="38">
        <f t="shared" ca="1" si="221"/>
        <v>534.68749999999989</v>
      </c>
    </row>
    <row r="1713" spans="13:19">
      <c r="M1713" s="132">
        <f t="shared" ca="1" si="218"/>
        <v>545.21074163008052</v>
      </c>
      <c r="N1713" s="38">
        <f t="shared" si="219"/>
        <v>16.05</v>
      </c>
      <c r="O1713" s="36">
        <f t="shared" si="217"/>
        <v>428</v>
      </c>
      <c r="P1713" s="38">
        <f ca="1">IF(ISERROR(IF(O1713&lt;fi_h/20,0,(OFFSET('Base de dados'!$A$5,IF(O1713&lt;20,1,IF(O1713&gt;1000,10,MATCH(O1713,Cargas,1))),Coluna_fih,1,1))*(1+0.13*0.25)*(PI()*(fi_h/1000)^2/4)*SQRT(2*9.81*(O1713/100-fi_h/2/1000))*1000)),"",IF(O1713&lt;fi_h/20,0,(OFFSET('Base de dados'!$A$5,IF(O1713&lt;20,1,IF(O1713&gt;1000,10,MATCH(O1713,Cargas,1))),Coluna_fih,1,1))*(PI()*(fi_h/1000)^2/4)*SQRT(2*9.81*(O1713/100-fi_h/2/1000))*1000))</f>
        <v>5.5264139429432033</v>
      </c>
      <c r="Q1713" s="38">
        <f ca="1">IF(O1713="","",IF(Tipo_Vertedor="Retangular",IF(O1713&lt;=cota_s*100,0,IF(Tipo_Vertedor="Retangular",Cd_sr*Lef_sr*((O1713/100-cota_s)^(3/2))*1000)),IF(O1713&lt;=cota_s*100+fi_s/20,0,(OFFSET('Base de dados'!$A$4,IF(O1713&lt;20,1,IF(O1713&gt;1000,10,MATCH(O1713,Cargas,1))),Coluna_fis,1,1))*(PI()*(fi_s/1000)^2/4)*(2*9.81*(O1713/100-cota_s-fi_s/2/1000))^0.5*1000)))</f>
        <v>4.6843276871372748</v>
      </c>
      <c r="R1713" s="38">
        <f t="shared" ca="1" si="220"/>
        <v>10.210741630080477</v>
      </c>
      <c r="S1713" s="38">
        <f t="shared" ca="1" si="221"/>
        <v>535</v>
      </c>
    </row>
    <row r="1714" spans="13:19">
      <c r="M1714" s="132">
        <f t="shared" ca="1" si="218"/>
        <v>545.52677372263315</v>
      </c>
      <c r="N1714" s="38">
        <f t="shared" si="219"/>
        <v>16.059374999999999</v>
      </c>
      <c r="O1714" s="36">
        <f t="shared" si="217"/>
        <v>428.25</v>
      </c>
      <c r="P1714" s="38">
        <f ca="1">IF(ISERROR(IF(O1714&lt;fi_h/20,0,(OFFSET('Base de dados'!$A$5,IF(O1714&lt;20,1,IF(O1714&gt;1000,10,MATCH(O1714,Cargas,1))),Coluna_fih,1,1))*(1+0.13*0.25)*(PI()*(fi_h/1000)^2/4)*SQRT(2*9.81*(O1714/100-fi_h/2/1000))*1000)),"",IF(O1714&lt;fi_h/20,0,(OFFSET('Base de dados'!$A$5,IF(O1714&lt;20,1,IF(O1714&gt;1000,10,MATCH(O1714,Cargas,1))),Coluna_fih,1,1))*(PI()*(fi_h/1000)^2/4)*SQRT(2*9.81*(O1714/100-fi_h/2/1000))*1000))</f>
        <v>5.5280343926419837</v>
      </c>
      <c r="Q1714" s="38">
        <f ca="1">IF(O1714="","",IF(Tipo_Vertedor="Retangular",IF(O1714&lt;=cota_s*100,0,IF(Tipo_Vertedor="Retangular",Cd_sr*Lef_sr*((O1714/100-cota_s)^(3/2))*1000)),IF(O1714&lt;=cota_s*100+fi_s/20,0,(OFFSET('Base de dados'!$A$4,IF(O1714&lt;20,1,IF(O1714&gt;1000,10,MATCH(O1714,Cargas,1))),Coluna_fis,1,1))*(PI()*(fi_s/1000)^2/4)*(2*9.81*(O1714/100-cota_s-fi_s/2/1000))^0.5*1000)))</f>
        <v>4.6862393299912055</v>
      </c>
      <c r="R1714" s="38">
        <f t="shared" ca="1" si="220"/>
        <v>10.214273722633189</v>
      </c>
      <c r="S1714" s="38">
        <f t="shared" ca="1" si="221"/>
        <v>535.3125</v>
      </c>
    </row>
    <row r="1715" spans="13:19">
      <c r="M1715" s="132">
        <f t="shared" ca="1" si="218"/>
        <v>545.84280456082524</v>
      </c>
      <c r="N1715" s="38">
        <f t="shared" si="219"/>
        <v>16.068750000000001</v>
      </c>
      <c r="O1715" s="36">
        <f t="shared" si="217"/>
        <v>428.5</v>
      </c>
      <c r="P1715" s="38">
        <f ca="1">IF(ISERROR(IF(O1715&lt;fi_h/20,0,(OFFSET('Base de dados'!$A$5,IF(O1715&lt;20,1,IF(O1715&gt;1000,10,MATCH(O1715,Cargas,1))),Coluna_fih,1,1))*(1+0.13*0.25)*(PI()*(fi_h/1000)^2/4)*SQRT(2*9.81*(O1715/100-fi_h/2/1000))*1000)),"",IF(O1715&lt;fi_h/20,0,(OFFSET('Base de dados'!$A$5,IF(O1715&lt;20,1,IF(O1715&gt;1000,10,MATCH(O1715,Cargas,1))),Coluna_fih,1,1))*(PI()*(fi_h/1000)^2/4)*SQRT(2*9.81*(O1715/100-fi_h/2/1000))*1000))</f>
        <v>5.5296543674725456</v>
      </c>
      <c r="Q1715" s="38">
        <f ca="1">IF(O1715="","",IF(Tipo_Vertedor="Retangular",IF(O1715&lt;=cota_s*100,0,IF(Tipo_Vertedor="Retangular",Cd_sr*Lef_sr*((O1715/100-cota_s)^(3/2))*1000)),IF(O1715&lt;=cota_s*100+fi_s/20,0,(OFFSET('Base de dados'!$A$4,IF(O1715&lt;20,1,IF(O1715&gt;1000,10,MATCH(O1715,Cargas,1))),Coluna_fis,1,1))*(PI()*(fi_s/1000)^2/4)*(2*9.81*(O1715/100-cota_s-fi_s/2/1000))^0.5*1000)))</f>
        <v>4.6881501933525982</v>
      </c>
      <c r="R1715" s="38">
        <f t="shared" ca="1" si="220"/>
        <v>10.217804560825144</v>
      </c>
      <c r="S1715" s="38">
        <f t="shared" ca="1" si="221"/>
        <v>535.62500000000011</v>
      </c>
    </row>
    <row r="1716" spans="13:19">
      <c r="M1716" s="132">
        <f t="shared" ca="1" si="218"/>
        <v>546.15883414602638</v>
      </c>
      <c r="N1716" s="38">
        <f t="shared" si="219"/>
        <v>16.078125</v>
      </c>
      <c r="O1716" s="36">
        <f t="shared" si="217"/>
        <v>428.75</v>
      </c>
      <c r="P1716" s="38">
        <f ca="1">IF(ISERROR(IF(O1716&lt;fi_h/20,0,(OFFSET('Base de dados'!$A$5,IF(O1716&lt;20,1,IF(O1716&gt;1000,10,MATCH(O1716,Cargas,1))),Coluna_fih,1,1))*(1+0.13*0.25)*(PI()*(fi_h/1000)^2/4)*SQRT(2*9.81*(O1716/100-fi_h/2/1000))*1000)),"",IF(O1716&lt;fi_h/20,0,(OFFSET('Base de dados'!$A$5,IF(O1716&lt;20,1,IF(O1716&gt;1000,10,MATCH(O1716,Cargas,1))),Coluna_fih,1,1))*(PI()*(fi_h/1000)^2/4)*SQRT(2*9.81*(O1716/100-fi_h/2/1000))*1000))</f>
        <v>5.5312738678521205</v>
      </c>
      <c r="Q1716" s="38">
        <f ca="1">IF(O1716="","",IF(Tipo_Vertedor="Retangular",IF(O1716&lt;=cota_s*100,0,IF(Tipo_Vertedor="Retangular",Cd_sr*Lef_sr*((O1716/100-cota_s)^(3/2))*1000)),IF(O1716&lt;=cota_s*100+fi_s/20,0,(OFFSET('Base de dados'!$A$4,IF(O1716&lt;20,1,IF(O1716&gt;1000,10,MATCH(O1716,Cargas,1))),Coluna_fis,1,1))*(PI()*(fi_s/1000)^2/4)*(2*9.81*(O1716/100-cota_s-fi_s/2/1000))^0.5*1000)))</f>
        <v>4.6900602781742124</v>
      </c>
      <c r="R1716" s="38">
        <f t="shared" ca="1" si="220"/>
        <v>10.221334146026333</v>
      </c>
      <c r="S1716" s="38">
        <f t="shared" ca="1" si="221"/>
        <v>535.9375</v>
      </c>
    </row>
    <row r="1717" spans="13:19">
      <c r="M1717" s="132">
        <f t="shared" ca="1" si="218"/>
        <v>546.4748624796041</v>
      </c>
      <c r="N1717" s="38">
        <f t="shared" si="219"/>
        <v>16.087499999999999</v>
      </c>
      <c r="O1717" s="36">
        <f t="shared" si="217"/>
        <v>429</v>
      </c>
      <c r="P1717" s="38">
        <f ca="1">IF(ISERROR(IF(O1717&lt;fi_h/20,0,(OFFSET('Base de dados'!$A$5,IF(O1717&lt;20,1,IF(O1717&gt;1000,10,MATCH(O1717,Cargas,1))),Coluna_fih,1,1))*(1+0.13*0.25)*(PI()*(fi_h/1000)^2/4)*SQRT(2*9.81*(O1717/100-fi_h/2/1000))*1000)),"",IF(O1717&lt;fi_h/20,0,(OFFSET('Base de dados'!$A$5,IF(O1717&lt;20,1,IF(O1717&gt;1000,10,MATCH(O1717,Cargas,1))),Coluna_fih,1,1))*(PI()*(fi_h/1000)^2/4)*SQRT(2*9.81*(O1717/100-fi_h/2/1000))*1000))</f>
        <v>5.5328928941973334</v>
      </c>
      <c r="Q1717" s="38">
        <f ca="1">IF(O1717="","",IF(Tipo_Vertedor="Retangular",IF(O1717&lt;=cota_s*100,0,IF(Tipo_Vertedor="Retangular",Cd_sr*Lef_sr*((O1717/100-cota_s)^(3/2))*1000)),IF(O1717&lt;=cota_s*100+fi_s/20,0,(OFFSET('Base de dados'!$A$4,IF(O1717&lt;20,1,IF(O1717&gt;1000,10,MATCH(O1717,Cargas,1))),Coluna_fis,1,1))*(PI()*(fi_s/1000)^2/4)*(2*9.81*(O1717/100-cota_s-fi_s/2/1000))^0.5*1000)))</f>
        <v>4.6919695854068735</v>
      </c>
      <c r="R1717" s="38">
        <f t="shared" ca="1" si="220"/>
        <v>10.224862479604207</v>
      </c>
      <c r="S1717" s="38">
        <f t="shared" ca="1" si="221"/>
        <v>536.24999999999989</v>
      </c>
    </row>
    <row r="1718" spans="13:19">
      <c r="M1718" s="132">
        <f t="shared" ca="1" si="218"/>
        <v>546.79088956292367</v>
      </c>
      <c r="N1718" s="38">
        <f t="shared" si="219"/>
        <v>16.096875000000001</v>
      </c>
      <c r="O1718" s="36">
        <f t="shared" si="217"/>
        <v>429.25</v>
      </c>
      <c r="P1718" s="38">
        <f ca="1">IF(ISERROR(IF(O1718&lt;fi_h/20,0,(OFFSET('Base de dados'!$A$5,IF(O1718&lt;20,1,IF(O1718&gt;1000,10,MATCH(O1718,Cargas,1))),Coluna_fih,1,1))*(1+0.13*0.25)*(PI()*(fi_h/1000)^2/4)*SQRT(2*9.81*(O1718/100-fi_h/2/1000))*1000)),"",IF(O1718&lt;fi_h/20,0,(OFFSET('Base de dados'!$A$5,IF(O1718&lt;20,1,IF(O1718&gt;1000,10,MATCH(O1718,Cargas,1))),Coluna_fih,1,1))*(PI()*(fi_h/1000)^2/4)*SQRT(2*9.81*(O1718/100-fi_h/2/1000))*1000))</f>
        <v>5.5345114469241929</v>
      </c>
      <c r="Q1718" s="38">
        <f ca="1">IF(O1718="","",IF(Tipo_Vertedor="Retangular",IF(O1718&lt;=cota_s*100,0,IF(Tipo_Vertedor="Retangular",Cd_sr*Lef_sr*((O1718/100-cota_s)^(3/2))*1000)),IF(O1718&lt;=cota_s*100+fi_s/20,0,(OFFSET('Base de dados'!$A$4,IF(O1718&lt;20,1,IF(O1718&gt;1000,10,MATCH(O1718,Cargas,1))),Coluna_fis,1,1))*(PI()*(fi_s/1000)^2/4)*(2*9.81*(O1718/100-cota_s-fi_s/2/1000))^0.5*1000)))</f>
        <v>4.6938781159994702</v>
      </c>
      <c r="R1718" s="38">
        <f t="shared" ca="1" si="220"/>
        <v>10.228389562923663</v>
      </c>
      <c r="S1718" s="38">
        <f t="shared" ca="1" si="221"/>
        <v>536.5625</v>
      </c>
    </row>
    <row r="1719" spans="13:19">
      <c r="M1719" s="132">
        <f t="shared" ca="1" si="218"/>
        <v>547.10691539734705</v>
      </c>
      <c r="N1719" s="38">
        <f t="shared" si="219"/>
        <v>16.106249999999999</v>
      </c>
      <c r="O1719" s="36">
        <f t="shared" si="217"/>
        <v>429.5</v>
      </c>
      <c r="P1719" s="38">
        <f ca="1">IF(ISERROR(IF(O1719&lt;fi_h/20,0,(OFFSET('Base de dados'!$A$5,IF(O1719&lt;20,1,IF(O1719&gt;1000,10,MATCH(O1719,Cargas,1))),Coluna_fih,1,1))*(1+0.13*0.25)*(PI()*(fi_h/1000)^2/4)*SQRT(2*9.81*(O1719/100-fi_h/2/1000))*1000)),"",IF(O1719&lt;fi_h/20,0,(OFFSET('Base de dados'!$A$5,IF(O1719&lt;20,1,IF(O1719&gt;1000,10,MATCH(O1719,Cargas,1))),Coluna_fih,1,1))*(PI()*(fi_h/1000)^2/4)*SQRT(2*9.81*(O1719/100-fi_h/2/1000))*1000))</f>
        <v>5.5361295264481036</v>
      </c>
      <c r="Q1719" s="38">
        <f ca="1">IF(O1719="","",IF(Tipo_Vertedor="Retangular",IF(O1719&lt;=cota_s*100,0,IF(Tipo_Vertedor="Retangular",Cd_sr*Lef_sr*((O1719/100-cota_s)^(3/2))*1000)),IF(O1719&lt;=cota_s*100+fi_s/20,0,(OFFSET('Base de dados'!$A$4,IF(O1719&lt;20,1,IF(O1719&gt;1000,10,MATCH(O1719,Cargas,1))),Coluna_fis,1,1))*(PI()*(fi_s/1000)^2/4)*(2*9.81*(O1719/100-cota_s-fi_s/2/1000))^0.5*1000)))</f>
        <v>4.6957858708989599</v>
      </c>
      <c r="R1719" s="38">
        <f t="shared" ca="1" si="220"/>
        <v>10.231915397347063</v>
      </c>
      <c r="S1719" s="38">
        <f t="shared" ca="1" si="221"/>
        <v>536.875</v>
      </c>
    </row>
    <row r="1720" spans="13:19">
      <c r="M1720" s="132">
        <f t="shared" ca="1" si="218"/>
        <v>547.4229399842344</v>
      </c>
      <c r="N1720" s="38">
        <f t="shared" si="219"/>
        <v>16.115625000000001</v>
      </c>
      <c r="O1720" s="36">
        <f t="shared" si="217"/>
        <v>429.75</v>
      </c>
      <c r="P1720" s="38">
        <f ca="1">IF(ISERROR(IF(O1720&lt;fi_h/20,0,(OFFSET('Base de dados'!$A$5,IF(O1720&lt;20,1,IF(O1720&gt;1000,10,MATCH(O1720,Cargas,1))),Coluna_fih,1,1))*(1+0.13*0.25)*(PI()*(fi_h/1000)^2/4)*SQRT(2*9.81*(O1720/100-fi_h/2/1000))*1000)),"",IF(O1720&lt;fi_h/20,0,(OFFSET('Base de dados'!$A$5,IF(O1720&lt;20,1,IF(O1720&gt;1000,10,MATCH(O1720,Cargas,1))),Coluna_fih,1,1))*(PI()*(fi_h/1000)^2/4)*SQRT(2*9.81*(O1720/100-fi_h/2/1000))*1000))</f>
        <v>5.5377471331838617</v>
      </c>
      <c r="Q1720" s="38">
        <f ca="1">IF(O1720="","",IF(Tipo_Vertedor="Retangular",IF(O1720&lt;=cota_s*100,0,IF(Tipo_Vertedor="Retangular",Cd_sr*Lef_sr*((O1720/100-cota_s)^(3/2))*1000)),IF(O1720&lt;=cota_s*100+fi_s/20,0,(OFFSET('Base de dados'!$A$4,IF(O1720&lt;20,1,IF(O1720&gt;1000,10,MATCH(O1720,Cargas,1))),Coluna_fis,1,1))*(PI()*(fi_s/1000)^2/4)*(2*9.81*(O1720/100-cota_s-fi_s/2/1000))^0.5*1000)))</f>
        <v>4.697692851050383</v>
      </c>
      <c r="R1720" s="38">
        <f t="shared" ca="1" si="220"/>
        <v>10.235439984234244</v>
      </c>
      <c r="S1720" s="38">
        <f t="shared" ca="1" si="221"/>
        <v>537.18750000000011</v>
      </c>
    </row>
    <row r="1721" spans="13:19">
      <c r="M1721" s="132">
        <f t="shared" ca="1" si="218"/>
        <v>547.73896332494246</v>
      </c>
      <c r="N1721" s="38">
        <f t="shared" si="219"/>
        <v>16.125</v>
      </c>
      <c r="O1721" s="36">
        <f t="shared" si="217"/>
        <v>430</v>
      </c>
      <c r="P1721" s="38">
        <f ca="1">IF(ISERROR(IF(O1721&lt;fi_h/20,0,(OFFSET('Base de dados'!$A$5,IF(O1721&lt;20,1,IF(O1721&gt;1000,10,MATCH(O1721,Cargas,1))),Coluna_fih,1,1))*(1+0.13*0.25)*(PI()*(fi_h/1000)^2/4)*SQRT(2*9.81*(O1721/100-fi_h/2/1000))*1000)),"",IF(O1721&lt;fi_h/20,0,(OFFSET('Base de dados'!$A$5,IF(O1721&lt;20,1,IF(O1721&gt;1000,10,MATCH(O1721,Cargas,1))),Coluna_fih,1,1))*(PI()*(fi_h/1000)^2/4)*SQRT(2*9.81*(O1721/100-fi_h/2/1000))*1000))</f>
        <v>5.5393642675456585</v>
      </c>
      <c r="Q1721" s="38">
        <f ca="1">IF(O1721="","",IF(Tipo_Vertedor="Retangular",IF(O1721&lt;=cota_s*100,0,IF(Tipo_Vertedor="Retangular",Cd_sr*Lef_sr*((O1721/100-cota_s)^(3/2))*1000)),IF(O1721&lt;=cota_s*100+fi_s/20,0,(OFFSET('Base de dados'!$A$4,IF(O1721&lt;20,1,IF(O1721&gt;1000,10,MATCH(O1721,Cargas,1))),Coluna_fis,1,1))*(PI()*(fi_s/1000)^2/4)*(2*9.81*(O1721/100-cota_s-fi_s/2/1000))^0.5*1000)))</f>
        <v>4.6995990573968598</v>
      </c>
      <c r="R1721" s="38">
        <f t="shared" ca="1" si="220"/>
        <v>10.238963324942517</v>
      </c>
      <c r="S1721" s="38">
        <f t="shared" ca="1" si="221"/>
        <v>537.5</v>
      </c>
    </row>
    <row r="1722" spans="13:19">
      <c r="M1722" s="132">
        <f t="shared" ca="1" si="218"/>
        <v>548.05498542082682</v>
      </c>
      <c r="N1722" s="38">
        <f t="shared" si="219"/>
        <v>16.134375000000002</v>
      </c>
      <c r="O1722" s="36">
        <f t="shared" si="217"/>
        <v>430.25</v>
      </c>
      <c r="P1722" s="38">
        <f ca="1">IF(ISERROR(IF(O1722&lt;fi_h/20,0,(OFFSET('Base de dados'!$A$5,IF(O1722&lt;20,1,IF(O1722&gt;1000,10,MATCH(O1722,Cargas,1))),Coluna_fih,1,1))*(1+0.13*0.25)*(PI()*(fi_h/1000)^2/4)*SQRT(2*9.81*(O1722/100-fi_h/2/1000))*1000)),"",IF(O1722&lt;fi_h/20,0,(OFFSET('Base de dados'!$A$5,IF(O1722&lt;20,1,IF(O1722&gt;1000,10,MATCH(O1722,Cargas,1))),Coluna_fih,1,1))*(PI()*(fi_h/1000)^2/4)*SQRT(2*9.81*(O1722/100-fi_h/2/1000))*1000))</f>
        <v>5.5409809299470822</v>
      </c>
      <c r="Q1722" s="38">
        <f ca="1">IF(O1722="","",IF(Tipo_Vertedor="Retangular",IF(O1722&lt;=cota_s*100,0,IF(Tipo_Vertedor="Retangular",Cd_sr*Lef_sr*((O1722/100-cota_s)^(3/2))*1000)),IF(O1722&lt;=cota_s*100+fi_s/20,0,(OFFSET('Base de dados'!$A$4,IF(O1722&lt;20,1,IF(O1722&gt;1000,10,MATCH(O1722,Cargas,1))),Coluna_fis,1,1))*(PI()*(fi_s/1000)^2/4)*(2*9.81*(O1722/100-cota_s-fi_s/2/1000))^0.5*1000)))</f>
        <v>4.7015044908795991</v>
      </c>
      <c r="R1722" s="38">
        <f t="shared" ca="1" si="220"/>
        <v>10.242485420826682</v>
      </c>
      <c r="S1722" s="38">
        <f t="shared" ca="1" si="221"/>
        <v>537.81250000000011</v>
      </c>
    </row>
    <row r="1723" spans="13:19">
      <c r="M1723" s="132">
        <f t="shared" ca="1" si="218"/>
        <v>548.37100627323889</v>
      </c>
      <c r="N1723" s="38">
        <f t="shared" si="219"/>
        <v>16.143749999999997</v>
      </c>
      <c r="O1723" s="36">
        <f t="shared" si="217"/>
        <v>430.5</v>
      </c>
      <c r="P1723" s="38">
        <f ca="1">IF(ISERROR(IF(O1723&lt;fi_h/20,0,(OFFSET('Base de dados'!$A$5,IF(O1723&lt;20,1,IF(O1723&gt;1000,10,MATCH(O1723,Cargas,1))),Coluna_fih,1,1))*(1+0.13*0.25)*(PI()*(fi_h/1000)^2/4)*SQRT(2*9.81*(O1723/100-fi_h/2/1000))*1000)),"",IF(O1723&lt;fi_h/20,0,(OFFSET('Base de dados'!$A$5,IF(O1723&lt;20,1,IF(O1723&gt;1000,10,MATCH(O1723,Cargas,1))),Coluna_fih,1,1))*(PI()*(fi_h/1000)^2/4)*SQRT(2*9.81*(O1723/100-fi_h/2/1000))*1000))</f>
        <v>5.5425971208011138</v>
      </c>
      <c r="Q1723" s="38">
        <f ca="1">IF(O1723="","",IF(Tipo_Vertedor="Retangular",IF(O1723&lt;=cota_s*100,0,IF(Tipo_Vertedor="Retangular",Cd_sr*Lef_sr*((O1723/100-cota_s)^(3/2))*1000)),IF(O1723&lt;=cota_s*100+fi_s/20,0,(OFFSET('Base de dados'!$A$4,IF(O1723&lt;20,1,IF(O1723&gt;1000,10,MATCH(O1723,Cargas,1))),Coluna_fis,1,1))*(PI()*(fi_s/1000)^2/4)*(2*9.81*(O1723/100-cota_s-fi_s/2/1000))^0.5*1000)))</f>
        <v>4.7034091524379003</v>
      </c>
      <c r="R1723" s="38">
        <f t="shared" ca="1" si="220"/>
        <v>10.246006273239015</v>
      </c>
      <c r="S1723" s="38">
        <f t="shared" ca="1" si="221"/>
        <v>538.12499999999989</v>
      </c>
    </row>
    <row r="1724" spans="13:19">
      <c r="M1724" s="132">
        <f t="shared" ca="1" si="218"/>
        <v>548.68702588352926</v>
      </c>
      <c r="N1724" s="38">
        <f t="shared" si="219"/>
        <v>16.153124999999999</v>
      </c>
      <c r="O1724" s="36">
        <f t="shared" si="217"/>
        <v>430.75</v>
      </c>
      <c r="P1724" s="38">
        <f ca="1">IF(ISERROR(IF(O1724&lt;fi_h/20,0,(OFFSET('Base de dados'!$A$5,IF(O1724&lt;20,1,IF(O1724&gt;1000,10,MATCH(O1724,Cargas,1))),Coluna_fih,1,1))*(1+0.13*0.25)*(PI()*(fi_h/1000)^2/4)*SQRT(2*9.81*(O1724/100-fi_h/2/1000))*1000)),"",IF(O1724&lt;fi_h/20,0,(OFFSET('Base de dados'!$A$5,IF(O1724&lt;20,1,IF(O1724&gt;1000,10,MATCH(O1724,Cargas,1))),Coluna_fih,1,1))*(PI()*(fi_h/1000)^2/4)*SQRT(2*9.81*(O1724/100-fi_h/2/1000))*1000))</f>
        <v>5.5442128405201379</v>
      </c>
      <c r="Q1724" s="38">
        <f ca="1">IF(O1724="","",IF(Tipo_Vertedor="Retangular",IF(O1724&lt;=cota_s*100,0,IF(Tipo_Vertedor="Retangular",Cd_sr*Lef_sr*((O1724/100-cota_s)^(3/2))*1000)),IF(O1724&lt;=cota_s*100+fi_s/20,0,(OFFSET('Base de dados'!$A$4,IF(O1724&lt;20,1,IF(O1724&gt;1000,10,MATCH(O1724,Cargas,1))),Coluna_fis,1,1))*(PI()*(fi_s/1000)^2/4)*(2*9.81*(O1724/100-cota_s-fi_s/2/1000))^0.5*1000)))</f>
        <v>4.7053130430091663</v>
      </c>
      <c r="R1724" s="38">
        <f t="shared" ca="1" si="220"/>
        <v>10.249525883529305</v>
      </c>
      <c r="S1724" s="38">
        <f t="shared" ca="1" si="221"/>
        <v>538.4375</v>
      </c>
    </row>
    <row r="1725" spans="13:19">
      <c r="M1725" s="132">
        <f t="shared" ca="1" si="218"/>
        <v>549.00304425304466</v>
      </c>
      <c r="N1725" s="38">
        <f t="shared" si="219"/>
        <v>16.162499999999998</v>
      </c>
      <c r="O1725" s="36">
        <f t="shared" si="217"/>
        <v>431</v>
      </c>
      <c r="P1725" s="38">
        <f ca="1">IF(ISERROR(IF(O1725&lt;fi_h/20,0,(OFFSET('Base de dados'!$A$5,IF(O1725&lt;20,1,IF(O1725&gt;1000,10,MATCH(O1725,Cargas,1))),Coluna_fih,1,1))*(1+0.13*0.25)*(PI()*(fi_h/1000)^2/4)*SQRT(2*9.81*(O1725/100-fi_h/2/1000))*1000)),"",IF(O1725&lt;fi_h/20,0,(OFFSET('Base de dados'!$A$5,IF(O1725&lt;20,1,IF(O1725&gt;1000,10,MATCH(O1725,Cargas,1))),Coluna_fih,1,1))*(PI()*(fi_h/1000)^2/4)*SQRT(2*9.81*(O1725/100-fi_h/2/1000))*1000))</f>
        <v>5.5458280895159335</v>
      </c>
      <c r="Q1725" s="38">
        <f ca="1">IF(O1725="","",IF(Tipo_Vertedor="Retangular",IF(O1725&lt;=cota_s*100,0,IF(Tipo_Vertedor="Retangular",Cd_sr*Lef_sr*((O1725/100-cota_s)^(3/2))*1000)),IF(O1725&lt;=cota_s*100+fi_s/20,0,(OFFSET('Base de dados'!$A$4,IF(O1725&lt;20,1,IF(O1725&gt;1000,10,MATCH(O1725,Cargas,1))),Coluna_fis,1,1))*(PI()*(fi_s/1000)^2/4)*(2*9.81*(O1725/100-cota_s-fi_s/2/1000))^0.5*1000)))</f>
        <v>4.7072161635289014</v>
      </c>
      <c r="R1725" s="38">
        <f t="shared" ca="1" si="220"/>
        <v>10.253044253044834</v>
      </c>
      <c r="S1725" s="38">
        <f t="shared" ca="1" si="221"/>
        <v>538.74999999999989</v>
      </c>
    </row>
    <row r="1726" spans="13:19">
      <c r="M1726" s="132">
        <f t="shared" ca="1" si="218"/>
        <v>549.31906138313036</v>
      </c>
      <c r="N1726" s="38">
        <f t="shared" si="219"/>
        <v>16.171875</v>
      </c>
      <c r="O1726" s="36">
        <f t="shared" si="217"/>
        <v>431.25</v>
      </c>
      <c r="P1726" s="38">
        <f ca="1">IF(ISERROR(IF(O1726&lt;fi_h/20,0,(OFFSET('Base de dados'!$A$5,IF(O1726&lt;20,1,IF(O1726&gt;1000,10,MATCH(O1726,Cargas,1))),Coluna_fih,1,1))*(1+0.13*0.25)*(PI()*(fi_h/1000)^2/4)*SQRT(2*9.81*(O1726/100-fi_h/2/1000))*1000)),"",IF(O1726&lt;fi_h/20,0,(OFFSET('Base de dados'!$A$5,IF(O1726&lt;20,1,IF(O1726&gt;1000,10,MATCH(O1726,Cargas,1))),Coluna_fih,1,1))*(PI()*(fi_h/1000)^2/4)*SQRT(2*9.81*(O1726/100-fi_h/2/1000))*1000))</f>
        <v>5.5474428681996839</v>
      </c>
      <c r="Q1726" s="38">
        <f ca="1">IF(O1726="","",IF(Tipo_Vertedor="Retangular",IF(O1726&lt;=cota_s*100,0,IF(Tipo_Vertedor="Retangular",Cd_sr*Lef_sr*((O1726/100-cota_s)^(3/2))*1000)),IF(O1726&lt;=cota_s*100+fi_s/20,0,(OFFSET('Base de dados'!$A$4,IF(O1726&lt;20,1,IF(O1726&gt;1000,10,MATCH(O1726,Cargas,1))),Coluna_fis,1,1))*(PI()*(fi_s/1000)^2/4)*(2*9.81*(O1726/100-cota_s-fi_s/2/1000))^0.5*1000)))</f>
        <v>4.7091185149307222</v>
      </c>
      <c r="R1726" s="38">
        <f t="shared" ca="1" si="220"/>
        <v>10.256561383130407</v>
      </c>
      <c r="S1726" s="38">
        <f t="shared" ca="1" si="221"/>
        <v>539.0625</v>
      </c>
    </row>
    <row r="1727" spans="13:19">
      <c r="M1727" s="132">
        <f t="shared" ca="1" si="218"/>
        <v>549.63507727512842</v>
      </c>
      <c r="N1727" s="38">
        <f t="shared" si="219"/>
        <v>16.181250000000002</v>
      </c>
      <c r="O1727" s="36">
        <f t="shared" si="217"/>
        <v>431.5</v>
      </c>
      <c r="P1727" s="38">
        <f ca="1">IF(ISERROR(IF(O1727&lt;fi_h/20,0,(OFFSET('Base de dados'!$A$5,IF(O1727&lt;20,1,IF(O1727&gt;1000,10,MATCH(O1727,Cargas,1))),Coluna_fih,1,1))*(1+0.13*0.25)*(PI()*(fi_h/1000)^2/4)*SQRT(2*9.81*(O1727/100-fi_h/2/1000))*1000)),"",IF(O1727&lt;fi_h/20,0,(OFFSET('Base de dados'!$A$5,IF(O1727&lt;20,1,IF(O1727&gt;1000,10,MATCH(O1727,Cargas,1))),Coluna_fih,1,1))*(PI()*(fi_h/1000)^2/4)*SQRT(2*9.81*(O1727/100-fi_h/2/1000))*1000))</f>
        <v>5.5490571769819699</v>
      </c>
      <c r="Q1727" s="38">
        <f ca="1">IF(O1727="","",IF(Tipo_Vertedor="Retangular",IF(O1727&lt;=cota_s*100,0,IF(Tipo_Vertedor="Retangular",Cd_sr*Lef_sr*((O1727/100-cota_s)^(3/2))*1000)),IF(O1727&lt;=cota_s*100+fi_s/20,0,(OFFSET('Base de dados'!$A$4,IF(O1727&lt;20,1,IF(O1727&gt;1000,10,MATCH(O1727,Cargas,1))),Coluna_fis,1,1))*(PI()*(fi_s/1000)^2/4)*(2*9.81*(O1727/100-cota_s-fi_s/2/1000))^0.5*1000)))</f>
        <v>4.7110200981463572</v>
      </c>
      <c r="R1727" s="38">
        <f t="shared" ca="1" si="220"/>
        <v>10.260077275128328</v>
      </c>
      <c r="S1727" s="38">
        <f t="shared" ca="1" si="221"/>
        <v>539.37500000000011</v>
      </c>
    </row>
    <row r="1728" spans="13:19">
      <c r="M1728" s="132">
        <f t="shared" ca="1" si="218"/>
        <v>549.95109193037842</v>
      </c>
      <c r="N1728" s="38">
        <f t="shared" si="219"/>
        <v>16.190625000000001</v>
      </c>
      <c r="O1728" s="36">
        <f t="shared" si="217"/>
        <v>431.75</v>
      </c>
      <c r="P1728" s="38">
        <f ca="1">IF(ISERROR(IF(O1728&lt;fi_h/20,0,(OFFSET('Base de dados'!$A$5,IF(O1728&lt;20,1,IF(O1728&gt;1000,10,MATCH(O1728,Cargas,1))),Coluna_fih,1,1))*(1+0.13*0.25)*(PI()*(fi_h/1000)^2/4)*SQRT(2*9.81*(O1728/100-fi_h/2/1000))*1000)),"",IF(O1728&lt;fi_h/20,0,(OFFSET('Base de dados'!$A$5,IF(O1728&lt;20,1,IF(O1728&gt;1000,10,MATCH(O1728,Cargas,1))),Coluna_fih,1,1))*(PI()*(fi_h/1000)^2/4)*SQRT(2*9.81*(O1728/100-fi_h/2/1000))*1000))</f>
        <v>5.5506710162727781</v>
      </c>
      <c r="Q1728" s="38">
        <f ca="1">IF(O1728="","",IF(Tipo_Vertedor="Retangular",IF(O1728&lt;=cota_s*100,0,IF(Tipo_Vertedor="Retangular",Cd_sr*Lef_sr*((O1728/100-cota_s)^(3/2))*1000)),IF(O1728&lt;=cota_s*100+fi_s/20,0,(OFFSET('Base de dados'!$A$4,IF(O1728&lt;20,1,IF(O1728&gt;1000,10,MATCH(O1728,Cargas,1))),Coluna_fis,1,1))*(PI()*(fi_s/1000)^2/4)*(2*9.81*(O1728/100-cota_s-fi_s/2/1000))^0.5*1000)))</f>
        <v>4.7129209141056547</v>
      </c>
      <c r="R1728" s="38">
        <f t="shared" ca="1" si="220"/>
        <v>10.263591930378432</v>
      </c>
      <c r="S1728" s="38">
        <f t="shared" ca="1" si="221"/>
        <v>539.6875</v>
      </c>
    </row>
    <row r="1729" spans="13:19">
      <c r="M1729" s="132">
        <f t="shared" ca="1" si="218"/>
        <v>550.26710535021823</v>
      </c>
      <c r="N1729" s="38">
        <f t="shared" si="219"/>
        <v>16.200000000000003</v>
      </c>
      <c r="O1729" s="36">
        <f t="shared" si="217"/>
        <v>432</v>
      </c>
      <c r="P1729" s="38">
        <f ca="1">IF(ISERROR(IF(O1729&lt;fi_h/20,0,(OFFSET('Base de dados'!$A$5,IF(O1729&lt;20,1,IF(O1729&gt;1000,10,MATCH(O1729,Cargas,1))),Coluna_fih,1,1))*(1+0.13*0.25)*(PI()*(fi_h/1000)^2/4)*SQRT(2*9.81*(O1729/100-fi_h/2/1000))*1000)),"",IF(O1729&lt;fi_h/20,0,(OFFSET('Base de dados'!$A$5,IF(O1729&lt;20,1,IF(O1729&gt;1000,10,MATCH(O1729,Cargas,1))),Coluna_fih,1,1))*(PI()*(fi_h/1000)^2/4)*SQRT(2*9.81*(O1729/100-fi_h/2/1000))*1000))</f>
        <v>5.5522843864815004</v>
      </c>
      <c r="Q1729" s="38">
        <f ca="1">IF(O1729="","",IF(Tipo_Vertedor="Retangular",IF(O1729&lt;=cota_s*100,0,IF(Tipo_Vertedor="Retangular",Cd_sr*Lef_sr*((O1729/100-cota_s)^(3/2))*1000)),IF(O1729&lt;=cota_s*100+fi_s/20,0,(OFFSET('Base de dados'!$A$4,IF(O1729&lt;20,1,IF(O1729&gt;1000,10,MATCH(O1729,Cargas,1))),Coluna_fis,1,1))*(PI()*(fi_s/1000)^2/4)*(2*9.81*(O1729/100-cota_s-fi_s/2/1000))^0.5*1000)))</f>
        <v>4.7148209637365932</v>
      </c>
      <c r="R1729" s="38">
        <f t="shared" ca="1" si="220"/>
        <v>10.267105350218094</v>
      </c>
      <c r="S1729" s="38">
        <f t="shared" ca="1" si="221"/>
        <v>540.00000000000011</v>
      </c>
    </row>
    <row r="1730" spans="13:19">
      <c r="M1730" s="132">
        <f t="shared" ca="1" si="218"/>
        <v>550.58311753598207</v>
      </c>
      <c r="N1730" s="38">
        <f t="shared" si="219"/>
        <v>16.209374999999998</v>
      </c>
      <c r="O1730" s="36">
        <f t="shared" si="217"/>
        <v>432.25</v>
      </c>
      <c r="P1730" s="38">
        <f ca="1">IF(ISERROR(IF(O1730&lt;fi_h/20,0,(OFFSET('Base de dados'!$A$5,IF(O1730&lt;20,1,IF(O1730&gt;1000,10,MATCH(O1730,Cargas,1))),Coluna_fih,1,1))*(1+0.13*0.25)*(PI()*(fi_h/1000)^2/4)*SQRT(2*9.81*(O1730/100-fi_h/2/1000))*1000)),"",IF(O1730&lt;fi_h/20,0,(OFFSET('Base de dados'!$A$5,IF(O1730&lt;20,1,IF(O1730&gt;1000,10,MATCH(O1730,Cargas,1))),Coluna_fih,1,1))*(PI()*(fi_h/1000)^2/4)*SQRT(2*9.81*(O1730/100-fi_h/2/1000))*1000))</f>
        <v>5.5538972880169322</v>
      </c>
      <c r="Q1730" s="38">
        <f ca="1">IF(O1730="","",IF(Tipo_Vertedor="Retangular",IF(O1730&lt;=cota_s*100,0,IF(Tipo_Vertedor="Retangular",Cd_sr*Lef_sr*((O1730/100-cota_s)^(3/2))*1000)),IF(O1730&lt;=cota_s*100+fi_s/20,0,(OFFSET('Base de dados'!$A$4,IF(O1730&lt;20,1,IF(O1730&gt;1000,10,MATCH(O1730,Cargas,1))),Coluna_fis,1,1))*(PI()*(fi_s/1000)^2/4)*(2*9.81*(O1730/100-cota_s-fi_s/2/1000))^0.5*1000)))</f>
        <v>4.7167202479652772</v>
      </c>
      <c r="R1730" s="38">
        <f t="shared" ca="1" si="220"/>
        <v>10.270617535982209</v>
      </c>
      <c r="S1730" s="38">
        <f t="shared" ca="1" si="221"/>
        <v>540.31249999999989</v>
      </c>
    </row>
    <row r="1731" spans="13:19">
      <c r="M1731" s="132">
        <f t="shared" ca="1" si="218"/>
        <v>550.89912848900326</v>
      </c>
      <c r="N1731" s="38">
        <f t="shared" si="219"/>
        <v>16.21875</v>
      </c>
      <c r="O1731" s="36">
        <f t="shared" si="217"/>
        <v>432.5</v>
      </c>
      <c r="P1731" s="38">
        <f ca="1">IF(ISERROR(IF(O1731&lt;fi_h/20,0,(OFFSET('Base de dados'!$A$5,IF(O1731&lt;20,1,IF(O1731&gt;1000,10,MATCH(O1731,Cargas,1))),Coluna_fih,1,1))*(1+0.13*0.25)*(PI()*(fi_h/1000)^2/4)*SQRT(2*9.81*(O1731/100-fi_h/2/1000))*1000)),"",IF(O1731&lt;fi_h/20,0,(OFFSET('Base de dados'!$A$5,IF(O1731&lt;20,1,IF(O1731&gt;1000,10,MATCH(O1731,Cargas,1))),Coluna_fih,1,1))*(PI()*(fi_h/1000)^2/4)*SQRT(2*9.81*(O1731/100-fi_h/2/1000))*1000))</f>
        <v>5.5555097212872742</v>
      </c>
      <c r="Q1731" s="38">
        <f ca="1">IF(O1731="","",IF(Tipo_Vertedor="Retangular",IF(O1731&lt;=cota_s*100,0,IF(Tipo_Vertedor="Retangular",Cd_sr*Lef_sr*((O1731/100-cota_s)^(3/2))*1000)),IF(O1731&lt;=cota_s*100+fi_s/20,0,(OFFSET('Base de dados'!$A$4,IF(O1731&lt;20,1,IF(O1731&gt;1000,10,MATCH(O1731,Cargas,1))),Coluna_fis,1,1))*(PI()*(fi_s/1000)^2/4)*(2*9.81*(O1731/100-cota_s-fi_s/2/1000))^0.5*1000)))</f>
        <v>4.7186187677159515</v>
      </c>
      <c r="R1731" s="38">
        <f t="shared" ca="1" si="220"/>
        <v>10.274128489003225</v>
      </c>
      <c r="S1731" s="38">
        <f t="shared" ca="1" si="221"/>
        <v>540.625</v>
      </c>
    </row>
    <row r="1732" spans="13:19">
      <c r="M1732" s="132">
        <f t="shared" ca="1" si="218"/>
        <v>551.21513821061103</v>
      </c>
      <c r="N1732" s="38">
        <f t="shared" si="219"/>
        <v>16.228124999999999</v>
      </c>
      <c r="O1732" s="36">
        <f t="shared" si="217"/>
        <v>432.75</v>
      </c>
      <c r="P1732" s="38">
        <f ca="1">IF(ISERROR(IF(O1732&lt;fi_h/20,0,(OFFSET('Base de dados'!$A$5,IF(O1732&lt;20,1,IF(O1732&gt;1000,10,MATCH(O1732,Cargas,1))),Coluna_fih,1,1))*(1+0.13*0.25)*(PI()*(fi_h/1000)^2/4)*SQRT(2*9.81*(O1732/100-fi_h/2/1000))*1000)),"",IF(O1732&lt;fi_h/20,0,(OFFSET('Base de dados'!$A$5,IF(O1732&lt;20,1,IF(O1732&gt;1000,10,MATCH(O1732,Cargas,1))),Coluna_fih,1,1))*(PI()*(fi_h/1000)^2/4)*SQRT(2*9.81*(O1732/100-fi_h/2/1000))*1000))</f>
        <v>5.5571216867001372</v>
      </c>
      <c r="Q1732" s="38">
        <f ca="1">IF(O1732="","",IF(Tipo_Vertedor="Retangular",IF(O1732&lt;=cota_s*100,0,IF(Tipo_Vertedor="Retangular",Cd_sr*Lef_sr*((O1732/100-cota_s)^(3/2))*1000)),IF(O1732&lt;=cota_s*100+fi_s/20,0,(OFFSET('Base de dados'!$A$4,IF(O1732&lt;20,1,IF(O1732&gt;1000,10,MATCH(O1732,Cargas,1))),Coluna_fis,1,1))*(PI()*(fi_s/1000)^2/4)*(2*9.81*(O1732/100-cota_s-fi_s/2/1000))^0.5*1000)))</f>
        <v>4.720516523910999</v>
      </c>
      <c r="R1732" s="38">
        <f t="shared" ca="1" si="220"/>
        <v>10.277638210611137</v>
      </c>
      <c r="S1732" s="38">
        <f t="shared" ca="1" si="221"/>
        <v>540.93749999999989</v>
      </c>
    </row>
    <row r="1733" spans="13:19">
      <c r="M1733" s="132">
        <f t="shared" ca="1" si="218"/>
        <v>551.53114670213347</v>
      </c>
      <c r="N1733" s="38">
        <f t="shared" si="219"/>
        <v>16.237500000000001</v>
      </c>
      <c r="O1733" s="36">
        <f t="shared" si="217"/>
        <v>433</v>
      </c>
      <c r="P1733" s="38">
        <f ca="1">IF(ISERROR(IF(O1733&lt;fi_h/20,0,(OFFSET('Base de dados'!$A$5,IF(O1733&lt;20,1,IF(O1733&gt;1000,10,MATCH(O1733,Cargas,1))),Coluna_fih,1,1))*(1+0.13*0.25)*(PI()*(fi_h/1000)^2/4)*SQRT(2*9.81*(O1733/100-fi_h/2/1000))*1000)),"",IF(O1733&lt;fi_h/20,0,(OFFSET('Base de dados'!$A$5,IF(O1733&lt;20,1,IF(O1733&gt;1000,10,MATCH(O1733,Cargas,1))),Coluna_fih,1,1))*(PI()*(fi_h/1000)^2/4)*SQRT(2*9.81*(O1733/100-fi_h/2/1000))*1000))</f>
        <v>5.5587331846625414</v>
      </c>
      <c r="Q1733" s="38">
        <f ca="1">IF(O1733="","",IF(Tipo_Vertedor="Retangular",IF(O1733&lt;=cota_s*100,0,IF(Tipo_Vertedor="Retangular",Cd_sr*Lef_sr*((O1733/100-cota_s)^(3/2))*1000)),IF(O1733&lt;=cota_s*100+fi_s/20,0,(OFFSET('Base de dados'!$A$4,IF(O1733&lt;20,1,IF(O1733&gt;1000,10,MATCH(O1733,Cargas,1))),Coluna_fis,1,1))*(PI()*(fi_s/1000)^2/4)*(2*9.81*(O1733/100-cota_s-fi_s/2/1000))^0.5*1000)))</f>
        <v>4.7224135174709509</v>
      </c>
      <c r="R1733" s="38">
        <f t="shared" ca="1" si="220"/>
        <v>10.281146702133492</v>
      </c>
      <c r="S1733" s="38">
        <f t="shared" ca="1" si="221"/>
        <v>541.25</v>
      </c>
    </row>
    <row r="1734" spans="13:19">
      <c r="M1734" s="132">
        <f t="shared" ca="1" si="218"/>
        <v>551.84715396489537</v>
      </c>
      <c r="N1734" s="38">
        <f t="shared" si="219"/>
        <v>16.246874999999999</v>
      </c>
      <c r="O1734" s="36">
        <f t="shared" si="217"/>
        <v>433.25</v>
      </c>
      <c r="P1734" s="38">
        <f ca="1">IF(ISERROR(IF(O1734&lt;fi_h/20,0,(OFFSET('Base de dados'!$A$5,IF(O1734&lt;20,1,IF(O1734&gt;1000,10,MATCH(O1734,Cargas,1))),Coluna_fih,1,1))*(1+0.13*0.25)*(PI()*(fi_h/1000)^2/4)*SQRT(2*9.81*(O1734/100-fi_h/2/1000))*1000)),"",IF(O1734&lt;fi_h/20,0,(OFFSET('Base de dados'!$A$5,IF(O1734&lt;20,1,IF(O1734&gt;1000,10,MATCH(O1734,Cargas,1))),Coluna_fih,1,1))*(PI()*(fi_h/1000)^2/4)*SQRT(2*9.81*(O1734/100-fi_h/2/1000))*1000))</f>
        <v>5.5603442155809137</v>
      </c>
      <c r="Q1734" s="38">
        <f ca="1">IF(O1734="","",IF(Tipo_Vertedor="Retangular",IF(O1734&lt;=cota_s*100,0,IF(Tipo_Vertedor="Retangular",Cd_sr*Lef_sr*((O1734/100-cota_s)^(3/2))*1000)),IF(O1734&lt;=cota_s*100+fi_s/20,0,(OFFSET('Base de dados'!$A$4,IF(O1734&lt;20,1,IF(O1734&gt;1000,10,MATCH(O1734,Cargas,1))),Coluna_fis,1,1))*(PI()*(fi_s/1000)^2/4)*(2*9.81*(O1734/100-cota_s-fi_s/2/1000))^0.5*1000)))</f>
        <v>4.7243097493144894</v>
      </c>
      <c r="R1734" s="38">
        <f t="shared" ca="1" si="220"/>
        <v>10.284653964895403</v>
      </c>
      <c r="S1734" s="38">
        <f t="shared" ca="1" si="221"/>
        <v>541.5625</v>
      </c>
    </row>
    <row r="1735" spans="13:19">
      <c r="M1735" s="132">
        <f t="shared" ca="1" si="218"/>
        <v>552.1631600002197</v>
      </c>
      <c r="N1735" s="38">
        <f t="shared" si="219"/>
        <v>16.256250000000001</v>
      </c>
      <c r="O1735" s="36">
        <f t="shared" si="217"/>
        <v>433.5</v>
      </c>
      <c r="P1735" s="38">
        <f ca="1">IF(ISERROR(IF(O1735&lt;fi_h/20,0,(OFFSET('Base de dados'!$A$5,IF(O1735&lt;20,1,IF(O1735&gt;1000,10,MATCH(O1735,Cargas,1))),Coluna_fih,1,1))*(1+0.13*0.25)*(PI()*(fi_h/1000)^2/4)*SQRT(2*9.81*(O1735/100-fi_h/2/1000))*1000)),"",IF(O1735&lt;fi_h/20,0,(OFFSET('Base de dados'!$A$5,IF(O1735&lt;20,1,IF(O1735&gt;1000,10,MATCH(O1735,Cargas,1))),Coluna_fih,1,1))*(PI()*(fi_h/1000)^2/4)*SQRT(2*9.81*(O1735/100-fi_h/2/1000))*1000))</f>
        <v>5.5619547798610975</v>
      </c>
      <c r="Q1735" s="38">
        <f ca="1">IF(O1735="","",IF(Tipo_Vertedor="Retangular",IF(O1735&lt;=cota_s*100,0,IF(Tipo_Vertedor="Retangular",Cd_sr*Lef_sr*((O1735/100-cota_s)^(3/2))*1000)),IF(O1735&lt;=cota_s*100+fi_s/20,0,(OFFSET('Base de dados'!$A$4,IF(O1735&lt;20,1,IF(O1735&gt;1000,10,MATCH(O1735,Cargas,1))),Coluna_fis,1,1))*(PI()*(fi_s/1000)^2/4)*(2*9.81*(O1735/100-cota_s-fi_s/2/1000))^0.5*1000)))</f>
        <v>4.7262052203584553</v>
      </c>
      <c r="R1735" s="38">
        <f t="shared" ca="1" si="220"/>
        <v>10.288160000219552</v>
      </c>
      <c r="S1735" s="38">
        <f t="shared" ca="1" si="221"/>
        <v>541.87500000000011</v>
      </c>
    </row>
    <row r="1736" spans="13:19">
      <c r="M1736" s="132">
        <f t="shared" ca="1" si="218"/>
        <v>552.47916480942615</v>
      </c>
      <c r="N1736" s="38">
        <f t="shared" si="219"/>
        <v>16.265625</v>
      </c>
      <c r="O1736" s="36">
        <f t="shared" si="217"/>
        <v>433.75</v>
      </c>
      <c r="P1736" s="38">
        <f ca="1">IF(ISERROR(IF(O1736&lt;fi_h/20,0,(OFFSET('Base de dados'!$A$5,IF(O1736&lt;20,1,IF(O1736&gt;1000,10,MATCH(O1736,Cargas,1))),Coluna_fih,1,1))*(1+0.13*0.25)*(PI()*(fi_h/1000)^2/4)*SQRT(2*9.81*(O1736/100-fi_h/2/1000))*1000)),"",IF(O1736&lt;fi_h/20,0,(OFFSET('Base de dados'!$A$5,IF(O1736&lt;20,1,IF(O1736&gt;1000,10,MATCH(O1736,Cargas,1))),Coluna_fih,1,1))*(PI()*(fi_h/1000)^2/4)*SQRT(2*9.81*(O1736/100-fi_h/2/1000))*1000))</f>
        <v>5.5635648779083438</v>
      </c>
      <c r="Q1736" s="38">
        <f ca="1">IF(O1736="","",IF(Tipo_Vertedor="Retangular",IF(O1736&lt;=cota_s*100,0,IF(Tipo_Vertedor="Retangular",Cd_sr*Lef_sr*((O1736/100-cota_s)^(3/2))*1000)),IF(O1736&lt;=cota_s*100+fi_s/20,0,(OFFSET('Base de dados'!$A$4,IF(O1736&lt;20,1,IF(O1736&gt;1000,10,MATCH(O1736,Cargas,1))),Coluna_fis,1,1))*(PI()*(fi_s/1000)^2/4)*(2*9.81*(O1736/100-cota_s-fi_s/2/1000))^0.5*1000)))</f>
        <v>4.7280999315178489</v>
      </c>
      <c r="R1736" s="38">
        <f t="shared" ca="1" si="220"/>
        <v>10.291664809426193</v>
      </c>
      <c r="S1736" s="38">
        <f t="shared" ca="1" si="221"/>
        <v>542.1875</v>
      </c>
    </row>
    <row r="1737" spans="13:19">
      <c r="M1737" s="132">
        <f t="shared" ca="1" si="218"/>
        <v>552.79516839383302</v>
      </c>
      <c r="N1737" s="38">
        <f t="shared" si="219"/>
        <v>16.274999999999999</v>
      </c>
      <c r="O1737" s="36">
        <f t="shared" si="217"/>
        <v>434</v>
      </c>
      <c r="P1737" s="38">
        <f ca="1">IF(ISERROR(IF(O1737&lt;fi_h/20,0,(OFFSET('Base de dados'!$A$5,IF(O1737&lt;20,1,IF(O1737&gt;1000,10,MATCH(O1737,Cargas,1))),Coluna_fih,1,1))*(1+0.13*0.25)*(PI()*(fi_h/1000)^2/4)*SQRT(2*9.81*(O1737/100-fi_h/2/1000))*1000)),"",IF(O1737&lt;fi_h/20,0,(OFFSET('Base de dados'!$A$5,IF(O1737&lt;20,1,IF(O1737&gt;1000,10,MATCH(O1737,Cargas,1))),Coluna_fih,1,1))*(PI()*(fi_h/1000)^2/4)*SQRT(2*9.81*(O1737/100-fi_h/2/1000))*1000))</f>
        <v>5.5651745101273198</v>
      </c>
      <c r="Q1737" s="38">
        <f ca="1">IF(O1737="","",IF(Tipo_Vertedor="Retangular",IF(O1737&lt;=cota_s*100,0,IF(Tipo_Vertedor="Retangular",Cd_sr*Lef_sr*((O1737/100-cota_s)^(3/2))*1000)),IF(O1737&lt;=cota_s*100+fi_s/20,0,(OFFSET('Base de dados'!$A$4,IF(O1737&lt;20,1,IF(O1737&gt;1000,10,MATCH(O1737,Cargas,1))),Coluna_fis,1,1))*(PI()*(fi_s/1000)^2/4)*(2*9.81*(O1737/100-cota_s-fi_s/2/1000))^0.5*1000)))</f>
        <v>4.7299938837058404</v>
      </c>
      <c r="R1737" s="38">
        <f t="shared" ca="1" si="220"/>
        <v>10.29516839383316</v>
      </c>
      <c r="S1737" s="38">
        <f t="shared" ca="1" si="221"/>
        <v>542.49999999999989</v>
      </c>
    </row>
    <row r="1738" spans="13:19">
      <c r="M1738" s="132">
        <f t="shared" ca="1" si="218"/>
        <v>553.1111707547559</v>
      </c>
      <c r="N1738" s="38">
        <f t="shared" si="219"/>
        <v>16.284375000000001</v>
      </c>
      <c r="O1738" s="36">
        <f t="shared" si="217"/>
        <v>434.25</v>
      </c>
      <c r="P1738" s="38">
        <f ca="1">IF(ISERROR(IF(O1738&lt;fi_h/20,0,(OFFSET('Base de dados'!$A$5,IF(O1738&lt;20,1,IF(O1738&gt;1000,10,MATCH(O1738,Cargas,1))),Coluna_fih,1,1))*(1+0.13*0.25)*(PI()*(fi_h/1000)^2/4)*SQRT(2*9.81*(O1738/100-fi_h/2/1000))*1000)),"",IF(O1738&lt;fi_h/20,0,(OFFSET('Base de dados'!$A$5,IF(O1738&lt;20,1,IF(O1738&gt;1000,10,MATCH(O1738,Cargas,1))),Coluna_fih,1,1))*(PI()*(fi_h/1000)^2/4)*SQRT(2*9.81*(O1738/100-fi_h/2/1000))*1000))</f>
        <v>5.5667836769221095</v>
      </c>
      <c r="Q1738" s="38">
        <f ca="1">IF(O1738="","",IF(Tipo_Vertedor="Retangular",IF(O1738&lt;=cota_s*100,0,IF(Tipo_Vertedor="Retangular",Cd_sr*Lef_sr*((O1738/100-cota_s)^(3/2))*1000)),IF(O1738&lt;=cota_s*100+fi_s/20,0,(OFFSET('Base de dados'!$A$4,IF(O1738&lt;20,1,IF(O1738&gt;1000,10,MATCH(O1738,Cargas,1))),Coluna_fis,1,1))*(PI()*(fi_s/1000)^2/4)*(2*9.81*(O1738/100-cota_s-fi_s/2/1000))^0.5*1000)))</f>
        <v>4.7318870778337718</v>
      </c>
      <c r="R1738" s="38">
        <f t="shared" ca="1" si="220"/>
        <v>10.298670754755882</v>
      </c>
      <c r="S1738" s="38">
        <f t="shared" ca="1" si="221"/>
        <v>542.8125</v>
      </c>
    </row>
    <row r="1739" spans="13:19">
      <c r="M1739" s="132">
        <f t="shared" ca="1" si="218"/>
        <v>553.42717189350742</v>
      </c>
      <c r="N1739" s="38">
        <f t="shared" si="219"/>
        <v>16.293749999999999</v>
      </c>
      <c r="O1739" s="36">
        <f t="shared" si="217"/>
        <v>434.5</v>
      </c>
      <c r="P1739" s="38">
        <f ca="1">IF(ISERROR(IF(O1739&lt;fi_h/20,0,(OFFSET('Base de dados'!$A$5,IF(O1739&lt;20,1,IF(O1739&gt;1000,10,MATCH(O1739,Cargas,1))),Coluna_fih,1,1))*(1+0.13*0.25)*(PI()*(fi_h/1000)^2/4)*SQRT(2*9.81*(O1739/100-fi_h/2/1000))*1000)),"",IF(O1739&lt;fi_h/20,0,(OFFSET('Base de dados'!$A$5,IF(O1739&lt;20,1,IF(O1739&gt;1000,10,MATCH(O1739,Cargas,1))),Coluna_fih,1,1))*(PI()*(fi_h/1000)^2/4)*SQRT(2*9.81*(O1739/100-fi_h/2/1000))*1000))</f>
        <v>5.5683923786962062</v>
      </c>
      <c r="Q1739" s="38">
        <f ca="1">IF(O1739="","",IF(Tipo_Vertedor="Retangular",IF(O1739&lt;=cota_s*100,0,IF(Tipo_Vertedor="Retangular",Cd_sr*Lef_sr*((O1739/100-cota_s)^(3/2))*1000)),IF(O1739&lt;=cota_s*100+fi_s/20,0,(OFFSET('Base de dados'!$A$4,IF(O1739&lt;20,1,IF(O1739&gt;1000,10,MATCH(O1739,Cargas,1))),Coluna_fis,1,1))*(PI()*(fi_s/1000)^2/4)*(2*9.81*(O1739/100-cota_s-fi_s/2/1000))^0.5*1000)))</f>
        <v>4.7337795148111628</v>
      </c>
      <c r="R1739" s="38">
        <f t="shared" ca="1" si="220"/>
        <v>10.302171893507369</v>
      </c>
      <c r="S1739" s="38">
        <f t="shared" ca="1" si="221"/>
        <v>543.125</v>
      </c>
    </row>
    <row r="1740" spans="13:19">
      <c r="M1740" s="132">
        <f t="shared" ca="1" si="218"/>
        <v>553.74317181139838</v>
      </c>
      <c r="N1740" s="38">
        <f t="shared" si="219"/>
        <v>16.303125000000001</v>
      </c>
      <c r="O1740" s="36">
        <f t="shared" si="217"/>
        <v>434.75</v>
      </c>
      <c r="P1740" s="38">
        <f ca="1">IF(ISERROR(IF(O1740&lt;fi_h/20,0,(OFFSET('Base de dados'!$A$5,IF(O1740&lt;20,1,IF(O1740&gt;1000,10,MATCH(O1740,Cargas,1))),Coluna_fih,1,1))*(1+0.13*0.25)*(PI()*(fi_h/1000)^2/4)*SQRT(2*9.81*(O1740/100-fi_h/2/1000))*1000)),"",IF(O1740&lt;fi_h/20,0,(OFFSET('Base de dados'!$A$5,IF(O1740&lt;20,1,IF(O1740&gt;1000,10,MATCH(O1740,Cargas,1))),Coluna_fih,1,1))*(PI()*(fi_h/1000)^2/4)*SQRT(2*9.81*(O1740/100-fi_h/2/1000))*1000))</f>
        <v>5.5700006158525319</v>
      </c>
      <c r="Q1740" s="38">
        <f ca="1">IF(O1740="","",IF(Tipo_Vertedor="Retangular",IF(O1740&lt;=cota_s*100,0,IF(Tipo_Vertedor="Retangular",Cd_sr*Lef_sr*((O1740/100-cota_s)^(3/2))*1000)),IF(O1740&lt;=cota_s*100+fi_s/20,0,(OFFSET('Base de dados'!$A$4,IF(O1740&lt;20,1,IF(O1740&gt;1000,10,MATCH(O1740,Cargas,1))),Coluna_fis,1,1))*(PI()*(fi_s/1000)^2/4)*(2*9.81*(O1740/100-cota_s-fi_s/2/1000))^0.5*1000)))</f>
        <v>4.7356711955457156</v>
      </c>
      <c r="R1740" s="38">
        <f t="shared" ca="1" si="220"/>
        <v>10.305671811398248</v>
      </c>
      <c r="S1740" s="38">
        <f t="shared" ca="1" si="221"/>
        <v>543.43750000000011</v>
      </c>
    </row>
    <row r="1741" spans="13:19">
      <c r="M1741" s="132">
        <f t="shared" ca="1" si="218"/>
        <v>554.05917050973676</v>
      </c>
      <c r="N1741" s="38">
        <f t="shared" si="219"/>
        <v>16.3125</v>
      </c>
      <c r="O1741" s="36">
        <f t="shared" si="217"/>
        <v>435</v>
      </c>
      <c r="P1741" s="38">
        <f ca="1">IF(ISERROR(IF(O1741&lt;fi_h/20,0,(OFFSET('Base de dados'!$A$5,IF(O1741&lt;20,1,IF(O1741&gt;1000,10,MATCH(O1741,Cargas,1))),Coluna_fih,1,1))*(1+0.13*0.25)*(PI()*(fi_h/1000)^2/4)*SQRT(2*9.81*(O1741/100-fi_h/2/1000))*1000)),"",IF(O1741&lt;fi_h/20,0,(OFFSET('Base de dados'!$A$5,IF(O1741&lt;20,1,IF(O1741&gt;1000,10,MATCH(O1741,Cargas,1))),Coluna_fih,1,1))*(PI()*(fi_h/1000)^2/4)*SQRT(2*9.81*(O1741/100-fi_h/2/1000))*1000))</f>
        <v>5.5716083887934156</v>
      </c>
      <c r="Q1741" s="38">
        <f ca="1">IF(O1741="","",IF(Tipo_Vertedor="Retangular",IF(O1741&lt;=cota_s*100,0,IF(Tipo_Vertedor="Retangular",Cd_sr*Lef_sr*((O1741/100-cota_s)^(3/2))*1000)),IF(O1741&lt;=cota_s*100+fi_s/20,0,(OFFSET('Base de dados'!$A$4,IF(O1741&lt;20,1,IF(O1741&gt;1000,10,MATCH(O1741,Cargas,1))),Coluna_fis,1,1))*(PI()*(fi_s/1000)^2/4)*(2*9.81*(O1741/100-cota_s-fi_s/2/1000))^0.5*1000)))</f>
        <v>4.7375621209433199</v>
      </c>
      <c r="R1741" s="38">
        <f t="shared" ca="1" si="220"/>
        <v>10.309170509736735</v>
      </c>
      <c r="S1741" s="38">
        <f t="shared" ca="1" si="221"/>
        <v>543.75</v>
      </c>
    </row>
    <row r="1742" spans="13:19">
      <c r="M1742" s="132">
        <f t="shared" ca="1" si="218"/>
        <v>554.37516798982858</v>
      </c>
      <c r="N1742" s="38">
        <f t="shared" si="219"/>
        <v>16.321874999999999</v>
      </c>
      <c r="O1742" s="36">
        <f t="shared" si="217"/>
        <v>435.25</v>
      </c>
      <c r="P1742" s="38">
        <f ca="1">IF(ISERROR(IF(O1742&lt;fi_h/20,0,(OFFSET('Base de dados'!$A$5,IF(O1742&lt;20,1,IF(O1742&gt;1000,10,MATCH(O1742,Cargas,1))),Coluna_fih,1,1))*(1+0.13*0.25)*(PI()*(fi_h/1000)^2/4)*SQRT(2*9.81*(O1742/100-fi_h/2/1000))*1000)),"",IF(O1742&lt;fi_h/20,0,(OFFSET('Base de dados'!$A$5,IF(O1742&lt;20,1,IF(O1742&gt;1000,10,MATCH(O1742,Cargas,1))),Coluna_fih,1,1))*(PI()*(fi_h/1000)^2/4)*SQRT(2*9.81*(O1742/100-fi_h/2/1000))*1000))</f>
        <v>5.5732156979206113</v>
      </c>
      <c r="Q1742" s="38">
        <f ca="1">IF(O1742="","",IF(Tipo_Vertedor="Retangular",IF(O1742&lt;=cota_s*100,0,IF(Tipo_Vertedor="Retangular",Cd_sr*Lef_sr*((O1742/100-cota_s)^(3/2))*1000)),IF(O1742&lt;=cota_s*100+fi_s/20,0,(OFFSET('Base de dados'!$A$4,IF(O1742&lt;20,1,IF(O1742&gt;1000,10,MATCH(O1742,Cargas,1))),Coluna_fis,1,1))*(PI()*(fi_s/1000)^2/4)*(2*9.81*(O1742/100-cota_s-fi_s/2/1000))^0.5*1000)))</f>
        <v>4.7394522919080577</v>
      </c>
      <c r="R1742" s="38">
        <f t="shared" ca="1" si="220"/>
        <v>10.312667989828668</v>
      </c>
      <c r="S1742" s="38">
        <f t="shared" ca="1" si="221"/>
        <v>544.06249999999989</v>
      </c>
    </row>
    <row r="1743" spans="13:19">
      <c r="M1743" s="132">
        <f t="shared" ca="1" si="218"/>
        <v>554.6911642529775</v>
      </c>
      <c r="N1743" s="38">
        <f t="shared" si="219"/>
        <v>16.331250000000001</v>
      </c>
      <c r="O1743" s="36">
        <f t="shared" si="217"/>
        <v>435.5</v>
      </c>
      <c r="P1743" s="38">
        <f ca="1">IF(ISERROR(IF(O1743&lt;fi_h/20,0,(OFFSET('Base de dados'!$A$5,IF(O1743&lt;20,1,IF(O1743&gt;1000,10,MATCH(O1743,Cargas,1))),Coluna_fih,1,1))*(1+0.13*0.25)*(PI()*(fi_h/1000)^2/4)*SQRT(2*9.81*(O1743/100-fi_h/2/1000))*1000)),"",IF(O1743&lt;fi_h/20,0,(OFFSET('Base de dados'!$A$5,IF(O1743&lt;20,1,IF(O1743&gt;1000,10,MATCH(O1743,Cargas,1))),Coluna_fih,1,1))*(PI()*(fi_h/1000)^2/4)*SQRT(2*9.81*(O1743/100-fi_h/2/1000))*1000))</f>
        <v>5.5748225436352969</v>
      </c>
      <c r="Q1743" s="38">
        <f ca="1">IF(O1743="","",IF(Tipo_Vertedor="Retangular",IF(O1743&lt;=cota_s*100,0,IF(Tipo_Vertedor="Retangular",Cd_sr*Lef_sr*((O1743/100-cota_s)^(3/2))*1000)),IF(O1743&lt;=cota_s*100+fi_s/20,0,(OFFSET('Base de dados'!$A$4,IF(O1743&lt;20,1,IF(O1743&gt;1000,10,MATCH(O1743,Cargas,1))),Coluna_fis,1,1))*(PI()*(fi_s/1000)^2/4)*(2*9.81*(O1743/100-cota_s-fi_s/2/1000))^0.5*1000)))</f>
        <v>4.7413417093422101</v>
      </c>
      <c r="R1743" s="38">
        <f t="shared" ca="1" si="220"/>
        <v>10.316164252977508</v>
      </c>
      <c r="S1743" s="38">
        <f t="shared" ca="1" si="221"/>
        <v>544.375</v>
      </c>
    </row>
    <row r="1744" spans="13:19">
      <c r="M1744" s="132">
        <f t="shared" ca="1" si="218"/>
        <v>555.00715930048432</v>
      </c>
      <c r="N1744" s="38">
        <f t="shared" si="219"/>
        <v>16.340624999999999</v>
      </c>
      <c r="O1744" s="36">
        <f t="shared" si="217"/>
        <v>435.75</v>
      </c>
      <c r="P1744" s="38">
        <f ca="1">IF(ISERROR(IF(O1744&lt;fi_h/20,0,(OFFSET('Base de dados'!$A$5,IF(O1744&lt;20,1,IF(O1744&gt;1000,10,MATCH(O1744,Cargas,1))),Coluna_fih,1,1))*(1+0.13*0.25)*(PI()*(fi_h/1000)^2/4)*SQRT(2*9.81*(O1744/100-fi_h/2/1000))*1000)),"",IF(O1744&lt;fi_h/20,0,(OFFSET('Base de dados'!$A$5,IF(O1744&lt;20,1,IF(O1744&gt;1000,10,MATCH(O1744,Cargas,1))),Coluna_fih,1,1))*(PI()*(fi_h/1000)^2/4)*SQRT(2*9.81*(O1744/100-fi_h/2/1000))*1000))</f>
        <v>5.5764289263380631</v>
      </c>
      <c r="Q1744" s="38">
        <f ca="1">IF(O1744="","",IF(Tipo_Vertedor="Retangular",IF(O1744&lt;=cota_s*100,0,IF(Tipo_Vertedor="Retangular",Cd_sr*Lef_sr*((O1744/100-cota_s)^(3/2))*1000)),IF(O1744&lt;=cota_s*100+fi_s/20,0,(OFFSET('Base de dados'!$A$4,IF(O1744&lt;20,1,IF(O1744&gt;1000,10,MATCH(O1744,Cargas,1))),Coluna_fis,1,1))*(PI()*(fi_s/1000)^2/4)*(2*9.81*(O1744/100-cota_s-fi_s/2/1000))^0.5*1000)))</f>
        <v>4.743230374146262</v>
      </c>
      <c r="R1744" s="38">
        <f t="shared" ca="1" si="220"/>
        <v>10.319659300484325</v>
      </c>
      <c r="S1744" s="38">
        <f t="shared" ca="1" si="221"/>
        <v>544.6875</v>
      </c>
    </row>
    <row r="1745" spans="13:19">
      <c r="M1745" s="132">
        <f t="shared" ca="1" si="218"/>
        <v>555.32315313364791</v>
      </c>
      <c r="N1745" s="38">
        <f t="shared" si="219"/>
        <v>16.350000000000001</v>
      </c>
      <c r="O1745" s="36">
        <f t="shared" si="217"/>
        <v>436</v>
      </c>
      <c r="P1745" s="38">
        <f ca="1">IF(ISERROR(IF(O1745&lt;fi_h/20,0,(OFFSET('Base de dados'!$A$5,IF(O1745&lt;20,1,IF(O1745&gt;1000,10,MATCH(O1745,Cargas,1))),Coluna_fih,1,1))*(1+0.13*0.25)*(PI()*(fi_h/1000)^2/4)*SQRT(2*9.81*(O1745/100-fi_h/2/1000))*1000)),"",IF(O1745&lt;fi_h/20,0,(OFFSET('Base de dados'!$A$5,IF(O1745&lt;20,1,IF(O1745&gt;1000,10,MATCH(O1745,Cargas,1))),Coluna_fih,1,1))*(PI()*(fi_h/1000)^2/4)*SQRT(2*9.81*(O1745/100-fi_h/2/1000))*1000))</f>
        <v>5.5780348464289347</v>
      </c>
      <c r="Q1745" s="38">
        <f ca="1">IF(O1745="","",IF(Tipo_Vertedor="Retangular",IF(O1745&lt;=cota_s*100,0,IF(Tipo_Vertedor="Retangular",Cd_sr*Lef_sr*((O1745/100-cota_s)^(3/2))*1000)),IF(O1745&lt;=cota_s*100+fi_s/20,0,(OFFSET('Base de dados'!$A$4,IF(O1745&lt;20,1,IF(O1745&gt;1000,10,MATCH(O1745,Cargas,1))),Coluna_fis,1,1))*(PI()*(fi_s/1000)^2/4)*(2*9.81*(O1745/100-cota_s-fi_s/2/1000))^0.5*1000)))</f>
        <v>4.7451182872189035</v>
      </c>
      <c r="R1745" s="38">
        <f t="shared" ca="1" si="220"/>
        <v>10.323153133647839</v>
      </c>
      <c r="S1745" s="38">
        <f t="shared" ca="1" si="221"/>
        <v>545.00000000000011</v>
      </c>
    </row>
    <row r="1746" spans="13:19">
      <c r="M1746" s="132">
        <f t="shared" ca="1" si="218"/>
        <v>555.63914575376441</v>
      </c>
      <c r="N1746" s="38">
        <f t="shared" si="219"/>
        <v>16.359375</v>
      </c>
      <c r="O1746" s="36">
        <f t="shared" si="217"/>
        <v>436.25</v>
      </c>
      <c r="P1746" s="38">
        <f ca="1">IF(ISERROR(IF(O1746&lt;fi_h/20,0,(OFFSET('Base de dados'!$A$5,IF(O1746&lt;20,1,IF(O1746&gt;1000,10,MATCH(O1746,Cargas,1))),Coluna_fih,1,1))*(1+0.13*0.25)*(PI()*(fi_h/1000)^2/4)*SQRT(2*9.81*(O1746/100-fi_h/2/1000))*1000)),"",IF(O1746&lt;fi_h/20,0,(OFFSET('Base de dados'!$A$5,IF(O1746&lt;20,1,IF(O1746&gt;1000,10,MATCH(O1746,Cargas,1))),Coluna_fih,1,1))*(PI()*(fi_h/1000)^2/4)*SQRT(2*9.81*(O1746/100-fi_h/2/1000))*1000))</f>
        <v>5.5796403043073513</v>
      </c>
      <c r="Q1746" s="38">
        <f ca="1">IF(O1746="","",IF(Tipo_Vertedor="Retangular",IF(O1746&lt;=cota_s*100,0,IF(Tipo_Vertedor="Retangular",Cd_sr*Lef_sr*((O1746/100-cota_s)^(3/2))*1000)),IF(O1746&lt;=cota_s*100+fi_s/20,0,(OFFSET('Base de dados'!$A$4,IF(O1746&lt;20,1,IF(O1746&gt;1000,10,MATCH(O1746,Cargas,1))),Coluna_fis,1,1))*(PI()*(fi_s/1000)^2/4)*(2*9.81*(O1746/100-cota_s-fi_s/2/1000))^0.5*1000)))</f>
        <v>4.7470054494570393</v>
      </c>
      <c r="R1746" s="38">
        <f t="shared" ca="1" si="220"/>
        <v>10.326645753764391</v>
      </c>
      <c r="S1746" s="38">
        <f t="shared" ca="1" si="221"/>
        <v>545.3125</v>
      </c>
    </row>
    <row r="1747" spans="13:19">
      <c r="M1747" s="132">
        <f t="shared" ca="1" si="218"/>
        <v>555.95513716212804</v>
      </c>
      <c r="N1747" s="38">
        <f t="shared" si="219"/>
        <v>16.368750000000002</v>
      </c>
      <c r="O1747" s="36">
        <f t="shared" ref="O1747:O1810" si="222">IF(ISERROR(IF(O1746+passo_altura&gt;h_max_puls*100,"",O1746+passo_altura)),"",IF(O1746+passo_altura&gt;h_max_puls*100,"",O1746+passo_altura))</f>
        <v>436.5</v>
      </c>
      <c r="P1747" s="38">
        <f ca="1">IF(ISERROR(IF(O1747&lt;fi_h/20,0,(OFFSET('Base de dados'!$A$5,IF(O1747&lt;20,1,IF(O1747&gt;1000,10,MATCH(O1747,Cargas,1))),Coluna_fih,1,1))*(1+0.13*0.25)*(PI()*(fi_h/1000)^2/4)*SQRT(2*9.81*(O1747/100-fi_h/2/1000))*1000)),"",IF(O1747&lt;fi_h/20,0,(OFFSET('Base de dados'!$A$5,IF(O1747&lt;20,1,IF(O1747&gt;1000,10,MATCH(O1747,Cargas,1))),Coluna_fih,1,1))*(PI()*(fi_h/1000)^2/4)*SQRT(2*9.81*(O1747/100-fi_h/2/1000))*1000))</f>
        <v>5.5812453003721858</v>
      </c>
      <c r="Q1747" s="38">
        <f ca="1">IF(O1747="","",IF(Tipo_Vertedor="Retangular",IF(O1747&lt;=cota_s*100,0,IF(Tipo_Vertedor="Retangular",Cd_sr*Lef_sr*((O1747/100-cota_s)^(3/2))*1000)),IF(O1747&lt;=cota_s*100+fi_s/20,0,(OFFSET('Base de dados'!$A$4,IF(O1747&lt;20,1,IF(O1747&gt;1000,10,MATCH(O1747,Cargas,1))),Coluna_fis,1,1))*(PI()*(fi_s/1000)^2/4)*(2*9.81*(O1747/100-cota_s-fi_s/2/1000))^0.5*1000)))</f>
        <v>4.7488918617557943</v>
      </c>
      <c r="R1747" s="38">
        <f t="shared" ca="1" si="220"/>
        <v>10.330137162127979</v>
      </c>
      <c r="S1747" s="38">
        <f t="shared" ca="1" si="221"/>
        <v>545.62500000000011</v>
      </c>
    </row>
    <row r="1748" spans="13:19">
      <c r="M1748" s="132">
        <f t="shared" ca="1" si="218"/>
        <v>556.27112736003016</v>
      </c>
      <c r="N1748" s="38">
        <f t="shared" si="219"/>
        <v>16.378124999999997</v>
      </c>
      <c r="O1748" s="36">
        <f t="shared" si="222"/>
        <v>436.75</v>
      </c>
      <c r="P1748" s="38">
        <f ca="1">IF(ISERROR(IF(O1748&lt;fi_h/20,0,(OFFSET('Base de dados'!$A$5,IF(O1748&lt;20,1,IF(O1748&gt;1000,10,MATCH(O1748,Cargas,1))),Coluna_fih,1,1))*(1+0.13*0.25)*(PI()*(fi_h/1000)^2/4)*SQRT(2*9.81*(O1748/100-fi_h/2/1000))*1000)),"",IF(O1748&lt;fi_h/20,0,(OFFSET('Base de dados'!$A$5,IF(O1748&lt;20,1,IF(O1748&gt;1000,10,MATCH(O1748,Cargas,1))),Coluna_fih,1,1))*(PI()*(fi_h/1000)^2/4)*SQRT(2*9.81*(O1748/100-fi_h/2/1000))*1000))</f>
        <v>5.5828498350217313</v>
      </c>
      <c r="Q1748" s="38">
        <f ca="1">IF(O1748="","",IF(Tipo_Vertedor="Retangular",IF(O1748&lt;=cota_s*100,0,IF(Tipo_Vertedor="Retangular",Cd_sr*Lef_sr*((O1748/100-cota_s)^(3/2))*1000)),IF(O1748&lt;=cota_s*100+fi_s/20,0,(OFFSET('Base de dados'!$A$4,IF(O1748&lt;20,1,IF(O1748&gt;1000,10,MATCH(O1748,Cargas,1))),Coluna_fis,1,1))*(PI()*(fi_s/1000)^2/4)*(2*9.81*(O1748/100-cota_s-fi_s/2/1000))^0.5*1000)))</f>
        <v>4.7507775250085098</v>
      </c>
      <c r="R1748" s="38">
        <f t="shared" ca="1" si="220"/>
        <v>10.333627360030242</v>
      </c>
      <c r="S1748" s="38">
        <f t="shared" ca="1" si="221"/>
        <v>545.93749999999989</v>
      </c>
    </row>
    <row r="1749" spans="13:19">
      <c r="M1749" s="132">
        <f t="shared" ca="1" si="218"/>
        <v>556.58711634876045</v>
      </c>
      <c r="N1749" s="38">
        <f t="shared" si="219"/>
        <v>16.387499999999999</v>
      </c>
      <c r="O1749" s="36">
        <f t="shared" si="222"/>
        <v>437</v>
      </c>
      <c r="P1749" s="38">
        <f ca="1">IF(ISERROR(IF(O1749&lt;fi_h/20,0,(OFFSET('Base de dados'!$A$5,IF(O1749&lt;20,1,IF(O1749&gt;1000,10,MATCH(O1749,Cargas,1))),Coluna_fih,1,1))*(1+0.13*0.25)*(PI()*(fi_h/1000)^2/4)*SQRT(2*9.81*(O1749/100-fi_h/2/1000))*1000)),"",IF(O1749&lt;fi_h/20,0,(OFFSET('Base de dados'!$A$5,IF(O1749&lt;20,1,IF(O1749&gt;1000,10,MATCH(O1749,Cargas,1))),Coluna_fih,1,1))*(PI()*(fi_h/1000)^2/4)*SQRT(2*9.81*(O1749/100-fi_h/2/1000))*1000))</f>
        <v>5.5844539086537157</v>
      </c>
      <c r="Q1749" s="38">
        <f ca="1">IF(O1749="","",IF(Tipo_Vertedor="Retangular",IF(O1749&lt;=cota_s*100,0,IF(Tipo_Vertedor="Retangular",Cd_sr*Lef_sr*((O1749/100-cota_s)^(3/2))*1000)),IF(O1749&lt;=cota_s*100+fi_s/20,0,(OFFSET('Base de dados'!$A$4,IF(O1749&lt;20,1,IF(O1749&gt;1000,10,MATCH(O1749,Cargas,1))),Coluna_fis,1,1))*(PI()*(fi_s/1000)^2/4)*(2*9.81*(O1749/100-cota_s-fi_s/2/1000))^0.5*1000)))</f>
        <v>4.7526624401067625</v>
      </c>
      <c r="R1749" s="38">
        <f t="shared" ca="1" si="220"/>
        <v>10.337116348760478</v>
      </c>
      <c r="S1749" s="38">
        <f t="shared" ca="1" si="221"/>
        <v>546.25</v>
      </c>
    </row>
    <row r="1750" spans="13:19">
      <c r="M1750" s="132">
        <f t="shared" ca="1" si="218"/>
        <v>556.90310412960548</v>
      </c>
      <c r="N1750" s="38">
        <f t="shared" si="219"/>
        <v>16.396874999999998</v>
      </c>
      <c r="O1750" s="36">
        <f t="shared" si="222"/>
        <v>437.25</v>
      </c>
      <c r="P1750" s="38">
        <f ca="1">IF(ISERROR(IF(O1750&lt;fi_h/20,0,(OFFSET('Base de dados'!$A$5,IF(O1750&lt;20,1,IF(O1750&gt;1000,10,MATCH(O1750,Cargas,1))),Coluna_fih,1,1))*(1+0.13*0.25)*(PI()*(fi_h/1000)^2/4)*SQRT(2*9.81*(O1750/100-fi_h/2/1000))*1000)),"",IF(O1750&lt;fi_h/20,0,(OFFSET('Base de dados'!$A$5,IF(O1750&lt;20,1,IF(O1750&gt;1000,10,MATCH(O1750,Cargas,1))),Coluna_fih,1,1))*(PI()*(fi_h/1000)^2/4)*SQRT(2*9.81*(O1750/100-fi_h/2/1000))*1000))</f>
        <v>5.5860575216652872</v>
      </c>
      <c r="Q1750" s="38">
        <f ca="1">IF(O1750="","",IF(Tipo_Vertedor="Retangular",IF(O1750&lt;=cota_s*100,0,IF(Tipo_Vertedor="Retangular",Cd_sr*Lef_sr*((O1750/100-cota_s)^(3/2))*1000)),IF(O1750&lt;=cota_s*100+fi_s/20,0,(OFFSET('Base de dados'!$A$4,IF(O1750&lt;20,1,IF(O1750&gt;1000,10,MATCH(O1750,Cargas,1))),Coluna_fis,1,1))*(PI()*(fi_s/1000)^2/4)*(2*9.81*(O1750/100-cota_s-fi_s/2/1000))^0.5*1000)))</f>
        <v>4.7545466079403553</v>
      </c>
      <c r="R1750" s="38">
        <f t="shared" ca="1" si="220"/>
        <v>10.340604129605643</v>
      </c>
      <c r="S1750" s="38">
        <f t="shared" ca="1" si="221"/>
        <v>546.56249999999989</v>
      </c>
    </row>
    <row r="1751" spans="13:19">
      <c r="M1751" s="132">
        <f t="shared" ref="M1751:M1814" ca="1" si="223">IF(O1751="","",2*N1751*1000/(Passo*60)+R1751)</f>
        <v>557.21909070385038</v>
      </c>
      <c r="N1751" s="38">
        <f t="shared" ref="N1751:N1814" si="224">IF(O1751="","",b_0*(O1751/100)^c_0)</f>
        <v>16.40625</v>
      </c>
      <c r="O1751" s="36">
        <f t="shared" si="222"/>
        <v>437.5</v>
      </c>
      <c r="P1751" s="38">
        <f ca="1">IF(ISERROR(IF(O1751&lt;fi_h/20,0,(OFFSET('Base de dados'!$A$5,IF(O1751&lt;20,1,IF(O1751&gt;1000,10,MATCH(O1751,Cargas,1))),Coluna_fih,1,1))*(1+0.13*0.25)*(PI()*(fi_h/1000)^2/4)*SQRT(2*9.81*(O1751/100-fi_h/2/1000))*1000)),"",IF(O1751&lt;fi_h/20,0,(OFFSET('Base de dados'!$A$5,IF(O1751&lt;20,1,IF(O1751&gt;1000,10,MATCH(O1751,Cargas,1))),Coluna_fih,1,1))*(PI()*(fi_h/1000)^2/4)*SQRT(2*9.81*(O1751/100-fi_h/2/1000))*1000))</f>
        <v>5.5876606744530317</v>
      </c>
      <c r="Q1751" s="38">
        <f ca="1">IF(O1751="","",IF(Tipo_Vertedor="Retangular",IF(O1751&lt;=cota_s*100,0,IF(Tipo_Vertedor="Retangular",Cd_sr*Lef_sr*((O1751/100-cota_s)^(3/2))*1000)),IF(O1751&lt;=cota_s*100+fi_s/20,0,(OFFSET('Base de dados'!$A$4,IF(O1751&lt;20,1,IF(O1751&gt;1000,10,MATCH(O1751,Cargas,1))),Coluna_fis,1,1))*(PI()*(fi_s/1000)^2/4)*(2*9.81*(O1751/100-cota_s-fi_s/2/1000))^0.5*1000)))</f>
        <v>4.7564300293973334</v>
      </c>
      <c r="R1751" s="38">
        <f t="shared" ref="R1751:R1814" ca="1" si="225">IF(O1751="","",Q1751+P1751)</f>
        <v>10.344090703850366</v>
      </c>
      <c r="S1751" s="38">
        <f t="shared" ref="S1751:S1814" ca="1" si="226">IF(M1751="","",2*N1751*1000/(Passo*60))</f>
        <v>546.875</v>
      </c>
    </row>
    <row r="1752" spans="13:19">
      <c r="M1752" s="132">
        <f t="shared" ca="1" si="223"/>
        <v>557.53507607277709</v>
      </c>
      <c r="N1752" s="38">
        <f t="shared" si="224"/>
        <v>16.415625000000002</v>
      </c>
      <c r="O1752" s="36">
        <f t="shared" si="222"/>
        <v>437.75</v>
      </c>
      <c r="P1752" s="38">
        <f ca="1">IF(ISERROR(IF(O1752&lt;fi_h/20,0,(OFFSET('Base de dados'!$A$5,IF(O1752&lt;20,1,IF(O1752&gt;1000,10,MATCH(O1752,Cargas,1))),Coluna_fih,1,1))*(1+0.13*0.25)*(PI()*(fi_h/1000)^2/4)*SQRT(2*9.81*(O1752/100-fi_h/2/1000))*1000)),"",IF(O1752&lt;fi_h/20,0,(OFFSET('Base de dados'!$A$5,IF(O1752&lt;20,1,IF(O1752&gt;1000,10,MATCH(O1752,Cargas,1))),Coluna_fih,1,1))*(PI()*(fi_h/1000)^2/4)*SQRT(2*9.81*(O1752/100-fi_h/2/1000))*1000))</f>
        <v>5.589263367412963</v>
      </c>
      <c r="Q1752" s="38">
        <f ca="1">IF(O1752="","",IF(Tipo_Vertedor="Retangular",IF(O1752&lt;=cota_s*100,0,IF(Tipo_Vertedor="Retangular",Cd_sr*Lef_sr*((O1752/100-cota_s)^(3/2))*1000)),IF(O1752&lt;=cota_s*100+fi_s/20,0,(OFFSET('Base de dados'!$A$4,IF(O1752&lt;20,1,IF(O1752&gt;1000,10,MATCH(O1752,Cargas,1))),Coluna_fis,1,1))*(PI()*(fi_s/1000)^2/4)*(2*9.81*(O1752/100-cota_s-fi_s/2/1000))^0.5*1000)))</f>
        <v>4.7583127053639815</v>
      </c>
      <c r="R1752" s="38">
        <f t="shared" ca="1" si="225"/>
        <v>10.347576072776945</v>
      </c>
      <c r="S1752" s="38">
        <f t="shared" ca="1" si="226"/>
        <v>547.18750000000011</v>
      </c>
    </row>
    <row r="1753" spans="13:19">
      <c r="M1753" s="132">
        <f t="shared" ca="1" si="223"/>
        <v>557.85106023766537</v>
      </c>
      <c r="N1753" s="38">
        <f t="shared" si="224"/>
        <v>16.425000000000001</v>
      </c>
      <c r="O1753" s="36">
        <f t="shared" si="222"/>
        <v>438</v>
      </c>
      <c r="P1753" s="38">
        <f ca="1">IF(ISERROR(IF(O1753&lt;fi_h/20,0,(OFFSET('Base de dados'!$A$5,IF(O1753&lt;20,1,IF(O1753&gt;1000,10,MATCH(O1753,Cargas,1))),Coluna_fih,1,1))*(1+0.13*0.25)*(PI()*(fi_h/1000)^2/4)*SQRT(2*9.81*(O1753/100-fi_h/2/1000))*1000)),"",IF(O1753&lt;fi_h/20,0,(OFFSET('Base de dados'!$A$5,IF(O1753&lt;20,1,IF(O1753&gt;1000,10,MATCH(O1753,Cargas,1))),Coluna_fih,1,1))*(PI()*(fi_h/1000)^2/4)*SQRT(2*9.81*(O1753/100-fi_h/2/1000))*1000))</f>
        <v>5.5908656009405249</v>
      </c>
      <c r="Q1753" s="38">
        <f ca="1">IF(O1753="","",IF(Tipo_Vertedor="Retangular",IF(O1753&lt;=cota_s*100,0,IF(Tipo_Vertedor="Retangular",Cd_sr*Lef_sr*((O1753/100-cota_s)^(3/2))*1000)),IF(O1753&lt;=cota_s*100+fi_s/20,0,(OFFSET('Base de dados'!$A$4,IF(O1753&lt;20,1,IF(O1753&gt;1000,10,MATCH(O1753,Cargas,1))),Coluna_fis,1,1))*(PI()*(fi_s/1000)^2/4)*(2*9.81*(O1753/100-cota_s-fi_s/2/1000))^0.5*1000)))</f>
        <v>4.7601946367248331</v>
      </c>
      <c r="R1753" s="38">
        <f t="shared" ca="1" si="225"/>
        <v>10.351060237665358</v>
      </c>
      <c r="S1753" s="38">
        <f t="shared" ca="1" si="226"/>
        <v>547.5</v>
      </c>
    </row>
    <row r="1754" spans="13:19">
      <c r="M1754" s="132">
        <f t="shared" ca="1" si="223"/>
        <v>558.1670431997934</v>
      </c>
      <c r="N1754" s="38">
        <f t="shared" si="224"/>
        <v>16.434375000000003</v>
      </c>
      <c r="O1754" s="36">
        <f t="shared" si="222"/>
        <v>438.25</v>
      </c>
      <c r="P1754" s="38">
        <f ca="1">IF(ISERROR(IF(O1754&lt;fi_h/20,0,(OFFSET('Base de dados'!$A$5,IF(O1754&lt;20,1,IF(O1754&gt;1000,10,MATCH(O1754,Cargas,1))),Coluna_fih,1,1))*(1+0.13*0.25)*(PI()*(fi_h/1000)^2/4)*SQRT(2*9.81*(O1754/100-fi_h/2/1000))*1000)),"",IF(O1754&lt;fi_h/20,0,(OFFSET('Base de dados'!$A$5,IF(O1754&lt;20,1,IF(O1754&gt;1000,10,MATCH(O1754,Cargas,1))),Coluna_fih,1,1))*(PI()*(fi_h/1000)^2/4)*SQRT(2*9.81*(O1754/100-fi_h/2/1000))*1000))</f>
        <v>5.5924673754306014</v>
      </c>
      <c r="Q1754" s="38">
        <f ca="1">IF(O1754="","",IF(Tipo_Vertedor="Retangular",IF(O1754&lt;=cota_s*100,0,IF(Tipo_Vertedor="Retangular",Cd_sr*Lef_sr*((O1754/100-cota_s)^(3/2))*1000)),IF(O1754&lt;=cota_s*100+fi_s/20,0,(OFFSET('Base de dados'!$A$4,IF(O1754&lt;20,1,IF(O1754&gt;1000,10,MATCH(O1754,Cargas,1))),Coluna_fis,1,1))*(PI()*(fi_s/1000)^2/4)*(2*9.81*(O1754/100-cota_s-fi_s/2/1000))^0.5*1000)))</f>
        <v>4.7620758243626744</v>
      </c>
      <c r="R1754" s="38">
        <f t="shared" ca="1" si="225"/>
        <v>10.354543199793277</v>
      </c>
      <c r="S1754" s="38">
        <f t="shared" ca="1" si="226"/>
        <v>547.81250000000011</v>
      </c>
    </row>
    <row r="1755" spans="13:19">
      <c r="M1755" s="132">
        <f t="shared" ca="1" si="223"/>
        <v>558.48302496043596</v>
      </c>
      <c r="N1755" s="38">
        <f t="shared" si="224"/>
        <v>16.443749999999998</v>
      </c>
      <c r="O1755" s="36">
        <f t="shared" si="222"/>
        <v>438.5</v>
      </c>
      <c r="P1755" s="38">
        <f ca="1">IF(ISERROR(IF(O1755&lt;fi_h/20,0,(OFFSET('Base de dados'!$A$5,IF(O1755&lt;20,1,IF(O1755&gt;1000,10,MATCH(O1755,Cargas,1))),Coluna_fih,1,1))*(1+0.13*0.25)*(PI()*(fi_h/1000)^2/4)*SQRT(2*9.81*(O1755/100-fi_h/2/1000))*1000)),"",IF(O1755&lt;fi_h/20,0,(OFFSET('Base de dados'!$A$5,IF(O1755&lt;20,1,IF(O1755&gt;1000,10,MATCH(O1755,Cargas,1))),Coluna_fih,1,1))*(PI()*(fi_h/1000)^2/4)*SQRT(2*9.81*(O1755/100-fi_h/2/1000))*1000))</f>
        <v>5.5940686912775037</v>
      </c>
      <c r="Q1755" s="38">
        <f ca="1">IF(O1755="","",IF(Tipo_Vertedor="Retangular",IF(O1755&lt;=cota_s*100,0,IF(Tipo_Vertedor="Retangular",Cd_sr*Lef_sr*((O1755/100-cota_s)^(3/2))*1000)),IF(O1755&lt;=cota_s*100+fi_s/20,0,(OFFSET('Base de dados'!$A$4,IF(O1755&lt;20,1,IF(O1755&gt;1000,10,MATCH(O1755,Cargas,1))),Coluna_fis,1,1))*(PI()*(fi_s/1000)^2/4)*(2*9.81*(O1755/100-cota_s-fi_s/2/1000))^0.5*1000)))</f>
        <v>4.7639562691585464</v>
      </c>
      <c r="R1755" s="38">
        <f t="shared" ca="1" si="225"/>
        <v>10.358024960436051</v>
      </c>
      <c r="S1755" s="38">
        <f t="shared" ca="1" si="226"/>
        <v>548.12499999999989</v>
      </c>
    </row>
    <row r="1756" spans="13:19">
      <c r="M1756" s="132">
        <f t="shared" ca="1" si="223"/>
        <v>558.79900552086679</v>
      </c>
      <c r="N1756" s="38">
        <f t="shared" si="224"/>
        <v>16.453125</v>
      </c>
      <c r="O1756" s="36">
        <f t="shared" si="222"/>
        <v>438.75</v>
      </c>
      <c r="P1756" s="38">
        <f ca="1">IF(ISERROR(IF(O1756&lt;fi_h/20,0,(OFFSET('Base de dados'!$A$5,IF(O1756&lt;20,1,IF(O1756&gt;1000,10,MATCH(O1756,Cargas,1))),Coluna_fih,1,1))*(1+0.13*0.25)*(PI()*(fi_h/1000)^2/4)*SQRT(2*9.81*(O1756/100-fi_h/2/1000))*1000)),"",IF(O1756&lt;fi_h/20,0,(OFFSET('Base de dados'!$A$5,IF(O1756&lt;20,1,IF(O1756&gt;1000,10,MATCH(O1756,Cargas,1))),Coluna_fih,1,1))*(PI()*(fi_h/1000)^2/4)*SQRT(2*9.81*(O1756/100-fi_h/2/1000))*1000))</f>
        <v>5.5956695488749855</v>
      </c>
      <c r="Q1756" s="38">
        <f ca="1">IF(O1756="","",IF(Tipo_Vertedor="Retangular",IF(O1756&lt;=cota_s*100,0,IF(Tipo_Vertedor="Retangular",Cd_sr*Lef_sr*((O1756/100-cota_s)^(3/2))*1000)),IF(O1756&lt;=cota_s*100+fi_s/20,0,(OFFSET('Base de dados'!$A$4,IF(O1756&lt;20,1,IF(O1756&gt;1000,10,MATCH(O1756,Cargas,1))),Coluna_fis,1,1))*(PI()*(fi_s/1000)^2/4)*(2*9.81*(O1756/100-cota_s-fi_s/2/1000))^0.5*1000)))</f>
        <v>4.7658359719917547</v>
      </c>
      <c r="R1756" s="38">
        <f t="shared" ca="1" si="225"/>
        <v>10.361505520866739</v>
      </c>
      <c r="S1756" s="38">
        <f t="shared" ca="1" si="226"/>
        <v>548.4375</v>
      </c>
    </row>
    <row r="1757" spans="13:19">
      <c r="M1757" s="132">
        <f t="shared" ca="1" si="223"/>
        <v>559.11498488235611</v>
      </c>
      <c r="N1757" s="38">
        <f t="shared" si="224"/>
        <v>16.462499999999999</v>
      </c>
      <c r="O1757" s="36">
        <f t="shared" si="222"/>
        <v>439</v>
      </c>
      <c r="P1757" s="38">
        <f ca="1">IF(ISERROR(IF(O1757&lt;fi_h/20,0,(OFFSET('Base de dados'!$A$5,IF(O1757&lt;20,1,IF(O1757&gt;1000,10,MATCH(O1757,Cargas,1))),Coluna_fih,1,1))*(1+0.13*0.25)*(PI()*(fi_h/1000)^2/4)*SQRT(2*9.81*(O1757/100-fi_h/2/1000))*1000)),"",IF(O1757&lt;fi_h/20,0,(OFFSET('Base de dados'!$A$5,IF(O1757&lt;20,1,IF(O1757&gt;1000,10,MATCH(O1757,Cargas,1))),Coluna_fih,1,1))*(PI()*(fi_h/1000)^2/4)*SQRT(2*9.81*(O1757/100-fi_h/2/1000))*1000))</f>
        <v>5.5972699486162325</v>
      </c>
      <c r="Q1757" s="38">
        <f ca="1">IF(O1757="","",IF(Tipo_Vertedor="Retangular",IF(O1757&lt;=cota_s*100,0,IF(Tipo_Vertedor="Retangular",Cd_sr*Lef_sr*((O1757/100-cota_s)^(3/2))*1000)),IF(O1757&lt;=cota_s*100+fi_s/20,0,(OFFSET('Base de dados'!$A$4,IF(O1757&lt;20,1,IF(O1757&gt;1000,10,MATCH(O1757,Cargas,1))),Coluna_fis,1,1))*(PI()*(fi_s/1000)^2/4)*(2*9.81*(O1757/100-cota_s-fi_s/2/1000))^0.5*1000)))</f>
        <v>4.7677149337398692</v>
      </c>
      <c r="R1757" s="38">
        <f t="shared" ca="1" si="225"/>
        <v>10.364984882356101</v>
      </c>
      <c r="S1757" s="38">
        <f t="shared" ca="1" si="226"/>
        <v>548.75</v>
      </c>
    </row>
    <row r="1758" spans="13:19">
      <c r="M1758" s="132">
        <f t="shared" ca="1" si="223"/>
        <v>559.43096304617256</v>
      </c>
      <c r="N1758" s="38">
        <f t="shared" si="224"/>
        <v>16.471875000000001</v>
      </c>
      <c r="O1758" s="36">
        <f t="shared" si="222"/>
        <v>439.25</v>
      </c>
      <c r="P1758" s="38">
        <f ca="1">IF(ISERROR(IF(O1758&lt;fi_h/20,0,(OFFSET('Base de dados'!$A$5,IF(O1758&lt;20,1,IF(O1758&gt;1000,10,MATCH(O1758,Cargas,1))),Coluna_fih,1,1))*(1+0.13*0.25)*(PI()*(fi_h/1000)^2/4)*SQRT(2*9.81*(O1758/100-fi_h/2/1000))*1000)),"",IF(O1758&lt;fi_h/20,0,(OFFSET('Base de dados'!$A$5,IF(O1758&lt;20,1,IF(O1758&gt;1000,10,MATCH(O1758,Cargas,1))),Coluna_fih,1,1))*(PI()*(fi_h/1000)^2/4)*SQRT(2*9.81*(O1758/100-fi_h/2/1000))*1000))</f>
        <v>5.5988698908938712</v>
      </c>
      <c r="Q1758" s="38">
        <f ca="1">IF(O1758="","",IF(Tipo_Vertedor="Retangular",IF(O1758&lt;=cota_s*100,0,IF(Tipo_Vertedor="Retangular",Cd_sr*Lef_sr*((O1758/100-cota_s)^(3/2))*1000)),IF(O1758&lt;=cota_s*100+fi_s/20,0,(OFFSET('Base de dados'!$A$4,IF(O1758&lt;20,1,IF(O1758&gt;1000,10,MATCH(O1758,Cargas,1))),Coluna_fis,1,1))*(PI()*(fi_s/1000)^2/4)*(2*9.81*(O1758/100-cota_s-fi_s/2/1000))^0.5*1000)))</f>
        <v>4.7695931552787334</v>
      </c>
      <c r="R1758" s="38">
        <f t="shared" ca="1" si="225"/>
        <v>10.368463046172604</v>
      </c>
      <c r="S1758" s="38">
        <f t="shared" ca="1" si="226"/>
        <v>549.0625</v>
      </c>
    </row>
    <row r="1759" spans="13:19">
      <c r="M1759" s="132">
        <f t="shared" ca="1" si="223"/>
        <v>559.74694001358239</v>
      </c>
      <c r="N1759" s="38">
        <f t="shared" si="224"/>
        <v>16.481249999999999</v>
      </c>
      <c r="O1759" s="36">
        <f t="shared" si="222"/>
        <v>439.5</v>
      </c>
      <c r="P1759" s="38">
        <f ca="1">IF(ISERROR(IF(O1759&lt;fi_h/20,0,(OFFSET('Base de dados'!$A$5,IF(O1759&lt;20,1,IF(O1759&gt;1000,10,MATCH(O1759,Cargas,1))),Coluna_fih,1,1))*(1+0.13*0.25)*(PI()*(fi_h/1000)^2/4)*SQRT(2*9.81*(O1759/100-fi_h/2/1000))*1000)),"",IF(O1759&lt;fi_h/20,0,(OFFSET('Base de dados'!$A$5,IF(O1759&lt;20,1,IF(O1759&gt;1000,10,MATCH(O1759,Cargas,1))),Coluna_fih,1,1))*(PI()*(fi_h/1000)^2/4)*SQRT(2*9.81*(O1759/100-fi_h/2/1000))*1000))</f>
        <v>5.6004693760999631</v>
      </c>
      <c r="Q1759" s="38">
        <f ca="1">IF(O1759="","",IF(Tipo_Vertedor="Retangular",IF(O1759&lt;=cota_s*100,0,IF(Tipo_Vertedor="Retangular",Cd_sr*Lef_sr*((O1759/100-cota_s)^(3/2))*1000)),IF(O1759&lt;=cota_s*100+fi_s/20,0,(OFFSET('Base de dados'!$A$4,IF(O1759&lt;20,1,IF(O1759&gt;1000,10,MATCH(O1759,Cargas,1))),Coluna_fis,1,1))*(PI()*(fi_s/1000)^2/4)*(2*9.81*(O1759/100-cota_s-fi_s/2/1000))^0.5*1000)))</f>
        <v>4.771470637482464</v>
      </c>
      <c r="R1759" s="38">
        <f t="shared" ca="1" si="225"/>
        <v>10.371940013582428</v>
      </c>
      <c r="S1759" s="38">
        <f t="shared" ca="1" si="226"/>
        <v>549.375</v>
      </c>
    </row>
    <row r="1760" spans="13:19">
      <c r="M1760" s="132">
        <f t="shared" ca="1" si="223"/>
        <v>560.06291578584944</v>
      </c>
      <c r="N1760" s="38">
        <f t="shared" si="224"/>
        <v>16.490625000000001</v>
      </c>
      <c r="O1760" s="36">
        <f t="shared" si="222"/>
        <v>439.75</v>
      </c>
      <c r="P1760" s="38">
        <f ca="1">IF(ISERROR(IF(O1760&lt;fi_h/20,0,(OFFSET('Base de dados'!$A$5,IF(O1760&lt;20,1,IF(O1760&gt;1000,10,MATCH(O1760,Cargas,1))),Coluna_fih,1,1))*(1+0.13*0.25)*(PI()*(fi_h/1000)^2/4)*SQRT(2*9.81*(O1760/100-fi_h/2/1000))*1000)),"",IF(O1760&lt;fi_h/20,0,(OFFSET('Base de dados'!$A$5,IF(O1760&lt;20,1,IF(O1760&gt;1000,10,MATCH(O1760,Cargas,1))),Coluna_fih,1,1))*(PI()*(fi_h/1000)^2/4)*SQRT(2*9.81*(O1760/100-fi_h/2/1000))*1000))</f>
        <v>5.6020684046260172</v>
      </c>
      <c r="Q1760" s="38">
        <f ca="1">IF(O1760="","",IF(Tipo_Vertedor="Retangular",IF(O1760&lt;=cota_s*100,0,IF(Tipo_Vertedor="Retangular",Cd_sr*Lef_sr*((O1760/100-cota_s)^(3/2))*1000)),IF(O1760&lt;=cota_s*100+fi_s/20,0,(OFFSET('Base de dados'!$A$4,IF(O1760&lt;20,1,IF(O1760&gt;1000,10,MATCH(O1760,Cargas,1))),Coluna_fis,1,1))*(PI()*(fi_s/1000)^2/4)*(2*9.81*(O1760/100-cota_s-fi_s/2/1000))^0.5*1000)))</f>
        <v>4.7733473812234628</v>
      </c>
      <c r="R1760" s="38">
        <f t="shared" ca="1" si="225"/>
        <v>10.37541578584948</v>
      </c>
      <c r="S1760" s="38">
        <f t="shared" ca="1" si="226"/>
        <v>549.6875</v>
      </c>
    </row>
    <row r="1761" spans="13:19">
      <c r="M1761" s="132">
        <f t="shared" ca="1" si="223"/>
        <v>560.37889036423542</v>
      </c>
      <c r="N1761" s="38">
        <f t="shared" si="224"/>
        <v>16.5</v>
      </c>
      <c r="O1761" s="36">
        <f t="shared" si="222"/>
        <v>440</v>
      </c>
      <c r="P1761" s="38">
        <f ca="1">IF(ISERROR(IF(O1761&lt;fi_h/20,0,(OFFSET('Base de dados'!$A$5,IF(O1761&lt;20,1,IF(O1761&gt;1000,10,MATCH(O1761,Cargas,1))),Coluna_fih,1,1))*(1+0.13*0.25)*(PI()*(fi_h/1000)^2/4)*SQRT(2*9.81*(O1761/100-fi_h/2/1000))*1000)),"",IF(O1761&lt;fi_h/20,0,(OFFSET('Base de dados'!$A$5,IF(O1761&lt;20,1,IF(O1761&gt;1000,10,MATCH(O1761,Cargas,1))),Coluna_fih,1,1))*(PI()*(fi_h/1000)^2/4)*SQRT(2*9.81*(O1761/100-fi_h/2/1000))*1000))</f>
        <v>5.6036669768629777</v>
      </c>
      <c r="Q1761" s="38">
        <f ca="1">IF(O1761="","",IF(Tipo_Vertedor="Retangular",IF(O1761&lt;=cota_s*100,0,IF(Tipo_Vertedor="Retangular",Cd_sr*Lef_sr*((O1761/100-cota_s)^(3/2))*1000)),IF(O1761&lt;=cota_s*100+fi_s/20,0,(OFFSET('Base de dados'!$A$4,IF(O1761&lt;20,1,IF(O1761&gt;1000,10,MATCH(O1761,Cargas,1))),Coluna_fis,1,1))*(PI()*(fi_s/1000)^2/4)*(2*9.81*(O1761/100-cota_s-fi_s/2/1000))^0.5*1000)))</f>
        <v>4.7752233873724137</v>
      </c>
      <c r="R1761" s="38">
        <f t="shared" ca="1" si="225"/>
        <v>10.378890364235392</v>
      </c>
      <c r="S1761" s="38">
        <f t="shared" ca="1" si="226"/>
        <v>550</v>
      </c>
    </row>
    <row r="1762" spans="13:19">
      <c r="M1762" s="132">
        <f t="shared" ca="1" si="223"/>
        <v>560.69486374999951</v>
      </c>
      <c r="N1762" s="38">
        <f t="shared" si="224"/>
        <v>16.509374999999999</v>
      </c>
      <c r="O1762" s="36">
        <f t="shared" si="222"/>
        <v>440.25</v>
      </c>
      <c r="P1762" s="38">
        <f ca="1">IF(ISERROR(IF(O1762&lt;fi_h/20,0,(OFFSET('Base de dados'!$A$5,IF(O1762&lt;20,1,IF(O1762&gt;1000,10,MATCH(O1762,Cargas,1))),Coluna_fih,1,1))*(1+0.13*0.25)*(PI()*(fi_h/1000)^2/4)*SQRT(2*9.81*(O1762/100-fi_h/2/1000))*1000)),"",IF(O1762&lt;fi_h/20,0,(OFFSET('Base de dados'!$A$5,IF(O1762&lt;20,1,IF(O1762&gt;1000,10,MATCH(O1762,Cargas,1))),Coluna_fih,1,1))*(PI()*(fi_h/1000)^2/4)*SQRT(2*9.81*(O1762/100-fi_h/2/1000))*1000))</f>
        <v>5.6052650932012336</v>
      </c>
      <c r="Q1762" s="38">
        <f ca="1">IF(O1762="","",IF(Tipo_Vertedor="Retangular",IF(O1762&lt;=cota_s*100,0,IF(Tipo_Vertedor="Retangular",Cd_sr*Lef_sr*((O1762/100-cota_s)^(3/2))*1000)),IF(O1762&lt;=cota_s*100+fi_s/20,0,(OFFSET('Base de dados'!$A$4,IF(O1762&lt;20,1,IF(O1762&gt;1000,10,MATCH(O1762,Cargas,1))),Coluna_fis,1,1))*(PI()*(fi_s/1000)^2/4)*(2*9.81*(O1762/100-cota_s-fi_s/2/1000))^0.5*1000)))</f>
        <v>4.7770986567982918</v>
      </c>
      <c r="R1762" s="38">
        <f t="shared" ca="1" si="225"/>
        <v>10.382363749999525</v>
      </c>
      <c r="S1762" s="38">
        <f t="shared" ca="1" si="226"/>
        <v>550.3125</v>
      </c>
    </row>
    <row r="1763" spans="13:19">
      <c r="M1763" s="132">
        <f t="shared" ca="1" si="223"/>
        <v>561.01083594439899</v>
      </c>
      <c r="N1763" s="38">
        <f t="shared" si="224"/>
        <v>16.518750000000001</v>
      </c>
      <c r="O1763" s="36">
        <f t="shared" si="222"/>
        <v>440.5</v>
      </c>
      <c r="P1763" s="38">
        <f ca="1">IF(ISERROR(IF(O1763&lt;fi_h/20,0,(OFFSET('Base de dados'!$A$5,IF(O1763&lt;20,1,IF(O1763&gt;1000,10,MATCH(O1763,Cargas,1))),Coluna_fih,1,1))*(1+0.13*0.25)*(PI()*(fi_h/1000)^2/4)*SQRT(2*9.81*(O1763/100-fi_h/2/1000))*1000)),"",IF(O1763&lt;fi_h/20,0,(OFFSET('Base de dados'!$A$5,IF(O1763&lt;20,1,IF(O1763&gt;1000,10,MATCH(O1763,Cargas,1))),Coluna_fih,1,1))*(PI()*(fi_h/1000)^2/4)*SQRT(2*9.81*(O1763/100-fi_h/2/1000))*1000))</f>
        <v>5.6068627540306188</v>
      </c>
      <c r="Q1763" s="38">
        <f ca="1">IF(O1763="","",IF(Tipo_Vertedor="Retangular",IF(O1763&lt;=cota_s*100,0,IF(Tipo_Vertedor="Retangular",Cd_sr*Lef_sr*((O1763/100-cota_s)^(3/2))*1000)),IF(O1763&lt;=cota_s*100+fi_s/20,0,(OFFSET('Base de dados'!$A$4,IF(O1763&lt;20,1,IF(O1763&gt;1000,10,MATCH(O1763,Cargas,1))),Coluna_fis,1,1))*(PI()*(fi_s/1000)^2/4)*(2*9.81*(O1763/100-cota_s-fi_s/2/1000))^0.5*1000)))</f>
        <v>4.7789731903683688</v>
      </c>
      <c r="R1763" s="38">
        <f t="shared" ca="1" si="225"/>
        <v>10.385835944398988</v>
      </c>
      <c r="S1763" s="38">
        <f t="shared" ca="1" si="226"/>
        <v>550.625</v>
      </c>
    </row>
    <row r="1764" spans="13:19">
      <c r="M1764" s="132">
        <f t="shared" ca="1" si="223"/>
        <v>561.32680694868861</v>
      </c>
      <c r="N1764" s="38">
        <f t="shared" si="224"/>
        <v>16.528124999999999</v>
      </c>
      <c r="O1764" s="36">
        <f t="shared" si="222"/>
        <v>440.75</v>
      </c>
      <c r="P1764" s="38">
        <f ca="1">IF(ISERROR(IF(O1764&lt;fi_h/20,0,(OFFSET('Base de dados'!$A$5,IF(O1764&lt;20,1,IF(O1764&gt;1000,10,MATCH(O1764,Cargas,1))),Coluna_fih,1,1))*(1+0.13*0.25)*(PI()*(fi_h/1000)^2/4)*SQRT(2*9.81*(O1764/100-fi_h/2/1000))*1000)),"",IF(O1764&lt;fi_h/20,0,(OFFSET('Base de dados'!$A$5,IF(O1764&lt;20,1,IF(O1764&gt;1000,10,MATCH(O1764,Cargas,1))),Coluna_fih,1,1))*(PI()*(fi_h/1000)^2/4)*SQRT(2*9.81*(O1764/100-fi_h/2/1000))*1000))</f>
        <v>5.6084599597404088</v>
      </c>
      <c r="Q1764" s="38">
        <f ca="1">IF(O1764="","",IF(Tipo_Vertedor="Retangular",IF(O1764&lt;=cota_s*100,0,IF(Tipo_Vertedor="Retangular",Cd_sr*Lef_sr*((O1764/100-cota_s)^(3/2))*1000)),IF(O1764&lt;=cota_s*100+fi_s/20,0,(OFFSET('Base de dados'!$A$4,IF(O1764&lt;20,1,IF(O1764&gt;1000,10,MATCH(O1764,Cargas,1))),Coluna_fis,1,1))*(PI()*(fi_s/1000)^2/4)*(2*9.81*(O1764/100-cota_s-fi_s/2/1000))^0.5*1000)))</f>
        <v>4.7808469889482126</v>
      </c>
      <c r="R1764" s="38">
        <f t="shared" ca="1" si="225"/>
        <v>10.38930694868862</v>
      </c>
      <c r="S1764" s="38">
        <f t="shared" ca="1" si="226"/>
        <v>550.9375</v>
      </c>
    </row>
    <row r="1765" spans="13:19">
      <c r="M1765" s="132">
        <f t="shared" ca="1" si="223"/>
        <v>561.64277676412098</v>
      </c>
      <c r="N1765" s="38">
        <f t="shared" si="224"/>
        <v>16.537500000000001</v>
      </c>
      <c r="O1765" s="36">
        <f t="shared" si="222"/>
        <v>441</v>
      </c>
      <c r="P1765" s="38">
        <f ca="1">IF(ISERROR(IF(O1765&lt;fi_h/20,0,(OFFSET('Base de dados'!$A$5,IF(O1765&lt;20,1,IF(O1765&gt;1000,10,MATCH(O1765,Cargas,1))),Coluna_fih,1,1))*(1+0.13*0.25)*(PI()*(fi_h/1000)^2/4)*SQRT(2*9.81*(O1765/100-fi_h/2/1000))*1000)),"",IF(O1765&lt;fi_h/20,0,(OFFSET('Base de dados'!$A$5,IF(O1765&lt;20,1,IF(O1765&gt;1000,10,MATCH(O1765,Cargas,1))),Coluna_fih,1,1))*(PI()*(fi_h/1000)^2/4)*SQRT(2*9.81*(O1765/100-fi_h/2/1000))*1000))</f>
        <v>5.610056710719328</v>
      </c>
      <c r="Q1765" s="38">
        <f ca="1">IF(O1765="","",IF(Tipo_Vertedor="Retangular",IF(O1765&lt;=cota_s*100,0,IF(Tipo_Vertedor="Retangular",Cd_sr*Lef_sr*((O1765/100-cota_s)^(3/2))*1000)),IF(O1765&lt;=cota_s*100+fi_s/20,0,(OFFSET('Base de dados'!$A$4,IF(O1765&lt;20,1,IF(O1765&gt;1000,10,MATCH(O1765,Cargas,1))),Coluna_fis,1,1))*(PI()*(fi_s/1000)^2/4)*(2*9.81*(O1765/100-cota_s-fi_s/2/1000))^0.5*1000)))</f>
        <v>4.7827200534017011</v>
      </c>
      <c r="R1765" s="38">
        <f t="shared" ca="1" si="225"/>
        <v>10.392776764121029</v>
      </c>
      <c r="S1765" s="38">
        <f t="shared" ca="1" si="226"/>
        <v>551.25</v>
      </c>
    </row>
    <row r="1766" spans="13:19">
      <c r="M1766" s="132">
        <f t="shared" ca="1" si="223"/>
        <v>561.95874539194654</v>
      </c>
      <c r="N1766" s="38">
        <f t="shared" si="224"/>
        <v>16.546875</v>
      </c>
      <c r="O1766" s="36">
        <f t="shared" si="222"/>
        <v>441.25</v>
      </c>
      <c r="P1766" s="38">
        <f ca="1">IF(ISERROR(IF(O1766&lt;fi_h/20,0,(OFFSET('Base de dados'!$A$5,IF(O1766&lt;20,1,IF(O1766&gt;1000,10,MATCH(O1766,Cargas,1))),Coluna_fih,1,1))*(1+0.13*0.25)*(PI()*(fi_h/1000)^2/4)*SQRT(2*9.81*(O1766/100-fi_h/2/1000))*1000)),"",IF(O1766&lt;fi_h/20,0,(OFFSET('Base de dados'!$A$5,IF(O1766&lt;20,1,IF(O1766&gt;1000,10,MATCH(O1766,Cargas,1))),Coluna_fih,1,1))*(PI()*(fi_h/1000)^2/4)*SQRT(2*9.81*(O1766/100-fi_h/2/1000))*1000))</f>
        <v>5.6116530073555451</v>
      </c>
      <c r="Q1766" s="38">
        <f ca="1">IF(O1766="","",IF(Tipo_Vertedor="Retangular",IF(O1766&lt;=cota_s*100,0,IF(Tipo_Vertedor="Retangular",Cd_sr*Lef_sr*((O1766/100-cota_s)^(3/2))*1000)),IF(O1766&lt;=cota_s*100+fi_s/20,0,(OFFSET('Base de dados'!$A$4,IF(O1766&lt;20,1,IF(O1766&gt;1000,10,MATCH(O1766,Cargas,1))),Coluna_fis,1,1))*(PI()*(fi_s/1000)^2/4)*(2*9.81*(O1766/100-cota_s-fi_s/2/1000))^0.5*1000)))</f>
        <v>4.7845923845910159</v>
      </c>
      <c r="R1766" s="38">
        <f t="shared" ca="1" si="225"/>
        <v>10.396245391946561</v>
      </c>
      <c r="S1766" s="38">
        <f t="shared" ca="1" si="226"/>
        <v>551.5625</v>
      </c>
    </row>
    <row r="1767" spans="13:19">
      <c r="M1767" s="132">
        <f t="shared" ca="1" si="223"/>
        <v>562.27471283341333</v>
      </c>
      <c r="N1767" s="38">
        <f t="shared" si="224"/>
        <v>16.556249999999999</v>
      </c>
      <c r="O1767" s="36">
        <f t="shared" si="222"/>
        <v>441.5</v>
      </c>
      <c r="P1767" s="38">
        <f ca="1">IF(ISERROR(IF(O1767&lt;fi_h/20,0,(OFFSET('Base de dados'!$A$5,IF(O1767&lt;20,1,IF(O1767&gt;1000,10,MATCH(O1767,Cargas,1))),Coluna_fih,1,1))*(1+0.13*0.25)*(PI()*(fi_h/1000)^2/4)*SQRT(2*9.81*(O1767/100-fi_h/2/1000))*1000)),"",IF(O1767&lt;fi_h/20,0,(OFFSET('Base de dados'!$A$5,IF(O1767&lt;20,1,IF(O1767&gt;1000,10,MATCH(O1767,Cargas,1))),Coluna_fih,1,1))*(PI()*(fi_h/1000)^2/4)*SQRT(2*9.81*(O1767/100-fi_h/2/1000))*1000))</f>
        <v>5.6132488500366806</v>
      </c>
      <c r="Q1767" s="38">
        <f ca="1">IF(O1767="","",IF(Tipo_Vertedor="Retangular",IF(O1767&lt;=cota_s*100,0,IF(Tipo_Vertedor="Retangular",Cd_sr*Lef_sr*((O1767/100-cota_s)^(3/2))*1000)),IF(O1767&lt;=cota_s*100+fi_s/20,0,(OFFSET('Base de dados'!$A$4,IF(O1767&lt;20,1,IF(O1767&gt;1000,10,MATCH(O1767,Cargas,1))),Coluna_fis,1,1))*(PI()*(fi_s/1000)^2/4)*(2*9.81*(O1767/100-cota_s-fi_s/2/1000))^0.5*1000)))</f>
        <v>4.786463983376656</v>
      </c>
      <c r="R1767" s="38">
        <f t="shared" ca="1" si="225"/>
        <v>10.399712833413336</v>
      </c>
      <c r="S1767" s="38">
        <f t="shared" ca="1" si="226"/>
        <v>551.875</v>
      </c>
    </row>
    <row r="1768" spans="13:19">
      <c r="M1768" s="132">
        <f t="shared" ca="1" si="223"/>
        <v>562.59067908976726</v>
      </c>
      <c r="N1768" s="38">
        <f t="shared" si="224"/>
        <v>16.565625000000001</v>
      </c>
      <c r="O1768" s="36">
        <f t="shared" si="222"/>
        <v>441.75</v>
      </c>
      <c r="P1768" s="38">
        <f ca="1">IF(ISERROR(IF(O1768&lt;fi_h/20,0,(OFFSET('Base de dados'!$A$5,IF(O1768&lt;20,1,IF(O1768&gt;1000,10,MATCH(O1768,Cargas,1))),Coluna_fih,1,1))*(1+0.13*0.25)*(PI()*(fi_h/1000)^2/4)*SQRT(2*9.81*(O1768/100-fi_h/2/1000))*1000)),"",IF(O1768&lt;fi_h/20,0,(OFFSET('Base de dados'!$A$5,IF(O1768&lt;20,1,IF(O1768&gt;1000,10,MATCH(O1768,Cargas,1))),Coluna_fih,1,1))*(PI()*(fi_h/1000)^2/4)*SQRT(2*9.81*(O1768/100-fi_h/2/1000))*1000))</f>
        <v>5.6148442391498001</v>
      </c>
      <c r="Q1768" s="38">
        <f ca="1">IF(O1768="","",IF(Tipo_Vertedor="Retangular",IF(O1768&lt;=cota_s*100,0,IF(Tipo_Vertedor="Retangular",Cd_sr*Lef_sr*((O1768/100-cota_s)^(3/2))*1000)),IF(O1768&lt;=cota_s*100+fi_s/20,0,(OFFSET('Base de dados'!$A$4,IF(O1768&lt;20,1,IF(O1768&gt;1000,10,MATCH(O1768,Cargas,1))),Coluna_fis,1,1))*(PI()*(fi_s/1000)^2/4)*(2*9.81*(O1768/100-cota_s-fi_s/2/1000))^0.5*1000)))</f>
        <v>4.7883348506174359</v>
      </c>
      <c r="R1768" s="38">
        <f t="shared" ca="1" si="225"/>
        <v>10.403179089767235</v>
      </c>
      <c r="S1768" s="38">
        <f t="shared" ca="1" si="226"/>
        <v>552.1875</v>
      </c>
    </row>
    <row r="1769" spans="13:19">
      <c r="M1769" s="132">
        <f t="shared" ca="1" si="223"/>
        <v>562.90664416225195</v>
      </c>
      <c r="N1769" s="38">
        <f t="shared" si="224"/>
        <v>16.574999999999999</v>
      </c>
      <c r="O1769" s="36">
        <f t="shared" si="222"/>
        <v>442</v>
      </c>
      <c r="P1769" s="38">
        <f ca="1">IF(ISERROR(IF(O1769&lt;fi_h/20,0,(OFFSET('Base de dados'!$A$5,IF(O1769&lt;20,1,IF(O1769&gt;1000,10,MATCH(O1769,Cargas,1))),Coluna_fih,1,1))*(1+0.13*0.25)*(PI()*(fi_h/1000)^2/4)*SQRT(2*9.81*(O1769/100-fi_h/2/1000))*1000)),"",IF(O1769&lt;fi_h/20,0,(OFFSET('Base de dados'!$A$5,IF(O1769&lt;20,1,IF(O1769&gt;1000,10,MATCH(O1769,Cargas,1))),Coluna_fih,1,1))*(PI()*(fi_h/1000)^2/4)*SQRT(2*9.81*(O1769/100-fi_h/2/1000))*1000))</f>
        <v>5.6164391750814211</v>
      </c>
      <c r="Q1769" s="38">
        <f ca="1">IF(O1769="","",IF(Tipo_Vertedor="Retangular",IF(O1769&lt;=cota_s*100,0,IF(Tipo_Vertedor="Retangular",Cd_sr*Lef_sr*((O1769/100-cota_s)^(3/2))*1000)),IF(O1769&lt;=cota_s*100+fi_s/20,0,(OFFSET('Base de dados'!$A$4,IF(O1769&lt;20,1,IF(O1769&gt;1000,10,MATCH(O1769,Cargas,1))),Coluna_fis,1,1))*(PI()*(fi_s/1000)^2/4)*(2*9.81*(O1769/100-cota_s-fi_s/2/1000))^0.5*1000)))</f>
        <v>4.7902049871704939</v>
      </c>
      <c r="R1769" s="38">
        <f t="shared" ca="1" si="225"/>
        <v>10.406644162251915</v>
      </c>
      <c r="S1769" s="38">
        <f t="shared" ca="1" si="226"/>
        <v>552.5</v>
      </c>
    </row>
    <row r="1770" spans="13:19">
      <c r="M1770" s="132">
        <f t="shared" ca="1" si="223"/>
        <v>563.22260805210885</v>
      </c>
      <c r="N1770" s="38">
        <f t="shared" si="224"/>
        <v>16.584375000000001</v>
      </c>
      <c r="O1770" s="36">
        <f t="shared" si="222"/>
        <v>442.25</v>
      </c>
      <c r="P1770" s="38">
        <f ca="1">IF(ISERROR(IF(O1770&lt;fi_h/20,0,(OFFSET('Base de dados'!$A$5,IF(O1770&lt;20,1,IF(O1770&gt;1000,10,MATCH(O1770,Cargas,1))),Coluna_fih,1,1))*(1+0.13*0.25)*(PI()*(fi_h/1000)^2/4)*SQRT(2*9.81*(O1770/100-fi_h/2/1000))*1000)),"",IF(O1770&lt;fi_h/20,0,(OFFSET('Base de dados'!$A$5,IF(O1770&lt;20,1,IF(O1770&gt;1000,10,MATCH(O1770,Cargas,1))),Coluna_fih,1,1))*(PI()*(fi_h/1000)^2/4)*SQRT(2*9.81*(O1770/100-fi_h/2/1000))*1000))</f>
        <v>5.6180336582175121</v>
      </c>
      <c r="Q1770" s="38">
        <f ca="1">IF(O1770="","",IF(Tipo_Vertedor="Retangular",IF(O1770&lt;=cota_s*100,0,IF(Tipo_Vertedor="Retangular",Cd_sr*Lef_sr*((O1770/100-cota_s)^(3/2))*1000)),IF(O1770&lt;=cota_s*100+fi_s/20,0,(OFFSET('Base de dados'!$A$4,IF(O1770&lt;20,1,IF(O1770&gt;1000,10,MATCH(O1770,Cargas,1))),Coluna_fis,1,1))*(PI()*(fi_s/1000)^2/4)*(2*9.81*(O1770/100-cota_s-fi_s/2/1000))^0.5*1000)))</f>
        <v>4.7920743938912986</v>
      </c>
      <c r="R1770" s="38">
        <f t="shared" ca="1" si="225"/>
        <v>10.410108052108811</v>
      </c>
      <c r="S1770" s="38">
        <f t="shared" ca="1" si="226"/>
        <v>552.8125</v>
      </c>
    </row>
    <row r="1771" spans="13:19">
      <c r="M1771" s="132">
        <f t="shared" ca="1" si="223"/>
        <v>563.53857076057716</v>
      </c>
      <c r="N1771" s="38">
        <f t="shared" si="224"/>
        <v>16.59375</v>
      </c>
      <c r="O1771" s="36">
        <f t="shared" si="222"/>
        <v>442.5</v>
      </c>
      <c r="P1771" s="38">
        <f ca="1">IF(ISERROR(IF(O1771&lt;fi_h/20,0,(OFFSET('Base de dados'!$A$5,IF(O1771&lt;20,1,IF(O1771&gt;1000,10,MATCH(O1771,Cargas,1))),Coluna_fih,1,1))*(1+0.13*0.25)*(PI()*(fi_h/1000)^2/4)*SQRT(2*9.81*(O1771/100-fi_h/2/1000))*1000)),"",IF(O1771&lt;fi_h/20,0,(OFFSET('Base de dados'!$A$5,IF(O1771&lt;20,1,IF(O1771&gt;1000,10,MATCH(O1771,Cargas,1))),Coluna_fih,1,1))*(PI()*(fi_h/1000)^2/4)*SQRT(2*9.81*(O1771/100-fi_h/2/1000))*1000))</f>
        <v>5.6196276889434964</v>
      </c>
      <c r="Q1771" s="38">
        <f ca="1">IF(O1771="","",IF(Tipo_Vertedor="Retangular",IF(O1771&lt;=cota_s*100,0,IF(Tipo_Vertedor="Retangular",Cd_sr*Lef_sr*((O1771/100-cota_s)^(3/2))*1000)),IF(O1771&lt;=cota_s*100+fi_s/20,0,(OFFSET('Base de dados'!$A$4,IF(O1771&lt;20,1,IF(O1771&gt;1000,10,MATCH(O1771,Cargas,1))),Coluna_fis,1,1))*(PI()*(fi_s/1000)^2/4)*(2*9.81*(O1771/100-cota_s-fi_s/2/1000))^0.5*1000)))</f>
        <v>4.7939430716336444</v>
      </c>
      <c r="R1771" s="38">
        <f t="shared" ca="1" si="225"/>
        <v>10.413570760577141</v>
      </c>
      <c r="S1771" s="38">
        <f t="shared" ca="1" si="226"/>
        <v>553.125</v>
      </c>
    </row>
    <row r="1772" spans="13:19">
      <c r="M1772" s="132">
        <f t="shared" ca="1" si="223"/>
        <v>563.85453228889401</v>
      </c>
      <c r="N1772" s="38">
        <f t="shared" si="224"/>
        <v>16.603125000000002</v>
      </c>
      <c r="O1772" s="36">
        <f t="shared" si="222"/>
        <v>442.75</v>
      </c>
      <c r="P1772" s="38">
        <f ca="1">IF(ISERROR(IF(O1772&lt;fi_h/20,0,(OFFSET('Base de dados'!$A$5,IF(O1772&lt;20,1,IF(O1772&gt;1000,10,MATCH(O1772,Cargas,1))),Coluna_fih,1,1))*(1+0.13*0.25)*(PI()*(fi_h/1000)^2/4)*SQRT(2*9.81*(O1772/100-fi_h/2/1000))*1000)),"",IF(O1772&lt;fi_h/20,0,(OFFSET('Base de dados'!$A$5,IF(O1772&lt;20,1,IF(O1772&gt;1000,10,MATCH(O1772,Cargas,1))),Coluna_fih,1,1))*(PI()*(fi_h/1000)^2/4)*SQRT(2*9.81*(O1772/100-fi_h/2/1000))*1000))</f>
        <v>5.6212212676442483</v>
      </c>
      <c r="Q1772" s="38">
        <f ca="1">IF(O1772="","",IF(Tipo_Vertedor="Retangular",IF(O1772&lt;=cota_s*100,0,IF(Tipo_Vertedor="Retangular",Cd_sr*Lef_sr*((O1772/100-cota_s)^(3/2))*1000)),IF(O1772&lt;=cota_s*100+fi_s/20,0,(OFFSET('Base de dados'!$A$4,IF(O1772&lt;20,1,IF(O1772&gt;1000,10,MATCH(O1772,Cargas,1))),Coluna_fis,1,1))*(PI()*(fi_s/1000)^2/4)*(2*9.81*(O1772/100-cota_s-fi_s/2/1000))^0.5*1000)))</f>
        <v>4.7958110212496701</v>
      </c>
      <c r="R1772" s="38">
        <f t="shared" ca="1" si="225"/>
        <v>10.417032288893918</v>
      </c>
      <c r="S1772" s="38">
        <f t="shared" ca="1" si="226"/>
        <v>553.43750000000011</v>
      </c>
    </row>
    <row r="1773" spans="13:19">
      <c r="M1773" s="132">
        <f t="shared" ca="1" si="223"/>
        <v>564.17049263829381</v>
      </c>
      <c r="N1773" s="38">
        <f t="shared" si="224"/>
        <v>16.612499999999997</v>
      </c>
      <c r="O1773" s="36">
        <f t="shared" si="222"/>
        <v>443</v>
      </c>
      <c r="P1773" s="38">
        <f ca="1">IF(ISERROR(IF(O1773&lt;fi_h/20,0,(OFFSET('Base de dados'!$A$5,IF(O1773&lt;20,1,IF(O1773&gt;1000,10,MATCH(O1773,Cargas,1))),Coluna_fih,1,1))*(1+0.13*0.25)*(PI()*(fi_h/1000)^2/4)*SQRT(2*9.81*(O1773/100-fi_h/2/1000))*1000)),"",IF(O1773&lt;fi_h/20,0,(OFFSET('Base de dados'!$A$5,IF(O1773&lt;20,1,IF(O1773&gt;1000,10,MATCH(O1773,Cargas,1))),Coluna_fih,1,1))*(PI()*(fi_h/1000)^2/4)*SQRT(2*9.81*(O1773/100-fi_h/2/1000))*1000))</f>
        <v>5.6228143947040934</v>
      </c>
      <c r="Q1773" s="38">
        <f ca="1">IF(O1773="","",IF(Tipo_Vertedor="Retangular",IF(O1773&lt;=cota_s*100,0,IF(Tipo_Vertedor="Retangular",Cd_sr*Lef_sr*((O1773/100-cota_s)^(3/2))*1000)),IF(O1773&lt;=cota_s*100+fi_s/20,0,(OFFSET('Base de dados'!$A$4,IF(O1773&lt;20,1,IF(O1773&gt;1000,10,MATCH(O1773,Cargas,1))),Coluna_fis,1,1))*(PI()*(fi_s/1000)^2/4)*(2*9.81*(O1773/100-cota_s-fi_s/2/1000))^0.5*1000)))</f>
        <v>4.7976782435898482</v>
      </c>
      <c r="R1773" s="38">
        <f t="shared" ca="1" si="225"/>
        <v>10.420492638293942</v>
      </c>
      <c r="S1773" s="38">
        <f t="shared" ca="1" si="226"/>
        <v>553.74999999999989</v>
      </c>
    </row>
    <row r="1774" spans="13:19">
      <c r="M1774" s="132">
        <f t="shared" ca="1" si="223"/>
        <v>564.48645181000984</v>
      </c>
      <c r="N1774" s="38">
        <f t="shared" si="224"/>
        <v>16.621874999999999</v>
      </c>
      <c r="O1774" s="36">
        <f t="shared" si="222"/>
        <v>443.25</v>
      </c>
      <c r="P1774" s="38">
        <f ca="1">IF(ISERROR(IF(O1774&lt;fi_h/20,0,(OFFSET('Base de dados'!$A$5,IF(O1774&lt;20,1,IF(O1774&gt;1000,10,MATCH(O1774,Cargas,1))),Coluna_fih,1,1))*(1+0.13*0.25)*(PI()*(fi_h/1000)^2/4)*SQRT(2*9.81*(O1774/100-fi_h/2/1000))*1000)),"",IF(O1774&lt;fi_h/20,0,(OFFSET('Base de dados'!$A$5,IF(O1774&lt;20,1,IF(O1774&gt;1000,10,MATCH(O1774,Cargas,1))),Coluna_fih,1,1))*(PI()*(fi_h/1000)^2/4)*SQRT(2*9.81*(O1774/100-fi_h/2/1000))*1000))</f>
        <v>5.6244070705068232</v>
      </c>
      <c r="Q1774" s="38">
        <f ca="1">IF(O1774="","",IF(Tipo_Vertedor="Retangular",IF(O1774&lt;=cota_s*100,0,IF(Tipo_Vertedor="Retangular",Cd_sr*Lef_sr*((O1774/100-cota_s)^(3/2))*1000)),IF(O1774&lt;=cota_s*100+fi_s/20,0,(OFFSET('Base de dados'!$A$4,IF(O1774&lt;20,1,IF(O1774&gt;1000,10,MATCH(O1774,Cargas,1))),Coluna_fis,1,1))*(PI()*(fi_s/1000)^2/4)*(2*9.81*(O1774/100-cota_s-fi_s/2/1000))^0.5*1000)))</f>
        <v>4.7995447395030038</v>
      </c>
      <c r="R1774" s="38">
        <f t="shared" ca="1" si="225"/>
        <v>10.423951810009827</v>
      </c>
      <c r="S1774" s="38">
        <f t="shared" ca="1" si="226"/>
        <v>554.0625</v>
      </c>
    </row>
    <row r="1775" spans="13:19">
      <c r="M1775" s="132">
        <f t="shared" ca="1" si="223"/>
        <v>564.80240980527185</v>
      </c>
      <c r="N1775" s="38">
        <f t="shared" si="224"/>
        <v>16.631249999999998</v>
      </c>
      <c r="O1775" s="36">
        <f t="shared" si="222"/>
        <v>443.5</v>
      </c>
      <c r="P1775" s="38">
        <f ca="1">IF(ISERROR(IF(O1775&lt;fi_h/20,0,(OFFSET('Base de dados'!$A$5,IF(O1775&lt;20,1,IF(O1775&gt;1000,10,MATCH(O1775,Cargas,1))),Coluna_fih,1,1))*(1+0.13*0.25)*(PI()*(fi_h/1000)^2/4)*SQRT(2*9.81*(O1775/100-fi_h/2/1000))*1000)),"",IF(O1775&lt;fi_h/20,0,(OFFSET('Base de dados'!$A$5,IF(O1775&lt;20,1,IF(O1775&gt;1000,10,MATCH(O1775,Cargas,1))),Coluna_fih,1,1))*(PI()*(fi_h/1000)^2/4)*SQRT(2*9.81*(O1775/100-fi_h/2/1000))*1000))</f>
        <v>5.6259992954356761</v>
      </c>
      <c r="Q1775" s="38">
        <f ca="1">IF(O1775="","",IF(Tipo_Vertedor="Retangular",IF(O1775&lt;=cota_s*100,0,IF(Tipo_Vertedor="Retangular",Cd_sr*Lef_sr*((O1775/100-cota_s)^(3/2))*1000)),IF(O1775&lt;=cota_s*100+fi_s/20,0,(OFFSET('Base de dados'!$A$4,IF(O1775&lt;20,1,IF(O1775&gt;1000,10,MATCH(O1775,Cargas,1))),Coluna_fis,1,1))*(PI()*(fi_s/1000)^2/4)*(2*9.81*(O1775/100-cota_s-fi_s/2/1000))^0.5*1000)))</f>
        <v>4.8014105098363054</v>
      </c>
      <c r="R1775" s="38">
        <f t="shared" ca="1" si="225"/>
        <v>10.427409805271981</v>
      </c>
      <c r="S1775" s="38">
        <f t="shared" ca="1" si="226"/>
        <v>554.37499999999989</v>
      </c>
    </row>
    <row r="1776" spans="13:19">
      <c r="M1776" s="132">
        <f t="shared" ca="1" si="223"/>
        <v>565.11836662530868</v>
      </c>
      <c r="N1776" s="38">
        <f t="shared" si="224"/>
        <v>16.640625</v>
      </c>
      <c r="O1776" s="36">
        <f t="shared" si="222"/>
        <v>443.75</v>
      </c>
      <c r="P1776" s="38">
        <f ca="1">IF(ISERROR(IF(O1776&lt;fi_h/20,0,(OFFSET('Base de dados'!$A$5,IF(O1776&lt;20,1,IF(O1776&gt;1000,10,MATCH(O1776,Cargas,1))),Coluna_fih,1,1))*(1+0.13*0.25)*(PI()*(fi_h/1000)^2/4)*SQRT(2*9.81*(O1776/100-fi_h/2/1000))*1000)),"",IF(O1776&lt;fi_h/20,0,(OFFSET('Base de dados'!$A$5,IF(O1776&lt;20,1,IF(O1776&gt;1000,10,MATCH(O1776,Cargas,1))),Coluna_fih,1,1))*(PI()*(fi_h/1000)^2/4)*SQRT(2*9.81*(O1776/100-fi_h/2/1000))*1000))</f>
        <v>5.6275910698733513</v>
      </c>
      <c r="Q1776" s="38">
        <f ca="1">IF(O1776="","",IF(Tipo_Vertedor="Retangular",IF(O1776&lt;=cota_s*100,0,IF(Tipo_Vertedor="Retangular",Cd_sr*Lef_sr*((O1776/100-cota_s)^(3/2))*1000)),IF(O1776&lt;=cota_s*100+fi_s/20,0,(OFFSET('Base de dados'!$A$4,IF(O1776&lt;20,1,IF(O1776&gt;1000,10,MATCH(O1776,Cargas,1))),Coluna_fis,1,1))*(PI()*(fi_s/1000)^2/4)*(2*9.81*(O1776/100-cota_s-fi_s/2/1000))^0.5*1000)))</f>
        <v>4.8032755554352802</v>
      </c>
      <c r="R1776" s="38">
        <f t="shared" ca="1" si="225"/>
        <v>10.430866625308632</v>
      </c>
      <c r="S1776" s="38">
        <f t="shared" ca="1" si="226"/>
        <v>554.6875</v>
      </c>
    </row>
    <row r="1777" spans="13:19">
      <c r="M1777" s="132">
        <f t="shared" ca="1" si="223"/>
        <v>565.43432227134599</v>
      </c>
      <c r="N1777" s="38">
        <f t="shared" si="224"/>
        <v>16.650000000000002</v>
      </c>
      <c r="O1777" s="36">
        <f t="shared" si="222"/>
        <v>444</v>
      </c>
      <c r="P1777" s="38">
        <f ca="1">IF(ISERROR(IF(O1777&lt;fi_h/20,0,(OFFSET('Base de dados'!$A$5,IF(O1777&lt;20,1,IF(O1777&gt;1000,10,MATCH(O1777,Cargas,1))),Coluna_fih,1,1))*(1+0.13*0.25)*(PI()*(fi_h/1000)^2/4)*SQRT(2*9.81*(O1777/100-fi_h/2/1000))*1000)),"",IF(O1777&lt;fi_h/20,0,(OFFSET('Base de dados'!$A$5,IF(O1777&lt;20,1,IF(O1777&gt;1000,10,MATCH(O1777,Cargas,1))),Coluna_fih,1,1))*(PI()*(fi_h/1000)^2/4)*SQRT(2*9.81*(O1777/100-fi_h/2/1000))*1000))</f>
        <v>5.6291823942020107</v>
      </c>
      <c r="Q1777" s="38">
        <f ca="1">IF(O1777="","",IF(Tipo_Vertedor="Retangular",IF(O1777&lt;=cota_s*100,0,IF(Tipo_Vertedor="Retangular",Cd_sr*Lef_sr*((O1777/100-cota_s)^(3/2))*1000)),IF(O1777&lt;=cota_s*100+fi_s/20,0,(OFFSET('Base de dados'!$A$4,IF(O1777&lt;20,1,IF(O1777&gt;1000,10,MATCH(O1777,Cargas,1))),Coluna_fis,1,1))*(PI()*(fi_s/1000)^2/4)*(2*9.81*(O1777/100-cota_s-fi_s/2/1000))^0.5*1000)))</f>
        <v>4.805139877143815</v>
      </c>
      <c r="R1777" s="38">
        <f t="shared" ca="1" si="225"/>
        <v>10.434322271345826</v>
      </c>
      <c r="S1777" s="38">
        <f t="shared" ca="1" si="226"/>
        <v>555.00000000000011</v>
      </c>
    </row>
    <row r="1778" spans="13:19">
      <c r="M1778" s="132">
        <f t="shared" ca="1" si="223"/>
        <v>565.75027674460739</v>
      </c>
      <c r="N1778" s="38">
        <f t="shared" si="224"/>
        <v>16.659375000000001</v>
      </c>
      <c r="O1778" s="36">
        <f t="shared" si="222"/>
        <v>444.25</v>
      </c>
      <c r="P1778" s="38">
        <f ca="1">IF(ISERROR(IF(O1778&lt;fi_h/20,0,(OFFSET('Base de dados'!$A$5,IF(O1778&lt;20,1,IF(O1778&gt;1000,10,MATCH(O1778,Cargas,1))),Coluna_fih,1,1))*(1+0.13*0.25)*(PI()*(fi_h/1000)^2/4)*SQRT(2*9.81*(O1778/100-fi_h/2/1000))*1000)),"",IF(O1778&lt;fi_h/20,0,(OFFSET('Base de dados'!$A$5,IF(O1778&lt;20,1,IF(O1778&gt;1000,10,MATCH(O1778,Cargas,1))),Coluna_fih,1,1))*(PI()*(fi_h/1000)^2/4)*SQRT(2*9.81*(O1778/100-fi_h/2/1000))*1000))</f>
        <v>5.630773268803269</v>
      </c>
      <c r="Q1778" s="38">
        <f ca="1">IF(O1778="","",IF(Tipo_Vertedor="Retangular",IF(O1778&lt;=cota_s*100,0,IF(Tipo_Vertedor="Retangular",Cd_sr*Lef_sr*((O1778/100-cota_s)^(3/2))*1000)),IF(O1778&lt;=cota_s*100+fi_s/20,0,(OFFSET('Base de dados'!$A$4,IF(O1778&lt;20,1,IF(O1778&gt;1000,10,MATCH(O1778,Cargas,1))),Coluna_fis,1,1))*(PI()*(fi_s/1000)^2/4)*(2*9.81*(O1778/100-cota_s-fi_s/2/1000))^0.5*1000)))</f>
        <v>4.8070034758041569</v>
      </c>
      <c r="R1778" s="38">
        <f t="shared" ca="1" si="225"/>
        <v>10.437776744607426</v>
      </c>
      <c r="S1778" s="38">
        <f t="shared" ca="1" si="226"/>
        <v>555.3125</v>
      </c>
    </row>
    <row r="1779" spans="13:19">
      <c r="M1779" s="132">
        <f t="shared" ca="1" si="223"/>
        <v>566.06623004631524</v>
      </c>
      <c r="N1779" s="38">
        <f t="shared" si="224"/>
        <v>16.668750000000003</v>
      </c>
      <c r="O1779" s="36">
        <f t="shared" si="222"/>
        <v>444.5</v>
      </c>
      <c r="P1779" s="38">
        <f ca="1">IF(ISERROR(IF(O1779&lt;fi_h/20,0,(OFFSET('Base de dados'!$A$5,IF(O1779&lt;20,1,IF(O1779&gt;1000,10,MATCH(O1779,Cargas,1))),Coluna_fih,1,1))*(1+0.13*0.25)*(PI()*(fi_h/1000)^2/4)*SQRT(2*9.81*(O1779/100-fi_h/2/1000))*1000)),"",IF(O1779&lt;fi_h/20,0,(OFFSET('Base de dados'!$A$5,IF(O1779&lt;20,1,IF(O1779&gt;1000,10,MATCH(O1779,Cargas,1))),Coluna_fih,1,1))*(PI()*(fi_h/1000)^2/4)*SQRT(2*9.81*(O1779/100-fi_h/2/1000))*1000))</f>
        <v>5.632363694058208</v>
      </c>
      <c r="Q1779" s="38">
        <f ca="1">IF(O1779="","",IF(Tipo_Vertedor="Retangular",IF(O1779&lt;=cota_s*100,0,IF(Tipo_Vertedor="Retangular",Cd_sr*Lef_sr*((O1779/100-cota_s)^(3/2))*1000)),IF(O1779&lt;=cota_s*100+fi_s/20,0,(OFFSET('Base de dados'!$A$4,IF(O1779&lt;20,1,IF(O1779&gt;1000,10,MATCH(O1779,Cargas,1))),Coluna_fis,1,1))*(PI()*(fi_s/1000)^2/4)*(2*9.81*(O1779/100-cota_s-fi_s/2/1000))^0.5*1000)))</f>
        <v>4.808866352256925</v>
      </c>
      <c r="R1779" s="38">
        <f t="shared" ca="1" si="225"/>
        <v>10.441230046315134</v>
      </c>
      <c r="S1779" s="38">
        <f t="shared" ca="1" si="226"/>
        <v>555.62500000000011</v>
      </c>
    </row>
    <row r="1780" spans="13:19">
      <c r="M1780" s="132">
        <f t="shared" ca="1" si="223"/>
        <v>566.38218217768838</v>
      </c>
      <c r="N1780" s="38">
        <f t="shared" si="224"/>
        <v>16.678124999999998</v>
      </c>
      <c r="O1780" s="36">
        <f t="shared" si="222"/>
        <v>444.75</v>
      </c>
      <c r="P1780" s="38">
        <f ca="1">IF(ISERROR(IF(O1780&lt;fi_h/20,0,(OFFSET('Base de dados'!$A$5,IF(O1780&lt;20,1,IF(O1780&gt;1000,10,MATCH(O1780,Cargas,1))),Coluna_fih,1,1))*(1+0.13*0.25)*(PI()*(fi_h/1000)^2/4)*SQRT(2*9.81*(O1780/100-fi_h/2/1000))*1000)),"",IF(O1780&lt;fi_h/20,0,(OFFSET('Base de dados'!$A$5,IF(O1780&lt;20,1,IF(O1780&gt;1000,10,MATCH(O1780,Cargas,1))),Coluna_fih,1,1))*(PI()*(fi_h/1000)^2/4)*SQRT(2*9.81*(O1780/100-fi_h/2/1000))*1000))</f>
        <v>5.6339536703473687</v>
      </c>
      <c r="Q1780" s="38">
        <f ca="1">IF(O1780="","",IF(Tipo_Vertedor="Retangular",IF(O1780&lt;=cota_s*100,0,IF(Tipo_Vertedor="Retangular",Cd_sr*Lef_sr*((O1780/100-cota_s)^(3/2))*1000)),IF(O1780&lt;=cota_s*100+fi_s/20,0,(OFFSET('Base de dados'!$A$4,IF(O1780&lt;20,1,IF(O1780&gt;1000,10,MATCH(O1780,Cargas,1))),Coluna_fis,1,1))*(PI()*(fi_s/1000)^2/4)*(2*9.81*(O1780/100-cota_s-fi_s/2/1000))^0.5*1000)))</f>
        <v>4.8107285073411079</v>
      </c>
      <c r="R1780" s="38">
        <f t="shared" ca="1" si="225"/>
        <v>10.444682177688478</v>
      </c>
      <c r="S1780" s="38">
        <f t="shared" ca="1" si="226"/>
        <v>555.93749999999989</v>
      </c>
    </row>
    <row r="1781" spans="13:19">
      <c r="M1781" s="132">
        <f t="shared" ca="1" si="223"/>
        <v>566.69813313994484</v>
      </c>
      <c r="N1781" s="38">
        <f t="shared" si="224"/>
        <v>16.6875</v>
      </c>
      <c r="O1781" s="36">
        <f t="shared" si="222"/>
        <v>445</v>
      </c>
      <c r="P1781" s="38">
        <f ca="1">IF(ISERROR(IF(O1781&lt;fi_h/20,0,(OFFSET('Base de dados'!$A$5,IF(O1781&lt;20,1,IF(O1781&gt;1000,10,MATCH(O1781,Cargas,1))),Coluna_fih,1,1))*(1+0.13*0.25)*(PI()*(fi_h/1000)^2/4)*SQRT(2*9.81*(O1781/100-fi_h/2/1000))*1000)),"",IF(O1781&lt;fi_h/20,0,(OFFSET('Base de dados'!$A$5,IF(O1781&lt;20,1,IF(O1781&gt;1000,10,MATCH(O1781,Cargas,1))),Coluna_fih,1,1))*(PI()*(fi_h/1000)^2/4)*SQRT(2*9.81*(O1781/100-fi_h/2/1000))*1000))</f>
        <v>5.6355431980507591</v>
      </c>
      <c r="Q1781" s="38">
        <f ca="1">IF(O1781="","",IF(Tipo_Vertedor="Retangular",IF(O1781&lt;=cota_s*100,0,IF(Tipo_Vertedor="Retangular",Cd_sr*Lef_sr*((O1781/100-cota_s)^(3/2))*1000)),IF(O1781&lt;=cota_s*100+fi_s/20,0,(OFFSET('Base de dados'!$A$4,IF(O1781&lt;20,1,IF(O1781&gt;1000,10,MATCH(O1781,Cargas,1))),Coluna_fis,1,1))*(PI()*(fi_s/1000)^2/4)*(2*9.81*(O1781/100-cota_s-fi_s/2/1000))^0.5*1000)))</f>
        <v>4.8125899418940712</v>
      </c>
      <c r="R1781" s="38">
        <f t="shared" ca="1" si="225"/>
        <v>10.448133139944829</v>
      </c>
      <c r="S1781" s="38">
        <f t="shared" ca="1" si="226"/>
        <v>556.25</v>
      </c>
    </row>
    <row r="1782" spans="13:19">
      <c r="M1782" s="132">
        <f t="shared" ca="1" si="223"/>
        <v>567.01408293429938</v>
      </c>
      <c r="N1782" s="38">
        <f t="shared" si="224"/>
        <v>16.696874999999999</v>
      </c>
      <c r="O1782" s="36">
        <f t="shared" si="222"/>
        <v>445.25</v>
      </c>
      <c r="P1782" s="38">
        <f ca="1">IF(ISERROR(IF(O1782&lt;fi_h/20,0,(OFFSET('Base de dados'!$A$5,IF(O1782&lt;20,1,IF(O1782&gt;1000,10,MATCH(O1782,Cargas,1))),Coluna_fih,1,1))*(1+0.13*0.25)*(PI()*(fi_h/1000)^2/4)*SQRT(2*9.81*(O1782/100-fi_h/2/1000))*1000)),"",IF(O1782&lt;fi_h/20,0,(OFFSET('Base de dados'!$A$5,IF(O1782&lt;20,1,IF(O1782&gt;1000,10,MATCH(O1782,Cargas,1))),Coluna_fih,1,1))*(PI()*(fi_h/1000)^2/4)*SQRT(2*9.81*(O1782/100-fi_h/2/1000))*1000))</f>
        <v>5.6371322775478445</v>
      </c>
      <c r="Q1782" s="38">
        <f ca="1">IF(O1782="","",IF(Tipo_Vertedor="Retangular",IF(O1782&lt;=cota_s*100,0,IF(Tipo_Vertedor="Retangular",Cd_sr*Lef_sr*((O1782/100-cota_s)^(3/2))*1000)),IF(O1782&lt;=cota_s*100+fi_s/20,0,(OFFSET('Base de dados'!$A$4,IF(O1782&lt;20,1,IF(O1782&gt;1000,10,MATCH(O1782,Cargas,1))),Coluna_fis,1,1))*(PI()*(fi_s/1000)^2/4)*(2*9.81*(O1782/100-cota_s-fi_s/2/1000))^0.5*1000)))</f>
        <v>4.8144506567515624</v>
      </c>
      <c r="R1782" s="38">
        <f t="shared" ca="1" si="225"/>
        <v>10.451582934299406</v>
      </c>
      <c r="S1782" s="38">
        <f t="shared" ca="1" si="226"/>
        <v>556.5625</v>
      </c>
    </row>
    <row r="1783" spans="13:19">
      <c r="M1783" s="132">
        <f t="shared" ca="1" si="223"/>
        <v>567.33003156196526</v>
      </c>
      <c r="N1783" s="38">
        <f t="shared" si="224"/>
        <v>16.706250000000001</v>
      </c>
      <c r="O1783" s="36">
        <f t="shared" si="222"/>
        <v>445.5</v>
      </c>
      <c r="P1783" s="38">
        <f ca="1">IF(ISERROR(IF(O1783&lt;fi_h/20,0,(OFFSET('Base de dados'!$A$5,IF(O1783&lt;20,1,IF(O1783&gt;1000,10,MATCH(O1783,Cargas,1))),Coluna_fih,1,1))*(1+0.13*0.25)*(PI()*(fi_h/1000)^2/4)*SQRT(2*9.81*(O1783/100-fi_h/2/1000))*1000)),"",IF(O1783&lt;fi_h/20,0,(OFFSET('Base de dados'!$A$5,IF(O1783&lt;20,1,IF(O1783&gt;1000,10,MATCH(O1783,Cargas,1))),Coluna_fih,1,1))*(PI()*(fi_h/1000)^2/4)*SQRT(2*9.81*(O1783/100-fi_h/2/1000))*1000))</f>
        <v>5.638720909217561</v>
      </c>
      <c r="Q1783" s="38">
        <f ca="1">IF(O1783="","",IF(Tipo_Vertedor="Retangular",IF(O1783&lt;=cota_s*100,0,IF(Tipo_Vertedor="Retangular",Cd_sr*Lef_sr*((O1783/100-cota_s)^(3/2))*1000)),IF(O1783&lt;=cota_s*100+fi_s/20,0,(OFFSET('Base de dados'!$A$4,IF(O1783&lt;20,1,IF(O1783&gt;1000,10,MATCH(O1783,Cargas,1))),Coluna_fis,1,1))*(PI()*(fi_s/1000)^2/4)*(2*9.81*(O1783/100-cota_s-fi_s/2/1000))^0.5*1000)))</f>
        <v>4.816310652747716</v>
      </c>
      <c r="R1783" s="38">
        <f t="shared" ca="1" si="225"/>
        <v>10.455031561965278</v>
      </c>
      <c r="S1783" s="38">
        <f t="shared" ca="1" si="226"/>
        <v>556.875</v>
      </c>
    </row>
    <row r="1784" spans="13:19">
      <c r="M1784" s="132">
        <f t="shared" ca="1" si="223"/>
        <v>567.64597902415335</v>
      </c>
      <c r="N1784" s="38">
        <f t="shared" si="224"/>
        <v>16.715624999999999</v>
      </c>
      <c r="O1784" s="36">
        <f t="shared" si="222"/>
        <v>445.75</v>
      </c>
      <c r="P1784" s="38">
        <f ca="1">IF(ISERROR(IF(O1784&lt;fi_h/20,0,(OFFSET('Base de dados'!$A$5,IF(O1784&lt;20,1,IF(O1784&gt;1000,10,MATCH(O1784,Cargas,1))),Coluna_fih,1,1))*(1+0.13*0.25)*(PI()*(fi_h/1000)^2/4)*SQRT(2*9.81*(O1784/100-fi_h/2/1000))*1000)),"",IF(O1784&lt;fi_h/20,0,(OFFSET('Base de dados'!$A$5,IF(O1784&lt;20,1,IF(O1784&gt;1000,10,MATCH(O1784,Cargas,1))),Coluna_fih,1,1))*(PI()*(fi_h/1000)^2/4)*SQRT(2*9.81*(O1784/100-fi_h/2/1000))*1000))</f>
        <v>5.6403090934383115</v>
      </c>
      <c r="Q1784" s="38">
        <f ca="1">IF(O1784="","",IF(Tipo_Vertedor="Retangular",IF(O1784&lt;=cota_s*100,0,IF(Tipo_Vertedor="Retangular",Cd_sr*Lef_sr*((O1784/100-cota_s)^(3/2))*1000)),IF(O1784&lt;=cota_s*100+fi_s/20,0,(OFFSET('Base de dados'!$A$4,IF(O1784&lt;20,1,IF(O1784&gt;1000,10,MATCH(O1784,Cargas,1))),Coluna_fis,1,1))*(PI()*(fi_s/1000)^2/4)*(2*9.81*(O1784/100-cota_s-fi_s/2/1000))^0.5*1000)))</f>
        <v>4.8181699307150536</v>
      </c>
      <c r="R1784" s="38">
        <f t="shared" ca="1" si="225"/>
        <v>10.458479024153366</v>
      </c>
      <c r="S1784" s="38">
        <f t="shared" ca="1" si="226"/>
        <v>557.1875</v>
      </c>
    </row>
    <row r="1785" spans="13:19">
      <c r="M1785" s="132">
        <f t="shared" ca="1" si="223"/>
        <v>567.96192532207249</v>
      </c>
      <c r="N1785" s="38">
        <f t="shared" si="224"/>
        <v>16.725000000000001</v>
      </c>
      <c r="O1785" s="36">
        <f t="shared" si="222"/>
        <v>446</v>
      </c>
      <c r="P1785" s="38">
        <f ca="1">IF(ISERROR(IF(O1785&lt;fi_h/20,0,(OFFSET('Base de dados'!$A$5,IF(O1785&lt;20,1,IF(O1785&gt;1000,10,MATCH(O1785,Cargas,1))),Coluna_fih,1,1))*(1+0.13*0.25)*(PI()*(fi_h/1000)^2/4)*SQRT(2*9.81*(O1785/100-fi_h/2/1000))*1000)),"",IF(O1785&lt;fi_h/20,0,(OFFSET('Base de dados'!$A$5,IF(O1785&lt;20,1,IF(O1785&gt;1000,10,MATCH(O1785,Cargas,1))),Coluna_fih,1,1))*(PI()*(fi_h/1000)^2/4)*SQRT(2*9.81*(O1785/100-fi_h/2/1000))*1000))</f>
        <v>5.6418968305879611</v>
      </c>
      <c r="Q1785" s="38">
        <f ca="1">IF(O1785="","",IF(Tipo_Vertedor="Retangular",IF(O1785&lt;=cota_s*100,0,IF(Tipo_Vertedor="Retangular",Cd_sr*Lef_sr*((O1785/100-cota_s)^(3/2))*1000)),IF(O1785&lt;=cota_s*100+fi_s/20,0,(OFFSET('Base de dados'!$A$4,IF(O1785&lt;20,1,IF(O1785&gt;1000,10,MATCH(O1785,Cargas,1))),Coluna_fis,1,1))*(PI()*(fi_s/1000)^2/4)*(2*9.81*(O1785/100-cota_s-fi_s/2/1000))^0.5*1000)))</f>
        <v>4.8200284914844937</v>
      </c>
      <c r="R1785" s="38">
        <f t="shared" ca="1" si="225"/>
        <v>10.461925322072455</v>
      </c>
      <c r="S1785" s="38">
        <f t="shared" ca="1" si="226"/>
        <v>557.5</v>
      </c>
    </row>
    <row r="1786" spans="13:19">
      <c r="M1786" s="132">
        <f t="shared" ca="1" si="223"/>
        <v>568.27787045692924</v>
      </c>
      <c r="N1786" s="38">
        <f t="shared" si="224"/>
        <v>16.734375</v>
      </c>
      <c r="O1786" s="36">
        <f t="shared" si="222"/>
        <v>446.25</v>
      </c>
      <c r="P1786" s="38">
        <f ca="1">IF(ISERROR(IF(O1786&lt;fi_h/20,0,(OFFSET('Base de dados'!$A$5,IF(O1786&lt;20,1,IF(O1786&gt;1000,10,MATCH(O1786,Cargas,1))),Coluna_fih,1,1))*(1+0.13*0.25)*(PI()*(fi_h/1000)^2/4)*SQRT(2*9.81*(O1786/100-fi_h/2/1000))*1000)),"",IF(O1786&lt;fi_h/20,0,(OFFSET('Base de dados'!$A$5,IF(O1786&lt;20,1,IF(O1786&gt;1000,10,MATCH(O1786,Cargas,1))),Coluna_fih,1,1))*(PI()*(fi_h/1000)^2/4)*SQRT(2*9.81*(O1786/100-fi_h/2/1000))*1000))</f>
        <v>5.6434841210438487</v>
      </c>
      <c r="Q1786" s="38">
        <f ca="1">IF(O1786="","",IF(Tipo_Vertedor="Retangular",IF(O1786&lt;=cota_s*100,0,IF(Tipo_Vertedor="Retangular",Cd_sr*Lef_sr*((O1786/100-cota_s)^(3/2))*1000)),IF(O1786&lt;=cota_s*100+fi_s/20,0,(OFFSET('Base de dados'!$A$4,IF(O1786&lt;20,1,IF(O1786&gt;1000,10,MATCH(O1786,Cargas,1))),Coluna_fis,1,1))*(PI()*(fi_s/1000)^2/4)*(2*9.81*(O1786/100-cota_s-fi_s/2/1000))^0.5*1000)))</f>
        <v>4.8218863358853508</v>
      </c>
      <c r="R1786" s="38">
        <f t="shared" ca="1" si="225"/>
        <v>10.4653704569292</v>
      </c>
      <c r="S1786" s="38">
        <f t="shared" ca="1" si="226"/>
        <v>557.8125</v>
      </c>
    </row>
    <row r="1787" spans="13:19">
      <c r="M1787" s="132">
        <f t="shared" ca="1" si="223"/>
        <v>568.5938144299281</v>
      </c>
      <c r="N1787" s="38">
        <f t="shared" si="224"/>
        <v>16.743749999999999</v>
      </c>
      <c r="O1787" s="36">
        <f t="shared" si="222"/>
        <v>446.5</v>
      </c>
      <c r="P1787" s="38">
        <f ca="1">IF(ISERROR(IF(O1787&lt;fi_h/20,0,(OFFSET('Base de dados'!$A$5,IF(O1787&lt;20,1,IF(O1787&gt;1000,10,MATCH(O1787,Cargas,1))),Coluna_fih,1,1))*(1+0.13*0.25)*(PI()*(fi_h/1000)^2/4)*SQRT(2*9.81*(O1787/100-fi_h/2/1000))*1000)),"",IF(O1787&lt;fi_h/20,0,(OFFSET('Base de dados'!$A$5,IF(O1787&lt;20,1,IF(O1787&gt;1000,10,MATCH(O1787,Cargas,1))),Coluna_fih,1,1))*(PI()*(fi_h/1000)^2/4)*SQRT(2*9.81*(O1787/100-fi_h/2/1000))*1000))</f>
        <v>5.6450709651827786</v>
      </c>
      <c r="Q1787" s="38">
        <f ca="1">IF(O1787="","",IF(Tipo_Vertedor="Retangular",IF(O1787&lt;=cota_s*100,0,IF(Tipo_Vertedor="Retangular",Cd_sr*Lef_sr*((O1787/100-cota_s)^(3/2))*1000)),IF(O1787&lt;=cota_s*100+fi_s/20,0,(OFFSET('Base de dados'!$A$4,IF(O1787&lt;20,1,IF(O1787&gt;1000,10,MATCH(O1787,Cargas,1))),Coluna_fis,1,1))*(PI()*(fi_s/1000)^2/4)*(2*9.81*(O1787/100-cota_s-fi_s/2/1000))^0.5*1000)))</f>
        <v>4.8237434647453457</v>
      </c>
      <c r="R1787" s="38">
        <f t="shared" ca="1" si="225"/>
        <v>10.468814429928123</v>
      </c>
      <c r="S1787" s="38">
        <f t="shared" ca="1" si="226"/>
        <v>558.125</v>
      </c>
    </row>
    <row r="1788" spans="13:19">
      <c r="M1788" s="132">
        <f t="shared" ca="1" si="223"/>
        <v>568.90975724227167</v>
      </c>
      <c r="N1788" s="38">
        <f t="shared" si="224"/>
        <v>16.753125000000001</v>
      </c>
      <c r="O1788" s="36">
        <f t="shared" si="222"/>
        <v>446.75</v>
      </c>
      <c r="P1788" s="38">
        <f ca="1">IF(ISERROR(IF(O1788&lt;fi_h/20,0,(OFFSET('Base de dados'!$A$5,IF(O1788&lt;20,1,IF(O1788&gt;1000,10,MATCH(O1788,Cargas,1))),Coluna_fih,1,1))*(1+0.13*0.25)*(PI()*(fi_h/1000)^2/4)*SQRT(2*9.81*(O1788/100-fi_h/2/1000))*1000)),"",IF(O1788&lt;fi_h/20,0,(OFFSET('Base de dados'!$A$5,IF(O1788&lt;20,1,IF(O1788&gt;1000,10,MATCH(O1788,Cargas,1))),Coluna_fih,1,1))*(PI()*(fi_h/1000)^2/4)*SQRT(2*9.81*(O1788/100-fi_h/2/1000))*1000))</f>
        <v>5.6466573633810295</v>
      </c>
      <c r="Q1788" s="38">
        <f ca="1">IF(O1788="","",IF(Tipo_Vertedor="Retangular",IF(O1788&lt;=cota_s*100,0,IF(Tipo_Vertedor="Retangular",Cd_sr*Lef_sr*((O1788/100-cota_s)^(3/2))*1000)),IF(O1788&lt;=cota_s*100+fi_s/20,0,(OFFSET('Base de dados'!$A$4,IF(O1788&lt;20,1,IF(O1788&gt;1000,10,MATCH(O1788,Cargas,1))),Coluna_fis,1,1))*(PI()*(fi_s/1000)^2/4)*(2*9.81*(O1788/100-cota_s-fi_s/2/1000))^0.5*1000)))</f>
        <v>4.8255998788906034</v>
      </c>
      <c r="R1788" s="38">
        <f t="shared" ca="1" si="225"/>
        <v>10.472257242271633</v>
      </c>
      <c r="S1788" s="38">
        <f t="shared" ca="1" si="226"/>
        <v>558.4375</v>
      </c>
    </row>
    <row r="1789" spans="13:19">
      <c r="M1789" s="132">
        <f t="shared" ca="1" si="223"/>
        <v>569.22569889516001</v>
      </c>
      <c r="N1789" s="38">
        <f t="shared" si="224"/>
        <v>16.762499999999999</v>
      </c>
      <c r="O1789" s="36">
        <f t="shared" si="222"/>
        <v>447</v>
      </c>
      <c r="P1789" s="38">
        <f ca="1">IF(ISERROR(IF(O1789&lt;fi_h/20,0,(OFFSET('Base de dados'!$A$5,IF(O1789&lt;20,1,IF(O1789&gt;1000,10,MATCH(O1789,Cargas,1))),Coluna_fih,1,1))*(1+0.13*0.25)*(PI()*(fi_h/1000)^2/4)*SQRT(2*9.81*(O1789/100-fi_h/2/1000))*1000)),"",IF(O1789&lt;fi_h/20,0,(OFFSET('Base de dados'!$A$5,IF(O1789&lt;20,1,IF(O1789&gt;1000,10,MATCH(O1789,Cargas,1))),Coluna_fih,1,1))*(PI()*(fi_h/1000)^2/4)*SQRT(2*9.81*(O1789/100-fi_h/2/1000))*1000))</f>
        <v>5.6482433160143488</v>
      </c>
      <c r="Q1789" s="38">
        <f ca="1">IF(O1789="","",IF(Tipo_Vertedor="Retangular",IF(O1789&lt;=cota_s*100,0,IF(Tipo_Vertedor="Retangular",Cd_sr*Lef_sr*((O1789/100-cota_s)^(3/2))*1000)),IF(O1789&lt;=cota_s*100+fi_s/20,0,(OFFSET('Base de dados'!$A$4,IF(O1789&lt;20,1,IF(O1789&gt;1000,10,MATCH(O1789,Cargas,1))),Coluna_fis,1,1))*(PI()*(fi_s/1000)^2/4)*(2*9.81*(O1789/100-cota_s-fi_s/2/1000))^0.5*1000)))</f>
        <v>4.8274555791456617</v>
      </c>
      <c r="R1789" s="38">
        <f t="shared" ca="1" si="225"/>
        <v>10.475698895160011</v>
      </c>
      <c r="S1789" s="38">
        <f t="shared" ca="1" si="226"/>
        <v>558.75</v>
      </c>
    </row>
    <row r="1790" spans="13:19">
      <c r="M1790" s="132">
        <f t="shared" ca="1" si="223"/>
        <v>569.54163938979138</v>
      </c>
      <c r="N1790" s="38">
        <f t="shared" si="224"/>
        <v>16.771875000000001</v>
      </c>
      <c r="O1790" s="36">
        <f t="shared" si="222"/>
        <v>447.25</v>
      </c>
      <c r="P1790" s="38">
        <f ca="1">IF(ISERROR(IF(O1790&lt;fi_h/20,0,(OFFSET('Base de dados'!$A$5,IF(O1790&lt;20,1,IF(O1790&gt;1000,10,MATCH(O1790,Cargas,1))),Coluna_fih,1,1))*(1+0.13*0.25)*(PI()*(fi_h/1000)^2/4)*SQRT(2*9.81*(O1790/100-fi_h/2/1000))*1000)),"",IF(O1790&lt;fi_h/20,0,(OFFSET('Base de dados'!$A$5,IF(O1790&lt;20,1,IF(O1790&gt;1000,10,MATCH(O1790,Cargas,1))),Coluna_fih,1,1))*(PI()*(fi_h/1000)^2/4)*SQRT(2*9.81*(O1790/100-fi_h/2/1000))*1000))</f>
        <v>5.6498288234579599</v>
      </c>
      <c r="Q1790" s="38">
        <f ca="1">IF(O1790="","",IF(Tipo_Vertedor="Retangular",IF(O1790&lt;=cota_s*100,0,IF(Tipo_Vertedor="Retangular",Cd_sr*Lef_sr*((O1790/100-cota_s)^(3/2))*1000)),IF(O1790&lt;=cota_s*100+fi_s/20,0,(OFFSET('Base de dados'!$A$4,IF(O1790&lt;20,1,IF(O1790&gt;1000,10,MATCH(O1790,Cargas,1))),Coluna_fis,1,1))*(PI()*(fi_s/1000)^2/4)*(2*9.81*(O1790/100-cota_s-fi_s/2/1000))^0.5*1000)))</f>
        <v>4.8293105663334757</v>
      </c>
      <c r="R1790" s="38">
        <f t="shared" ca="1" si="225"/>
        <v>10.479139389791435</v>
      </c>
      <c r="S1790" s="38">
        <f t="shared" ca="1" si="226"/>
        <v>559.0625</v>
      </c>
    </row>
    <row r="1791" spans="13:19">
      <c r="M1791" s="132">
        <f t="shared" ca="1" si="223"/>
        <v>569.85757872736201</v>
      </c>
      <c r="N1791" s="38">
        <f t="shared" si="224"/>
        <v>16.78125</v>
      </c>
      <c r="O1791" s="36">
        <f t="shared" si="222"/>
        <v>447.5</v>
      </c>
      <c r="P1791" s="38">
        <f ca="1">IF(ISERROR(IF(O1791&lt;fi_h/20,0,(OFFSET('Base de dados'!$A$5,IF(O1791&lt;20,1,IF(O1791&gt;1000,10,MATCH(O1791,Cargas,1))),Coluna_fih,1,1))*(1+0.13*0.25)*(PI()*(fi_h/1000)^2/4)*SQRT(2*9.81*(O1791/100-fi_h/2/1000))*1000)),"",IF(O1791&lt;fi_h/20,0,(OFFSET('Base de dados'!$A$5,IF(O1791&lt;20,1,IF(O1791&gt;1000,10,MATCH(O1791,Cargas,1))),Coluna_fih,1,1))*(PI()*(fi_h/1000)^2/4)*SQRT(2*9.81*(O1791/100-fi_h/2/1000))*1000))</f>
        <v>5.6514138860865533</v>
      </c>
      <c r="Q1791" s="38">
        <f ca="1">IF(O1791="","",IF(Tipo_Vertedor="Retangular",IF(O1791&lt;=cota_s*100,0,IF(Tipo_Vertedor="Retangular",Cd_sr*Lef_sr*((O1791/100-cota_s)^(3/2))*1000)),IF(O1791&lt;=cota_s*100+fi_s/20,0,(OFFSET('Base de dados'!$A$4,IF(O1791&lt;20,1,IF(O1791&gt;1000,10,MATCH(O1791,Cargas,1))),Coluna_fis,1,1))*(PI()*(fi_s/1000)^2/4)*(2*9.81*(O1791/100-cota_s-fi_s/2/1000))^0.5*1000)))</f>
        <v>4.8311648412754176</v>
      </c>
      <c r="R1791" s="38">
        <f t="shared" ca="1" si="225"/>
        <v>10.482578727361972</v>
      </c>
      <c r="S1791" s="38">
        <f t="shared" ca="1" si="226"/>
        <v>559.375</v>
      </c>
    </row>
    <row r="1792" spans="13:19">
      <c r="M1792" s="132">
        <f t="shared" ca="1" si="223"/>
        <v>570.1735169090656</v>
      </c>
      <c r="N1792" s="38">
        <f t="shared" si="224"/>
        <v>16.790624999999999</v>
      </c>
      <c r="O1792" s="36">
        <f t="shared" si="222"/>
        <v>447.75</v>
      </c>
      <c r="P1792" s="38">
        <f ca="1">IF(ISERROR(IF(O1792&lt;fi_h/20,0,(OFFSET('Base de dados'!$A$5,IF(O1792&lt;20,1,IF(O1792&gt;1000,10,MATCH(O1792,Cargas,1))),Coluna_fih,1,1))*(1+0.13*0.25)*(PI()*(fi_h/1000)^2/4)*SQRT(2*9.81*(O1792/100-fi_h/2/1000))*1000)),"",IF(O1792&lt;fi_h/20,0,(OFFSET('Base de dados'!$A$5,IF(O1792&lt;20,1,IF(O1792&gt;1000,10,MATCH(O1792,Cargas,1))),Coluna_fih,1,1))*(PI()*(fi_h/1000)^2/4)*SQRT(2*9.81*(O1792/100-fi_h/2/1000))*1000))</f>
        <v>5.6529985042743034</v>
      </c>
      <c r="Q1792" s="38">
        <f ca="1">IF(O1792="","",IF(Tipo_Vertedor="Retangular",IF(O1792&lt;=cota_s*100,0,IF(Tipo_Vertedor="Retangular",Cd_sr*Lef_sr*((O1792/100-cota_s)^(3/2))*1000)),IF(O1792&lt;=cota_s*100+fi_s/20,0,(OFFSET('Base de dados'!$A$4,IF(O1792&lt;20,1,IF(O1792&gt;1000,10,MATCH(O1792,Cargas,1))),Coluna_fis,1,1))*(PI()*(fi_s/1000)^2/4)*(2*9.81*(O1792/100-cota_s-fi_s/2/1000))^0.5*1000)))</f>
        <v>4.8330184047912859</v>
      </c>
      <c r="R1792" s="38">
        <f t="shared" ca="1" si="225"/>
        <v>10.48601690906559</v>
      </c>
      <c r="S1792" s="38">
        <f t="shared" ca="1" si="226"/>
        <v>559.6875</v>
      </c>
    </row>
    <row r="1793" spans="13:19">
      <c r="M1793" s="132">
        <f t="shared" ca="1" si="223"/>
        <v>570.48945393609415</v>
      </c>
      <c r="N1793" s="38">
        <f t="shared" si="224"/>
        <v>16.8</v>
      </c>
      <c r="O1793" s="36">
        <f t="shared" si="222"/>
        <v>448</v>
      </c>
      <c r="P1793" s="38">
        <f ca="1">IF(ISERROR(IF(O1793&lt;fi_h/20,0,(OFFSET('Base de dados'!$A$5,IF(O1793&lt;20,1,IF(O1793&gt;1000,10,MATCH(O1793,Cargas,1))),Coluna_fih,1,1))*(1+0.13*0.25)*(PI()*(fi_h/1000)^2/4)*SQRT(2*9.81*(O1793/100-fi_h/2/1000))*1000)),"",IF(O1793&lt;fi_h/20,0,(OFFSET('Base de dados'!$A$5,IF(O1793&lt;20,1,IF(O1793&gt;1000,10,MATCH(O1793,Cargas,1))),Coluna_fih,1,1))*(PI()*(fi_h/1000)^2/4)*SQRT(2*9.81*(O1793/100-fi_h/2/1000))*1000))</f>
        <v>5.654582678394851</v>
      </c>
      <c r="Q1793" s="38">
        <f ca="1">IF(O1793="","",IF(Tipo_Vertedor="Retangular",IF(O1793&lt;=cota_s*100,0,IF(Tipo_Vertedor="Retangular",Cd_sr*Lef_sr*((O1793/100-cota_s)^(3/2))*1000)),IF(O1793&lt;=cota_s*100+fi_s/20,0,(OFFSET('Base de dados'!$A$4,IF(O1793&lt;20,1,IF(O1793&gt;1000,10,MATCH(O1793,Cargas,1))),Coluna_fis,1,1))*(PI()*(fi_s/1000)^2/4)*(2*9.81*(O1793/100-cota_s-fi_s/2/1000))^0.5*1000)))</f>
        <v>4.8348712576993069</v>
      </c>
      <c r="R1793" s="38">
        <f t="shared" ca="1" si="225"/>
        <v>10.489453936094158</v>
      </c>
      <c r="S1793" s="38">
        <f t="shared" ca="1" si="226"/>
        <v>560</v>
      </c>
    </row>
    <row r="1794" spans="13:19">
      <c r="M1794" s="132">
        <f t="shared" ca="1" si="223"/>
        <v>570.80538980963752</v>
      </c>
      <c r="N1794" s="38">
        <f t="shared" si="224"/>
        <v>16.809374999999999</v>
      </c>
      <c r="O1794" s="36">
        <f t="shared" si="222"/>
        <v>448.25</v>
      </c>
      <c r="P1794" s="38">
        <f ca="1">IF(ISERROR(IF(O1794&lt;fi_h/20,0,(OFFSET('Base de dados'!$A$5,IF(O1794&lt;20,1,IF(O1794&gt;1000,10,MATCH(O1794,Cargas,1))),Coluna_fih,1,1))*(1+0.13*0.25)*(PI()*(fi_h/1000)^2/4)*SQRT(2*9.81*(O1794/100-fi_h/2/1000))*1000)),"",IF(O1794&lt;fi_h/20,0,(OFFSET('Base de dados'!$A$5,IF(O1794&lt;20,1,IF(O1794&gt;1000,10,MATCH(O1794,Cargas,1))),Coluna_fih,1,1))*(PI()*(fi_h/1000)^2/4)*SQRT(2*9.81*(O1794/100-fi_h/2/1000))*1000))</f>
        <v>5.6561664088213197</v>
      </c>
      <c r="Q1794" s="38">
        <f ca="1">IF(O1794="","",IF(Tipo_Vertedor="Retangular",IF(O1794&lt;=cota_s*100,0,IF(Tipo_Vertedor="Retangular",Cd_sr*Lef_sr*((O1794/100-cota_s)^(3/2))*1000)),IF(O1794&lt;=cota_s*100+fi_s/20,0,(OFFSET('Base de dados'!$A$4,IF(O1794&lt;20,1,IF(O1794&gt;1000,10,MATCH(O1794,Cargas,1))),Coluna_fis,1,1))*(PI()*(fi_s/1000)^2/4)*(2*9.81*(O1794/100-cota_s-fi_s/2/1000))^0.5*1000)))</f>
        <v>4.8367234008161413</v>
      </c>
      <c r="R1794" s="38">
        <f t="shared" ca="1" si="225"/>
        <v>10.492889809637461</v>
      </c>
      <c r="S1794" s="38">
        <f t="shared" ca="1" si="226"/>
        <v>560.3125</v>
      </c>
    </row>
    <row r="1795" spans="13:19">
      <c r="M1795" s="132">
        <f t="shared" ca="1" si="223"/>
        <v>571.12132453088316</v>
      </c>
      <c r="N1795" s="38">
        <f t="shared" si="224"/>
        <v>16.818750000000001</v>
      </c>
      <c r="O1795" s="36">
        <f t="shared" si="222"/>
        <v>448.5</v>
      </c>
      <c r="P1795" s="38">
        <f ca="1">IF(ISERROR(IF(O1795&lt;fi_h/20,0,(OFFSET('Base de dados'!$A$5,IF(O1795&lt;20,1,IF(O1795&gt;1000,10,MATCH(O1795,Cargas,1))),Coluna_fih,1,1))*(1+0.13*0.25)*(PI()*(fi_h/1000)^2/4)*SQRT(2*9.81*(O1795/100-fi_h/2/1000))*1000)),"",IF(O1795&lt;fi_h/20,0,(OFFSET('Base de dados'!$A$5,IF(O1795&lt;20,1,IF(O1795&gt;1000,10,MATCH(O1795,Cargas,1))),Coluna_fih,1,1))*(PI()*(fi_h/1000)^2/4)*SQRT(2*9.81*(O1795/100-fi_h/2/1000))*1000))</f>
        <v>5.6577496959263085</v>
      </c>
      <c r="Q1795" s="38">
        <f ca="1">IF(O1795="","",IF(Tipo_Vertedor="Retangular",IF(O1795&lt;=cota_s*100,0,IF(Tipo_Vertedor="Retangular",Cd_sr*Lef_sr*((O1795/100-cota_s)^(3/2))*1000)),IF(O1795&lt;=cota_s*100+fi_s/20,0,(OFFSET('Base de dados'!$A$4,IF(O1795&lt;20,1,IF(O1795&gt;1000,10,MATCH(O1795,Cargas,1))),Coluna_fis,1,1))*(PI()*(fi_s/1000)^2/4)*(2*9.81*(O1795/100-cota_s-fi_s/2/1000))^0.5*1000)))</f>
        <v>4.8385748349568845</v>
      </c>
      <c r="R1795" s="38">
        <f t="shared" ca="1" si="225"/>
        <v>10.496324530883193</v>
      </c>
      <c r="S1795" s="38">
        <f t="shared" ca="1" si="226"/>
        <v>560.625</v>
      </c>
    </row>
    <row r="1796" spans="13:19">
      <c r="M1796" s="132">
        <f t="shared" ca="1" si="223"/>
        <v>571.43725810101694</v>
      </c>
      <c r="N1796" s="38">
        <f t="shared" si="224"/>
        <v>16.828125</v>
      </c>
      <c r="O1796" s="36">
        <f t="shared" si="222"/>
        <v>448.75</v>
      </c>
      <c r="P1796" s="38">
        <f ca="1">IF(ISERROR(IF(O1796&lt;fi_h/20,0,(OFFSET('Base de dados'!$A$5,IF(O1796&lt;20,1,IF(O1796&gt;1000,10,MATCH(O1796,Cargas,1))),Coluna_fih,1,1))*(1+0.13*0.25)*(PI()*(fi_h/1000)^2/4)*SQRT(2*9.81*(O1796/100-fi_h/2/1000))*1000)),"",IF(O1796&lt;fi_h/20,0,(OFFSET('Base de dados'!$A$5,IF(O1796&lt;20,1,IF(O1796&gt;1000,10,MATCH(O1796,Cargas,1))),Coluna_fih,1,1))*(PI()*(fi_h/1000)^2/4)*SQRT(2*9.81*(O1796/100-fi_h/2/1000))*1000))</f>
        <v>5.6593325400818957</v>
      </c>
      <c r="Q1796" s="38">
        <f ca="1">IF(O1796="","",IF(Tipo_Vertedor="Retangular",IF(O1796&lt;=cota_s*100,0,IF(Tipo_Vertedor="Retangular",Cd_sr*Lef_sr*((O1796/100-cota_s)^(3/2))*1000)),IF(O1796&lt;=cota_s*100+fi_s/20,0,(OFFSET('Base de dados'!$A$4,IF(O1796&lt;20,1,IF(O1796&gt;1000,10,MATCH(O1796,Cargas,1))),Coluna_fis,1,1))*(PI()*(fi_s/1000)^2/4)*(2*9.81*(O1796/100-cota_s-fi_s/2/1000))^0.5*1000)))</f>
        <v>4.8404255609350724</v>
      </c>
      <c r="R1796" s="38">
        <f t="shared" ca="1" si="225"/>
        <v>10.499758101016969</v>
      </c>
      <c r="S1796" s="38">
        <f t="shared" ca="1" si="226"/>
        <v>560.9375</v>
      </c>
    </row>
    <row r="1797" spans="13:19">
      <c r="M1797" s="132">
        <f t="shared" ca="1" si="223"/>
        <v>571.75319052122245</v>
      </c>
      <c r="N1797" s="38">
        <f t="shared" si="224"/>
        <v>16.837500000000002</v>
      </c>
      <c r="O1797" s="36">
        <f t="shared" si="222"/>
        <v>449</v>
      </c>
      <c r="P1797" s="38">
        <f ca="1">IF(ISERROR(IF(O1797&lt;fi_h/20,0,(OFFSET('Base de dados'!$A$5,IF(O1797&lt;20,1,IF(O1797&gt;1000,10,MATCH(O1797,Cargas,1))),Coluna_fih,1,1))*(1+0.13*0.25)*(PI()*(fi_h/1000)^2/4)*SQRT(2*9.81*(O1797/100-fi_h/2/1000))*1000)),"",IF(O1797&lt;fi_h/20,0,(OFFSET('Base de dados'!$A$5,IF(O1797&lt;20,1,IF(O1797&gt;1000,10,MATCH(O1797,Cargas,1))),Coluna_fih,1,1))*(PI()*(fi_h/1000)^2/4)*SQRT(2*9.81*(O1797/100-fi_h/2/1000))*1000))</f>
        <v>5.6609149416596409</v>
      </c>
      <c r="Q1797" s="38">
        <f ca="1">IF(O1797="","",IF(Tipo_Vertedor="Retangular",IF(O1797&lt;=cota_s*100,0,IF(Tipo_Vertedor="Retangular",Cd_sr*Lef_sr*((O1797/100-cota_s)^(3/2))*1000)),IF(O1797&lt;=cota_s*100+fi_s/20,0,(OFFSET('Base de dados'!$A$4,IF(O1797&lt;20,1,IF(O1797&gt;1000,10,MATCH(O1797,Cargas,1))),Coluna_fis,1,1))*(PI()*(fi_s/1000)^2/4)*(2*9.81*(O1797/100-cota_s-fi_s/2/1000))^0.5*1000)))</f>
        <v>4.8422755795626902</v>
      </c>
      <c r="R1797" s="38">
        <f t="shared" ca="1" si="225"/>
        <v>10.503190521222331</v>
      </c>
      <c r="S1797" s="38">
        <f t="shared" ca="1" si="226"/>
        <v>561.25000000000011</v>
      </c>
    </row>
    <row r="1798" spans="13:19">
      <c r="M1798" s="132">
        <f t="shared" ca="1" si="223"/>
        <v>572.06912179268068</v>
      </c>
      <c r="N1798" s="38">
        <f t="shared" si="224"/>
        <v>16.846874999999997</v>
      </c>
      <c r="O1798" s="36">
        <f t="shared" si="222"/>
        <v>449.25</v>
      </c>
      <c r="P1798" s="38">
        <f ca="1">IF(ISERROR(IF(O1798&lt;fi_h/20,0,(OFFSET('Base de dados'!$A$5,IF(O1798&lt;20,1,IF(O1798&gt;1000,10,MATCH(O1798,Cargas,1))),Coluna_fih,1,1))*(1+0.13*0.25)*(PI()*(fi_h/1000)^2/4)*SQRT(2*9.81*(O1798/100-fi_h/2/1000))*1000)),"",IF(O1798&lt;fi_h/20,0,(OFFSET('Base de dados'!$A$5,IF(O1798&lt;20,1,IF(O1798&gt;1000,10,MATCH(O1798,Cargas,1))),Coluna_fih,1,1))*(PI()*(fi_h/1000)^2/4)*SQRT(2*9.81*(O1798/100-fi_h/2/1000))*1000))</f>
        <v>5.6624969010305826</v>
      </c>
      <c r="Q1798" s="38">
        <f ca="1">IF(O1798="","",IF(Tipo_Vertedor="Retangular",IF(O1798&lt;=cota_s*100,0,IF(Tipo_Vertedor="Retangular",Cd_sr*Lef_sr*((O1798/100-cota_s)^(3/2))*1000)),IF(O1798&lt;=cota_s*100+fi_s/20,0,(OFFSET('Base de dados'!$A$4,IF(O1798&lt;20,1,IF(O1798&gt;1000,10,MATCH(O1798,Cargas,1))),Coluna_fis,1,1))*(PI()*(fi_s/1000)^2/4)*(2*9.81*(O1798/100-cota_s-fi_s/2/1000))^0.5*1000)))</f>
        <v>4.8441248916501687</v>
      </c>
      <c r="R1798" s="38">
        <f t="shared" ca="1" si="225"/>
        <v>10.50662179268075</v>
      </c>
      <c r="S1798" s="38">
        <f t="shared" ca="1" si="226"/>
        <v>561.56249999999989</v>
      </c>
    </row>
    <row r="1799" spans="13:19">
      <c r="M1799" s="132">
        <f t="shared" ca="1" si="223"/>
        <v>572.38505191657168</v>
      </c>
      <c r="N1799" s="38">
        <f t="shared" si="224"/>
        <v>16.856249999999999</v>
      </c>
      <c r="O1799" s="36">
        <f t="shared" si="222"/>
        <v>449.5</v>
      </c>
      <c r="P1799" s="38">
        <f ca="1">IF(ISERROR(IF(O1799&lt;fi_h/20,0,(OFFSET('Base de dados'!$A$5,IF(O1799&lt;20,1,IF(O1799&gt;1000,10,MATCH(O1799,Cargas,1))),Coluna_fih,1,1))*(1+0.13*0.25)*(PI()*(fi_h/1000)^2/4)*SQRT(2*9.81*(O1799/100-fi_h/2/1000))*1000)),"",IF(O1799&lt;fi_h/20,0,(OFFSET('Base de dados'!$A$5,IF(O1799&lt;20,1,IF(O1799&gt;1000,10,MATCH(O1799,Cargas,1))),Coluna_fih,1,1))*(PI()*(fi_h/1000)^2/4)*SQRT(2*9.81*(O1799/100-fi_h/2/1000))*1000))</f>
        <v>5.664078418565242</v>
      </c>
      <c r="Q1799" s="38">
        <f ca="1">IF(O1799="","",IF(Tipo_Vertedor="Retangular",IF(O1799&lt;=cota_s*100,0,IF(Tipo_Vertedor="Retangular",Cd_sr*Lef_sr*((O1799/100-cota_s)^(3/2))*1000)),IF(O1799&lt;=cota_s*100+fi_s/20,0,(OFFSET('Base de dados'!$A$4,IF(O1799&lt;20,1,IF(O1799&gt;1000,10,MATCH(O1799,Cargas,1))),Coluna_fis,1,1))*(PI()*(fi_s/1000)^2/4)*(2*9.81*(O1799/100-cota_s-fi_s/2/1000))^0.5*1000)))</f>
        <v>4.845973498006396</v>
      </c>
      <c r="R1799" s="38">
        <f t="shared" ca="1" si="225"/>
        <v>10.510051916571637</v>
      </c>
      <c r="S1799" s="38">
        <f t="shared" ca="1" si="226"/>
        <v>561.875</v>
      </c>
    </row>
    <row r="1800" spans="13:19">
      <c r="M1800" s="132">
        <f t="shared" ca="1" si="223"/>
        <v>572.70098089407225</v>
      </c>
      <c r="N1800" s="38">
        <f t="shared" si="224"/>
        <v>16.865624999999998</v>
      </c>
      <c r="O1800" s="36">
        <f t="shared" si="222"/>
        <v>449.75</v>
      </c>
      <c r="P1800" s="38">
        <f ca="1">IF(ISERROR(IF(O1800&lt;fi_h/20,0,(OFFSET('Base de dados'!$A$5,IF(O1800&lt;20,1,IF(O1800&gt;1000,10,MATCH(O1800,Cargas,1))),Coluna_fih,1,1))*(1+0.13*0.25)*(PI()*(fi_h/1000)^2/4)*SQRT(2*9.81*(O1800/100-fi_h/2/1000))*1000)),"",IF(O1800&lt;fi_h/20,0,(OFFSET('Base de dados'!$A$5,IF(O1800&lt;20,1,IF(O1800&gt;1000,10,MATCH(O1800,Cargas,1))),Coluna_fih,1,1))*(PI()*(fi_h/1000)^2/4)*SQRT(2*9.81*(O1800/100-fi_h/2/1000))*1000))</f>
        <v>5.6656594946336218</v>
      </c>
      <c r="Q1800" s="38">
        <f ca="1">IF(O1800="","",IF(Tipo_Vertedor="Retangular",IF(O1800&lt;=cota_s*100,0,IF(Tipo_Vertedor="Retangular",Cd_sr*Lef_sr*((O1800/100-cota_s)^(3/2))*1000)),IF(O1800&lt;=cota_s*100+fi_s/20,0,(OFFSET('Base de dados'!$A$4,IF(O1800&lt;20,1,IF(O1800&gt;1000,10,MATCH(O1800,Cargas,1))),Coluna_fis,1,1))*(PI()*(fi_s/1000)^2/4)*(2*9.81*(O1800/100-cota_s-fi_s/2/1000))^0.5*1000)))</f>
        <v>4.8478213994387112</v>
      </c>
      <c r="R1800" s="38">
        <f t="shared" ca="1" si="225"/>
        <v>10.513480894072334</v>
      </c>
      <c r="S1800" s="38">
        <f t="shared" ca="1" si="226"/>
        <v>562.18749999999989</v>
      </c>
    </row>
    <row r="1801" spans="13:19">
      <c r="M1801" s="132">
        <f t="shared" ca="1" si="223"/>
        <v>573.01690872635811</v>
      </c>
      <c r="N1801" s="38">
        <f t="shared" si="224"/>
        <v>16.875</v>
      </c>
      <c r="O1801" s="36">
        <f t="shared" si="222"/>
        <v>450</v>
      </c>
      <c r="P1801" s="38">
        <f ca="1">IF(ISERROR(IF(O1801&lt;fi_h/20,0,(OFFSET('Base de dados'!$A$5,IF(O1801&lt;20,1,IF(O1801&gt;1000,10,MATCH(O1801,Cargas,1))),Coluna_fih,1,1))*(1+0.13*0.25)*(PI()*(fi_h/1000)^2/4)*SQRT(2*9.81*(O1801/100-fi_h/2/1000))*1000)),"",IF(O1801&lt;fi_h/20,0,(OFFSET('Base de dados'!$A$5,IF(O1801&lt;20,1,IF(O1801&gt;1000,10,MATCH(O1801,Cargas,1))),Coluna_fih,1,1))*(PI()*(fi_h/1000)^2/4)*SQRT(2*9.81*(O1801/100-fi_h/2/1000))*1000))</f>
        <v>5.6672401296052106</v>
      </c>
      <c r="Q1801" s="38">
        <f ca="1">IF(O1801="","",IF(Tipo_Vertedor="Retangular",IF(O1801&lt;=cota_s*100,0,IF(Tipo_Vertedor="Retangular",Cd_sr*Lef_sr*((O1801/100-cota_s)^(3/2))*1000)),IF(O1801&lt;=cota_s*100+fi_s/20,0,(OFFSET('Base de dados'!$A$4,IF(O1801&lt;20,1,IF(O1801&gt;1000,10,MATCH(O1801,Cargas,1))),Coluna_fis,1,1))*(PI()*(fi_s/1000)^2/4)*(2*9.81*(O1801/100-cota_s-fi_s/2/1000))^0.5*1000)))</f>
        <v>4.8496685967529256</v>
      </c>
      <c r="R1801" s="38">
        <f t="shared" ca="1" si="225"/>
        <v>10.516908726358135</v>
      </c>
      <c r="S1801" s="38">
        <f t="shared" ca="1" si="226"/>
        <v>562.5</v>
      </c>
    </row>
    <row r="1802" spans="13:19">
      <c r="M1802" s="132">
        <f t="shared" ca="1" si="223"/>
        <v>573.33283541460241</v>
      </c>
      <c r="N1802" s="38">
        <f t="shared" si="224"/>
        <v>16.884375000000002</v>
      </c>
      <c r="O1802" s="36">
        <f t="shared" si="222"/>
        <v>450.25</v>
      </c>
      <c r="P1802" s="38">
        <f ca="1">IF(ISERROR(IF(O1802&lt;fi_h/20,0,(OFFSET('Base de dados'!$A$5,IF(O1802&lt;20,1,IF(O1802&gt;1000,10,MATCH(O1802,Cargas,1))),Coluna_fih,1,1))*(1+0.13*0.25)*(PI()*(fi_h/1000)^2/4)*SQRT(2*9.81*(O1802/100-fi_h/2/1000))*1000)),"",IF(O1802&lt;fi_h/20,0,(OFFSET('Base de dados'!$A$5,IF(O1802&lt;20,1,IF(O1802&gt;1000,10,MATCH(O1802,Cargas,1))),Coluna_fih,1,1))*(PI()*(fi_h/1000)^2/4)*SQRT(2*9.81*(O1802/100-fi_h/2/1000))*1000))</f>
        <v>5.6688203238489807</v>
      </c>
      <c r="Q1802" s="38">
        <f ca="1">IF(O1802="","",IF(Tipo_Vertedor="Retangular",IF(O1802&lt;=cota_s*100,0,IF(Tipo_Vertedor="Retangular",Cd_sr*Lef_sr*((O1802/100-cota_s)^(3/2))*1000)),IF(O1802&lt;=cota_s*100+fi_s/20,0,(OFFSET('Base de dados'!$A$4,IF(O1802&lt;20,1,IF(O1802&gt;1000,10,MATCH(O1802,Cargas,1))),Coluna_fis,1,1))*(PI()*(fi_s/1000)^2/4)*(2*9.81*(O1802/100-cota_s-fi_s/2/1000))^0.5*1000)))</f>
        <v>4.8515150907533062</v>
      </c>
      <c r="R1802" s="38">
        <f t="shared" ca="1" si="225"/>
        <v>10.520335414602286</v>
      </c>
      <c r="S1802" s="38">
        <f t="shared" ca="1" si="226"/>
        <v>562.81250000000011</v>
      </c>
    </row>
    <row r="1803" spans="13:19">
      <c r="M1803" s="132">
        <f t="shared" ca="1" si="223"/>
        <v>573.64876095997602</v>
      </c>
      <c r="N1803" s="38">
        <f t="shared" si="224"/>
        <v>16.893750000000001</v>
      </c>
      <c r="O1803" s="36">
        <f t="shared" si="222"/>
        <v>450.5</v>
      </c>
      <c r="P1803" s="38">
        <f ca="1">IF(ISERROR(IF(O1803&lt;fi_h/20,0,(OFFSET('Base de dados'!$A$5,IF(O1803&lt;20,1,IF(O1803&gt;1000,10,MATCH(O1803,Cargas,1))),Coluna_fih,1,1))*(1+0.13*0.25)*(PI()*(fi_h/1000)^2/4)*SQRT(2*9.81*(O1803/100-fi_h/2/1000))*1000)),"",IF(O1803&lt;fi_h/20,0,(OFFSET('Base de dados'!$A$5,IF(O1803&lt;20,1,IF(O1803&gt;1000,10,MATCH(O1803,Cargas,1))),Coluna_fih,1,1))*(PI()*(fi_h/1000)^2/4)*SQRT(2*9.81*(O1803/100-fi_h/2/1000))*1000))</f>
        <v>5.6704000777333903</v>
      </c>
      <c r="Q1803" s="38">
        <f ca="1">IF(O1803="","",IF(Tipo_Vertedor="Retangular",IF(O1803&lt;=cota_s*100,0,IF(Tipo_Vertedor="Retangular",Cd_sr*Lef_sr*((O1803/100-cota_s)^(3/2))*1000)),IF(O1803&lt;=cota_s*100+fi_s/20,0,(OFFSET('Base de dados'!$A$4,IF(O1803&lt;20,1,IF(O1803&gt;1000,10,MATCH(O1803,Cargas,1))),Coluna_fis,1,1))*(PI()*(fi_s/1000)^2/4)*(2*9.81*(O1803/100-cota_s-fi_s/2/1000))^0.5*1000)))</f>
        <v>4.8533608822425967</v>
      </c>
      <c r="R1803" s="38">
        <f t="shared" ca="1" si="225"/>
        <v>10.523760959975988</v>
      </c>
      <c r="S1803" s="38">
        <f t="shared" ca="1" si="226"/>
        <v>563.125</v>
      </c>
    </row>
    <row r="1804" spans="13:19">
      <c r="M1804" s="132">
        <f t="shared" ca="1" si="223"/>
        <v>573.96468536364853</v>
      </c>
      <c r="N1804" s="38">
        <f t="shared" si="224"/>
        <v>16.903125000000003</v>
      </c>
      <c r="O1804" s="36">
        <f t="shared" si="222"/>
        <v>450.75</v>
      </c>
      <c r="P1804" s="38">
        <f ca="1">IF(ISERROR(IF(O1804&lt;fi_h/20,0,(OFFSET('Base de dados'!$A$5,IF(O1804&lt;20,1,IF(O1804&gt;1000,10,MATCH(O1804,Cargas,1))),Coluna_fih,1,1))*(1+0.13*0.25)*(PI()*(fi_h/1000)^2/4)*SQRT(2*9.81*(O1804/100-fi_h/2/1000))*1000)),"",IF(O1804&lt;fi_h/20,0,(OFFSET('Base de dados'!$A$5,IF(O1804&lt;20,1,IF(O1804&gt;1000,10,MATCH(O1804,Cargas,1))),Coluna_fih,1,1))*(PI()*(fi_h/1000)^2/4)*SQRT(2*9.81*(O1804/100-fi_h/2/1000))*1000))</f>
        <v>5.6719793916263841</v>
      </c>
      <c r="Q1804" s="38">
        <f ca="1">IF(O1804="","",IF(Tipo_Vertedor="Retangular",IF(O1804&lt;=cota_s*100,0,IF(Tipo_Vertedor="Retangular",Cd_sr*Lef_sr*((O1804/100-cota_s)^(3/2))*1000)),IF(O1804&lt;=cota_s*100+fi_s/20,0,(OFFSET('Base de dados'!$A$4,IF(O1804&lt;20,1,IF(O1804&gt;1000,10,MATCH(O1804,Cargas,1))),Coluna_fis,1,1))*(PI()*(fi_s/1000)^2/4)*(2*9.81*(O1804/100-cota_s-fi_s/2/1000))^0.5*1000)))</f>
        <v>4.8552059720220129</v>
      </c>
      <c r="R1804" s="38">
        <f t="shared" ca="1" si="225"/>
        <v>10.527185363648396</v>
      </c>
      <c r="S1804" s="38">
        <f t="shared" ca="1" si="226"/>
        <v>563.43750000000011</v>
      </c>
    </row>
    <row r="1805" spans="13:19">
      <c r="M1805" s="132">
        <f t="shared" ca="1" si="223"/>
        <v>574.28060862678649</v>
      </c>
      <c r="N1805" s="38">
        <f t="shared" si="224"/>
        <v>16.912499999999998</v>
      </c>
      <c r="O1805" s="36">
        <f t="shared" si="222"/>
        <v>451</v>
      </c>
      <c r="P1805" s="38">
        <f ca="1">IF(ISERROR(IF(O1805&lt;fi_h/20,0,(OFFSET('Base de dados'!$A$5,IF(O1805&lt;20,1,IF(O1805&gt;1000,10,MATCH(O1805,Cargas,1))),Coluna_fih,1,1))*(1+0.13*0.25)*(PI()*(fi_h/1000)^2/4)*SQRT(2*9.81*(O1805/100-fi_h/2/1000))*1000)),"",IF(O1805&lt;fi_h/20,0,(OFFSET('Base de dados'!$A$5,IF(O1805&lt;20,1,IF(O1805&gt;1000,10,MATCH(O1805,Cargas,1))),Coluna_fih,1,1))*(PI()*(fi_h/1000)^2/4)*SQRT(2*9.81*(O1805/100-fi_h/2/1000))*1000))</f>
        <v>5.6735582658953962</v>
      </c>
      <c r="Q1805" s="38">
        <f ca="1">IF(O1805="","",IF(Tipo_Vertedor="Retangular",IF(O1805&lt;=cota_s*100,0,IF(Tipo_Vertedor="Retangular",Cd_sr*Lef_sr*((O1805/100-cota_s)^(3/2))*1000)),IF(O1805&lt;=cota_s*100+fi_s/20,0,(OFFSET('Base de dados'!$A$4,IF(O1805&lt;20,1,IF(O1805&gt;1000,10,MATCH(O1805,Cargas,1))),Coluna_fis,1,1))*(PI()*(fi_s/1000)^2/4)*(2*9.81*(O1805/100-cota_s-fi_s/2/1000))^0.5*1000)))</f>
        <v>4.8570503608912459</v>
      </c>
      <c r="R1805" s="38">
        <f t="shared" ca="1" si="225"/>
        <v>10.530608626786641</v>
      </c>
      <c r="S1805" s="38">
        <f t="shared" ca="1" si="226"/>
        <v>563.74999999999989</v>
      </c>
    </row>
    <row r="1806" spans="13:19">
      <c r="M1806" s="132">
        <f t="shared" ca="1" si="223"/>
        <v>574.59653075055587</v>
      </c>
      <c r="N1806" s="38">
        <f t="shared" si="224"/>
        <v>16.921875</v>
      </c>
      <c r="O1806" s="36">
        <f t="shared" si="222"/>
        <v>451.25</v>
      </c>
      <c r="P1806" s="38">
        <f ca="1">IF(ISERROR(IF(O1806&lt;fi_h/20,0,(OFFSET('Base de dados'!$A$5,IF(O1806&lt;20,1,IF(O1806&gt;1000,10,MATCH(O1806,Cargas,1))),Coluna_fih,1,1))*(1+0.13*0.25)*(PI()*(fi_h/1000)^2/4)*SQRT(2*9.81*(O1806/100-fi_h/2/1000))*1000)),"",IF(O1806&lt;fi_h/20,0,(OFFSET('Base de dados'!$A$5,IF(O1806&lt;20,1,IF(O1806&gt;1000,10,MATCH(O1806,Cargas,1))),Coluna_fih,1,1))*(PI()*(fi_h/1000)^2/4)*SQRT(2*9.81*(O1806/100-fi_h/2/1000))*1000))</f>
        <v>5.6751367009073501</v>
      </c>
      <c r="Q1806" s="38">
        <f ca="1">IF(O1806="","",IF(Tipo_Vertedor="Retangular",IF(O1806&lt;=cota_s*100,0,IF(Tipo_Vertedor="Retangular",Cd_sr*Lef_sr*((O1806/100-cota_s)^(3/2))*1000)),IF(O1806&lt;=cota_s*100+fi_s/20,0,(OFFSET('Base de dados'!$A$4,IF(O1806&lt;20,1,IF(O1806&gt;1000,10,MATCH(O1806,Cargas,1))),Coluna_fis,1,1))*(PI()*(fi_s/1000)^2/4)*(2*9.81*(O1806/100-cota_s-fi_s/2/1000))^0.5*1000)))</f>
        <v>4.8588940496484749</v>
      </c>
      <c r="R1806" s="38">
        <f t="shared" ca="1" si="225"/>
        <v>10.534030750555825</v>
      </c>
      <c r="S1806" s="38">
        <f t="shared" ca="1" si="226"/>
        <v>564.0625</v>
      </c>
    </row>
    <row r="1807" spans="13:19">
      <c r="M1807" s="132">
        <f t="shared" ca="1" si="223"/>
        <v>574.91245173611901</v>
      </c>
      <c r="N1807" s="38">
        <f t="shared" si="224"/>
        <v>16.931249999999999</v>
      </c>
      <c r="O1807" s="36">
        <f t="shared" si="222"/>
        <v>451.5</v>
      </c>
      <c r="P1807" s="38">
        <f ca="1">IF(ISERROR(IF(O1807&lt;fi_h/20,0,(OFFSET('Base de dados'!$A$5,IF(O1807&lt;20,1,IF(O1807&gt;1000,10,MATCH(O1807,Cargas,1))),Coluna_fih,1,1))*(1+0.13*0.25)*(PI()*(fi_h/1000)^2/4)*SQRT(2*9.81*(O1807/100-fi_h/2/1000))*1000)),"",IF(O1807&lt;fi_h/20,0,(OFFSET('Base de dados'!$A$5,IF(O1807&lt;20,1,IF(O1807&gt;1000,10,MATCH(O1807,Cargas,1))),Coluna_fih,1,1))*(PI()*(fi_h/1000)^2/4)*SQRT(2*9.81*(O1807/100-fi_h/2/1000))*1000))</f>
        <v>5.6767146970286557</v>
      </c>
      <c r="Q1807" s="38">
        <f ca="1">IF(O1807="","",IF(Tipo_Vertedor="Retangular",IF(O1807&lt;=cota_s*100,0,IF(Tipo_Vertedor="Retangular",Cd_sr*Lef_sr*((O1807/100-cota_s)^(3/2))*1000)),IF(O1807&lt;=cota_s*100+fi_s/20,0,(OFFSET('Base de dados'!$A$4,IF(O1807&lt;20,1,IF(O1807&gt;1000,10,MATCH(O1807,Cargas,1))),Coluna_fis,1,1))*(PI()*(fi_s/1000)^2/4)*(2*9.81*(O1807/100-cota_s-fi_s/2/1000))^0.5*1000)))</f>
        <v>4.8607370390903615</v>
      </c>
      <c r="R1807" s="38">
        <f t="shared" ca="1" si="225"/>
        <v>10.537451736119017</v>
      </c>
      <c r="S1807" s="38">
        <f t="shared" ca="1" si="226"/>
        <v>564.375</v>
      </c>
    </row>
    <row r="1808" spans="13:19">
      <c r="M1808" s="132">
        <f t="shared" ca="1" si="223"/>
        <v>575.22837158463722</v>
      </c>
      <c r="N1808" s="38">
        <f t="shared" si="224"/>
        <v>16.940625000000001</v>
      </c>
      <c r="O1808" s="36">
        <f t="shared" si="222"/>
        <v>451.75</v>
      </c>
      <c r="P1808" s="38">
        <f ca="1">IF(ISERROR(IF(O1808&lt;fi_h/20,0,(OFFSET('Base de dados'!$A$5,IF(O1808&lt;20,1,IF(O1808&gt;1000,10,MATCH(O1808,Cargas,1))),Coluna_fih,1,1))*(1+0.13*0.25)*(PI()*(fi_h/1000)^2/4)*SQRT(2*9.81*(O1808/100-fi_h/2/1000))*1000)),"",IF(O1808&lt;fi_h/20,0,(OFFSET('Base de dados'!$A$5,IF(O1808&lt;20,1,IF(O1808&gt;1000,10,MATCH(O1808,Cargas,1))),Coluna_fih,1,1))*(PI()*(fi_h/1000)^2/4)*SQRT(2*9.81*(O1808/100-fi_h/2/1000))*1000))</f>
        <v>5.6782922546252159</v>
      </c>
      <c r="Q1808" s="38">
        <f ca="1">IF(O1808="","",IF(Tipo_Vertedor="Retangular",IF(O1808&lt;=cota_s*100,0,IF(Tipo_Vertedor="Retangular",Cd_sr*Lef_sr*((O1808/100-cota_s)^(3/2))*1000)),IF(O1808&lt;=cota_s*100+fi_s/20,0,(OFFSET('Base de dados'!$A$4,IF(O1808&lt;20,1,IF(O1808&gt;1000,10,MATCH(O1808,Cargas,1))),Coluna_fis,1,1))*(PI()*(fi_s/1000)^2/4)*(2*9.81*(O1808/100-cota_s-fi_s/2/1000))^0.5*1000)))</f>
        <v>4.8625793300120579</v>
      </c>
      <c r="R1808" s="38">
        <f t="shared" ca="1" si="225"/>
        <v>10.540871584637273</v>
      </c>
      <c r="S1808" s="38">
        <f t="shared" ca="1" si="226"/>
        <v>564.6875</v>
      </c>
    </row>
    <row r="1809" spans="13:19">
      <c r="M1809" s="132">
        <f t="shared" ca="1" si="223"/>
        <v>575.54429029726964</v>
      </c>
      <c r="N1809" s="38">
        <f t="shared" si="224"/>
        <v>16.95</v>
      </c>
      <c r="O1809" s="36">
        <f t="shared" si="222"/>
        <v>452</v>
      </c>
      <c r="P1809" s="38">
        <f ca="1">IF(ISERROR(IF(O1809&lt;fi_h/20,0,(OFFSET('Base de dados'!$A$5,IF(O1809&lt;20,1,IF(O1809&gt;1000,10,MATCH(O1809,Cargas,1))),Coluna_fih,1,1))*(1+0.13*0.25)*(PI()*(fi_h/1000)^2/4)*SQRT(2*9.81*(O1809/100-fi_h/2/1000))*1000)),"",IF(O1809&lt;fi_h/20,0,(OFFSET('Base de dados'!$A$5,IF(O1809&lt;20,1,IF(O1809&gt;1000,10,MATCH(O1809,Cargas,1))),Coluna_fih,1,1))*(PI()*(fi_h/1000)^2/4)*SQRT(2*9.81*(O1809/100-fi_h/2/1000))*1000))</f>
        <v>5.6798693740624246</v>
      </c>
      <c r="Q1809" s="38">
        <f ca="1">IF(O1809="","",IF(Tipo_Vertedor="Retangular",IF(O1809&lt;=cota_s*100,0,IF(Tipo_Vertedor="Retangular",Cd_sr*Lef_sr*((O1809/100-cota_s)^(3/2))*1000)),IF(O1809&lt;=cota_s*100+fi_s/20,0,(OFFSET('Base de dados'!$A$4,IF(O1809&lt;20,1,IF(O1809&gt;1000,10,MATCH(O1809,Cargas,1))),Coluna_fis,1,1))*(PI()*(fi_s/1000)^2/4)*(2*9.81*(O1809/100-cota_s-fi_s/2/1000))^0.5*1000)))</f>
        <v>4.8644209232072102</v>
      </c>
      <c r="R1809" s="38">
        <f t="shared" ca="1" si="225"/>
        <v>10.544290297269635</v>
      </c>
      <c r="S1809" s="38">
        <f t="shared" ca="1" si="226"/>
        <v>565</v>
      </c>
    </row>
    <row r="1810" spans="13:19">
      <c r="M1810" s="132">
        <f t="shared" ca="1" si="223"/>
        <v>575.86020787517316</v>
      </c>
      <c r="N1810" s="38">
        <f t="shared" si="224"/>
        <v>16.959375000000001</v>
      </c>
      <c r="O1810" s="36">
        <f t="shared" si="222"/>
        <v>452.25</v>
      </c>
      <c r="P1810" s="38">
        <f ca="1">IF(ISERROR(IF(O1810&lt;fi_h/20,0,(OFFSET('Base de dados'!$A$5,IF(O1810&lt;20,1,IF(O1810&gt;1000,10,MATCH(O1810,Cargas,1))),Coluna_fih,1,1))*(1+0.13*0.25)*(PI()*(fi_h/1000)^2/4)*SQRT(2*9.81*(O1810/100-fi_h/2/1000))*1000)),"",IF(O1810&lt;fi_h/20,0,(OFFSET('Base de dados'!$A$5,IF(O1810&lt;20,1,IF(O1810&gt;1000,10,MATCH(O1810,Cargas,1))),Coluna_fih,1,1))*(PI()*(fi_h/1000)^2/4)*SQRT(2*9.81*(O1810/100-fi_h/2/1000))*1000))</f>
        <v>5.6814460557051722</v>
      </c>
      <c r="Q1810" s="38">
        <f ca="1">IF(O1810="","",IF(Tipo_Vertedor="Retangular",IF(O1810&lt;=cota_s*100,0,IF(Tipo_Vertedor="Retangular",Cd_sr*Lef_sr*((O1810/100-cota_s)^(3/2))*1000)),IF(O1810&lt;=cota_s*100+fi_s/20,0,(OFFSET('Base de dados'!$A$4,IF(O1810&lt;20,1,IF(O1810&gt;1000,10,MATCH(O1810,Cargas,1))),Coluna_fis,1,1))*(PI()*(fi_s/1000)^2/4)*(2*9.81*(O1810/100-cota_s-fi_s/2/1000))^0.5*1000)))</f>
        <v>4.8662618194679652</v>
      </c>
      <c r="R1810" s="38">
        <f t="shared" ca="1" si="225"/>
        <v>10.547707875173138</v>
      </c>
      <c r="S1810" s="38">
        <f t="shared" ca="1" si="226"/>
        <v>565.3125</v>
      </c>
    </row>
    <row r="1811" spans="13:19">
      <c r="M1811" s="132">
        <f t="shared" ca="1" si="223"/>
        <v>576.17612431950283</v>
      </c>
      <c r="N1811" s="38">
        <f t="shared" si="224"/>
        <v>16.96875</v>
      </c>
      <c r="O1811" s="36">
        <f t="shared" ref="O1811:O1874" si="227">IF(ISERROR(IF(O1810+passo_altura&gt;h_max_puls*100,"",O1810+passo_altura)),"",IF(O1810+passo_altura&gt;h_max_puls*100,"",O1810+passo_altura))</f>
        <v>452.5</v>
      </c>
      <c r="P1811" s="38">
        <f ca="1">IF(ISERROR(IF(O1811&lt;fi_h/20,0,(OFFSET('Base de dados'!$A$5,IF(O1811&lt;20,1,IF(O1811&gt;1000,10,MATCH(O1811,Cargas,1))),Coluna_fih,1,1))*(1+0.13*0.25)*(PI()*(fi_h/1000)^2/4)*SQRT(2*9.81*(O1811/100-fi_h/2/1000))*1000)),"",IF(O1811&lt;fi_h/20,0,(OFFSET('Base de dados'!$A$5,IF(O1811&lt;20,1,IF(O1811&gt;1000,10,MATCH(O1811,Cargas,1))),Coluna_fih,1,1))*(PI()*(fi_h/1000)^2/4)*SQRT(2*9.81*(O1811/100-fi_h/2/1000))*1000))</f>
        <v>5.6830222999178392</v>
      </c>
      <c r="Q1811" s="38">
        <f ca="1">IF(O1811="","",IF(Tipo_Vertedor="Retangular",IF(O1811&lt;=cota_s*100,0,IF(Tipo_Vertedor="Retangular",Cd_sr*Lef_sr*((O1811/100-cota_s)^(3/2))*1000)),IF(O1811&lt;=cota_s*100+fi_s/20,0,(OFFSET('Base de dados'!$A$4,IF(O1811&lt;20,1,IF(O1811&gt;1000,10,MATCH(O1811,Cargas,1))),Coluna_fis,1,1))*(PI()*(fi_s/1000)^2/4)*(2*9.81*(O1811/100-cota_s-fi_s/2/1000))^0.5*1000)))</f>
        <v>4.8681020195849669</v>
      </c>
      <c r="R1811" s="38">
        <f t="shared" ca="1" si="225"/>
        <v>10.551124319502806</v>
      </c>
      <c r="S1811" s="38">
        <f t="shared" ca="1" si="226"/>
        <v>565.625</v>
      </c>
    </row>
    <row r="1812" spans="13:19">
      <c r="M1812" s="132">
        <f t="shared" ca="1" si="223"/>
        <v>576.49203963141167</v>
      </c>
      <c r="N1812" s="38">
        <f t="shared" si="224"/>
        <v>16.978124999999999</v>
      </c>
      <c r="O1812" s="36">
        <f t="shared" si="227"/>
        <v>452.75</v>
      </c>
      <c r="P1812" s="38">
        <f ca="1">IF(ISERROR(IF(O1812&lt;fi_h/20,0,(OFFSET('Base de dados'!$A$5,IF(O1812&lt;20,1,IF(O1812&gt;1000,10,MATCH(O1812,Cargas,1))),Coluna_fih,1,1))*(1+0.13*0.25)*(PI()*(fi_h/1000)^2/4)*SQRT(2*9.81*(O1812/100-fi_h/2/1000))*1000)),"",IF(O1812&lt;fi_h/20,0,(OFFSET('Base de dados'!$A$5,IF(O1812&lt;20,1,IF(O1812&gt;1000,10,MATCH(O1812,Cargas,1))),Coluna_fih,1,1))*(PI()*(fi_h/1000)^2/4)*SQRT(2*9.81*(O1812/100-fi_h/2/1000))*1000))</f>
        <v>5.684598107064299</v>
      </c>
      <c r="Q1812" s="38">
        <f ca="1">IF(O1812="","",IF(Tipo_Vertedor="Retangular",IF(O1812&lt;=cota_s*100,0,IF(Tipo_Vertedor="Retangular",Cd_sr*Lef_sr*((O1812/100-cota_s)^(3/2))*1000)),IF(O1812&lt;=cota_s*100+fi_s/20,0,(OFFSET('Base de dados'!$A$4,IF(O1812&lt;20,1,IF(O1812&gt;1000,10,MATCH(O1812,Cargas,1))),Coluna_fis,1,1))*(PI()*(fi_s/1000)^2/4)*(2*9.81*(O1812/100-cota_s-fi_s/2/1000))^0.5*1000)))</f>
        <v>4.8699415243473725</v>
      </c>
      <c r="R1812" s="38">
        <f t="shared" ca="1" si="225"/>
        <v>10.554539631411672</v>
      </c>
      <c r="S1812" s="38">
        <f t="shared" ca="1" si="226"/>
        <v>565.9375</v>
      </c>
    </row>
    <row r="1813" spans="13:19">
      <c r="M1813" s="132">
        <f t="shared" ca="1" si="223"/>
        <v>576.80795381205076</v>
      </c>
      <c r="N1813" s="38">
        <f t="shared" si="224"/>
        <v>16.987500000000001</v>
      </c>
      <c r="O1813" s="36">
        <f t="shared" si="227"/>
        <v>453</v>
      </c>
      <c r="P1813" s="38">
        <f ca="1">IF(ISERROR(IF(O1813&lt;fi_h/20,0,(OFFSET('Base de dados'!$A$5,IF(O1813&lt;20,1,IF(O1813&gt;1000,10,MATCH(O1813,Cargas,1))),Coluna_fih,1,1))*(1+0.13*0.25)*(PI()*(fi_h/1000)^2/4)*SQRT(2*9.81*(O1813/100-fi_h/2/1000))*1000)),"",IF(O1813&lt;fi_h/20,0,(OFFSET('Base de dados'!$A$5,IF(O1813&lt;20,1,IF(O1813&gt;1000,10,MATCH(O1813,Cargas,1))),Coluna_fih,1,1))*(PI()*(fi_h/1000)^2/4)*SQRT(2*9.81*(O1813/100-fi_h/2/1000))*1000))</f>
        <v>5.6861734775079276</v>
      </c>
      <c r="Q1813" s="38">
        <f ca="1">IF(O1813="","",IF(Tipo_Vertedor="Retangular",IF(O1813&lt;=cota_s*100,0,IF(Tipo_Vertedor="Retangular",Cd_sr*Lef_sr*((O1813/100-cota_s)^(3/2))*1000)),IF(O1813&lt;=cota_s*100+fi_s/20,0,(OFFSET('Base de dados'!$A$4,IF(O1813&lt;20,1,IF(O1813&gt;1000,10,MATCH(O1813,Cargas,1))),Coluna_fis,1,1))*(PI()*(fi_s/1000)^2/4)*(2*9.81*(O1813/100-cota_s-fi_s/2/1000))^0.5*1000)))</f>
        <v>4.8717803345428443</v>
      </c>
      <c r="R1813" s="38">
        <f t="shared" ca="1" si="225"/>
        <v>10.557953812050773</v>
      </c>
      <c r="S1813" s="38">
        <f t="shared" ca="1" si="226"/>
        <v>566.25</v>
      </c>
    </row>
    <row r="1814" spans="13:19">
      <c r="M1814" s="132">
        <f t="shared" ca="1" si="223"/>
        <v>577.12386686256912</v>
      </c>
      <c r="N1814" s="38">
        <f t="shared" si="224"/>
        <v>16.996874999999999</v>
      </c>
      <c r="O1814" s="36">
        <f t="shared" si="227"/>
        <v>453.25</v>
      </c>
      <c r="P1814" s="38">
        <f ca="1">IF(ISERROR(IF(O1814&lt;fi_h/20,0,(OFFSET('Base de dados'!$A$5,IF(O1814&lt;20,1,IF(O1814&gt;1000,10,MATCH(O1814,Cargas,1))),Coluna_fih,1,1))*(1+0.13*0.25)*(PI()*(fi_h/1000)^2/4)*SQRT(2*9.81*(O1814/100-fi_h/2/1000))*1000)),"",IF(O1814&lt;fi_h/20,0,(OFFSET('Base de dados'!$A$5,IF(O1814&lt;20,1,IF(O1814&gt;1000,10,MATCH(O1814,Cargas,1))),Coluna_fih,1,1))*(PI()*(fi_h/1000)^2/4)*SQRT(2*9.81*(O1814/100-fi_h/2/1000))*1000))</f>
        <v>5.6877484116115893</v>
      </c>
      <c r="Q1814" s="38">
        <f ca="1">IF(O1814="","",IF(Tipo_Vertedor="Retangular",IF(O1814&lt;=cota_s*100,0,IF(Tipo_Vertedor="Retangular",Cd_sr*Lef_sr*((O1814/100-cota_s)^(3/2))*1000)),IF(O1814&lt;=cota_s*100+fi_s/20,0,(OFFSET('Base de dados'!$A$4,IF(O1814&lt;20,1,IF(O1814&gt;1000,10,MATCH(O1814,Cargas,1))),Coluna_fis,1,1))*(PI()*(fi_s/1000)^2/4)*(2*9.81*(O1814/100-cota_s-fi_s/2/1000))^0.5*1000)))</f>
        <v>4.8736184509575597</v>
      </c>
      <c r="R1814" s="38">
        <f t="shared" ca="1" si="225"/>
        <v>10.561366862569148</v>
      </c>
      <c r="S1814" s="38">
        <f t="shared" ca="1" si="226"/>
        <v>566.5625</v>
      </c>
    </row>
    <row r="1815" spans="13:19">
      <c r="M1815" s="132">
        <f t="shared" ref="M1815:M1878" ca="1" si="228">IF(O1815="","",2*N1815*1000/(Passo*60)+R1815)</f>
        <v>577.43977878411386</v>
      </c>
      <c r="N1815" s="38">
        <f t="shared" ref="N1815:N1878" si="229">IF(O1815="","",b_0*(O1815/100)^c_0)</f>
        <v>17.006250000000001</v>
      </c>
      <c r="O1815" s="36">
        <f t="shared" si="227"/>
        <v>453.5</v>
      </c>
      <c r="P1815" s="38">
        <f ca="1">IF(ISERROR(IF(O1815&lt;fi_h/20,0,(OFFSET('Base de dados'!$A$5,IF(O1815&lt;20,1,IF(O1815&gt;1000,10,MATCH(O1815,Cargas,1))),Coluna_fih,1,1))*(1+0.13*0.25)*(PI()*(fi_h/1000)^2/4)*SQRT(2*9.81*(O1815/100-fi_h/2/1000))*1000)),"",IF(O1815&lt;fi_h/20,0,(OFFSET('Base de dados'!$A$5,IF(O1815&lt;20,1,IF(O1815&gt;1000,10,MATCH(O1815,Cargas,1))),Coluna_fih,1,1))*(PI()*(fi_h/1000)^2/4)*SQRT(2*9.81*(O1815/100-fi_h/2/1000))*1000))</f>
        <v>5.6893229097376548</v>
      </c>
      <c r="Q1815" s="38">
        <f ca="1">IF(O1815="","",IF(Tipo_Vertedor="Retangular",IF(O1815&lt;=cota_s*100,0,IF(Tipo_Vertedor="Retangular",Cd_sr*Lef_sr*((O1815/100-cota_s)^(3/2))*1000)),IF(O1815&lt;=cota_s*100+fi_s/20,0,(OFFSET('Base de dados'!$A$4,IF(O1815&lt;20,1,IF(O1815&gt;1000,10,MATCH(O1815,Cargas,1))),Coluna_fis,1,1))*(PI()*(fi_s/1000)^2/4)*(2*9.81*(O1815/100-cota_s-fi_s/2/1000))^0.5*1000)))</f>
        <v>4.8754558743762155</v>
      </c>
      <c r="R1815" s="38">
        <f t="shared" ref="R1815:R1878" ca="1" si="230">IF(O1815="","",Q1815+P1815)</f>
        <v>10.564778784113869</v>
      </c>
      <c r="S1815" s="38">
        <f t="shared" ref="S1815:S1878" ca="1" si="231">IF(M1815="","",2*N1815*1000/(Passo*60))</f>
        <v>566.875</v>
      </c>
    </row>
    <row r="1816" spans="13:19">
      <c r="M1816" s="132">
        <f t="shared" ca="1" si="228"/>
        <v>577.75568957783003</v>
      </c>
      <c r="N1816" s="38">
        <f t="shared" si="229"/>
        <v>17.015625</v>
      </c>
      <c r="O1816" s="36">
        <f t="shared" si="227"/>
        <v>453.75</v>
      </c>
      <c r="P1816" s="38">
        <f ca="1">IF(ISERROR(IF(O1816&lt;fi_h/20,0,(OFFSET('Base de dados'!$A$5,IF(O1816&lt;20,1,IF(O1816&gt;1000,10,MATCH(O1816,Cargas,1))),Coluna_fih,1,1))*(1+0.13*0.25)*(PI()*(fi_h/1000)^2/4)*SQRT(2*9.81*(O1816/100-fi_h/2/1000))*1000)),"",IF(O1816&lt;fi_h/20,0,(OFFSET('Base de dados'!$A$5,IF(O1816&lt;20,1,IF(O1816&gt;1000,10,MATCH(O1816,Cargas,1))),Coluna_fih,1,1))*(PI()*(fi_h/1000)^2/4)*SQRT(2*9.81*(O1816/100-fi_h/2/1000))*1000))</f>
        <v>5.6908969722479865</v>
      </c>
      <c r="Q1816" s="38">
        <f ca="1">IF(O1816="","",IF(Tipo_Vertedor="Retangular",IF(O1816&lt;=cota_s*100,0,IF(Tipo_Vertedor="Retangular",Cd_sr*Lef_sr*((O1816/100-cota_s)^(3/2))*1000)),IF(O1816&lt;=cota_s*100+fi_s/20,0,(OFFSET('Base de dados'!$A$4,IF(O1816&lt;20,1,IF(O1816&gt;1000,10,MATCH(O1816,Cargas,1))),Coluna_fis,1,1))*(PI()*(fi_s/1000)^2/4)*(2*9.81*(O1816/100-cota_s-fi_s/2/1000))^0.5*1000)))</f>
        <v>4.877292605582026</v>
      </c>
      <c r="R1816" s="38">
        <f t="shared" ca="1" si="230"/>
        <v>10.568189577830012</v>
      </c>
      <c r="S1816" s="38">
        <f t="shared" ca="1" si="231"/>
        <v>567.1875</v>
      </c>
    </row>
    <row r="1817" spans="13:19">
      <c r="M1817" s="132">
        <f t="shared" ca="1" si="228"/>
        <v>578.07159924486064</v>
      </c>
      <c r="N1817" s="38">
        <f t="shared" si="229"/>
        <v>17.024999999999999</v>
      </c>
      <c r="O1817" s="36">
        <f t="shared" si="227"/>
        <v>454</v>
      </c>
      <c r="P1817" s="38">
        <f ca="1">IF(ISERROR(IF(O1817&lt;fi_h/20,0,(OFFSET('Base de dados'!$A$5,IF(O1817&lt;20,1,IF(O1817&gt;1000,10,MATCH(O1817,Cargas,1))),Coluna_fih,1,1))*(1+0.13*0.25)*(PI()*(fi_h/1000)^2/4)*SQRT(2*9.81*(O1817/100-fi_h/2/1000))*1000)),"",IF(O1817&lt;fi_h/20,0,(OFFSET('Base de dados'!$A$5,IF(O1817&lt;20,1,IF(O1817&gt;1000,10,MATCH(O1817,Cargas,1))),Coluna_fih,1,1))*(PI()*(fi_h/1000)^2/4)*SQRT(2*9.81*(O1817/100-fi_h/2/1000))*1000))</f>
        <v>5.6924705995039524</v>
      </c>
      <c r="Q1817" s="38">
        <f ca="1">IF(O1817="","",IF(Tipo_Vertedor="Retangular",IF(O1817&lt;=cota_s*100,0,IF(Tipo_Vertedor="Retangular",Cd_sr*Lef_sr*((O1817/100-cota_s)^(3/2))*1000)),IF(O1817&lt;=cota_s*100+fi_s/20,0,(OFFSET('Base de dados'!$A$4,IF(O1817&lt;20,1,IF(O1817&gt;1000,10,MATCH(O1817,Cargas,1))),Coluna_fis,1,1))*(PI()*(fi_s/1000)^2/4)*(2*9.81*(O1817/100-cota_s-fi_s/2/1000))^0.5*1000)))</f>
        <v>4.8791286453567402</v>
      </c>
      <c r="R1817" s="38">
        <f t="shared" ca="1" si="230"/>
        <v>10.571599244860693</v>
      </c>
      <c r="S1817" s="38">
        <f t="shared" ca="1" si="231"/>
        <v>567.5</v>
      </c>
    </row>
    <row r="1818" spans="13:19">
      <c r="M1818" s="132">
        <f t="shared" ca="1" si="228"/>
        <v>578.38750778634699</v>
      </c>
      <c r="N1818" s="38">
        <f t="shared" si="229"/>
        <v>17.034375000000001</v>
      </c>
      <c r="O1818" s="36">
        <f t="shared" si="227"/>
        <v>454.25</v>
      </c>
      <c r="P1818" s="38">
        <f ca="1">IF(ISERROR(IF(O1818&lt;fi_h/20,0,(OFFSET('Base de dados'!$A$5,IF(O1818&lt;20,1,IF(O1818&gt;1000,10,MATCH(O1818,Cargas,1))),Coluna_fih,1,1))*(1+0.13*0.25)*(PI()*(fi_h/1000)^2/4)*SQRT(2*9.81*(O1818/100-fi_h/2/1000))*1000)),"",IF(O1818&lt;fi_h/20,0,(OFFSET('Base de dados'!$A$5,IF(O1818&lt;20,1,IF(O1818&gt;1000,10,MATCH(O1818,Cargas,1))),Coluna_fih,1,1))*(PI()*(fi_h/1000)^2/4)*SQRT(2*9.81*(O1818/100-fi_h/2/1000))*1000))</f>
        <v>5.6940437918664157</v>
      </c>
      <c r="Q1818" s="38">
        <f ca="1">IF(O1818="","",IF(Tipo_Vertedor="Retangular",IF(O1818&lt;=cota_s*100,0,IF(Tipo_Vertedor="Retangular",Cd_sr*Lef_sr*((O1818/100-cota_s)^(3/2))*1000)),IF(O1818&lt;=cota_s*100+fi_s/20,0,(OFFSET('Base de dados'!$A$4,IF(O1818&lt;20,1,IF(O1818&gt;1000,10,MATCH(O1818,Cargas,1))),Coluna_fis,1,1))*(PI()*(fi_s/1000)^2/4)*(2*9.81*(O1818/100-cota_s-fi_s/2/1000))^0.5*1000)))</f>
        <v>4.8809639944806262</v>
      </c>
      <c r="R1818" s="38">
        <f t="shared" ca="1" si="230"/>
        <v>10.575007786347042</v>
      </c>
      <c r="S1818" s="38">
        <f t="shared" ca="1" si="231"/>
        <v>567.8125</v>
      </c>
    </row>
    <row r="1819" spans="13:19">
      <c r="M1819" s="132">
        <f t="shared" ca="1" si="228"/>
        <v>578.70341520342822</v>
      </c>
      <c r="N1819" s="38">
        <f t="shared" si="229"/>
        <v>17.043749999999999</v>
      </c>
      <c r="O1819" s="36">
        <f t="shared" si="227"/>
        <v>454.5</v>
      </c>
      <c r="P1819" s="38">
        <f ca="1">IF(ISERROR(IF(O1819&lt;fi_h/20,0,(OFFSET('Base de dados'!$A$5,IF(O1819&lt;20,1,IF(O1819&gt;1000,10,MATCH(O1819,Cargas,1))),Coluna_fih,1,1))*(1+0.13*0.25)*(PI()*(fi_h/1000)^2/4)*SQRT(2*9.81*(O1819/100-fi_h/2/1000))*1000)),"",IF(O1819&lt;fi_h/20,0,(OFFSET('Base de dados'!$A$5,IF(O1819&lt;20,1,IF(O1819&gt;1000,10,MATCH(O1819,Cargas,1))),Coluna_fih,1,1))*(PI()*(fi_h/1000)^2/4)*SQRT(2*9.81*(O1819/100-fi_h/2/1000))*1000))</f>
        <v>5.6956165496957425</v>
      </c>
      <c r="Q1819" s="38">
        <f ca="1">IF(O1819="","",IF(Tipo_Vertedor="Retangular",IF(O1819&lt;=cota_s*100,0,IF(Tipo_Vertedor="Retangular",Cd_sr*Lef_sr*((O1819/100-cota_s)^(3/2))*1000)),IF(O1819&lt;=cota_s*100+fi_s/20,0,(OFFSET('Base de dados'!$A$4,IF(O1819&lt;20,1,IF(O1819&gt;1000,10,MATCH(O1819,Cargas,1))),Coluna_fis,1,1))*(PI()*(fi_s/1000)^2/4)*(2*9.81*(O1819/100-cota_s-fi_s/2/1000))^0.5*1000)))</f>
        <v>4.8827986537324923</v>
      </c>
      <c r="R1819" s="38">
        <f t="shared" ca="1" si="230"/>
        <v>10.578415203428236</v>
      </c>
      <c r="S1819" s="38">
        <f t="shared" ca="1" si="231"/>
        <v>568.125</v>
      </c>
    </row>
    <row r="1820" spans="13:19">
      <c r="M1820" s="132">
        <f t="shared" ca="1" si="228"/>
        <v>579.01932149724144</v>
      </c>
      <c r="N1820" s="38">
        <f t="shared" si="229"/>
        <v>17.053125000000001</v>
      </c>
      <c r="O1820" s="36">
        <f t="shared" si="227"/>
        <v>454.75</v>
      </c>
      <c r="P1820" s="38">
        <f ca="1">IF(ISERROR(IF(O1820&lt;fi_h/20,0,(OFFSET('Base de dados'!$A$5,IF(O1820&lt;20,1,IF(O1820&gt;1000,10,MATCH(O1820,Cargas,1))),Coluna_fih,1,1))*(1+0.13*0.25)*(PI()*(fi_h/1000)^2/4)*SQRT(2*9.81*(O1820/100-fi_h/2/1000))*1000)),"",IF(O1820&lt;fi_h/20,0,(OFFSET('Base de dados'!$A$5,IF(O1820&lt;20,1,IF(O1820&gt;1000,10,MATCH(O1820,Cargas,1))),Coluna_fih,1,1))*(PI()*(fi_h/1000)^2/4)*SQRT(2*9.81*(O1820/100-fi_h/2/1000))*1000))</f>
        <v>5.6971888733518057</v>
      </c>
      <c r="Q1820" s="38">
        <f ca="1">IF(O1820="","",IF(Tipo_Vertedor="Retangular",IF(O1820&lt;=cota_s*100,0,IF(Tipo_Vertedor="Retangular",Cd_sr*Lef_sr*((O1820/100-cota_s)^(3/2))*1000)),IF(O1820&lt;=cota_s*100+fi_s/20,0,(OFFSET('Base de dados'!$A$4,IF(O1820&lt;20,1,IF(O1820&gt;1000,10,MATCH(O1820,Cargas,1))),Coluna_fis,1,1))*(PI()*(fi_s/1000)^2/4)*(2*9.81*(O1820/100-cota_s-fi_s/2/1000))^0.5*1000)))</f>
        <v>4.8846326238896847</v>
      </c>
      <c r="R1820" s="38">
        <f t="shared" ca="1" si="230"/>
        <v>10.58182149724149</v>
      </c>
      <c r="S1820" s="38">
        <f t="shared" ca="1" si="231"/>
        <v>568.4375</v>
      </c>
    </row>
    <row r="1821" spans="13:19">
      <c r="M1821" s="132">
        <f t="shared" ca="1" si="228"/>
        <v>579.33522666892202</v>
      </c>
      <c r="N1821" s="38">
        <f t="shared" si="229"/>
        <v>17.0625</v>
      </c>
      <c r="O1821" s="36">
        <f t="shared" si="227"/>
        <v>455</v>
      </c>
      <c r="P1821" s="38">
        <f ca="1">IF(ISERROR(IF(O1821&lt;fi_h/20,0,(OFFSET('Base de dados'!$A$5,IF(O1821&lt;20,1,IF(O1821&gt;1000,10,MATCH(O1821,Cargas,1))),Coluna_fih,1,1))*(1+0.13*0.25)*(PI()*(fi_h/1000)^2/4)*SQRT(2*9.81*(O1821/100-fi_h/2/1000))*1000)),"",IF(O1821&lt;fi_h/20,0,(OFFSET('Base de dados'!$A$5,IF(O1821&lt;20,1,IF(O1821&gt;1000,10,MATCH(O1821,Cargas,1))),Coluna_fih,1,1))*(PI()*(fi_h/1000)^2/4)*SQRT(2*9.81*(O1821/100-fi_h/2/1000))*1000))</f>
        <v>5.6987607631939765</v>
      </c>
      <c r="Q1821" s="38">
        <f ca="1">IF(O1821="","",IF(Tipo_Vertedor="Retangular",IF(O1821&lt;=cota_s*100,0,IF(Tipo_Vertedor="Retangular",Cd_sr*Lef_sr*((O1821/100-cota_s)^(3/2))*1000)),IF(O1821&lt;=cota_s*100+fi_s/20,0,(OFFSET('Base de dados'!$A$4,IF(O1821&lt;20,1,IF(O1821&gt;1000,10,MATCH(O1821,Cargas,1))),Coluna_fis,1,1))*(PI()*(fi_s/1000)^2/4)*(2*9.81*(O1821/100-cota_s-fi_s/2/1000))^0.5*1000)))</f>
        <v>4.8864659057280839</v>
      </c>
      <c r="R1821" s="38">
        <f t="shared" ca="1" si="230"/>
        <v>10.585226668922061</v>
      </c>
      <c r="S1821" s="38">
        <f t="shared" ca="1" si="231"/>
        <v>568.75</v>
      </c>
    </row>
    <row r="1822" spans="13:19">
      <c r="M1822" s="132">
        <f t="shared" ca="1" si="228"/>
        <v>579.65113071960343</v>
      </c>
      <c r="N1822" s="38">
        <f t="shared" si="229"/>
        <v>17.071875000000002</v>
      </c>
      <c r="O1822" s="36">
        <f t="shared" si="227"/>
        <v>455.25</v>
      </c>
      <c r="P1822" s="38">
        <f ca="1">IF(ISERROR(IF(O1822&lt;fi_h/20,0,(OFFSET('Base de dados'!$A$5,IF(O1822&lt;20,1,IF(O1822&gt;1000,10,MATCH(O1822,Cargas,1))),Coluna_fih,1,1))*(1+0.13*0.25)*(PI()*(fi_h/1000)^2/4)*SQRT(2*9.81*(O1822/100-fi_h/2/1000))*1000)),"",IF(O1822&lt;fi_h/20,0,(OFFSET('Base de dados'!$A$5,IF(O1822&lt;20,1,IF(O1822&gt;1000,10,MATCH(O1822,Cargas,1))),Coluna_fih,1,1))*(PI()*(fi_h/1000)^2/4)*SQRT(2*9.81*(O1822/100-fi_h/2/1000))*1000))</f>
        <v>5.7003322195811332</v>
      </c>
      <c r="Q1822" s="38">
        <f ca="1">IF(O1822="","",IF(Tipo_Vertedor="Retangular",IF(O1822&lt;=cota_s*100,0,IF(Tipo_Vertedor="Retangular",Cd_sr*Lef_sr*((O1822/100-cota_s)^(3/2))*1000)),IF(O1822&lt;=cota_s*100+fi_s/20,0,(OFFSET('Base de dados'!$A$4,IF(O1822&lt;20,1,IF(O1822&gt;1000,10,MATCH(O1822,Cargas,1))),Coluna_fis,1,1))*(PI()*(fi_s/1000)^2/4)*(2*9.81*(O1822/100-cota_s-fi_s/2/1000))^0.5*1000)))</f>
        <v>4.8882985000221275</v>
      </c>
      <c r="R1822" s="38">
        <f t="shared" ca="1" si="230"/>
        <v>10.588630719603261</v>
      </c>
      <c r="S1822" s="38">
        <f t="shared" ca="1" si="231"/>
        <v>569.06250000000011</v>
      </c>
    </row>
    <row r="1823" spans="13:19">
      <c r="M1823" s="132">
        <f t="shared" ca="1" si="228"/>
        <v>579.96703365041628</v>
      </c>
      <c r="N1823" s="38">
        <f t="shared" si="229"/>
        <v>17.081249999999997</v>
      </c>
      <c r="O1823" s="36">
        <f t="shared" si="227"/>
        <v>455.5</v>
      </c>
      <c r="P1823" s="38">
        <f ca="1">IF(ISERROR(IF(O1823&lt;fi_h/20,0,(OFFSET('Base de dados'!$A$5,IF(O1823&lt;20,1,IF(O1823&gt;1000,10,MATCH(O1823,Cargas,1))),Coluna_fih,1,1))*(1+0.13*0.25)*(PI()*(fi_h/1000)^2/4)*SQRT(2*9.81*(O1823/100-fi_h/2/1000))*1000)),"",IF(O1823&lt;fi_h/20,0,(OFFSET('Base de dados'!$A$5,IF(O1823&lt;20,1,IF(O1823&gt;1000,10,MATCH(O1823,Cargas,1))),Coluna_fih,1,1))*(PI()*(fi_h/1000)^2/4)*SQRT(2*9.81*(O1823/100-fi_h/2/1000))*1000))</f>
        <v>5.7019032428716585</v>
      </c>
      <c r="Q1823" s="38">
        <f ca="1">IF(O1823="","",IF(Tipo_Vertedor="Retangular",IF(O1823&lt;=cota_s*100,0,IF(Tipo_Vertedor="Retangular",Cd_sr*Lef_sr*((O1823/100-cota_s)^(3/2))*1000)),IF(O1823&lt;=cota_s*100+fi_s/20,0,(OFFSET('Base de dados'!$A$4,IF(O1823&lt;20,1,IF(O1823&gt;1000,10,MATCH(O1823,Cargas,1))),Coluna_fis,1,1))*(PI()*(fi_s/1000)^2/4)*(2*9.81*(O1823/100-cota_s-fi_s/2/1000))^0.5*1000)))</f>
        <v>4.8901304075447873</v>
      </c>
      <c r="R1823" s="38">
        <f t="shared" ca="1" si="230"/>
        <v>10.592033650416447</v>
      </c>
      <c r="S1823" s="38">
        <f t="shared" ca="1" si="231"/>
        <v>569.37499999999989</v>
      </c>
    </row>
    <row r="1824" spans="13:19">
      <c r="M1824" s="132">
        <f t="shared" ca="1" si="228"/>
        <v>580.28293546249108</v>
      </c>
      <c r="N1824" s="38">
        <f t="shared" si="229"/>
        <v>17.090624999999999</v>
      </c>
      <c r="O1824" s="36">
        <f t="shared" si="227"/>
        <v>455.75</v>
      </c>
      <c r="P1824" s="38">
        <f ca="1">IF(ISERROR(IF(O1824&lt;fi_h/20,0,(OFFSET('Base de dados'!$A$5,IF(O1824&lt;20,1,IF(O1824&gt;1000,10,MATCH(O1824,Cargas,1))),Coluna_fih,1,1))*(1+0.13*0.25)*(PI()*(fi_h/1000)^2/4)*SQRT(2*9.81*(O1824/100-fi_h/2/1000))*1000)),"",IF(O1824&lt;fi_h/20,0,(OFFSET('Base de dados'!$A$5,IF(O1824&lt;20,1,IF(O1824&gt;1000,10,MATCH(O1824,Cargas,1))),Coluna_fih,1,1))*(PI()*(fi_h/1000)^2/4)*SQRT(2*9.81*(O1824/100-fi_h/2/1000))*1000))</f>
        <v>5.7034738334234438</v>
      </c>
      <c r="Q1824" s="38">
        <f ca="1">IF(O1824="","",IF(Tipo_Vertedor="Retangular",IF(O1824&lt;=cota_s*100,0,IF(Tipo_Vertedor="Retangular",Cd_sr*Lef_sr*((O1824/100-cota_s)^(3/2))*1000)),IF(O1824&lt;=cota_s*100+fi_s/20,0,(OFFSET('Base de dados'!$A$4,IF(O1824&lt;20,1,IF(O1824&gt;1000,10,MATCH(O1824,Cargas,1))),Coluna_fis,1,1))*(PI()*(fi_s/1000)^2/4)*(2*9.81*(O1824/100-cota_s-fi_s/2/1000))^0.5*1000)))</f>
        <v>4.8919616290675991</v>
      </c>
      <c r="R1824" s="38">
        <f t="shared" ca="1" si="230"/>
        <v>10.595435462491043</v>
      </c>
      <c r="S1824" s="38">
        <f t="shared" ca="1" si="231"/>
        <v>569.6875</v>
      </c>
    </row>
    <row r="1825" spans="13:19">
      <c r="M1825" s="132">
        <f t="shared" ca="1" si="228"/>
        <v>580.59883615695446</v>
      </c>
      <c r="N1825" s="38">
        <f t="shared" si="229"/>
        <v>17.099999999999998</v>
      </c>
      <c r="O1825" s="36">
        <f t="shared" si="227"/>
        <v>456</v>
      </c>
      <c r="P1825" s="38">
        <f ca="1">IF(ISERROR(IF(O1825&lt;fi_h/20,0,(OFFSET('Base de dados'!$A$5,IF(O1825&lt;20,1,IF(O1825&gt;1000,10,MATCH(O1825,Cargas,1))),Coluna_fih,1,1))*(1+0.13*0.25)*(PI()*(fi_h/1000)^2/4)*SQRT(2*9.81*(O1825/100-fi_h/2/1000))*1000)),"",IF(O1825&lt;fi_h/20,0,(OFFSET('Base de dados'!$A$5,IF(O1825&lt;20,1,IF(O1825&gt;1000,10,MATCH(O1825,Cargas,1))),Coluna_fih,1,1))*(PI()*(fi_h/1000)^2/4)*SQRT(2*9.81*(O1825/100-fi_h/2/1000))*1000))</f>
        <v>5.7050439915938842</v>
      </c>
      <c r="Q1825" s="38">
        <f ca="1">IF(O1825="","",IF(Tipo_Vertedor="Retangular",IF(O1825&lt;=cota_s*100,0,IF(Tipo_Vertedor="Retangular",Cd_sr*Lef_sr*((O1825/100-cota_s)^(3/2))*1000)),IF(O1825&lt;=cota_s*100+fi_s/20,0,(OFFSET('Base de dados'!$A$4,IF(O1825&lt;20,1,IF(O1825&gt;1000,10,MATCH(O1825,Cargas,1))),Coluna_fis,1,1))*(PI()*(fi_s/1000)^2/4)*(2*9.81*(O1825/100-cota_s-fi_s/2/1000))^0.5*1000)))</f>
        <v>4.8937921653606518</v>
      </c>
      <c r="R1825" s="38">
        <f t="shared" ca="1" si="230"/>
        <v>10.598836156954537</v>
      </c>
      <c r="S1825" s="38">
        <f t="shared" ca="1" si="231"/>
        <v>569.99999999999989</v>
      </c>
    </row>
    <row r="1826" spans="13:19">
      <c r="M1826" s="132">
        <f t="shared" ca="1" si="228"/>
        <v>580.91473573493249</v>
      </c>
      <c r="N1826" s="38">
        <f t="shared" si="229"/>
        <v>17.109375</v>
      </c>
      <c r="O1826" s="36">
        <f t="shared" si="227"/>
        <v>456.25</v>
      </c>
      <c r="P1826" s="38">
        <f ca="1">IF(ISERROR(IF(O1826&lt;fi_h/20,0,(OFFSET('Base de dados'!$A$5,IF(O1826&lt;20,1,IF(O1826&gt;1000,10,MATCH(O1826,Cargas,1))),Coluna_fih,1,1))*(1+0.13*0.25)*(PI()*(fi_h/1000)^2/4)*SQRT(2*9.81*(O1826/100-fi_h/2/1000))*1000)),"",IF(O1826&lt;fi_h/20,0,(OFFSET('Base de dados'!$A$5,IF(O1826&lt;20,1,IF(O1826&gt;1000,10,MATCH(O1826,Cargas,1))),Coluna_fih,1,1))*(PI()*(fi_h/1000)^2/4)*SQRT(2*9.81*(O1826/100-fi_h/2/1000))*1000))</f>
        <v>5.7066137177398888</v>
      </c>
      <c r="Q1826" s="38">
        <f ca="1">IF(O1826="","",IF(Tipo_Vertedor="Retangular",IF(O1826&lt;=cota_s*100,0,IF(Tipo_Vertedor="Retangular",Cd_sr*Lef_sr*((O1826/100-cota_s)^(3/2))*1000)),IF(O1826&lt;=cota_s*100+fi_s/20,0,(OFFSET('Base de dados'!$A$4,IF(O1826&lt;20,1,IF(O1826&gt;1000,10,MATCH(O1826,Cargas,1))),Coluna_fis,1,1))*(PI()*(fi_s/1000)^2/4)*(2*9.81*(O1826/100-cota_s-fi_s/2/1000))^0.5*1000)))</f>
        <v>4.8956220171925935</v>
      </c>
      <c r="R1826" s="38">
        <f t="shared" ca="1" si="230"/>
        <v>10.602235734932481</v>
      </c>
      <c r="S1826" s="38">
        <f t="shared" ca="1" si="231"/>
        <v>570.3125</v>
      </c>
    </row>
    <row r="1827" spans="13:19">
      <c r="M1827" s="132">
        <f t="shared" ca="1" si="228"/>
        <v>581.23063419754862</v>
      </c>
      <c r="N1827" s="38">
        <f t="shared" si="229"/>
        <v>17.118750000000002</v>
      </c>
      <c r="O1827" s="36">
        <f t="shared" si="227"/>
        <v>456.5</v>
      </c>
      <c r="P1827" s="38">
        <f ca="1">IF(ISERROR(IF(O1827&lt;fi_h/20,0,(OFFSET('Base de dados'!$A$5,IF(O1827&lt;20,1,IF(O1827&gt;1000,10,MATCH(O1827,Cargas,1))),Coluna_fih,1,1))*(1+0.13*0.25)*(PI()*(fi_h/1000)^2/4)*SQRT(2*9.81*(O1827/100-fi_h/2/1000))*1000)),"",IF(O1827&lt;fi_h/20,0,(OFFSET('Base de dados'!$A$5,IF(O1827&lt;20,1,IF(O1827&gt;1000,10,MATCH(O1827,Cargas,1))),Coluna_fih,1,1))*(PI()*(fi_h/1000)^2/4)*SQRT(2*9.81*(O1827/100-fi_h/2/1000))*1000))</f>
        <v>5.7081830122178667</v>
      </c>
      <c r="Q1827" s="38">
        <f ca="1">IF(O1827="","",IF(Tipo_Vertedor="Retangular",IF(O1827&lt;=cota_s*100,0,IF(Tipo_Vertedor="Retangular",Cd_sr*Lef_sr*((O1827/100-cota_s)^(3/2))*1000)),IF(O1827&lt;=cota_s*100+fi_s/20,0,(OFFSET('Base de dados'!$A$4,IF(O1827&lt;20,1,IF(O1827&gt;1000,10,MATCH(O1827,Cargas,1))),Coluna_fis,1,1))*(PI()*(fi_s/1000)^2/4)*(2*9.81*(O1827/100-cota_s-fi_s/2/1000))^0.5*1000)))</f>
        <v>4.8974511853306364</v>
      </c>
      <c r="R1827" s="38">
        <f t="shared" ca="1" si="230"/>
        <v>10.605634197548504</v>
      </c>
      <c r="S1827" s="38">
        <f t="shared" ca="1" si="231"/>
        <v>570.62500000000011</v>
      </c>
    </row>
    <row r="1828" spans="13:19">
      <c r="M1828" s="132">
        <f t="shared" ca="1" si="228"/>
        <v>581.54653154592427</v>
      </c>
      <c r="N1828" s="38">
        <f t="shared" si="229"/>
        <v>17.128125000000001</v>
      </c>
      <c r="O1828" s="36">
        <f t="shared" si="227"/>
        <v>456.75</v>
      </c>
      <c r="P1828" s="38">
        <f ca="1">IF(ISERROR(IF(O1828&lt;fi_h/20,0,(OFFSET('Base de dados'!$A$5,IF(O1828&lt;20,1,IF(O1828&gt;1000,10,MATCH(O1828,Cargas,1))),Coluna_fih,1,1))*(1+0.13*0.25)*(PI()*(fi_h/1000)^2/4)*SQRT(2*9.81*(O1828/100-fi_h/2/1000))*1000)),"",IF(O1828&lt;fi_h/20,0,(OFFSET('Base de dados'!$A$5,IF(O1828&lt;20,1,IF(O1828&gt;1000,10,MATCH(O1828,Cargas,1))),Coluna_fih,1,1))*(PI()*(fi_h/1000)^2/4)*SQRT(2*9.81*(O1828/100-fi_h/2/1000))*1000))</f>
        <v>5.7097518753837484</v>
      </c>
      <c r="Q1828" s="38">
        <f ca="1">IF(O1828="","",IF(Tipo_Vertedor="Retangular",IF(O1828&lt;=cota_s*100,0,IF(Tipo_Vertedor="Retangular",Cd_sr*Lef_sr*((O1828/100-cota_s)^(3/2))*1000)),IF(O1828&lt;=cota_s*100+fi_s/20,0,(OFFSET('Base de dados'!$A$4,IF(O1828&lt;20,1,IF(O1828&gt;1000,10,MATCH(O1828,Cargas,1))),Coluna_fis,1,1))*(PI()*(fi_s/1000)^2/4)*(2*9.81*(O1828/100-cota_s-fi_s/2/1000))^0.5*1000)))</f>
        <v>4.8992796705405599</v>
      </c>
      <c r="R1828" s="38">
        <f t="shared" ca="1" si="230"/>
        <v>10.609031545924308</v>
      </c>
      <c r="S1828" s="38">
        <f t="shared" ca="1" si="231"/>
        <v>570.9375</v>
      </c>
    </row>
    <row r="1829" spans="13:19">
      <c r="M1829" s="132">
        <f t="shared" ca="1" si="228"/>
        <v>581.8624277811798</v>
      </c>
      <c r="N1829" s="38">
        <f t="shared" si="229"/>
        <v>17.137500000000003</v>
      </c>
      <c r="O1829" s="36">
        <f t="shared" si="227"/>
        <v>457</v>
      </c>
      <c r="P1829" s="38">
        <f ca="1">IF(ISERROR(IF(O1829&lt;fi_h/20,0,(OFFSET('Base de dados'!$A$5,IF(O1829&lt;20,1,IF(O1829&gt;1000,10,MATCH(O1829,Cargas,1))),Coluna_fih,1,1))*(1+0.13*0.25)*(PI()*(fi_h/1000)^2/4)*SQRT(2*9.81*(O1829/100-fi_h/2/1000))*1000)),"",IF(O1829&lt;fi_h/20,0,(OFFSET('Base de dados'!$A$5,IF(O1829&lt;20,1,IF(O1829&gt;1000,10,MATCH(O1829,Cargas,1))),Coluna_fih,1,1))*(PI()*(fi_h/1000)^2/4)*SQRT(2*9.81*(O1829/100-fi_h/2/1000))*1000))</f>
        <v>5.7113203075929651</v>
      </c>
      <c r="Q1829" s="38">
        <f ca="1">IF(O1829="","",IF(Tipo_Vertedor="Retangular",IF(O1829&lt;=cota_s*100,0,IF(Tipo_Vertedor="Retangular",Cd_sr*Lef_sr*((O1829/100-cota_s)^(3/2))*1000)),IF(O1829&lt;=cota_s*100+fi_s/20,0,(OFFSET('Base de dados'!$A$4,IF(O1829&lt;20,1,IF(O1829&gt;1000,10,MATCH(O1829,Cargas,1))),Coluna_fis,1,1))*(PI()*(fi_s/1000)^2/4)*(2*9.81*(O1829/100-cota_s-fi_s/2/1000))^0.5*1000)))</f>
        <v>4.9011074735867197</v>
      </c>
      <c r="R1829" s="38">
        <f t="shared" ca="1" si="230"/>
        <v>10.612427781179685</v>
      </c>
      <c r="S1829" s="38">
        <f t="shared" ca="1" si="231"/>
        <v>571.25000000000011</v>
      </c>
    </row>
    <row r="1830" spans="13:19">
      <c r="M1830" s="132">
        <f t="shared" ca="1" si="228"/>
        <v>582.17832290443243</v>
      </c>
      <c r="N1830" s="38">
        <f t="shared" si="229"/>
        <v>17.146874999999998</v>
      </c>
      <c r="O1830" s="36">
        <f t="shared" si="227"/>
        <v>457.25</v>
      </c>
      <c r="P1830" s="38">
        <f ca="1">IF(ISERROR(IF(O1830&lt;fi_h/20,0,(OFFSET('Base de dados'!$A$5,IF(O1830&lt;20,1,IF(O1830&gt;1000,10,MATCH(O1830,Cargas,1))),Coluna_fih,1,1))*(1+0.13*0.25)*(PI()*(fi_h/1000)^2/4)*SQRT(2*9.81*(O1830/100-fi_h/2/1000))*1000)),"",IF(O1830&lt;fi_h/20,0,(OFFSET('Base de dados'!$A$5,IF(O1830&lt;20,1,IF(O1830&gt;1000,10,MATCH(O1830,Cargas,1))),Coluna_fih,1,1))*(PI()*(fi_h/1000)^2/4)*SQRT(2*9.81*(O1830/100-fi_h/2/1000))*1000))</f>
        <v>5.7128883092004665</v>
      </c>
      <c r="Q1830" s="38">
        <f ca="1">IF(O1830="","",IF(Tipo_Vertedor="Retangular",IF(O1830&lt;=cota_s*100,0,IF(Tipo_Vertedor="Retangular",Cd_sr*Lef_sr*((O1830/100-cota_s)^(3/2))*1000)),IF(O1830&lt;=cota_s*100+fi_s/20,0,(OFFSET('Base de dados'!$A$4,IF(O1830&lt;20,1,IF(O1830&gt;1000,10,MATCH(O1830,Cargas,1))),Coluna_fis,1,1))*(PI()*(fi_s/1000)^2/4)*(2*9.81*(O1830/100-cota_s-fi_s/2/1000))^0.5*1000)))</f>
        <v>4.9029345952320398</v>
      </c>
      <c r="R1830" s="38">
        <f t="shared" ca="1" si="230"/>
        <v>10.615822904432505</v>
      </c>
      <c r="S1830" s="38">
        <f t="shared" ca="1" si="231"/>
        <v>571.56249999999989</v>
      </c>
    </row>
    <row r="1831" spans="13:19">
      <c r="M1831" s="132">
        <f t="shared" ca="1" si="228"/>
        <v>582.49421691679879</v>
      </c>
      <c r="N1831" s="38">
        <f t="shared" si="229"/>
        <v>17.15625</v>
      </c>
      <c r="O1831" s="36">
        <f t="shared" si="227"/>
        <v>457.5</v>
      </c>
      <c r="P1831" s="38">
        <f ca="1">IF(ISERROR(IF(O1831&lt;fi_h/20,0,(OFFSET('Base de dados'!$A$5,IF(O1831&lt;20,1,IF(O1831&gt;1000,10,MATCH(O1831,Cargas,1))),Coluna_fih,1,1))*(1+0.13*0.25)*(PI()*(fi_h/1000)^2/4)*SQRT(2*9.81*(O1831/100-fi_h/2/1000))*1000)),"",IF(O1831&lt;fi_h/20,0,(OFFSET('Base de dados'!$A$5,IF(O1831&lt;20,1,IF(O1831&gt;1000,10,MATCH(O1831,Cargas,1))),Coluna_fih,1,1))*(PI()*(fi_h/1000)^2/4)*SQRT(2*9.81*(O1831/100-fi_h/2/1000))*1000))</f>
        <v>5.714455880560716</v>
      </c>
      <c r="Q1831" s="38">
        <f ca="1">IF(O1831="","",IF(Tipo_Vertedor="Retangular",IF(O1831&lt;=cota_s*100,0,IF(Tipo_Vertedor="Retangular",Cd_sr*Lef_sr*((O1831/100-cota_s)^(3/2))*1000)),IF(O1831&lt;=cota_s*100+fi_s/20,0,(OFFSET('Base de dados'!$A$4,IF(O1831&lt;20,1,IF(O1831&gt;1000,10,MATCH(O1831,Cargas,1))),Coluna_fis,1,1))*(PI()*(fi_s/1000)^2/4)*(2*9.81*(O1831/100-cota_s-fi_s/2/1000))^0.5*1000)))</f>
        <v>4.9047610362380292</v>
      </c>
      <c r="R1831" s="38">
        <f t="shared" ca="1" si="230"/>
        <v>10.619216916798745</v>
      </c>
      <c r="S1831" s="38">
        <f t="shared" ca="1" si="231"/>
        <v>571.875</v>
      </c>
    </row>
    <row r="1832" spans="13:19">
      <c r="M1832" s="132">
        <f t="shared" ca="1" si="228"/>
        <v>582.81010981939244</v>
      </c>
      <c r="N1832" s="38">
        <f t="shared" si="229"/>
        <v>17.165624999999999</v>
      </c>
      <c r="O1832" s="36">
        <f t="shared" si="227"/>
        <v>457.75</v>
      </c>
      <c r="P1832" s="38">
        <f ca="1">IF(ISERROR(IF(O1832&lt;fi_h/20,0,(OFFSET('Base de dados'!$A$5,IF(O1832&lt;20,1,IF(O1832&gt;1000,10,MATCH(O1832,Cargas,1))),Coluna_fih,1,1))*(1+0.13*0.25)*(PI()*(fi_h/1000)^2/4)*SQRT(2*9.81*(O1832/100-fi_h/2/1000))*1000)),"",IF(O1832&lt;fi_h/20,0,(OFFSET('Base de dados'!$A$5,IF(O1832&lt;20,1,IF(O1832&gt;1000,10,MATCH(O1832,Cargas,1))),Coluna_fih,1,1))*(PI()*(fi_h/1000)^2/4)*SQRT(2*9.81*(O1832/100-fi_h/2/1000))*1000))</f>
        <v>5.7160230220276862</v>
      </c>
      <c r="Q1832" s="38">
        <f ca="1">IF(O1832="","",IF(Tipo_Vertedor="Retangular",IF(O1832&lt;=cota_s*100,0,IF(Tipo_Vertedor="Retangular",Cd_sr*Lef_sr*((O1832/100-cota_s)^(3/2))*1000)),IF(O1832&lt;=cota_s*100+fi_s/20,0,(OFFSET('Base de dados'!$A$4,IF(O1832&lt;20,1,IF(O1832&gt;1000,10,MATCH(O1832,Cargas,1))),Coluna_fis,1,1))*(PI()*(fi_s/1000)^2/4)*(2*9.81*(O1832/100-cota_s-fi_s/2/1000))^0.5*1000)))</f>
        <v>4.906586797364775</v>
      </c>
      <c r="R1832" s="38">
        <f t="shared" ca="1" si="230"/>
        <v>10.622609819392462</v>
      </c>
      <c r="S1832" s="38">
        <f t="shared" ca="1" si="231"/>
        <v>572.1875</v>
      </c>
    </row>
    <row r="1833" spans="13:19">
      <c r="M1833" s="132">
        <f t="shared" ca="1" si="228"/>
        <v>583.1260016133258</v>
      </c>
      <c r="N1833" s="38">
        <f t="shared" si="229"/>
        <v>17.175000000000001</v>
      </c>
      <c r="O1833" s="36">
        <f t="shared" si="227"/>
        <v>458</v>
      </c>
      <c r="P1833" s="38">
        <f ca="1">IF(ISERROR(IF(O1833&lt;fi_h/20,0,(OFFSET('Base de dados'!$A$5,IF(O1833&lt;20,1,IF(O1833&gt;1000,10,MATCH(O1833,Cargas,1))),Coluna_fih,1,1))*(1+0.13*0.25)*(PI()*(fi_h/1000)^2/4)*SQRT(2*9.81*(O1833/100-fi_h/2/1000))*1000)),"",IF(O1833&lt;fi_h/20,0,(OFFSET('Base de dados'!$A$5,IF(O1833&lt;20,1,IF(O1833&gt;1000,10,MATCH(O1833,Cargas,1))),Coluna_fih,1,1))*(PI()*(fi_h/1000)^2/4)*SQRT(2*9.81*(O1833/100-fi_h/2/1000))*1000))</f>
        <v>5.7175897339548678</v>
      </c>
      <c r="Q1833" s="38">
        <f ca="1">IF(O1833="","",IF(Tipo_Vertedor="Retangular",IF(O1833&lt;=cota_s*100,0,IF(Tipo_Vertedor="Retangular",Cd_sr*Lef_sr*((O1833/100-cota_s)^(3/2))*1000)),IF(O1833&lt;=cota_s*100+fi_s/20,0,(OFFSET('Base de dados'!$A$4,IF(O1833&lt;20,1,IF(O1833&gt;1000,10,MATCH(O1833,Cargas,1))),Coluna_fis,1,1))*(PI()*(fi_s/1000)^2/4)*(2*9.81*(O1833/100-cota_s-fi_s/2/1000))^0.5*1000)))</f>
        <v>4.9084118793709539</v>
      </c>
      <c r="R1833" s="38">
        <f t="shared" ca="1" si="230"/>
        <v>10.626001613325823</v>
      </c>
      <c r="S1833" s="38">
        <f t="shared" ca="1" si="231"/>
        <v>572.5</v>
      </c>
    </row>
    <row r="1834" spans="13:19">
      <c r="M1834" s="132">
        <f t="shared" ca="1" si="228"/>
        <v>583.44189229970914</v>
      </c>
      <c r="N1834" s="38">
        <f t="shared" si="229"/>
        <v>17.184374999999999</v>
      </c>
      <c r="O1834" s="36">
        <f t="shared" si="227"/>
        <v>458.25</v>
      </c>
      <c r="P1834" s="38">
        <f ca="1">IF(ISERROR(IF(O1834&lt;fi_h/20,0,(OFFSET('Base de dados'!$A$5,IF(O1834&lt;20,1,IF(O1834&gt;1000,10,MATCH(O1834,Cargas,1))),Coluna_fih,1,1))*(1+0.13*0.25)*(PI()*(fi_h/1000)^2/4)*SQRT(2*9.81*(O1834/100-fi_h/2/1000))*1000)),"",IF(O1834&lt;fi_h/20,0,(OFFSET('Base de dados'!$A$5,IF(O1834&lt;20,1,IF(O1834&gt;1000,10,MATCH(O1834,Cargas,1))),Coluna_fih,1,1))*(PI()*(fi_h/1000)^2/4)*SQRT(2*9.81*(O1834/100-fi_h/2/1000))*1000))</f>
        <v>5.7191560166952664</v>
      </c>
      <c r="Q1834" s="38">
        <f ca="1">IF(O1834="","",IF(Tipo_Vertedor="Retangular",IF(O1834&lt;=cota_s*100,0,IF(Tipo_Vertedor="Retangular",Cd_sr*Lef_sr*((O1834/100-cota_s)^(3/2))*1000)),IF(O1834&lt;=cota_s*100+fi_s/20,0,(OFFSET('Base de dados'!$A$4,IF(O1834&lt;20,1,IF(O1834&gt;1000,10,MATCH(O1834,Cargas,1))),Coluna_fis,1,1))*(PI()*(fi_s/1000)^2/4)*(2*9.81*(O1834/100-cota_s-fi_s/2/1000))^0.5*1000)))</f>
        <v>4.9102362830138295</v>
      </c>
      <c r="R1834" s="38">
        <f t="shared" ca="1" si="230"/>
        <v>10.629392299709096</v>
      </c>
      <c r="S1834" s="38">
        <f t="shared" ca="1" si="231"/>
        <v>572.8125</v>
      </c>
    </row>
    <row r="1835" spans="13:19">
      <c r="M1835" s="132">
        <f t="shared" ca="1" si="228"/>
        <v>583.75778187965068</v>
      </c>
      <c r="N1835" s="38">
        <f t="shared" si="229"/>
        <v>17.193750000000001</v>
      </c>
      <c r="O1835" s="36">
        <f t="shared" si="227"/>
        <v>458.5</v>
      </c>
      <c r="P1835" s="38">
        <f ca="1">IF(ISERROR(IF(O1835&lt;fi_h/20,0,(OFFSET('Base de dados'!$A$5,IF(O1835&lt;20,1,IF(O1835&gt;1000,10,MATCH(O1835,Cargas,1))),Coluna_fih,1,1))*(1+0.13*0.25)*(PI()*(fi_h/1000)^2/4)*SQRT(2*9.81*(O1835/100-fi_h/2/1000))*1000)),"",IF(O1835&lt;fi_h/20,0,(OFFSET('Base de dados'!$A$5,IF(O1835&lt;20,1,IF(O1835&gt;1000,10,MATCH(O1835,Cargas,1))),Coluna_fih,1,1))*(PI()*(fi_h/1000)^2/4)*SQRT(2*9.81*(O1835/100-fi_h/2/1000))*1000))</f>
        <v>5.7207218706014062</v>
      </c>
      <c r="Q1835" s="38">
        <f ca="1">IF(O1835="","",IF(Tipo_Vertedor="Retangular",IF(O1835&lt;=cota_s*100,0,IF(Tipo_Vertedor="Retangular",Cd_sr*Lef_sr*((O1835/100-cota_s)^(3/2))*1000)),IF(O1835&lt;=cota_s*100+fi_s/20,0,(OFFSET('Base de dados'!$A$4,IF(O1835&lt;20,1,IF(O1835&gt;1000,10,MATCH(O1835,Cargas,1))),Coluna_fis,1,1))*(PI()*(fi_s/1000)^2/4)*(2*9.81*(O1835/100-cota_s-fi_s/2/1000))^0.5*1000)))</f>
        <v>4.912060009049263</v>
      </c>
      <c r="R1835" s="38">
        <f t="shared" ca="1" si="230"/>
        <v>10.632781879650668</v>
      </c>
      <c r="S1835" s="38">
        <f t="shared" ca="1" si="231"/>
        <v>573.125</v>
      </c>
    </row>
    <row r="1836" spans="13:19">
      <c r="M1836" s="132">
        <f t="shared" ca="1" si="228"/>
        <v>584.07367035425705</v>
      </c>
      <c r="N1836" s="38">
        <f t="shared" si="229"/>
        <v>17.203125</v>
      </c>
      <c r="O1836" s="36">
        <f t="shared" si="227"/>
        <v>458.75</v>
      </c>
      <c r="P1836" s="38">
        <f ca="1">IF(ISERROR(IF(O1836&lt;fi_h/20,0,(OFFSET('Base de dados'!$A$5,IF(O1836&lt;20,1,IF(O1836&gt;1000,10,MATCH(O1836,Cargas,1))),Coluna_fih,1,1))*(1+0.13*0.25)*(PI()*(fi_h/1000)^2/4)*SQRT(2*9.81*(O1836/100-fi_h/2/1000))*1000)),"",IF(O1836&lt;fi_h/20,0,(OFFSET('Base de dados'!$A$5,IF(O1836&lt;20,1,IF(O1836&gt;1000,10,MATCH(O1836,Cargas,1))),Coluna_fih,1,1))*(PI()*(fi_h/1000)^2/4)*SQRT(2*9.81*(O1836/100-fi_h/2/1000))*1000))</f>
        <v>5.7222872960253248</v>
      </c>
      <c r="Q1836" s="38">
        <f ca="1">IF(O1836="","",IF(Tipo_Vertedor="Retangular",IF(O1836&lt;=cota_s*100,0,IF(Tipo_Vertedor="Retangular",Cd_sr*Lef_sr*((O1836/100-cota_s)^(3/2))*1000)),IF(O1836&lt;=cota_s*100+fi_s/20,0,(OFFSET('Base de dados'!$A$4,IF(O1836&lt;20,1,IF(O1836&gt;1000,10,MATCH(O1836,Cargas,1))),Coluna_fis,1,1))*(PI()*(fi_s/1000)^2/4)*(2*9.81*(O1836/100-cota_s-fi_s/2/1000))^0.5*1000)))</f>
        <v>4.9138830582317112</v>
      </c>
      <c r="R1836" s="38">
        <f t="shared" ca="1" si="230"/>
        <v>10.636170354257036</v>
      </c>
      <c r="S1836" s="38">
        <f t="shared" ca="1" si="231"/>
        <v>573.4375</v>
      </c>
    </row>
    <row r="1837" spans="13:19">
      <c r="M1837" s="132">
        <f t="shared" ca="1" si="228"/>
        <v>584.38955772463282</v>
      </c>
      <c r="N1837" s="38">
        <f t="shared" si="229"/>
        <v>17.212499999999999</v>
      </c>
      <c r="O1837" s="36">
        <f t="shared" si="227"/>
        <v>459</v>
      </c>
      <c r="P1837" s="38">
        <f ca="1">IF(ISERROR(IF(O1837&lt;fi_h/20,0,(OFFSET('Base de dados'!$A$5,IF(O1837&lt;20,1,IF(O1837&gt;1000,10,MATCH(O1837,Cargas,1))),Coluna_fih,1,1))*(1+0.13*0.25)*(PI()*(fi_h/1000)^2/4)*SQRT(2*9.81*(O1837/100-fi_h/2/1000))*1000)),"",IF(O1837&lt;fi_h/20,0,(OFFSET('Base de dados'!$A$5,IF(O1837&lt;20,1,IF(O1837&gt;1000,10,MATCH(O1837,Cargas,1))),Coluna_fih,1,1))*(PI()*(fi_h/1000)^2/4)*SQRT(2*9.81*(O1837/100-fi_h/2/1000))*1000))</f>
        <v>5.7238522933185827</v>
      </c>
      <c r="Q1837" s="38">
        <f ca="1">IF(O1837="","",IF(Tipo_Vertedor="Retangular",IF(O1837&lt;=cota_s*100,0,IF(Tipo_Vertedor="Retangular",Cd_sr*Lef_sr*((O1837/100-cota_s)^(3/2))*1000)),IF(O1837&lt;=cota_s*100+fi_s/20,0,(OFFSET('Base de dados'!$A$4,IF(O1837&lt;20,1,IF(O1837&gt;1000,10,MATCH(O1837,Cargas,1))),Coluna_fis,1,1))*(PI()*(fi_s/1000)^2/4)*(2*9.81*(O1837/100-cota_s-fi_s/2/1000))^0.5*1000)))</f>
        <v>4.9157054313142279</v>
      </c>
      <c r="R1837" s="38">
        <f t="shared" ca="1" si="230"/>
        <v>10.639557724632811</v>
      </c>
      <c r="S1837" s="38">
        <f t="shared" ca="1" si="231"/>
        <v>573.75</v>
      </c>
    </row>
    <row r="1838" spans="13:19">
      <c r="M1838" s="132">
        <f t="shared" ca="1" si="228"/>
        <v>584.70544399188077</v>
      </c>
      <c r="N1838" s="38">
        <f t="shared" si="229"/>
        <v>17.221875000000001</v>
      </c>
      <c r="O1838" s="36">
        <f t="shared" si="227"/>
        <v>459.25</v>
      </c>
      <c r="P1838" s="38">
        <f ca="1">IF(ISERROR(IF(O1838&lt;fi_h/20,0,(OFFSET('Base de dados'!$A$5,IF(O1838&lt;20,1,IF(O1838&gt;1000,10,MATCH(O1838,Cargas,1))),Coluna_fih,1,1))*(1+0.13*0.25)*(PI()*(fi_h/1000)^2/4)*SQRT(2*9.81*(O1838/100-fi_h/2/1000))*1000)),"",IF(O1838&lt;fi_h/20,0,(OFFSET('Base de dados'!$A$5,IF(O1838&lt;20,1,IF(O1838&gt;1000,10,MATCH(O1838,Cargas,1))),Coluna_fih,1,1))*(PI()*(fi_h/1000)^2/4)*SQRT(2*9.81*(O1838/100-fi_h/2/1000))*1000))</f>
        <v>5.7254168628322581</v>
      </c>
      <c r="Q1838" s="38">
        <f ca="1">IF(O1838="","",IF(Tipo_Vertedor="Retangular",IF(O1838&lt;=cota_s*100,0,IF(Tipo_Vertedor="Retangular",Cd_sr*Lef_sr*((O1838/100-cota_s)^(3/2))*1000)),IF(O1838&lt;=cota_s*100+fi_s/20,0,(OFFSET('Base de dados'!$A$4,IF(O1838&lt;20,1,IF(O1838&gt;1000,10,MATCH(O1838,Cargas,1))),Coluna_fis,1,1))*(PI()*(fi_s/1000)^2/4)*(2*9.81*(O1838/100-cota_s-fi_s/2/1000))^0.5*1000)))</f>
        <v>4.9175271290484801</v>
      </c>
      <c r="R1838" s="38">
        <f t="shared" ca="1" si="230"/>
        <v>10.642943991880738</v>
      </c>
      <c r="S1838" s="38">
        <f t="shared" ca="1" si="231"/>
        <v>574.0625</v>
      </c>
    </row>
    <row r="1839" spans="13:19">
      <c r="M1839" s="132">
        <f t="shared" ca="1" si="228"/>
        <v>585.02132915710172</v>
      </c>
      <c r="N1839" s="38">
        <f t="shared" si="229"/>
        <v>17.231249999999999</v>
      </c>
      <c r="O1839" s="36">
        <f t="shared" si="227"/>
        <v>459.5</v>
      </c>
      <c r="P1839" s="38">
        <f ca="1">IF(ISERROR(IF(O1839&lt;fi_h/20,0,(OFFSET('Base de dados'!$A$5,IF(O1839&lt;20,1,IF(O1839&gt;1000,10,MATCH(O1839,Cargas,1))),Coluna_fih,1,1))*(1+0.13*0.25)*(PI()*(fi_h/1000)^2/4)*SQRT(2*9.81*(O1839/100-fi_h/2/1000))*1000)),"",IF(O1839&lt;fi_h/20,0,(OFFSET('Base de dados'!$A$5,IF(O1839&lt;20,1,IF(O1839&gt;1000,10,MATCH(O1839,Cargas,1))),Coluna_fih,1,1))*(PI()*(fi_h/1000)^2/4)*SQRT(2*9.81*(O1839/100-fi_h/2/1000))*1000))</f>
        <v>5.7269810049169489</v>
      </c>
      <c r="Q1839" s="38">
        <f ca="1">IF(O1839="","",IF(Tipo_Vertedor="Retangular",IF(O1839&lt;=cota_s*100,0,IF(Tipo_Vertedor="Retangular",Cd_sr*Lef_sr*((O1839/100-cota_s)^(3/2))*1000)),IF(O1839&lt;=cota_s*100+fi_s/20,0,(OFFSET('Base de dados'!$A$4,IF(O1839&lt;20,1,IF(O1839&gt;1000,10,MATCH(O1839,Cargas,1))),Coluna_fis,1,1))*(PI()*(fi_s/1000)^2/4)*(2*9.81*(O1839/100-cota_s-fi_s/2/1000))^0.5*1000)))</f>
        <v>4.9193481521847335</v>
      </c>
      <c r="R1839" s="38">
        <f t="shared" ca="1" si="230"/>
        <v>10.646329157101682</v>
      </c>
      <c r="S1839" s="38">
        <f t="shared" ca="1" si="231"/>
        <v>574.375</v>
      </c>
    </row>
    <row r="1840" spans="13:19">
      <c r="M1840" s="132">
        <f t="shared" ca="1" si="228"/>
        <v>585.33721322139468</v>
      </c>
      <c r="N1840" s="38">
        <f t="shared" si="229"/>
        <v>17.240625000000001</v>
      </c>
      <c r="O1840" s="36">
        <f t="shared" si="227"/>
        <v>459.75</v>
      </c>
      <c r="P1840" s="38">
        <f ca="1">IF(ISERROR(IF(O1840&lt;fi_h/20,0,(OFFSET('Base de dados'!$A$5,IF(O1840&lt;20,1,IF(O1840&gt;1000,10,MATCH(O1840,Cargas,1))),Coluna_fih,1,1))*(1+0.13*0.25)*(PI()*(fi_h/1000)^2/4)*SQRT(2*9.81*(O1840/100-fi_h/2/1000))*1000)),"",IF(O1840&lt;fi_h/20,0,(OFFSET('Base de dados'!$A$5,IF(O1840&lt;20,1,IF(O1840&gt;1000,10,MATCH(O1840,Cargas,1))),Coluna_fih,1,1))*(PI()*(fi_h/1000)^2/4)*SQRT(2*9.81*(O1840/100-fi_h/2/1000))*1000))</f>
        <v>5.7285447199227759</v>
      </c>
      <c r="Q1840" s="38">
        <f ca="1">IF(O1840="","",IF(Tipo_Vertedor="Retangular",IF(O1840&lt;=cota_s*100,0,IF(Tipo_Vertedor="Retangular",Cd_sr*Lef_sr*((O1840/100-cota_s)^(3/2))*1000)),IF(O1840&lt;=cota_s*100+fi_s/20,0,(OFFSET('Base de dados'!$A$4,IF(O1840&lt;20,1,IF(O1840&gt;1000,10,MATCH(O1840,Cargas,1))),Coluna_fis,1,1))*(PI()*(fi_s/1000)^2/4)*(2*9.81*(O1840/100-cota_s-fi_s/2/1000))^0.5*1000)))</f>
        <v>4.9211685014718736</v>
      </c>
      <c r="R1840" s="38">
        <f t="shared" ca="1" si="230"/>
        <v>10.649713221394649</v>
      </c>
      <c r="S1840" s="38">
        <f t="shared" ca="1" si="231"/>
        <v>574.6875</v>
      </c>
    </row>
    <row r="1841" spans="13:19">
      <c r="M1841" s="132">
        <f t="shared" ca="1" si="228"/>
        <v>585.65309618585673</v>
      </c>
      <c r="N1841" s="38">
        <f t="shared" si="229"/>
        <v>17.25</v>
      </c>
      <c r="O1841" s="36">
        <f t="shared" si="227"/>
        <v>460</v>
      </c>
      <c r="P1841" s="38">
        <f ca="1">IF(ISERROR(IF(O1841&lt;fi_h/20,0,(OFFSET('Base de dados'!$A$5,IF(O1841&lt;20,1,IF(O1841&gt;1000,10,MATCH(O1841,Cargas,1))),Coluna_fih,1,1))*(1+0.13*0.25)*(PI()*(fi_h/1000)^2/4)*SQRT(2*9.81*(O1841/100-fi_h/2/1000))*1000)),"",IF(O1841&lt;fi_h/20,0,(OFFSET('Base de dados'!$A$5,IF(O1841&lt;20,1,IF(O1841&gt;1000,10,MATCH(O1841,Cargas,1))),Coluna_fih,1,1))*(PI()*(fi_h/1000)^2/4)*SQRT(2*9.81*(O1841/100-fi_h/2/1000))*1000))</f>
        <v>5.730108008199382</v>
      </c>
      <c r="Q1841" s="38">
        <f ca="1">IF(O1841="","",IF(Tipo_Vertedor="Retangular",IF(O1841&lt;=cota_s*100,0,IF(Tipo_Vertedor="Retangular",Cd_sr*Lef_sr*((O1841/100-cota_s)^(3/2))*1000)),IF(O1841&lt;=cota_s*100+fi_s/20,0,(OFFSET('Base de dados'!$A$4,IF(O1841&lt;20,1,IF(O1841&gt;1000,10,MATCH(O1841,Cargas,1))),Coluna_fis,1,1))*(PI()*(fi_s/1000)^2/4)*(2*9.81*(O1841/100-cota_s-fi_s/2/1000))^0.5*1000)))</f>
        <v>4.9229881776573974</v>
      </c>
      <c r="R1841" s="38">
        <f t="shared" ca="1" si="230"/>
        <v>10.653096185856779</v>
      </c>
      <c r="S1841" s="38">
        <f t="shared" ca="1" si="231"/>
        <v>575</v>
      </c>
    </row>
    <row r="1842" spans="13:19">
      <c r="M1842" s="132">
        <f t="shared" ca="1" si="228"/>
        <v>585.96897805158335</v>
      </c>
      <c r="N1842" s="38">
        <f t="shared" si="229"/>
        <v>17.259374999999999</v>
      </c>
      <c r="O1842" s="36">
        <f t="shared" si="227"/>
        <v>460.25</v>
      </c>
      <c r="P1842" s="38">
        <f ca="1">IF(ISERROR(IF(O1842&lt;fi_h/20,0,(OFFSET('Base de dados'!$A$5,IF(O1842&lt;20,1,IF(O1842&gt;1000,10,MATCH(O1842,Cargas,1))),Coluna_fih,1,1))*(1+0.13*0.25)*(PI()*(fi_h/1000)^2/4)*SQRT(2*9.81*(O1842/100-fi_h/2/1000))*1000)),"",IF(O1842&lt;fi_h/20,0,(OFFSET('Base de dados'!$A$5,IF(O1842&lt;20,1,IF(O1842&gt;1000,10,MATCH(O1842,Cargas,1))),Coluna_fih,1,1))*(PI()*(fi_h/1000)^2/4)*SQRT(2*9.81*(O1842/100-fi_h/2/1000))*1000))</f>
        <v>5.7316708700959333</v>
      </c>
      <c r="Q1842" s="38">
        <f ca="1">IF(O1842="","",IF(Tipo_Vertedor="Retangular",IF(O1842&lt;=cota_s*100,0,IF(Tipo_Vertedor="Retangular",Cd_sr*Lef_sr*((O1842/100-cota_s)^(3/2))*1000)),IF(O1842&lt;=cota_s*100+fi_s/20,0,(OFFSET('Base de dados'!$A$4,IF(O1842&lt;20,1,IF(O1842&gt;1000,10,MATCH(O1842,Cargas,1))),Coluna_fis,1,1))*(PI()*(fi_s/1000)^2/4)*(2*9.81*(O1842/100-cota_s-fi_s/2/1000))^0.5*1000)))</f>
        <v>4.924807181487421</v>
      </c>
      <c r="R1842" s="38">
        <f t="shared" ca="1" si="230"/>
        <v>10.656478051583354</v>
      </c>
      <c r="S1842" s="38">
        <f t="shared" ca="1" si="231"/>
        <v>575.3125</v>
      </c>
    </row>
    <row r="1843" spans="13:19">
      <c r="M1843" s="132">
        <f t="shared" ca="1" si="228"/>
        <v>586.28485881966776</v>
      </c>
      <c r="N1843" s="38">
        <f t="shared" si="229"/>
        <v>17.268750000000001</v>
      </c>
      <c r="O1843" s="36">
        <f t="shared" si="227"/>
        <v>460.5</v>
      </c>
      <c r="P1843" s="38">
        <f ca="1">IF(ISERROR(IF(O1843&lt;fi_h/20,0,(OFFSET('Base de dados'!$A$5,IF(O1843&lt;20,1,IF(O1843&gt;1000,10,MATCH(O1843,Cargas,1))),Coluna_fih,1,1))*(1+0.13*0.25)*(PI()*(fi_h/1000)^2/4)*SQRT(2*9.81*(O1843/100-fi_h/2/1000))*1000)),"",IF(O1843&lt;fi_h/20,0,(OFFSET('Base de dados'!$A$5,IF(O1843&lt;20,1,IF(O1843&gt;1000,10,MATCH(O1843,Cargas,1))),Coluna_fih,1,1))*(PI()*(fi_h/1000)^2/4)*SQRT(2*9.81*(O1843/100-fi_h/2/1000))*1000))</f>
        <v>5.7332333059611171</v>
      </c>
      <c r="Q1843" s="38">
        <f ca="1">IF(O1843="","",IF(Tipo_Vertedor="Retangular",IF(O1843&lt;=cota_s*100,0,IF(Tipo_Vertedor="Retangular",Cd_sr*Lef_sr*((O1843/100-cota_s)^(3/2))*1000)),IF(O1843&lt;=cota_s*100+fi_s/20,0,(OFFSET('Base de dados'!$A$4,IF(O1843&lt;20,1,IF(O1843&gt;1000,10,MATCH(O1843,Cargas,1))),Coluna_fis,1,1))*(PI()*(fi_s/1000)^2/4)*(2*9.81*(O1843/100-cota_s-fi_s/2/1000))^0.5*1000)))</f>
        <v>4.9266255137066848</v>
      </c>
      <c r="R1843" s="38">
        <f t="shared" ca="1" si="230"/>
        <v>10.659858819667802</v>
      </c>
      <c r="S1843" s="38">
        <f t="shared" ca="1" si="231"/>
        <v>575.625</v>
      </c>
    </row>
    <row r="1844" spans="13:19">
      <c r="M1844" s="132">
        <f t="shared" ca="1" si="228"/>
        <v>586.6007384912017</v>
      </c>
      <c r="N1844" s="38">
        <f t="shared" si="229"/>
        <v>17.278124999999999</v>
      </c>
      <c r="O1844" s="36">
        <f t="shared" si="227"/>
        <v>460.75</v>
      </c>
      <c r="P1844" s="38">
        <f ca="1">IF(ISERROR(IF(O1844&lt;fi_h/20,0,(OFFSET('Base de dados'!$A$5,IF(O1844&lt;20,1,IF(O1844&gt;1000,10,MATCH(O1844,Cargas,1))),Coluna_fih,1,1))*(1+0.13*0.25)*(PI()*(fi_h/1000)^2/4)*SQRT(2*9.81*(O1844/100-fi_h/2/1000))*1000)),"",IF(O1844&lt;fi_h/20,0,(OFFSET('Base de dados'!$A$5,IF(O1844&lt;20,1,IF(O1844&gt;1000,10,MATCH(O1844,Cargas,1))),Coluna_fih,1,1))*(PI()*(fi_h/1000)^2/4)*SQRT(2*9.81*(O1844/100-fi_h/2/1000))*1000))</f>
        <v>5.7347953161431509</v>
      </c>
      <c r="Q1844" s="38">
        <f ca="1">IF(O1844="","",IF(Tipo_Vertedor="Retangular",IF(O1844&lt;=cota_s*100,0,IF(Tipo_Vertedor="Retangular",Cd_sr*Lef_sr*((O1844/100-cota_s)^(3/2))*1000)),IF(O1844&lt;=cota_s*100+fi_s/20,0,(OFFSET('Base de dados'!$A$4,IF(O1844&lt;20,1,IF(O1844&gt;1000,10,MATCH(O1844,Cargas,1))),Coluna_fis,1,1))*(PI()*(fi_s/1000)^2/4)*(2*9.81*(O1844/100-cota_s-fi_s/2/1000))^0.5*1000)))</f>
        <v>4.9284431750585531</v>
      </c>
      <c r="R1844" s="38">
        <f t="shared" ca="1" si="230"/>
        <v>10.663238491201703</v>
      </c>
      <c r="S1844" s="38">
        <f t="shared" ca="1" si="231"/>
        <v>575.9375</v>
      </c>
    </row>
    <row r="1845" spans="13:19">
      <c r="M1845" s="132">
        <f t="shared" ca="1" si="228"/>
        <v>586.91661706727484</v>
      </c>
      <c r="N1845" s="38">
        <f t="shared" si="229"/>
        <v>17.287500000000001</v>
      </c>
      <c r="O1845" s="36">
        <f t="shared" si="227"/>
        <v>461</v>
      </c>
      <c r="P1845" s="38">
        <f ca="1">IF(ISERROR(IF(O1845&lt;fi_h/20,0,(OFFSET('Base de dados'!$A$5,IF(O1845&lt;20,1,IF(O1845&gt;1000,10,MATCH(O1845,Cargas,1))),Coluna_fih,1,1))*(1+0.13*0.25)*(PI()*(fi_h/1000)^2/4)*SQRT(2*9.81*(O1845/100-fi_h/2/1000))*1000)),"",IF(O1845&lt;fi_h/20,0,(OFFSET('Base de dados'!$A$5,IF(O1845&lt;20,1,IF(O1845&gt;1000,10,MATCH(O1845,Cargas,1))),Coluna_fih,1,1))*(PI()*(fi_h/1000)^2/4)*SQRT(2*9.81*(O1845/100-fi_h/2/1000))*1000))</f>
        <v>5.7363569009897741</v>
      </c>
      <c r="Q1845" s="38">
        <f ca="1">IF(O1845="","",IF(Tipo_Vertedor="Retangular",IF(O1845&lt;=cota_s*100,0,IF(Tipo_Vertedor="Retangular",Cd_sr*Lef_sr*((O1845/100-cota_s)^(3/2))*1000)),IF(O1845&lt;=cota_s*100+fi_s/20,0,(OFFSET('Base de dados'!$A$4,IF(O1845&lt;20,1,IF(O1845&gt;1000,10,MATCH(O1845,Cargas,1))),Coluna_fis,1,1))*(PI()*(fi_s/1000)^2/4)*(2*9.81*(O1845/100-cota_s-fi_s/2/1000))^0.5*1000)))</f>
        <v>4.9302601662850218</v>
      </c>
      <c r="R1845" s="38">
        <f t="shared" ca="1" si="230"/>
        <v>10.666617067274796</v>
      </c>
      <c r="S1845" s="38">
        <f t="shared" ca="1" si="231"/>
        <v>576.25</v>
      </c>
    </row>
    <row r="1846" spans="13:19">
      <c r="M1846" s="132">
        <f t="shared" ca="1" si="228"/>
        <v>587.23249454897496</v>
      </c>
      <c r="N1846" s="38">
        <f t="shared" si="229"/>
        <v>17.296875</v>
      </c>
      <c r="O1846" s="36">
        <f t="shared" si="227"/>
        <v>461.25</v>
      </c>
      <c r="P1846" s="38">
        <f ca="1">IF(ISERROR(IF(O1846&lt;fi_h/20,0,(OFFSET('Base de dados'!$A$5,IF(O1846&lt;20,1,IF(O1846&gt;1000,10,MATCH(O1846,Cargas,1))),Coluna_fih,1,1))*(1+0.13*0.25)*(PI()*(fi_h/1000)^2/4)*SQRT(2*9.81*(O1846/100-fi_h/2/1000))*1000)),"",IF(O1846&lt;fi_h/20,0,(OFFSET('Base de dados'!$A$5,IF(O1846&lt;20,1,IF(O1846&gt;1000,10,MATCH(O1846,Cargas,1))),Coluna_fih,1,1))*(PI()*(fi_h/1000)^2/4)*SQRT(2*9.81*(O1846/100-fi_h/2/1000))*1000))</f>
        <v>5.7379180608482523</v>
      </c>
      <c r="Q1846" s="38">
        <f ca="1">IF(O1846="","",IF(Tipo_Vertedor="Retangular",IF(O1846&lt;=cota_s*100,0,IF(Tipo_Vertedor="Retangular",Cd_sr*Lef_sr*((O1846/100-cota_s)^(3/2))*1000)),IF(O1846&lt;=cota_s*100+fi_s/20,0,(OFFSET('Base de dados'!$A$4,IF(O1846&lt;20,1,IF(O1846&gt;1000,10,MATCH(O1846,Cargas,1))),Coluna_fis,1,1))*(PI()*(fi_s/1000)^2/4)*(2*9.81*(O1846/100-cota_s-fi_s/2/1000))^0.5*1000)))</f>
        <v>4.9320764881267181</v>
      </c>
      <c r="R1846" s="38">
        <f t="shared" ca="1" si="230"/>
        <v>10.669994548974969</v>
      </c>
      <c r="S1846" s="38">
        <f t="shared" ca="1" si="231"/>
        <v>576.5625</v>
      </c>
    </row>
    <row r="1847" spans="13:19">
      <c r="M1847" s="132">
        <f t="shared" ca="1" si="228"/>
        <v>587.54837093738843</v>
      </c>
      <c r="N1847" s="38">
        <f t="shared" si="229"/>
        <v>17.306250000000002</v>
      </c>
      <c r="O1847" s="36">
        <f t="shared" si="227"/>
        <v>461.5</v>
      </c>
      <c r="P1847" s="38">
        <f ca="1">IF(ISERROR(IF(O1847&lt;fi_h/20,0,(OFFSET('Base de dados'!$A$5,IF(O1847&lt;20,1,IF(O1847&gt;1000,10,MATCH(O1847,Cargas,1))),Coluna_fih,1,1))*(1+0.13*0.25)*(PI()*(fi_h/1000)^2/4)*SQRT(2*9.81*(O1847/100-fi_h/2/1000))*1000)),"",IF(O1847&lt;fi_h/20,0,(OFFSET('Base de dados'!$A$5,IF(O1847&lt;20,1,IF(O1847&gt;1000,10,MATCH(O1847,Cargas,1))),Coluna_fih,1,1))*(PI()*(fi_h/1000)^2/4)*SQRT(2*9.81*(O1847/100-fi_h/2/1000))*1000))</f>
        <v>5.7394787960653835</v>
      </c>
      <c r="Q1847" s="38">
        <f ca="1">IF(O1847="","",IF(Tipo_Vertedor="Retangular",IF(O1847&lt;=cota_s*100,0,IF(Tipo_Vertedor="Retangular",Cd_sr*Lef_sr*((O1847/100-cota_s)^(3/2))*1000)),IF(O1847&lt;=cota_s*100+fi_s/20,0,(OFFSET('Base de dados'!$A$4,IF(O1847&lt;20,1,IF(O1847&gt;1000,10,MATCH(O1847,Cargas,1))),Coluna_fis,1,1))*(PI()*(fi_s/1000)^2/4)*(2*9.81*(O1847/100-cota_s-fi_s/2/1000))^0.5*1000)))</f>
        <v>4.9338921413229091</v>
      </c>
      <c r="R1847" s="38">
        <f t="shared" ca="1" si="230"/>
        <v>10.673370937388292</v>
      </c>
      <c r="S1847" s="38">
        <f t="shared" ca="1" si="231"/>
        <v>576.87500000000011</v>
      </c>
    </row>
    <row r="1848" spans="13:19">
      <c r="M1848" s="132">
        <f t="shared" ca="1" si="228"/>
        <v>587.86424623359892</v>
      </c>
      <c r="N1848" s="38">
        <f t="shared" si="229"/>
        <v>17.315624999999997</v>
      </c>
      <c r="O1848" s="36">
        <f t="shared" si="227"/>
        <v>461.75</v>
      </c>
      <c r="P1848" s="38">
        <f ca="1">IF(ISERROR(IF(O1848&lt;fi_h/20,0,(OFFSET('Base de dados'!$A$5,IF(O1848&lt;20,1,IF(O1848&gt;1000,10,MATCH(O1848,Cargas,1))),Coluna_fih,1,1))*(1+0.13*0.25)*(PI()*(fi_h/1000)^2/4)*SQRT(2*9.81*(O1848/100-fi_h/2/1000))*1000)),"",IF(O1848&lt;fi_h/20,0,(OFFSET('Base de dados'!$A$5,IF(O1848&lt;20,1,IF(O1848&gt;1000,10,MATCH(O1848,Cargas,1))),Coluna_fih,1,1))*(PI()*(fi_h/1000)^2/4)*SQRT(2*9.81*(O1848/100-fi_h/2/1000))*1000))</f>
        <v>5.7410391069874898</v>
      </c>
      <c r="Q1848" s="38">
        <f ca="1">IF(O1848="","",IF(Tipo_Vertedor="Retangular",IF(O1848&lt;=cota_s*100,0,IF(Tipo_Vertedor="Retangular",Cd_sr*Lef_sr*((O1848/100-cota_s)^(3/2))*1000)),IF(O1848&lt;=cota_s*100+fi_s/20,0,(OFFSET('Base de dados'!$A$4,IF(O1848&lt;20,1,IF(O1848&gt;1000,10,MATCH(O1848,Cargas,1))),Coluna_fis,1,1))*(PI()*(fi_s/1000)^2/4)*(2*9.81*(O1848/100-cota_s-fi_s/2/1000))^0.5*1000)))</f>
        <v>4.9357071266114971</v>
      </c>
      <c r="R1848" s="38">
        <f t="shared" ca="1" si="230"/>
        <v>10.676746233598987</v>
      </c>
      <c r="S1848" s="38">
        <f t="shared" ca="1" si="231"/>
        <v>577.18749999999989</v>
      </c>
    </row>
    <row r="1849" spans="13:19">
      <c r="M1849" s="132">
        <f t="shared" ca="1" si="228"/>
        <v>588.18012043868941</v>
      </c>
      <c r="N1849" s="38">
        <f t="shared" si="229"/>
        <v>17.324999999999999</v>
      </c>
      <c r="O1849" s="36">
        <f t="shared" si="227"/>
        <v>462</v>
      </c>
      <c r="P1849" s="38">
        <f ca="1">IF(ISERROR(IF(O1849&lt;fi_h/20,0,(OFFSET('Base de dados'!$A$5,IF(O1849&lt;20,1,IF(O1849&gt;1000,10,MATCH(O1849,Cargas,1))),Coluna_fih,1,1))*(1+0.13*0.25)*(PI()*(fi_h/1000)^2/4)*SQRT(2*9.81*(O1849/100-fi_h/2/1000))*1000)),"",IF(O1849&lt;fi_h/20,0,(OFFSET('Base de dados'!$A$5,IF(O1849&lt;20,1,IF(O1849&gt;1000,10,MATCH(O1849,Cargas,1))),Coluna_fih,1,1))*(PI()*(fi_h/1000)^2/4)*SQRT(2*9.81*(O1849/100-fi_h/2/1000))*1000))</f>
        <v>5.7425989939604269</v>
      </c>
      <c r="Q1849" s="38">
        <f ca="1">IF(O1849="","",IF(Tipo_Vertedor="Retangular",IF(O1849&lt;=cota_s*100,0,IF(Tipo_Vertedor="Retangular",Cd_sr*Lef_sr*((O1849/100-cota_s)^(3/2))*1000)),IF(O1849&lt;=cota_s*100+fi_s/20,0,(OFFSET('Base de dados'!$A$4,IF(O1849&lt;20,1,IF(O1849&gt;1000,10,MATCH(O1849,Cargas,1))),Coluna_fis,1,1))*(PI()*(fi_s/1000)^2/4)*(2*9.81*(O1849/100-cota_s-fi_s/2/1000))^0.5*1000)))</f>
        <v>4.9375214447290361</v>
      </c>
      <c r="R1849" s="38">
        <f t="shared" ca="1" si="230"/>
        <v>10.680120438689464</v>
      </c>
      <c r="S1849" s="38">
        <f t="shared" ca="1" si="231"/>
        <v>577.5</v>
      </c>
    </row>
    <row r="1850" spans="13:19">
      <c r="M1850" s="132">
        <f t="shared" ca="1" si="228"/>
        <v>588.49599355374016</v>
      </c>
      <c r="N1850" s="38">
        <f t="shared" si="229"/>
        <v>17.334374999999998</v>
      </c>
      <c r="O1850" s="36">
        <f t="shared" si="227"/>
        <v>462.25</v>
      </c>
      <c r="P1850" s="38">
        <f ca="1">IF(ISERROR(IF(O1850&lt;fi_h/20,0,(OFFSET('Base de dados'!$A$5,IF(O1850&lt;20,1,IF(O1850&gt;1000,10,MATCH(O1850,Cargas,1))),Coluna_fih,1,1))*(1+0.13*0.25)*(PI()*(fi_h/1000)^2/4)*SQRT(2*9.81*(O1850/100-fi_h/2/1000))*1000)),"",IF(O1850&lt;fi_h/20,0,(OFFSET('Base de dados'!$A$5,IF(O1850&lt;20,1,IF(O1850&gt;1000,10,MATCH(O1850,Cargas,1))),Coluna_fih,1,1))*(PI()*(fi_h/1000)^2/4)*SQRT(2*9.81*(O1850/100-fi_h/2/1000))*1000))</f>
        <v>5.7441584573295748</v>
      </c>
      <c r="Q1850" s="38">
        <f ca="1">IF(O1850="","",IF(Tipo_Vertedor="Retangular",IF(O1850&lt;=cota_s*100,0,IF(Tipo_Vertedor="Retangular",Cd_sr*Lef_sr*((O1850/100-cota_s)^(3/2))*1000)),IF(O1850&lt;=cota_s*100+fi_s/20,0,(OFFSET('Base de dados'!$A$4,IF(O1850&lt;20,1,IF(O1850&gt;1000,10,MATCH(O1850,Cargas,1))),Coluna_fis,1,1))*(PI()*(fi_s/1000)^2/4)*(2*9.81*(O1850/100-cota_s-fi_s/2/1000))^0.5*1000)))</f>
        <v>4.9393350964107174</v>
      </c>
      <c r="R1850" s="38">
        <f t="shared" ca="1" si="230"/>
        <v>10.683493553740291</v>
      </c>
      <c r="S1850" s="38">
        <f t="shared" ca="1" si="231"/>
        <v>577.81249999999989</v>
      </c>
    </row>
    <row r="1851" spans="13:19">
      <c r="M1851" s="132">
        <f t="shared" ca="1" si="228"/>
        <v>588.81186557983028</v>
      </c>
      <c r="N1851" s="38">
        <f t="shared" si="229"/>
        <v>17.34375</v>
      </c>
      <c r="O1851" s="36">
        <f t="shared" si="227"/>
        <v>462.5</v>
      </c>
      <c r="P1851" s="38">
        <f ca="1">IF(ISERROR(IF(O1851&lt;fi_h/20,0,(OFFSET('Base de dados'!$A$5,IF(O1851&lt;20,1,IF(O1851&gt;1000,10,MATCH(O1851,Cargas,1))),Coluna_fih,1,1))*(1+0.13*0.25)*(PI()*(fi_h/1000)^2/4)*SQRT(2*9.81*(O1851/100-fi_h/2/1000))*1000)),"",IF(O1851&lt;fi_h/20,0,(OFFSET('Base de dados'!$A$5,IF(O1851&lt;20,1,IF(O1851&gt;1000,10,MATCH(O1851,Cargas,1))),Coluna_fih,1,1))*(PI()*(fi_h/1000)^2/4)*SQRT(2*9.81*(O1851/100-fi_h/2/1000))*1000))</f>
        <v>5.7457174974398502</v>
      </c>
      <c r="Q1851" s="38">
        <f ca="1">IF(O1851="","",IF(Tipo_Vertedor="Retangular",IF(O1851&lt;=cota_s*100,0,IF(Tipo_Vertedor="Retangular",Cd_sr*Lef_sr*((O1851/100-cota_s)^(3/2))*1000)),IF(O1851&lt;=cota_s*100+fi_s/20,0,(OFFSET('Base de dados'!$A$4,IF(O1851&lt;20,1,IF(O1851&gt;1000,10,MATCH(O1851,Cargas,1))),Coluna_fis,1,1))*(PI()*(fi_s/1000)^2/4)*(2*9.81*(O1851/100-cota_s-fi_s/2/1000))^0.5*1000)))</f>
        <v>4.9411480823903933</v>
      </c>
      <c r="R1851" s="38">
        <f t="shared" ca="1" si="230"/>
        <v>10.686865579830243</v>
      </c>
      <c r="S1851" s="38">
        <f t="shared" ca="1" si="231"/>
        <v>578.125</v>
      </c>
    </row>
    <row r="1852" spans="13:19">
      <c r="M1852" s="132">
        <f t="shared" ca="1" si="228"/>
        <v>589.12773651803639</v>
      </c>
      <c r="N1852" s="38">
        <f t="shared" si="229"/>
        <v>17.353125000000002</v>
      </c>
      <c r="O1852" s="36">
        <f t="shared" si="227"/>
        <v>462.75</v>
      </c>
      <c r="P1852" s="38">
        <f ca="1">IF(ISERROR(IF(O1852&lt;fi_h/20,0,(OFFSET('Base de dados'!$A$5,IF(O1852&lt;20,1,IF(O1852&gt;1000,10,MATCH(O1852,Cargas,1))),Coluna_fih,1,1))*(1+0.13*0.25)*(PI()*(fi_h/1000)^2/4)*SQRT(2*9.81*(O1852/100-fi_h/2/1000))*1000)),"",IF(O1852&lt;fi_h/20,0,(OFFSET('Base de dados'!$A$5,IF(O1852&lt;20,1,IF(O1852&gt;1000,10,MATCH(O1852,Cargas,1))),Coluna_fih,1,1))*(PI()*(fi_h/1000)^2/4)*SQRT(2*9.81*(O1852/100-fi_h/2/1000))*1000))</f>
        <v>5.7472761146357003</v>
      </c>
      <c r="Q1852" s="38">
        <f ca="1">IF(O1852="","",IF(Tipo_Vertedor="Retangular",IF(O1852&lt;=cota_s*100,0,IF(Tipo_Vertedor="Retangular",Cd_sr*Lef_sr*((O1852/100-cota_s)^(3/2))*1000)),IF(O1852&lt;=cota_s*100+fi_s/20,0,(OFFSET('Base de dados'!$A$4,IF(O1852&lt;20,1,IF(O1852&gt;1000,10,MATCH(O1852,Cargas,1))),Coluna_fis,1,1))*(PI()*(fi_s/1000)^2/4)*(2*9.81*(O1852/100-cota_s-fi_s/2/1000))^0.5*1000)))</f>
        <v>4.9429604034005612</v>
      </c>
      <c r="R1852" s="38">
        <f t="shared" ca="1" si="230"/>
        <v>10.690236518036262</v>
      </c>
      <c r="S1852" s="38">
        <f t="shared" ca="1" si="231"/>
        <v>578.43750000000011</v>
      </c>
    </row>
    <row r="1853" spans="13:19">
      <c r="M1853" s="132">
        <f t="shared" ca="1" si="228"/>
        <v>589.4436063694335</v>
      </c>
      <c r="N1853" s="38">
        <f t="shared" si="229"/>
        <v>17.362500000000001</v>
      </c>
      <c r="O1853" s="36">
        <f t="shared" si="227"/>
        <v>463</v>
      </c>
      <c r="P1853" s="38">
        <f ca="1">IF(ISERROR(IF(O1853&lt;fi_h/20,0,(OFFSET('Base de dados'!$A$5,IF(O1853&lt;20,1,IF(O1853&gt;1000,10,MATCH(O1853,Cargas,1))),Coluna_fih,1,1))*(1+0.13*0.25)*(PI()*(fi_h/1000)^2/4)*SQRT(2*9.81*(O1853/100-fi_h/2/1000))*1000)),"",IF(O1853&lt;fi_h/20,0,(OFFSET('Base de dados'!$A$5,IF(O1853&lt;20,1,IF(O1853&gt;1000,10,MATCH(O1853,Cargas,1))),Coluna_fih,1,1))*(PI()*(fi_h/1000)^2/4)*SQRT(2*9.81*(O1853/100-fi_h/2/1000))*1000))</f>
        <v>5.7488343092611043</v>
      </c>
      <c r="Q1853" s="38">
        <f ca="1">IF(O1853="","",IF(Tipo_Vertedor="Retangular",IF(O1853&lt;=cota_s*100,0,IF(Tipo_Vertedor="Retangular",Cd_sr*Lef_sr*((O1853/100-cota_s)^(3/2))*1000)),IF(O1853&lt;=cota_s*100+fi_s/20,0,(OFFSET('Base de dados'!$A$4,IF(O1853&lt;20,1,IF(O1853&gt;1000,10,MATCH(O1853,Cargas,1))),Coluna_fis,1,1))*(PI()*(fi_s/1000)^2/4)*(2*9.81*(O1853/100-cota_s-fi_s/2/1000))^0.5*1000)))</f>
        <v>4.9447720601723812</v>
      </c>
      <c r="R1853" s="38">
        <f t="shared" ca="1" si="230"/>
        <v>10.693606369433486</v>
      </c>
      <c r="S1853" s="38">
        <f t="shared" ca="1" si="231"/>
        <v>578.75</v>
      </c>
    </row>
    <row r="1854" spans="13:19">
      <c r="M1854" s="132">
        <f t="shared" ca="1" si="228"/>
        <v>589.75947513509539</v>
      </c>
      <c r="N1854" s="38">
        <f t="shared" si="229"/>
        <v>17.371875000000003</v>
      </c>
      <c r="O1854" s="36">
        <f t="shared" si="227"/>
        <v>463.25</v>
      </c>
      <c r="P1854" s="38">
        <f ca="1">IF(ISERROR(IF(O1854&lt;fi_h/20,0,(OFFSET('Base de dados'!$A$5,IF(O1854&lt;20,1,IF(O1854&gt;1000,10,MATCH(O1854,Cargas,1))),Coluna_fih,1,1))*(1+0.13*0.25)*(PI()*(fi_h/1000)^2/4)*SQRT(2*9.81*(O1854/100-fi_h/2/1000))*1000)),"",IF(O1854&lt;fi_h/20,0,(OFFSET('Base de dados'!$A$5,IF(O1854&lt;20,1,IF(O1854&gt;1000,10,MATCH(O1854,Cargas,1))),Coluna_fih,1,1))*(PI()*(fi_h/1000)^2/4)*SQRT(2*9.81*(O1854/100-fi_h/2/1000))*1000))</f>
        <v>5.7503920816595784</v>
      </c>
      <c r="Q1854" s="38">
        <f ca="1">IF(O1854="","",IF(Tipo_Vertedor="Retangular",IF(O1854&lt;=cota_s*100,0,IF(Tipo_Vertedor="Retangular",Cd_sr*Lef_sr*((O1854/100-cota_s)^(3/2))*1000)),IF(O1854&lt;=cota_s*100+fi_s/20,0,(OFFSET('Base de dados'!$A$4,IF(O1854&lt;20,1,IF(O1854&gt;1000,10,MATCH(O1854,Cargas,1))),Coluna_fis,1,1))*(PI()*(fi_s/1000)^2/4)*(2*9.81*(O1854/100-cota_s-fi_s/2/1000))^0.5*1000)))</f>
        <v>4.9465830534356723</v>
      </c>
      <c r="R1854" s="38">
        <f t="shared" ca="1" si="230"/>
        <v>10.696975135095251</v>
      </c>
      <c r="S1854" s="38">
        <f t="shared" ca="1" si="231"/>
        <v>579.06250000000011</v>
      </c>
    </row>
    <row r="1855" spans="13:19">
      <c r="M1855" s="132">
        <f t="shared" ca="1" si="228"/>
        <v>590.07534281609298</v>
      </c>
      <c r="N1855" s="38">
        <f t="shared" si="229"/>
        <v>17.381249999999998</v>
      </c>
      <c r="O1855" s="36">
        <f t="shared" si="227"/>
        <v>463.5</v>
      </c>
      <c r="P1855" s="38">
        <f ca="1">IF(ISERROR(IF(O1855&lt;fi_h/20,0,(OFFSET('Base de dados'!$A$5,IF(O1855&lt;20,1,IF(O1855&gt;1000,10,MATCH(O1855,Cargas,1))),Coluna_fih,1,1))*(1+0.13*0.25)*(PI()*(fi_h/1000)^2/4)*SQRT(2*9.81*(O1855/100-fi_h/2/1000))*1000)),"",IF(O1855&lt;fi_h/20,0,(OFFSET('Base de dados'!$A$5,IF(O1855&lt;20,1,IF(O1855&gt;1000,10,MATCH(O1855,Cargas,1))),Coluna_fih,1,1))*(PI()*(fi_h/1000)^2/4)*SQRT(2*9.81*(O1855/100-fi_h/2/1000))*1000))</f>
        <v>5.75194943217417</v>
      </c>
      <c r="Q1855" s="38">
        <f ca="1">IF(O1855="","",IF(Tipo_Vertedor="Retangular",IF(O1855&lt;=cota_s*100,0,IF(Tipo_Vertedor="Retangular",Cd_sr*Lef_sr*((O1855/100-cota_s)^(3/2))*1000)),IF(O1855&lt;=cota_s*100+fi_s/20,0,(OFFSET('Base de dados'!$A$4,IF(O1855&lt;20,1,IF(O1855&gt;1000,10,MATCH(O1855,Cargas,1))),Coluna_fis,1,1))*(PI()*(fi_s/1000)^2/4)*(2*9.81*(O1855/100-cota_s-fi_s/2/1000))^0.5*1000)))</f>
        <v>4.9483933839189218</v>
      </c>
      <c r="R1855" s="38">
        <f t="shared" ca="1" si="230"/>
        <v>10.700342816093091</v>
      </c>
      <c r="S1855" s="38">
        <f t="shared" ca="1" si="231"/>
        <v>579.37499999999989</v>
      </c>
    </row>
    <row r="1856" spans="13:19">
      <c r="M1856" s="132">
        <f t="shared" ca="1" si="228"/>
        <v>590.39120941349677</v>
      </c>
      <c r="N1856" s="38">
        <f t="shared" si="229"/>
        <v>17.390625</v>
      </c>
      <c r="O1856" s="36">
        <f t="shared" si="227"/>
        <v>463.75</v>
      </c>
      <c r="P1856" s="38">
        <f ca="1">IF(ISERROR(IF(O1856&lt;fi_h/20,0,(OFFSET('Base de dados'!$A$5,IF(O1856&lt;20,1,IF(O1856&gt;1000,10,MATCH(O1856,Cargas,1))),Coluna_fih,1,1))*(1+0.13*0.25)*(PI()*(fi_h/1000)^2/4)*SQRT(2*9.81*(O1856/100-fi_h/2/1000))*1000)),"",IF(O1856&lt;fi_h/20,0,(OFFSET('Base de dados'!$A$5,IF(O1856&lt;20,1,IF(O1856&gt;1000,10,MATCH(O1856,Cargas,1))),Coluna_fih,1,1))*(PI()*(fi_h/1000)^2/4)*SQRT(2*9.81*(O1856/100-fi_h/2/1000))*1000))</f>
        <v>5.7535063611474637</v>
      </c>
      <c r="Q1856" s="38">
        <f ca="1">IF(O1856="","",IF(Tipo_Vertedor="Retangular",IF(O1856&lt;=cota_s*100,0,IF(Tipo_Vertedor="Retangular",Cd_sr*Lef_sr*((O1856/100-cota_s)^(3/2))*1000)),IF(O1856&lt;=cota_s*100+fi_s/20,0,(OFFSET('Base de dados'!$A$4,IF(O1856&lt;20,1,IF(O1856&gt;1000,10,MATCH(O1856,Cargas,1))),Coluna_fis,1,1))*(PI()*(fi_s/1000)^2/4)*(2*9.81*(O1856/100-cota_s-fi_s/2/1000))^0.5*1000)))</f>
        <v>4.9502030523492797</v>
      </c>
      <c r="R1856" s="38">
        <f t="shared" ca="1" si="230"/>
        <v>10.703709413496743</v>
      </c>
      <c r="S1856" s="38">
        <f t="shared" ca="1" si="231"/>
        <v>579.6875</v>
      </c>
    </row>
    <row r="1857" spans="13:19">
      <c r="M1857" s="132">
        <f t="shared" ca="1" si="228"/>
        <v>590.70707492837414</v>
      </c>
      <c r="N1857" s="38">
        <f t="shared" si="229"/>
        <v>17.399999999999999</v>
      </c>
      <c r="O1857" s="36">
        <f t="shared" si="227"/>
        <v>464</v>
      </c>
      <c r="P1857" s="38">
        <f ca="1">IF(ISERROR(IF(O1857&lt;fi_h/20,0,(OFFSET('Base de dados'!$A$5,IF(O1857&lt;20,1,IF(O1857&gt;1000,10,MATCH(O1857,Cargas,1))),Coluna_fih,1,1))*(1+0.13*0.25)*(PI()*(fi_h/1000)^2/4)*SQRT(2*9.81*(O1857/100-fi_h/2/1000))*1000)),"",IF(O1857&lt;fi_h/20,0,(OFFSET('Base de dados'!$A$5,IF(O1857&lt;20,1,IF(O1857&gt;1000,10,MATCH(O1857,Cargas,1))),Coluna_fih,1,1))*(PI()*(fi_h/1000)^2/4)*SQRT(2*9.81*(O1857/100-fi_h/2/1000))*1000))</f>
        <v>5.7550628689215815</v>
      </c>
      <c r="Q1857" s="38">
        <f ca="1">IF(O1857="","",IF(Tipo_Vertedor="Retangular",IF(O1857&lt;=cota_s*100,0,IF(Tipo_Vertedor="Retangular",Cd_sr*Lef_sr*((O1857/100-cota_s)^(3/2))*1000)),IF(O1857&lt;=cota_s*100+fi_s/20,0,(OFFSET('Base de dados'!$A$4,IF(O1857&lt;20,1,IF(O1857&gt;1000,10,MATCH(O1857,Cargas,1))),Coluna_fis,1,1))*(PI()*(fi_s/1000)^2/4)*(2*9.81*(O1857/100-cota_s-fi_s/2/1000))^0.5*1000)))</f>
        <v>4.9520120594525725</v>
      </c>
      <c r="R1857" s="38">
        <f t="shared" ca="1" si="230"/>
        <v>10.707074928374155</v>
      </c>
      <c r="S1857" s="38">
        <f t="shared" ca="1" si="231"/>
        <v>580</v>
      </c>
    </row>
    <row r="1858" spans="13:19">
      <c r="M1858" s="132">
        <f t="shared" ca="1" si="228"/>
        <v>591.02293936179149</v>
      </c>
      <c r="N1858" s="38">
        <f t="shared" si="229"/>
        <v>17.409375000000001</v>
      </c>
      <c r="O1858" s="36">
        <f t="shared" si="227"/>
        <v>464.25</v>
      </c>
      <c r="P1858" s="38">
        <f ca="1">IF(ISERROR(IF(O1858&lt;fi_h/20,0,(OFFSET('Base de dados'!$A$5,IF(O1858&lt;20,1,IF(O1858&gt;1000,10,MATCH(O1858,Cargas,1))),Coluna_fih,1,1))*(1+0.13*0.25)*(PI()*(fi_h/1000)^2/4)*SQRT(2*9.81*(O1858/100-fi_h/2/1000))*1000)),"",IF(O1858&lt;fi_h/20,0,(OFFSET('Base de dados'!$A$5,IF(O1858&lt;20,1,IF(O1858&gt;1000,10,MATCH(O1858,Cargas,1))),Coluna_fih,1,1))*(PI()*(fi_h/1000)^2/4)*SQRT(2*9.81*(O1858/100-fi_h/2/1000))*1000))</f>
        <v>5.7566189558381815</v>
      </c>
      <c r="Q1858" s="38">
        <f ca="1">IF(O1858="","",IF(Tipo_Vertedor="Retangular",IF(O1858&lt;=cota_s*100,0,IF(Tipo_Vertedor="Retangular",Cd_sr*Lef_sr*((O1858/100-cota_s)^(3/2))*1000)),IF(O1858&lt;=cota_s*100+fi_s/20,0,(OFFSET('Base de dados'!$A$4,IF(O1858&lt;20,1,IF(O1858&gt;1000,10,MATCH(O1858,Cargas,1))),Coluna_fis,1,1))*(PI()*(fi_s/1000)^2/4)*(2*9.81*(O1858/100-cota_s-fi_s/2/1000))^0.5*1000)))</f>
        <v>4.9538204059532971</v>
      </c>
      <c r="R1858" s="38">
        <f t="shared" ca="1" si="230"/>
        <v>10.710439361791479</v>
      </c>
      <c r="S1858" s="38">
        <f t="shared" ca="1" si="231"/>
        <v>580.3125</v>
      </c>
    </row>
    <row r="1859" spans="13:19">
      <c r="M1859" s="132">
        <f t="shared" ca="1" si="228"/>
        <v>591.33880271481314</v>
      </c>
      <c r="N1859" s="38">
        <f t="shared" si="229"/>
        <v>17.418749999999999</v>
      </c>
      <c r="O1859" s="36">
        <f t="shared" si="227"/>
        <v>464.5</v>
      </c>
      <c r="P1859" s="38">
        <f ca="1">IF(ISERROR(IF(O1859&lt;fi_h/20,0,(OFFSET('Base de dados'!$A$5,IF(O1859&lt;20,1,IF(O1859&gt;1000,10,MATCH(O1859,Cargas,1))),Coluna_fih,1,1))*(1+0.13*0.25)*(PI()*(fi_h/1000)^2/4)*SQRT(2*9.81*(O1859/100-fi_h/2/1000))*1000)),"",IF(O1859&lt;fi_h/20,0,(OFFSET('Base de dados'!$A$5,IF(O1859&lt;20,1,IF(O1859&gt;1000,10,MATCH(O1859,Cargas,1))),Coluna_fih,1,1))*(PI()*(fi_h/1000)^2/4)*SQRT(2*9.81*(O1859/100-fi_h/2/1000))*1000))</f>
        <v>5.758174622238462</v>
      </c>
      <c r="Q1859" s="38">
        <f ca="1">IF(O1859="","",IF(Tipo_Vertedor="Retangular",IF(O1859&lt;=cota_s*100,0,IF(Tipo_Vertedor="Retangular",Cd_sr*Lef_sr*((O1859/100-cota_s)^(3/2))*1000)),IF(O1859&lt;=cota_s*100+fi_s/20,0,(OFFSET('Base de dados'!$A$4,IF(O1859&lt;20,1,IF(O1859&gt;1000,10,MATCH(O1859,Cargas,1))),Coluna_fis,1,1))*(PI()*(fi_s/1000)^2/4)*(2*9.81*(O1859/100-cota_s-fi_s/2/1000))^0.5*1000)))</f>
        <v>4.9556280925746297</v>
      </c>
      <c r="R1859" s="38">
        <f t="shared" ca="1" si="230"/>
        <v>10.713802714813092</v>
      </c>
      <c r="S1859" s="38">
        <f t="shared" ca="1" si="231"/>
        <v>580.625</v>
      </c>
    </row>
    <row r="1860" spans="13:19">
      <c r="M1860" s="132">
        <f t="shared" ca="1" si="228"/>
        <v>591.65466498850162</v>
      </c>
      <c r="N1860" s="38">
        <f t="shared" si="229"/>
        <v>17.428125000000001</v>
      </c>
      <c r="O1860" s="36">
        <f t="shared" si="227"/>
        <v>464.75</v>
      </c>
      <c r="P1860" s="38">
        <f ca="1">IF(ISERROR(IF(O1860&lt;fi_h/20,0,(OFFSET('Base de dados'!$A$5,IF(O1860&lt;20,1,IF(O1860&gt;1000,10,MATCH(O1860,Cargas,1))),Coluna_fih,1,1))*(1+0.13*0.25)*(PI()*(fi_h/1000)^2/4)*SQRT(2*9.81*(O1860/100-fi_h/2/1000))*1000)),"",IF(O1860&lt;fi_h/20,0,(OFFSET('Base de dados'!$A$5,IF(O1860&lt;20,1,IF(O1860&gt;1000,10,MATCH(O1860,Cargas,1))),Coluna_fih,1,1))*(PI()*(fi_h/1000)^2/4)*SQRT(2*9.81*(O1860/100-fi_h/2/1000))*1000))</f>
        <v>5.7597298684631593</v>
      </c>
      <c r="Q1860" s="38">
        <f ca="1">IF(O1860="","",IF(Tipo_Vertedor="Retangular",IF(O1860&lt;=cota_s*100,0,IF(Tipo_Vertedor="Retangular",Cd_sr*Lef_sr*((O1860/100-cota_s)^(3/2))*1000)),IF(O1860&lt;=cota_s*100+fi_s/20,0,(OFFSET('Base de dados'!$A$4,IF(O1860&lt;20,1,IF(O1860&gt;1000,10,MATCH(O1860,Cargas,1))),Coluna_fis,1,1))*(PI()*(fi_s/1000)^2/4)*(2*9.81*(O1860/100-cota_s-fi_s/2/1000))^0.5*1000)))</f>
        <v>4.9574351200384283</v>
      </c>
      <c r="R1860" s="38">
        <f t="shared" ca="1" si="230"/>
        <v>10.717164988501587</v>
      </c>
      <c r="S1860" s="38">
        <f t="shared" ca="1" si="231"/>
        <v>580.9375</v>
      </c>
    </row>
    <row r="1861" spans="13:19">
      <c r="M1861" s="132">
        <f t="shared" ca="1" si="228"/>
        <v>591.97052618391774</v>
      </c>
      <c r="N1861" s="38">
        <f t="shared" si="229"/>
        <v>17.4375</v>
      </c>
      <c r="O1861" s="36">
        <f t="shared" si="227"/>
        <v>465</v>
      </c>
      <c r="P1861" s="38">
        <f ca="1">IF(ISERROR(IF(O1861&lt;fi_h/20,0,(OFFSET('Base de dados'!$A$5,IF(O1861&lt;20,1,IF(O1861&gt;1000,10,MATCH(O1861,Cargas,1))),Coluna_fih,1,1))*(1+0.13*0.25)*(PI()*(fi_h/1000)^2/4)*SQRT(2*9.81*(O1861/100-fi_h/2/1000))*1000)),"",IF(O1861&lt;fi_h/20,0,(OFFSET('Base de dados'!$A$5,IF(O1861&lt;20,1,IF(O1861&gt;1000,10,MATCH(O1861,Cargas,1))),Coluna_fih,1,1))*(PI()*(fi_h/1000)^2/4)*SQRT(2*9.81*(O1861/100-fi_h/2/1000))*1000))</f>
        <v>5.7612846948525469</v>
      </c>
      <c r="Q1861" s="38">
        <f ca="1">IF(O1861="","",IF(Tipo_Vertedor="Retangular",IF(O1861&lt;=cota_s*100,0,IF(Tipo_Vertedor="Retangular",Cd_sr*Lef_sr*((O1861/100-cota_s)^(3/2))*1000)),IF(O1861&lt;=cota_s*100+fi_s/20,0,(OFFSET('Base de dados'!$A$4,IF(O1861&lt;20,1,IF(O1861&gt;1000,10,MATCH(O1861,Cargas,1))),Coluna_fis,1,1))*(PI()*(fi_s/1000)^2/4)*(2*9.81*(O1861/100-cota_s-fi_s/2/1000))^0.5*1000)))</f>
        <v>4.9592414890652394</v>
      </c>
      <c r="R1861" s="38">
        <f t="shared" ca="1" si="230"/>
        <v>10.720526183917787</v>
      </c>
      <c r="S1861" s="38">
        <f t="shared" ca="1" si="231"/>
        <v>581.25</v>
      </c>
    </row>
    <row r="1862" spans="13:19">
      <c r="M1862" s="132">
        <f t="shared" ca="1" si="228"/>
        <v>592.28638630212072</v>
      </c>
      <c r="N1862" s="38">
        <f t="shared" si="229"/>
        <v>17.446874999999999</v>
      </c>
      <c r="O1862" s="36">
        <f t="shared" si="227"/>
        <v>465.25</v>
      </c>
      <c r="P1862" s="38">
        <f ca="1">IF(ISERROR(IF(O1862&lt;fi_h/20,0,(OFFSET('Base de dados'!$A$5,IF(O1862&lt;20,1,IF(O1862&gt;1000,10,MATCH(O1862,Cargas,1))),Coluna_fih,1,1))*(1+0.13*0.25)*(PI()*(fi_h/1000)^2/4)*SQRT(2*9.81*(O1862/100-fi_h/2/1000))*1000)),"",IF(O1862&lt;fi_h/20,0,(OFFSET('Base de dados'!$A$5,IF(O1862&lt;20,1,IF(O1862&gt;1000,10,MATCH(O1862,Cargas,1))),Coluna_fih,1,1))*(PI()*(fi_h/1000)^2/4)*SQRT(2*9.81*(O1862/100-fi_h/2/1000))*1000))</f>
        <v>5.7628391017464455</v>
      </c>
      <c r="Q1862" s="38">
        <f ca="1">IF(O1862="","",IF(Tipo_Vertedor="Retangular",IF(O1862&lt;=cota_s*100,0,IF(Tipo_Vertedor="Retangular",Cd_sr*Lef_sr*((O1862/100-cota_s)^(3/2))*1000)),IF(O1862&lt;=cota_s*100+fi_s/20,0,(OFFSET('Base de dados'!$A$4,IF(O1862&lt;20,1,IF(O1862&gt;1000,10,MATCH(O1862,Cargas,1))),Coluna_fis,1,1))*(PI()*(fi_s/1000)^2/4)*(2*9.81*(O1862/100-cota_s-fi_s/2/1000))^0.5*1000)))</f>
        <v>4.9610472003742903</v>
      </c>
      <c r="R1862" s="38">
        <f t="shared" ca="1" si="230"/>
        <v>10.723886302120736</v>
      </c>
      <c r="S1862" s="38">
        <f t="shared" ca="1" si="231"/>
        <v>581.5625</v>
      </c>
    </row>
    <row r="1863" spans="13:19">
      <c r="M1863" s="132">
        <f t="shared" ca="1" si="228"/>
        <v>592.60224534416773</v>
      </c>
      <c r="N1863" s="38">
        <f t="shared" si="229"/>
        <v>17.456250000000001</v>
      </c>
      <c r="O1863" s="36">
        <f t="shared" si="227"/>
        <v>465.5</v>
      </c>
      <c r="P1863" s="38">
        <f ca="1">IF(ISERROR(IF(O1863&lt;fi_h/20,0,(OFFSET('Base de dados'!$A$5,IF(O1863&lt;20,1,IF(O1863&gt;1000,10,MATCH(O1863,Cargas,1))),Coluna_fih,1,1))*(1+0.13*0.25)*(PI()*(fi_h/1000)^2/4)*SQRT(2*9.81*(O1863/100-fi_h/2/1000))*1000)),"",IF(O1863&lt;fi_h/20,0,(OFFSET('Base de dados'!$A$5,IF(O1863&lt;20,1,IF(O1863&gt;1000,10,MATCH(O1863,Cargas,1))),Coluna_fih,1,1))*(PI()*(fi_h/1000)^2/4)*SQRT(2*9.81*(O1863/100-fi_h/2/1000))*1000))</f>
        <v>5.7643930894842139</v>
      </c>
      <c r="Q1863" s="38">
        <f ca="1">IF(O1863="","",IF(Tipo_Vertedor="Retangular",IF(O1863&lt;=cota_s*100,0,IF(Tipo_Vertedor="Retangular",Cd_sr*Lef_sr*((O1863/100-cota_s)^(3/2))*1000)),IF(O1863&lt;=cota_s*100+fi_s/20,0,(OFFSET('Base de dados'!$A$4,IF(O1863&lt;20,1,IF(O1863&gt;1000,10,MATCH(O1863,Cargas,1))),Coluna_fis,1,1))*(PI()*(fi_s/1000)^2/4)*(2*9.81*(O1863/100-cota_s-fi_s/2/1000))^0.5*1000)))</f>
        <v>4.9628522546835052</v>
      </c>
      <c r="R1863" s="38">
        <f t="shared" ca="1" si="230"/>
        <v>10.72724534416772</v>
      </c>
      <c r="S1863" s="38">
        <f t="shared" ca="1" si="231"/>
        <v>581.875</v>
      </c>
    </row>
    <row r="1864" spans="13:19">
      <c r="M1864" s="132">
        <f t="shared" ca="1" si="228"/>
        <v>592.91810331111424</v>
      </c>
      <c r="N1864" s="38">
        <f t="shared" si="229"/>
        <v>17.465624999999999</v>
      </c>
      <c r="O1864" s="36">
        <f t="shared" si="227"/>
        <v>465.75</v>
      </c>
      <c r="P1864" s="38">
        <f ca="1">IF(ISERROR(IF(O1864&lt;fi_h/20,0,(OFFSET('Base de dados'!$A$5,IF(O1864&lt;20,1,IF(O1864&gt;1000,10,MATCH(O1864,Cargas,1))),Coluna_fih,1,1))*(1+0.13*0.25)*(PI()*(fi_h/1000)^2/4)*SQRT(2*9.81*(O1864/100-fi_h/2/1000))*1000)),"",IF(O1864&lt;fi_h/20,0,(OFFSET('Base de dados'!$A$5,IF(O1864&lt;20,1,IF(O1864&gt;1000,10,MATCH(O1864,Cargas,1))),Coluna_fih,1,1))*(PI()*(fi_h/1000)^2/4)*SQRT(2*9.81*(O1864/100-fi_h/2/1000))*1000))</f>
        <v>5.7659466584047516</v>
      </c>
      <c r="Q1864" s="38">
        <f ca="1">IF(O1864="","",IF(Tipo_Vertedor="Retangular",IF(O1864&lt;=cota_s*100,0,IF(Tipo_Vertedor="Retangular",Cd_sr*Lef_sr*((O1864/100-cota_s)^(3/2))*1000)),IF(O1864&lt;=cota_s*100+fi_s/20,0,(OFFSET('Base de dados'!$A$4,IF(O1864&lt;20,1,IF(O1864&gt;1000,10,MATCH(O1864,Cargas,1))),Coluna_fis,1,1))*(PI()*(fi_s/1000)^2/4)*(2*9.81*(O1864/100-cota_s-fi_s/2/1000))^0.5*1000)))</f>
        <v>4.9646566527095031</v>
      </c>
      <c r="R1864" s="38">
        <f t="shared" ca="1" si="230"/>
        <v>10.730603311114255</v>
      </c>
      <c r="S1864" s="38">
        <f t="shared" ca="1" si="231"/>
        <v>582.1875</v>
      </c>
    </row>
    <row r="1865" spans="13:19">
      <c r="M1865" s="132">
        <f t="shared" ca="1" si="228"/>
        <v>593.23396020401412</v>
      </c>
      <c r="N1865" s="38">
        <f t="shared" si="229"/>
        <v>17.475000000000001</v>
      </c>
      <c r="O1865" s="36">
        <f t="shared" si="227"/>
        <v>466</v>
      </c>
      <c r="P1865" s="38">
        <f ca="1">IF(ISERROR(IF(O1865&lt;fi_h/20,0,(OFFSET('Base de dados'!$A$5,IF(O1865&lt;20,1,IF(O1865&gt;1000,10,MATCH(O1865,Cargas,1))),Coluna_fih,1,1))*(1+0.13*0.25)*(PI()*(fi_h/1000)^2/4)*SQRT(2*9.81*(O1865/100-fi_h/2/1000))*1000)),"",IF(O1865&lt;fi_h/20,0,(OFFSET('Base de dados'!$A$5,IF(O1865&lt;20,1,IF(O1865&gt;1000,10,MATCH(O1865,Cargas,1))),Coluna_fih,1,1))*(PI()*(fi_h/1000)^2/4)*SQRT(2*9.81*(O1865/100-fi_h/2/1000))*1000))</f>
        <v>5.7674998088465088</v>
      </c>
      <c r="Q1865" s="38">
        <f ca="1">IF(O1865="","",IF(Tipo_Vertedor="Retangular",IF(O1865&lt;=cota_s*100,0,IF(Tipo_Vertedor="Retangular",Cd_sr*Lef_sr*((O1865/100-cota_s)^(3/2))*1000)),IF(O1865&lt;=cota_s*100+fi_s/20,0,(OFFSET('Base de dados'!$A$4,IF(O1865&lt;20,1,IF(O1865&gt;1000,10,MATCH(O1865,Cargas,1))),Coluna_fis,1,1))*(PI()*(fi_s/1000)^2/4)*(2*9.81*(O1865/100-cota_s-fi_s/2/1000))^0.5*1000)))</f>
        <v>4.9664603951676005</v>
      </c>
      <c r="R1865" s="38">
        <f t="shared" ca="1" si="230"/>
        <v>10.73396020401411</v>
      </c>
      <c r="S1865" s="38">
        <f t="shared" ca="1" si="231"/>
        <v>582.5</v>
      </c>
    </row>
    <row r="1866" spans="13:19">
      <c r="M1866" s="132">
        <f t="shared" ca="1" si="228"/>
        <v>593.54981602391933</v>
      </c>
      <c r="N1866" s="38">
        <f t="shared" si="229"/>
        <v>17.484375</v>
      </c>
      <c r="O1866" s="36">
        <f t="shared" si="227"/>
        <v>466.25</v>
      </c>
      <c r="P1866" s="38">
        <f ca="1">IF(ISERROR(IF(O1866&lt;fi_h/20,0,(OFFSET('Base de dados'!$A$5,IF(O1866&lt;20,1,IF(O1866&gt;1000,10,MATCH(O1866,Cargas,1))),Coluna_fih,1,1))*(1+0.13*0.25)*(PI()*(fi_h/1000)^2/4)*SQRT(2*9.81*(O1866/100-fi_h/2/1000))*1000)),"",IF(O1866&lt;fi_h/20,0,(OFFSET('Base de dados'!$A$5,IF(O1866&lt;20,1,IF(O1866&gt;1000,10,MATCH(O1866,Cargas,1))),Coluna_fih,1,1))*(PI()*(fi_h/1000)^2/4)*SQRT(2*9.81*(O1866/100-fi_h/2/1000))*1000))</f>
        <v>5.7690525411474693</v>
      </c>
      <c r="Q1866" s="38">
        <f ca="1">IF(O1866="","",IF(Tipo_Vertedor="Retangular",IF(O1866&lt;=cota_s*100,0,IF(Tipo_Vertedor="Retangular",Cd_sr*Lef_sr*((O1866/100-cota_s)^(3/2))*1000)),IF(O1866&lt;=cota_s*100+fi_s/20,0,(OFFSET('Base de dados'!$A$4,IF(O1866&lt;20,1,IF(O1866&gt;1000,10,MATCH(O1866,Cargas,1))),Coluna_fis,1,1))*(PI()*(fi_s/1000)^2/4)*(2*9.81*(O1866/100-cota_s-fi_s/2/1000))^0.5*1000)))</f>
        <v>4.9682634827718113</v>
      </c>
      <c r="R1866" s="38">
        <f t="shared" ca="1" si="230"/>
        <v>10.737316023919281</v>
      </c>
      <c r="S1866" s="38">
        <f t="shared" ca="1" si="231"/>
        <v>582.8125</v>
      </c>
    </row>
    <row r="1867" spans="13:19">
      <c r="M1867" s="132">
        <f t="shared" ca="1" si="228"/>
        <v>593.86567077187999</v>
      </c>
      <c r="N1867" s="38">
        <f t="shared" si="229"/>
        <v>17.493749999999999</v>
      </c>
      <c r="O1867" s="36">
        <f t="shared" si="227"/>
        <v>466.5</v>
      </c>
      <c r="P1867" s="38">
        <f ca="1">IF(ISERROR(IF(O1867&lt;fi_h/20,0,(OFFSET('Base de dados'!$A$5,IF(O1867&lt;20,1,IF(O1867&gt;1000,10,MATCH(O1867,Cargas,1))),Coluna_fih,1,1))*(1+0.13*0.25)*(PI()*(fi_h/1000)^2/4)*SQRT(2*9.81*(O1867/100-fi_h/2/1000))*1000)),"",IF(O1867&lt;fi_h/20,0,(OFFSET('Base de dados'!$A$5,IF(O1867&lt;20,1,IF(O1867&gt;1000,10,MATCH(O1867,Cargas,1))),Coluna_fih,1,1))*(PI()*(fi_h/1000)^2/4)*SQRT(2*9.81*(O1867/100-fi_h/2/1000))*1000))</f>
        <v>5.770604855645173</v>
      </c>
      <c r="Q1867" s="38">
        <f ca="1">IF(O1867="","",IF(Tipo_Vertedor="Retangular",IF(O1867&lt;=cota_s*100,0,IF(Tipo_Vertedor="Retangular",Cd_sr*Lef_sr*((O1867/100-cota_s)^(3/2))*1000)),IF(O1867&lt;=cota_s*100+fi_s/20,0,(OFFSET('Base de dados'!$A$4,IF(O1867&lt;20,1,IF(O1867&gt;1000,10,MATCH(O1867,Cargas,1))),Coluna_fis,1,1))*(PI()*(fi_s/1000)^2/4)*(2*9.81*(O1867/100-cota_s-fi_s/2/1000))^0.5*1000)))</f>
        <v>4.9700659162348604</v>
      </c>
      <c r="R1867" s="38">
        <f t="shared" ca="1" si="230"/>
        <v>10.740670771880033</v>
      </c>
      <c r="S1867" s="38">
        <f t="shared" ca="1" si="231"/>
        <v>583.125</v>
      </c>
    </row>
    <row r="1868" spans="13:19">
      <c r="M1868" s="132">
        <f t="shared" ca="1" si="228"/>
        <v>594.18152444894486</v>
      </c>
      <c r="N1868" s="38">
        <f t="shared" si="229"/>
        <v>17.503125000000001</v>
      </c>
      <c r="O1868" s="36">
        <f t="shared" si="227"/>
        <v>466.75</v>
      </c>
      <c r="P1868" s="38">
        <f ca="1">IF(ISERROR(IF(O1868&lt;fi_h/20,0,(OFFSET('Base de dados'!$A$5,IF(O1868&lt;20,1,IF(O1868&gt;1000,10,MATCH(O1868,Cargas,1))),Coluna_fih,1,1))*(1+0.13*0.25)*(PI()*(fi_h/1000)^2/4)*SQRT(2*9.81*(O1868/100-fi_h/2/1000))*1000)),"",IF(O1868&lt;fi_h/20,0,(OFFSET('Base de dados'!$A$5,IF(O1868&lt;20,1,IF(O1868&gt;1000,10,MATCH(O1868,Cargas,1))),Coluna_fih,1,1))*(PI()*(fi_h/1000)^2/4)*SQRT(2*9.81*(O1868/100-fi_h/2/1000))*1000))</f>
        <v>5.7721567526767013</v>
      </c>
      <c r="Q1868" s="38">
        <f ca="1">IF(O1868="","",IF(Tipo_Vertedor="Retangular",IF(O1868&lt;=cota_s*100,0,IF(Tipo_Vertedor="Retangular",Cd_sr*Lef_sr*((O1868/100-cota_s)^(3/2))*1000)),IF(O1868&lt;=cota_s*100+fi_s/20,0,(OFFSET('Base de dados'!$A$4,IF(O1868&lt;20,1,IF(O1868&gt;1000,10,MATCH(O1868,Cargas,1))),Coluna_fis,1,1))*(PI()*(fi_s/1000)^2/4)*(2*9.81*(O1868/100-cota_s-fi_s/2/1000))^0.5*1000)))</f>
        <v>4.9718676962681778</v>
      </c>
      <c r="R1868" s="38">
        <f t="shared" ca="1" si="230"/>
        <v>10.744024448944879</v>
      </c>
      <c r="S1868" s="38">
        <f t="shared" ca="1" si="231"/>
        <v>583.4375</v>
      </c>
    </row>
    <row r="1869" spans="13:19">
      <c r="M1869" s="132">
        <f t="shared" ca="1" si="228"/>
        <v>594.49737705616053</v>
      </c>
      <c r="N1869" s="38">
        <f t="shared" si="229"/>
        <v>17.512499999999999</v>
      </c>
      <c r="O1869" s="36">
        <f t="shared" si="227"/>
        <v>467</v>
      </c>
      <c r="P1869" s="38">
        <f ca="1">IF(ISERROR(IF(O1869&lt;fi_h/20,0,(OFFSET('Base de dados'!$A$5,IF(O1869&lt;20,1,IF(O1869&gt;1000,10,MATCH(O1869,Cargas,1))),Coluna_fih,1,1))*(1+0.13*0.25)*(PI()*(fi_h/1000)^2/4)*SQRT(2*9.81*(O1869/100-fi_h/2/1000))*1000)),"",IF(O1869&lt;fi_h/20,0,(OFFSET('Base de dados'!$A$5,IF(O1869&lt;20,1,IF(O1869&gt;1000,10,MATCH(O1869,Cargas,1))),Coluna_fih,1,1))*(PI()*(fi_h/1000)^2/4)*SQRT(2*9.81*(O1869/100-fi_h/2/1000))*1000))</f>
        <v>5.7737082325786782</v>
      </c>
      <c r="Q1869" s="38">
        <f ca="1">IF(O1869="","",IF(Tipo_Vertedor="Retangular",IF(O1869&lt;=cota_s*100,0,IF(Tipo_Vertedor="Retangular",Cd_sr*Lef_sr*((O1869/100-cota_s)^(3/2))*1000)),IF(O1869&lt;=cota_s*100+fi_s/20,0,(OFFSET('Base de dados'!$A$4,IF(O1869&lt;20,1,IF(O1869&gt;1000,10,MATCH(O1869,Cargas,1))),Coluna_fis,1,1))*(PI()*(fi_s/1000)^2/4)*(2*9.81*(O1869/100-cota_s-fi_s/2/1000))^0.5*1000)))</f>
        <v>4.9736688235819058</v>
      </c>
      <c r="R1869" s="38">
        <f t="shared" ca="1" si="230"/>
        <v>10.747377056160584</v>
      </c>
      <c r="S1869" s="38">
        <f t="shared" ca="1" si="231"/>
        <v>583.75</v>
      </c>
    </row>
    <row r="1870" spans="13:19">
      <c r="M1870" s="132">
        <f t="shared" ca="1" si="228"/>
        <v>594.81322859457214</v>
      </c>
      <c r="N1870" s="38">
        <f t="shared" si="229"/>
        <v>17.521875000000001</v>
      </c>
      <c r="O1870" s="36">
        <f t="shared" si="227"/>
        <v>467.25</v>
      </c>
      <c r="P1870" s="38">
        <f ca="1">IF(ISERROR(IF(O1870&lt;fi_h/20,0,(OFFSET('Base de dados'!$A$5,IF(O1870&lt;20,1,IF(O1870&gt;1000,10,MATCH(O1870,Cargas,1))),Coluna_fih,1,1))*(1+0.13*0.25)*(PI()*(fi_h/1000)^2/4)*SQRT(2*9.81*(O1870/100-fi_h/2/1000))*1000)),"",IF(O1870&lt;fi_h/20,0,(OFFSET('Base de dados'!$A$5,IF(O1870&lt;20,1,IF(O1870&gt;1000,10,MATCH(O1870,Cargas,1))),Coluna_fih,1,1))*(PI()*(fi_h/1000)^2/4)*SQRT(2*9.81*(O1870/100-fi_h/2/1000))*1000))</f>
        <v>5.7752592956872846</v>
      </c>
      <c r="Q1870" s="38">
        <f ca="1">IF(O1870="","",IF(Tipo_Vertedor="Retangular",IF(O1870&lt;=cota_s*100,0,IF(Tipo_Vertedor="Retangular",Cd_sr*Lef_sr*((O1870/100-cota_s)^(3/2))*1000)),IF(O1870&lt;=cota_s*100+fi_s/20,0,(OFFSET('Base de dados'!$A$4,IF(O1870&lt;20,1,IF(O1870&gt;1000,10,MATCH(O1870,Cargas,1))),Coluna_fis,1,1))*(PI()*(fi_s/1000)^2/4)*(2*9.81*(O1870/100-cota_s-fi_s/2/1000))^0.5*1000)))</f>
        <v>4.9754692988848985</v>
      </c>
      <c r="R1870" s="38">
        <f t="shared" ca="1" si="230"/>
        <v>10.750728594572184</v>
      </c>
      <c r="S1870" s="38">
        <f t="shared" ca="1" si="231"/>
        <v>584.0625</v>
      </c>
    </row>
    <row r="1871" spans="13:19">
      <c r="M1871" s="132">
        <f t="shared" ca="1" si="228"/>
        <v>595.12907906522298</v>
      </c>
      <c r="N1871" s="38">
        <f t="shared" si="229"/>
        <v>17.53125</v>
      </c>
      <c r="O1871" s="36">
        <f t="shared" si="227"/>
        <v>467.5</v>
      </c>
      <c r="P1871" s="38">
        <f ca="1">IF(ISERROR(IF(O1871&lt;fi_h/20,0,(OFFSET('Base de dados'!$A$5,IF(O1871&lt;20,1,IF(O1871&gt;1000,10,MATCH(O1871,Cargas,1))),Coluna_fih,1,1))*(1+0.13*0.25)*(PI()*(fi_h/1000)^2/4)*SQRT(2*9.81*(O1871/100-fi_h/2/1000))*1000)),"",IF(O1871&lt;fi_h/20,0,(OFFSET('Base de dados'!$A$5,IF(O1871&lt;20,1,IF(O1871&gt;1000,10,MATCH(O1871,Cargas,1))),Coluna_fih,1,1))*(PI()*(fi_h/1000)^2/4)*SQRT(2*9.81*(O1871/100-fi_h/2/1000))*1000))</f>
        <v>5.7768099423382422</v>
      </c>
      <c r="Q1871" s="38">
        <f ca="1">IF(O1871="","",IF(Tipo_Vertedor="Retangular",IF(O1871&lt;=cota_s*100,0,IF(Tipo_Vertedor="Retangular",Cd_sr*Lef_sr*((O1871/100-cota_s)^(3/2))*1000)),IF(O1871&lt;=cota_s*100+fi_s/20,0,(OFFSET('Base de dados'!$A$4,IF(O1871&lt;20,1,IF(O1871&gt;1000,10,MATCH(O1871,Cargas,1))),Coluna_fis,1,1))*(PI()*(fi_s/1000)^2/4)*(2*9.81*(O1871/100-cota_s-fi_s/2/1000))^0.5*1000)))</f>
        <v>4.9772691228847332</v>
      </c>
      <c r="R1871" s="38">
        <f t="shared" ca="1" si="230"/>
        <v>10.754079065222975</v>
      </c>
      <c r="S1871" s="38">
        <f t="shared" ca="1" si="231"/>
        <v>584.375</v>
      </c>
    </row>
    <row r="1872" spans="13:19">
      <c r="M1872" s="132">
        <f t="shared" ca="1" si="228"/>
        <v>595.44492846915466</v>
      </c>
      <c r="N1872" s="38">
        <f t="shared" si="229"/>
        <v>17.540625000000002</v>
      </c>
      <c r="O1872" s="36">
        <f t="shared" si="227"/>
        <v>467.75</v>
      </c>
      <c r="P1872" s="38">
        <f ca="1">IF(ISERROR(IF(O1872&lt;fi_h/20,0,(OFFSET('Base de dados'!$A$5,IF(O1872&lt;20,1,IF(O1872&gt;1000,10,MATCH(O1872,Cargas,1))),Coluna_fih,1,1))*(1+0.13*0.25)*(PI()*(fi_h/1000)^2/4)*SQRT(2*9.81*(O1872/100-fi_h/2/1000))*1000)),"",IF(O1872&lt;fi_h/20,0,(OFFSET('Base de dados'!$A$5,IF(O1872&lt;20,1,IF(O1872&gt;1000,10,MATCH(O1872,Cargas,1))),Coluna_fih,1,1))*(PI()*(fi_h/1000)^2/4)*SQRT(2*9.81*(O1872/100-fi_h/2/1000))*1000))</f>
        <v>5.7783601728668268</v>
      </c>
      <c r="Q1872" s="38">
        <f ca="1">IF(O1872="","",IF(Tipo_Vertedor="Retangular",IF(O1872&lt;=cota_s*100,0,IF(Tipo_Vertedor="Retangular",Cd_sr*Lef_sr*((O1872/100-cota_s)^(3/2))*1000)),IF(O1872&lt;=cota_s*100+fi_s/20,0,(OFFSET('Base de dados'!$A$4,IF(O1872&lt;20,1,IF(O1872&gt;1000,10,MATCH(O1872,Cargas,1))),Coluna_fis,1,1))*(PI()*(fi_s/1000)^2/4)*(2*9.81*(O1872/100-cota_s-fi_s/2/1000))^0.5*1000)))</f>
        <v>4.9790682962877035</v>
      </c>
      <c r="R1872" s="38">
        <f t="shared" ca="1" si="230"/>
        <v>10.757428469154529</v>
      </c>
      <c r="S1872" s="38">
        <f t="shared" ca="1" si="231"/>
        <v>584.68750000000011</v>
      </c>
    </row>
    <row r="1873" spans="13:19">
      <c r="M1873" s="132">
        <f t="shared" ca="1" si="228"/>
        <v>595.76077680740661</v>
      </c>
      <c r="N1873" s="38">
        <f t="shared" si="229"/>
        <v>17.549999999999997</v>
      </c>
      <c r="O1873" s="36">
        <f t="shared" si="227"/>
        <v>468</v>
      </c>
      <c r="P1873" s="38">
        <f ca="1">IF(ISERROR(IF(O1873&lt;fi_h/20,0,(OFFSET('Base de dados'!$A$5,IF(O1873&lt;20,1,IF(O1873&gt;1000,10,MATCH(O1873,Cargas,1))),Coluna_fih,1,1))*(1+0.13*0.25)*(PI()*(fi_h/1000)^2/4)*SQRT(2*9.81*(O1873/100-fi_h/2/1000))*1000)),"",IF(O1873&lt;fi_h/20,0,(OFFSET('Base de dados'!$A$5,IF(O1873&lt;20,1,IF(O1873&gt;1000,10,MATCH(O1873,Cargas,1))),Coluna_fih,1,1))*(PI()*(fi_h/1000)^2/4)*SQRT(2*9.81*(O1873/100-fi_h/2/1000))*1000))</f>
        <v>5.7799099876078603</v>
      </c>
      <c r="Q1873" s="38">
        <f ca="1">IF(O1873="","",IF(Tipo_Vertedor="Retangular",IF(O1873&lt;=cota_s*100,0,IF(Tipo_Vertedor="Retangular",Cd_sr*Lef_sr*((O1873/100-cota_s)^(3/2))*1000)),IF(O1873&lt;=cota_s*100+fi_s/20,0,(OFFSET('Base de dados'!$A$4,IF(O1873&lt;20,1,IF(O1873&gt;1000,10,MATCH(O1873,Cargas,1))),Coluna_fis,1,1))*(PI()*(fi_s/1000)^2/4)*(2*9.81*(O1873/100-cota_s-fi_s/2/1000))^0.5*1000)))</f>
        <v>4.9808668197988304</v>
      </c>
      <c r="R1873" s="38">
        <f t="shared" ca="1" si="230"/>
        <v>10.760776807406691</v>
      </c>
      <c r="S1873" s="38">
        <f t="shared" ca="1" si="231"/>
        <v>584.99999999999989</v>
      </c>
    </row>
    <row r="1874" spans="13:19">
      <c r="M1874" s="132">
        <f t="shared" ca="1" si="228"/>
        <v>596.0766240810176</v>
      </c>
      <c r="N1874" s="38">
        <f t="shared" si="229"/>
        <v>17.559374999999999</v>
      </c>
      <c r="O1874" s="36">
        <f t="shared" si="227"/>
        <v>468.25</v>
      </c>
      <c r="P1874" s="38">
        <f ca="1">IF(ISERROR(IF(O1874&lt;fi_h/20,0,(OFFSET('Base de dados'!$A$5,IF(O1874&lt;20,1,IF(O1874&gt;1000,10,MATCH(O1874,Cargas,1))),Coluna_fih,1,1))*(1+0.13*0.25)*(PI()*(fi_h/1000)^2/4)*SQRT(2*9.81*(O1874/100-fi_h/2/1000))*1000)),"",IF(O1874&lt;fi_h/20,0,(OFFSET('Base de dados'!$A$5,IF(O1874&lt;20,1,IF(O1874&gt;1000,10,MATCH(O1874,Cargas,1))),Coluna_fih,1,1))*(PI()*(fi_h/1000)^2/4)*SQRT(2*9.81*(O1874/100-fi_h/2/1000))*1000))</f>
        <v>5.7814593868957243</v>
      </c>
      <c r="Q1874" s="38">
        <f ca="1">IF(O1874="","",IF(Tipo_Vertedor="Retangular",IF(O1874&lt;=cota_s*100,0,IF(Tipo_Vertedor="Retangular",Cd_sr*Lef_sr*((O1874/100-cota_s)^(3/2))*1000)),IF(O1874&lt;=cota_s*100+fi_s/20,0,(OFFSET('Base de dados'!$A$4,IF(O1874&lt;20,1,IF(O1874&gt;1000,10,MATCH(O1874,Cargas,1))),Coluna_fis,1,1))*(PI()*(fi_s/1000)^2/4)*(2*9.81*(O1874/100-cota_s-fi_s/2/1000))^0.5*1000)))</f>
        <v>4.9826646941218602</v>
      </c>
      <c r="R1874" s="38">
        <f t="shared" ca="1" si="230"/>
        <v>10.764124081017584</v>
      </c>
      <c r="S1874" s="38">
        <f t="shared" ca="1" si="231"/>
        <v>585.3125</v>
      </c>
    </row>
    <row r="1875" spans="13:19">
      <c r="M1875" s="132">
        <f t="shared" ca="1" si="228"/>
        <v>596.39247029102353</v>
      </c>
      <c r="N1875" s="38">
        <f t="shared" si="229"/>
        <v>17.568749999999998</v>
      </c>
      <c r="O1875" s="36">
        <f t="shared" ref="O1875:O1938" si="232">IF(ISERROR(IF(O1874+passo_altura&gt;h_max_puls*100,"",O1874+passo_altura)),"",IF(O1874+passo_altura&gt;h_max_puls*100,"",O1874+passo_altura))</f>
        <v>468.5</v>
      </c>
      <c r="P1875" s="38">
        <f ca="1">IF(ISERROR(IF(O1875&lt;fi_h/20,0,(OFFSET('Base de dados'!$A$5,IF(O1875&lt;20,1,IF(O1875&gt;1000,10,MATCH(O1875,Cargas,1))),Coluna_fih,1,1))*(1+0.13*0.25)*(PI()*(fi_h/1000)^2/4)*SQRT(2*9.81*(O1875/100-fi_h/2/1000))*1000)),"",IF(O1875&lt;fi_h/20,0,(OFFSET('Base de dados'!$A$5,IF(O1875&lt;20,1,IF(O1875&gt;1000,10,MATCH(O1875,Cargas,1))),Coluna_fih,1,1))*(PI()*(fi_h/1000)^2/4)*SQRT(2*9.81*(O1875/100-fi_h/2/1000))*1000))</f>
        <v>5.7830083710643425</v>
      </c>
      <c r="Q1875" s="38">
        <f ca="1">IF(O1875="","",IF(Tipo_Vertedor="Retangular",IF(O1875&lt;=cota_s*100,0,IF(Tipo_Vertedor="Retangular",Cd_sr*Lef_sr*((O1875/100-cota_s)^(3/2))*1000)),IF(O1875&lt;=cota_s*100+fi_s/20,0,(OFFSET('Base de dados'!$A$4,IF(O1875&lt;20,1,IF(O1875&gt;1000,10,MATCH(O1875,Cargas,1))),Coluna_fis,1,1))*(PI()*(fi_s/1000)^2/4)*(2*9.81*(O1875/100-cota_s-fi_s/2/1000))^0.5*1000)))</f>
        <v>4.984461919959271</v>
      </c>
      <c r="R1875" s="38">
        <f t="shared" ca="1" si="230"/>
        <v>10.767470291023614</v>
      </c>
      <c r="S1875" s="38">
        <f t="shared" ca="1" si="231"/>
        <v>585.62499999999989</v>
      </c>
    </row>
    <row r="1876" spans="13:19">
      <c r="M1876" s="132">
        <f t="shared" ca="1" si="228"/>
        <v>596.70831543845952</v>
      </c>
      <c r="N1876" s="38">
        <f t="shared" si="229"/>
        <v>17.578125</v>
      </c>
      <c r="O1876" s="36">
        <f t="shared" si="232"/>
        <v>468.75</v>
      </c>
      <c r="P1876" s="38">
        <f ca="1">IF(ISERROR(IF(O1876&lt;fi_h/20,0,(OFFSET('Base de dados'!$A$5,IF(O1876&lt;20,1,IF(O1876&gt;1000,10,MATCH(O1876,Cargas,1))),Coluna_fih,1,1))*(1+0.13*0.25)*(PI()*(fi_h/1000)^2/4)*SQRT(2*9.81*(O1876/100-fi_h/2/1000))*1000)),"",IF(O1876&lt;fi_h/20,0,(OFFSET('Base de dados'!$A$5,IF(O1876&lt;20,1,IF(O1876&gt;1000,10,MATCH(O1876,Cargas,1))),Coluna_fih,1,1))*(PI()*(fi_h/1000)^2/4)*SQRT(2*9.81*(O1876/100-fi_h/2/1000))*1000))</f>
        <v>5.7845569404471977</v>
      </c>
      <c r="Q1876" s="38">
        <f ca="1">IF(O1876="","",IF(Tipo_Vertedor="Retangular",IF(O1876&lt;=cota_s*100,0,IF(Tipo_Vertedor="Retangular",Cd_sr*Lef_sr*((O1876/100-cota_s)^(3/2))*1000)),IF(O1876&lt;=cota_s*100+fi_s/20,0,(OFFSET('Base de dados'!$A$4,IF(O1876&lt;20,1,IF(O1876&gt;1000,10,MATCH(O1876,Cargas,1))),Coluna_fis,1,1))*(PI()*(fi_s/1000)^2/4)*(2*9.81*(O1876/100-cota_s-fi_s/2/1000))^0.5*1000)))</f>
        <v>4.9862584980122762</v>
      </c>
      <c r="R1876" s="38">
        <f t="shared" ca="1" si="230"/>
        <v>10.770815438459474</v>
      </c>
      <c r="S1876" s="38">
        <f t="shared" ca="1" si="231"/>
        <v>585.9375</v>
      </c>
    </row>
    <row r="1877" spans="13:19">
      <c r="M1877" s="132">
        <f t="shared" ca="1" si="228"/>
        <v>597.02415952435831</v>
      </c>
      <c r="N1877" s="38">
        <f t="shared" si="229"/>
        <v>17.587500000000002</v>
      </c>
      <c r="O1877" s="36">
        <f t="shared" si="232"/>
        <v>469</v>
      </c>
      <c r="P1877" s="38">
        <f ca="1">IF(ISERROR(IF(O1877&lt;fi_h/20,0,(OFFSET('Base de dados'!$A$5,IF(O1877&lt;20,1,IF(O1877&gt;1000,10,MATCH(O1877,Cargas,1))),Coluna_fih,1,1))*(1+0.13*0.25)*(PI()*(fi_h/1000)^2/4)*SQRT(2*9.81*(O1877/100-fi_h/2/1000))*1000)),"",IF(O1877&lt;fi_h/20,0,(OFFSET('Base de dados'!$A$5,IF(O1877&lt;20,1,IF(O1877&gt;1000,10,MATCH(O1877,Cargas,1))),Coluna_fih,1,1))*(PI()*(fi_h/1000)^2/4)*SQRT(2*9.81*(O1877/100-fi_h/2/1000))*1000))</f>
        <v>5.786105095377323</v>
      </c>
      <c r="Q1877" s="38">
        <f ca="1">IF(O1877="","",IF(Tipo_Vertedor="Retangular",IF(O1877&lt;=cota_s*100,0,IF(Tipo_Vertedor="Retangular",Cd_sr*Lef_sr*((O1877/100-cota_s)^(3/2))*1000)),IF(O1877&lt;=cota_s*100+fi_s/20,0,(OFFSET('Base de dados'!$A$4,IF(O1877&lt;20,1,IF(O1877&gt;1000,10,MATCH(O1877,Cargas,1))),Coluna_fis,1,1))*(PI()*(fi_s/1000)^2/4)*(2*9.81*(O1877/100-cota_s-fi_s/2/1000))^0.5*1000)))</f>
        <v>4.9880544289808242</v>
      </c>
      <c r="R1877" s="38">
        <f t="shared" ca="1" si="230"/>
        <v>10.774159524358147</v>
      </c>
      <c r="S1877" s="38">
        <f t="shared" ca="1" si="231"/>
        <v>586.25000000000011</v>
      </c>
    </row>
    <row r="1878" spans="13:19">
      <c r="M1878" s="132">
        <f t="shared" ca="1" si="228"/>
        <v>597.34000254975092</v>
      </c>
      <c r="N1878" s="38">
        <f t="shared" si="229"/>
        <v>17.596875000000001</v>
      </c>
      <c r="O1878" s="36">
        <f t="shared" si="232"/>
        <v>469.25</v>
      </c>
      <c r="P1878" s="38">
        <f ca="1">IF(ISERROR(IF(O1878&lt;fi_h/20,0,(OFFSET('Base de dados'!$A$5,IF(O1878&lt;20,1,IF(O1878&gt;1000,10,MATCH(O1878,Cargas,1))),Coluna_fih,1,1))*(1+0.13*0.25)*(PI()*(fi_h/1000)^2/4)*SQRT(2*9.81*(O1878/100-fi_h/2/1000))*1000)),"",IF(O1878&lt;fi_h/20,0,(OFFSET('Base de dados'!$A$5,IF(O1878&lt;20,1,IF(O1878&gt;1000,10,MATCH(O1878,Cargas,1))),Coluna_fih,1,1))*(PI()*(fi_h/1000)^2/4)*SQRT(2*9.81*(O1878/100-fi_h/2/1000))*1000))</f>
        <v>5.7876528361873074</v>
      </c>
      <c r="Q1878" s="38">
        <f ca="1">IF(O1878="","",IF(Tipo_Vertedor="Retangular",IF(O1878&lt;=cota_s*100,0,IF(Tipo_Vertedor="Retangular",Cd_sr*Lef_sr*((O1878/100-cota_s)^(3/2))*1000)),IF(O1878&lt;=cota_s*100+fi_s/20,0,(OFFSET('Base de dados'!$A$4,IF(O1878&lt;20,1,IF(O1878&gt;1000,10,MATCH(O1878,Cargas,1))),Coluna_fis,1,1))*(PI()*(fi_s/1000)^2/4)*(2*9.81*(O1878/100-cota_s-fi_s/2/1000))^0.5*1000)))</f>
        <v>4.9898497135636051</v>
      </c>
      <c r="R1878" s="38">
        <f t="shared" ca="1" si="230"/>
        <v>10.777502549750913</v>
      </c>
      <c r="S1878" s="38">
        <f t="shared" ca="1" si="231"/>
        <v>586.5625</v>
      </c>
    </row>
    <row r="1879" spans="13:19">
      <c r="M1879" s="132">
        <f t="shared" ref="M1879:M1942" ca="1" si="233">IF(O1879="","",2*N1879*1000/(Passo*60)+R1879)</f>
        <v>597.65584451566747</v>
      </c>
      <c r="N1879" s="38">
        <f t="shared" ref="N1879:N1942" si="234">IF(O1879="","",b_0*(O1879/100)^c_0)</f>
        <v>17.606250000000003</v>
      </c>
      <c r="O1879" s="36">
        <f t="shared" si="232"/>
        <v>469.5</v>
      </c>
      <c r="P1879" s="38">
        <f ca="1">IF(ISERROR(IF(O1879&lt;fi_h/20,0,(OFFSET('Base de dados'!$A$5,IF(O1879&lt;20,1,IF(O1879&gt;1000,10,MATCH(O1879,Cargas,1))),Coluna_fih,1,1))*(1+0.13*0.25)*(PI()*(fi_h/1000)^2/4)*SQRT(2*9.81*(O1879/100-fi_h/2/1000))*1000)),"",IF(O1879&lt;fi_h/20,0,(OFFSET('Base de dados'!$A$5,IF(O1879&lt;20,1,IF(O1879&gt;1000,10,MATCH(O1879,Cargas,1))),Coluna_fih,1,1))*(PI()*(fi_h/1000)^2/4)*SQRT(2*9.81*(O1879/100-fi_h/2/1000))*1000))</f>
        <v>5.7892001632092978</v>
      </c>
      <c r="Q1879" s="38">
        <f ca="1">IF(O1879="","",IF(Tipo_Vertedor="Retangular",IF(O1879&lt;=cota_s*100,0,IF(Tipo_Vertedor="Retangular",Cd_sr*Lef_sr*((O1879/100-cota_s)^(3/2))*1000)),IF(O1879&lt;=cota_s*100+fi_s/20,0,(OFFSET('Base de dados'!$A$4,IF(O1879&lt;20,1,IF(O1879&gt;1000,10,MATCH(O1879,Cargas,1))),Coluna_fis,1,1))*(PI()*(fi_s/1000)^2/4)*(2*9.81*(O1879/100-cota_s-fi_s/2/1000))^0.5*1000)))</f>
        <v>4.991644352458052</v>
      </c>
      <c r="R1879" s="38">
        <f t="shared" ref="R1879:R1942" ca="1" si="235">IF(O1879="","",Q1879+P1879)</f>
        <v>10.780844515667351</v>
      </c>
      <c r="S1879" s="38">
        <f t="shared" ref="S1879:S1942" ca="1" si="236">IF(M1879="","",2*N1879*1000/(Passo*60))</f>
        <v>586.87500000000011</v>
      </c>
    </row>
    <row r="1880" spans="13:19">
      <c r="M1880" s="132">
        <f t="shared" ca="1" si="233"/>
        <v>597.97168542313523</v>
      </c>
      <c r="N1880" s="38">
        <f t="shared" si="234"/>
        <v>17.615624999999998</v>
      </c>
      <c r="O1880" s="36">
        <f t="shared" si="232"/>
        <v>469.75</v>
      </c>
      <c r="P1880" s="38">
        <f ca="1">IF(ISERROR(IF(O1880&lt;fi_h/20,0,(OFFSET('Base de dados'!$A$5,IF(O1880&lt;20,1,IF(O1880&gt;1000,10,MATCH(O1880,Cargas,1))),Coluna_fih,1,1))*(1+0.13*0.25)*(PI()*(fi_h/1000)^2/4)*SQRT(2*9.81*(O1880/100-fi_h/2/1000))*1000)),"",IF(O1880&lt;fi_h/20,0,(OFFSET('Base de dados'!$A$5,IF(O1880&lt;20,1,IF(O1880&gt;1000,10,MATCH(O1880,Cargas,1))),Coluna_fih,1,1))*(PI()*(fi_h/1000)^2/4)*SQRT(2*9.81*(O1880/100-fi_h/2/1000))*1000))</f>
        <v>5.790747076774994</v>
      </c>
      <c r="Q1880" s="38">
        <f ca="1">IF(O1880="","",IF(Tipo_Vertedor="Retangular",IF(O1880&lt;=cota_s*100,0,IF(Tipo_Vertedor="Retangular",Cd_sr*Lef_sr*((O1880/100-cota_s)^(3/2))*1000)),IF(O1880&lt;=cota_s*100+fi_s/20,0,(OFFSET('Base de dados'!$A$4,IF(O1880&lt;20,1,IF(O1880&gt;1000,10,MATCH(O1880,Cargas,1))),Coluna_fis,1,1))*(PI()*(fi_s/1000)^2/4)*(2*9.81*(O1880/100-cota_s-fi_s/2/1000))^0.5*1000)))</f>
        <v>4.993438346360346</v>
      </c>
      <c r="R1880" s="38">
        <f t="shared" ca="1" si="235"/>
        <v>10.784185423135341</v>
      </c>
      <c r="S1880" s="38">
        <f t="shared" ca="1" si="236"/>
        <v>587.18749999999989</v>
      </c>
    </row>
    <row r="1881" spans="13:19">
      <c r="M1881" s="132">
        <f t="shared" ca="1" si="233"/>
        <v>598.28752527318102</v>
      </c>
      <c r="N1881" s="38">
        <f t="shared" si="234"/>
        <v>17.625</v>
      </c>
      <c r="O1881" s="36">
        <f t="shared" si="232"/>
        <v>470</v>
      </c>
      <c r="P1881" s="38">
        <f ca="1">IF(ISERROR(IF(O1881&lt;fi_h/20,0,(OFFSET('Base de dados'!$A$5,IF(O1881&lt;20,1,IF(O1881&gt;1000,10,MATCH(O1881,Cargas,1))),Coluna_fih,1,1))*(1+0.13*0.25)*(PI()*(fi_h/1000)^2/4)*SQRT(2*9.81*(O1881/100-fi_h/2/1000))*1000)),"",IF(O1881&lt;fi_h/20,0,(OFFSET('Base de dados'!$A$5,IF(O1881&lt;20,1,IF(O1881&gt;1000,10,MATCH(O1881,Cargas,1))),Coluna_fih,1,1))*(PI()*(fi_h/1000)^2/4)*SQRT(2*9.81*(O1881/100-fi_h/2/1000))*1000))</f>
        <v>5.792293577215653</v>
      </c>
      <c r="Q1881" s="38">
        <f ca="1">IF(O1881="","",IF(Tipo_Vertedor="Retangular",IF(O1881&lt;=cota_s*100,0,IF(Tipo_Vertedor="Retangular",Cd_sr*Lef_sr*((O1881/100-cota_s)^(3/2))*1000)),IF(O1881&lt;=cota_s*100+fi_s/20,0,(OFFSET('Base de dados'!$A$4,IF(O1881&lt;20,1,IF(O1881&gt;1000,10,MATCH(O1881,Cargas,1))),Coluna_fis,1,1))*(PI()*(fi_s/1000)^2/4)*(2*9.81*(O1881/100-cota_s-fi_s/2/1000))^0.5*1000)))</f>
        <v>4.9952316959654146</v>
      </c>
      <c r="R1881" s="38">
        <f t="shared" ca="1" si="235"/>
        <v>10.787525273181068</v>
      </c>
      <c r="S1881" s="38">
        <f t="shared" ca="1" si="236"/>
        <v>587.5</v>
      </c>
    </row>
    <row r="1882" spans="13:19">
      <c r="M1882" s="132">
        <f t="shared" ca="1" si="233"/>
        <v>598.60336406682904</v>
      </c>
      <c r="N1882" s="38">
        <f t="shared" si="234"/>
        <v>17.634374999999999</v>
      </c>
      <c r="O1882" s="36">
        <f t="shared" si="232"/>
        <v>470.25</v>
      </c>
      <c r="P1882" s="38">
        <f ca="1">IF(ISERROR(IF(O1882&lt;fi_h/20,0,(OFFSET('Base de dados'!$A$5,IF(O1882&lt;20,1,IF(O1882&gt;1000,10,MATCH(O1882,Cargas,1))),Coluna_fih,1,1))*(1+0.13*0.25)*(PI()*(fi_h/1000)^2/4)*SQRT(2*9.81*(O1882/100-fi_h/2/1000))*1000)),"",IF(O1882&lt;fi_h/20,0,(OFFSET('Base de dados'!$A$5,IF(O1882&lt;20,1,IF(O1882&gt;1000,10,MATCH(O1882,Cargas,1))),Coluna_fih,1,1))*(PI()*(fi_h/1000)^2/4)*SQRT(2*9.81*(O1882/100-fi_h/2/1000))*1000))</f>
        <v>5.7938396648620927</v>
      </c>
      <c r="Q1882" s="38">
        <f ca="1">IF(O1882="","",IF(Tipo_Vertedor="Retangular",IF(O1882&lt;=cota_s*100,0,IF(Tipo_Vertedor="Retangular",Cd_sr*Lef_sr*((O1882/100-cota_s)^(3/2))*1000)),IF(O1882&lt;=cota_s*100+fi_s/20,0,(OFFSET('Base de dados'!$A$4,IF(O1882&lt;20,1,IF(O1882&gt;1000,10,MATCH(O1882,Cargas,1))),Coluna_fis,1,1))*(PI()*(fi_s/1000)^2/4)*(2*9.81*(O1882/100-cota_s-fi_s/2/1000))^0.5*1000)))</f>
        <v>4.9970244019669439</v>
      </c>
      <c r="R1882" s="38">
        <f t="shared" ca="1" si="235"/>
        <v>10.790864066829037</v>
      </c>
      <c r="S1882" s="38">
        <f t="shared" ca="1" si="236"/>
        <v>587.8125</v>
      </c>
    </row>
    <row r="1883" spans="13:19">
      <c r="M1883" s="132">
        <f t="shared" ca="1" si="233"/>
        <v>598.91920180510203</v>
      </c>
      <c r="N1883" s="38">
        <f t="shared" si="234"/>
        <v>17.643750000000001</v>
      </c>
      <c r="O1883" s="36">
        <f t="shared" si="232"/>
        <v>470.5</v>
      </c>
      <c r="P1883" s="38">
        <f ca="1">IF(ISERROR(IF(O1883&lt;fi_h/20,0,(OFFSET('Base de dados'!$A$5,IF(O1883&lt;20,1,IF(O1883&gt;1000,10,MATCH(O1883,Cargas,1))),Coluna_fih,1,1))*(1+0.13*0.25)*(PI()*(fi_h/1000)^2/4)*SQRT(2*9.81*(O1883/100-fi_h/2/1000))*1000)),"",IF(O1883&lt;fi_h/20,0,(OFFSET('Base de dados'!$A$5,IF(O1883&lt;20,1,IF(O1883&gt;1000,10,MATCH(O1883,Cargas,1))),Coluna_fih,1,1))*(PI()*(fi_h/1000)^2/4)*SQRT(2*9.81*(O1883/100-fi_h/2/1000))*1000))</f>
        <v>5.7953853400446862</v>
      </c>
      <c r="Q1883" s="38">
        <f ca="1">IF(O1883="","",IF(Tipo_Vertedor="Retangular",IF(O1883&lt;=cota_s*100,0,IF(Tipo_Vertedor="Retangular",Cd_sr*Lef_sr*((O1883/100-cota_s)^(3/2))*1000)),IF(O1883&lt;=cota_s*100+fi_s/20,0,(OFFSET('Base de dados'!$A$4,IF(O1883&lt;20,1,IF(O1883&gt;1000,10,MATCH(O1883,Cargas,1))),Coluna_fis,1,1))*(PI()*(fi_s/1000)^2/4)*(2*9.81*(O1883/100-cota_s-fi_s/2/1000))^0.5*1000)))</f>
        <v>4.998816465057371</v>
      </c>
      <c r="R1883" s="38">
        <f t="shared" ca="1" si="235"/>
        <v>10.794201805102057</v>
      </c>
      <c r="S1883" s="38">
        <f t="shared" ca="1" si="236"/>
        <v>588.125</v>
      </c>
    </row>
    <row r="1884" spans="13:19">
      <c r="M1884" s="132">
        <f t="shared" ca="1" si="233"/>
        <v>599.23503848902124</v>
      </c>
      <c r="N1884" s="38">
        <f t="shared" si="234"/>
        <v>17.653124999999999</v>
      </c>
      <c r="O1884" s="36">
        <f t="shared" si="232"/>
        <v>470.75</v>
      </c>
      <c r="P1884" s="38">
        <f ca="1">IF(ISERROR(IF(O1884&lt;fi_h/20,0,(OFFSET('Base de dados'!$A$5,IF(O1884&lt;20,1,IF(O1884&gt;1000,10,MATCH(O1884,Cargas,1))),Coluna_fih,1,1))*(1+0.13*0.25)*(PI()*(fi_h/1000)^2/4)*SQRT(2*9.81*(O1884/100-fi_h/2/1000))*1000)),"",IF(O1884&lt;fi_h/20,0,(OFFSET('Base de dados'!$A$5,IF(O1884&lt;20,1,IF(O1884&gt;1000,10,MATCH(O1884,Cargas,1))),Coluna_fih,1,1))*(PI()*(fi_h/1000)^2/4)*SQRT(2*9.81*(O1884/100-fi_h/2/1000))*1000))</f>
        <v>5.7969306030933678</v>
      </c>
      <c r="Q1884" s="38">
        <f ca="1">IF(O1884="","",IF(Tipo_Vertedor="Retangular",IF(O1884&lt;=cota_s*100,0,IF(Tipo_Vertedor="Retangular",Cd_sr*Lef_sr*((O1884/100-cota_s)^(3/2))*1000)),IF(O1884&lt;=cota_s*100+fi_s/20,0,(OFFSET('Base de dados'!$A$4,IF(O1884&lt;20,1,IF(O1884&gt;1000,10,MATCH(O1884,Cargas,1))),Coluna_fis,1,1))*(PI()*(fi_s/1000)^2/4)*(2*9.81*(O1884/100-cota_s-fi_s/2/1000))^0.5*1000)))</f>
        <v>5.0006078859278933</v>
      </c>
      <c r="R1884" s="38">
        <f t="shared" ca="1" si="235"/>
        <v>10.79753848902126</v>
      </c>
      <c r="S1884" s="38">
        <f t="shared" ca="1" si="236"/>
        <v>588.4375</v>
      </c>
    </row>
    <row r="1885" spans="13:19">
      <c r="M1885" s="132">
        <f t="shared" ca="1" si="233"/>
        <v>599.55087411960608</v>
      </c>
      <c r="N1885" s="38">
        <f t="shared" si="234"/>
        <v>17.662500000000001</v>
      </c>
      <c r="O1885" s="36">
        <f t="shared" si="232"/>
        <v>471</v>
      </c>
      <c r="P1885" s="38">
        <f ca="1">IF(ISERROR(IF(O1885&lt;fi_h/20,0,(OFFSET('Base de dados'!$A$5,IF(O1885&lt;20,1,IF(O1885&gt;1000,10,MATCH(O1885,Cargas,1))),Coluna_fih,1,1))*(1+0.13*0.25)*(PI()*(fi_h/1000)^2/4)*SQRT(2*9.81*(O1885/100-fi_h/2/1000))*1000)),"",IF(O1885&lt;fi_h/20,0,(OFFSET('Base de dados'!$A$5,IF(O1885&lt;20,1,IF(O1885&gt;1000,10,MATCH(O1885,Cargas,1))),Coluna_fih,1,1))*(PI()*(fi_h/1000)^2/4)*SQRT(2*9.81*(O1885/100-fi_h/2/1000))*1000))</f>
        <v>5.7984754543376322</v>
      </c>
      <c r="Q1885" s="38">
        <f ca="1">IF(O1885="","",IF(Tipo_Vertedor="Retangular",IF(O1885&lt;=cota_s*100,0,IF(Tipo_Vertedor="Retangular",Cd_sr*Lef_sr*((O1885/100-cota_s)^(3/2))*1000)),IF(O1885&lt;=cota_s*100+fi_s/20,0,(OFFSET('Base de dados'!$A$4,IF(O1885&lt;20,1,IF(O1885&gt;1000,10,MATCH(O1885,Cargas,1))),Coluna_fis,1,1))*(PI()*(fi_s/1000)^2/4)*(2*9.81*(O1885/100-cota_s-fi_s/2/1000))^0.5*1000)))</f>
        <v>5.0023986652684744</v>
      </c>
      <c r="R1885" s="38">
        <f t="shared" ca="1" si="235"/>
        <v>10.800874119606107</v>
      </c>
      <c r="S1885" s="38">
        <f t="shared" ca="1" si="236"/>
        <v>588.75</v>
      </c>
    </row>
    <row r="1886" spans="13:19">
      <c r="M1886" s="132">
        <f t="shared" ca="1" si="233"/>
        <v>599.8667086978744</v>
      </c>
      <c r="N1886" s="38">
        <f t="shared" si="234"/>
        <v>17.671875</v>
      </c>
      <c r="O1886" s="36">
        <f t="shared" si="232"/>
        <v>471.25</v>
      </c>
      <c r="P1886" s="38">
        <f ca="1">IF(ISERROR(IF(O1886&lt;fi_h/20,0,(OFFSET('Base de dados'!$A$5,IF(O1886&lt;20,1,IF(O1886&gt;1000,10,MATCH(O1886,Cargas,1))),Coluna_fih,1,1))*(1+0.13*0.25)*(PI()*(fi_h/1000)^2/4)*SQRT(2*9.81*(O1886/100-fi_h/2/1000))*1000)),"",IF(O1886&lt;fi_h/20,0,(OFFSET('Base de dados'!$A$5,IF(O1886&lt;20,1,IF(O1886&gt;1000,10,MATCH(O1886,Cargas,1))),Coluna_fih,1,1))*(PI()*(fi_h/1000)^2/4)*SQRT(2*9.81*(O1886/100-fi_h/2/1000))*1000))</f>
        <v>5.8000198941065371</v>
      </c>
      <c r="Q1886" s="38">
        <f ca="1">IF(O1886="","",IF(Tipo_Vertedor="Retangular",IF(O1886&lt;=cota_s*100,0,IF(Tipo_Vertedor="Retangular",Cd_sr*Lef_sr*((O1886/100-cota_s)^(3/2))*1000)),IF(O1886&lt;=cota_s*100+fi_s/20,0,(OFFSET('Base de dados'!$A$4,IF(O1886&lt;20,1,IF(O1886&gt;1000,10,MATCH(O1886,Cargas,1))),Coluna_fis,1,1))*(PI()*(fi_s/1000)^2/4)*(2*9.81*(O1886/100-cota_s-fi_s/2/1000))^0.5*1000)))</f>
        <v>5.004188803767839</v>
      </c>
      <c r="R1886" s="38">
        <f t="shared" ca="1" si="235"/>
        <v>10.804208697874376</v>
      </c>
      <c r="S1886" s="38">
        <f t="shared" ca="1" si="236"/>
        <v>589.0625</v>
      </c>
    </row>
    <row r="1887" spans="13:19">
      <c r="M1887" s="132">
        <f t="shared" ca="1" si="233"/>
        <v>600.18254222484222</v>
      </c>
      <c r="N1887" s="38">
        <f t="shared" si="234"/>
        <v>17.681249999999999</v>
      </c>
      <c r="O1887" s="36">
        <f t="shared" si="232"/>
        <v>471.5</v>
      </c>
      <c r="P1887" s="38">
        <f ca="1">IF(ISERROR(IF(O1887&lt;fi_h/20,0,(OFFSET('Base de dados'!$A$5,IF(O1887&lt;20,1,IF(O1887&gt;1000,10,MATCH(O1887,Cargas,1))),Coluna_fih,1,1))*(1+0.13*0.25)*(PI()*(fi_h/1000)^2/4)*SQRT(2*9.81*(O1887/100-fi_h/2/1000))*1000)),"",IF(O1887&lt;fi_h/20,0,(OFFSET('Base de dados'!$A$5,IF(O1887&lt;20,1,IF(O1887&gt;1000,10,MATCH(O1887,Cargas,1))),Coluna_fih,1,1))*(PI()*(fi_h/1000)^2/4)*SQRT(2*9.81*(O1887/100-fi_h/2/1000))*1000))</f>
        <v>5.801563922728695</v>
      </c>
      <c r="Q1887" s="38">
        <f ca="1">IF(O1887="","",IF(Tipo_Vertedor="Retangular",IF(O1887&lt;=cota_s*100,0,IF(Tipo_Vertedor="Retangular",Cd_sr*Lef_sr*((O1887/100-cota_s)^(3/2))*1000)),IF(O1887&lt;=cota_s*100+fi_s/20,0,(OFFSET('Base de dados'!$A$4,IF(O1887&lt;20,1,IF(O1887&gt;1000,10,MATCH(O1887,Cargas,1))),Coluna_fis,1,1))*(PI()*(fi_s/1000)^2/4)*(2*9.81*(O1887/100-cota_s-fi_s/2/1000))^0.5*1000)))</f>
        <v>5.0059783021134816</v>
      </c>
      <c r="R1887" s="38">
        <f t="shared" ca="1" si="235"/>
        <v>10.807542224842177</v>
      </c>
      <c r="S1887" s="38">
        <f t="shared" ca="1" si="236"/>
        <v>589.375</v>
      </c>
    </row>
    <row r="1888" spans="13:19">
      <c r="M1888" s="132">
        <f t="shared" ca="1" si="233"/>
        <v>600.49837470152397</v>
      </c>
      <c r="N1888" s="38">
        <f t="shared" si="234"/>
        <v>17.690625000000001</v>
      </c>
      <c r="O1888" s="36">
        <f t="shared" si="232"/>
        <v>471.75</v>
      </c>
      <c r="P1888" s="38">
        <f ca="1">IF(ISERROR(IF(O1888&lt;fi_h/20,0,(OFFSET('Base de dados'!$A$5,IF(O1888&lt;20,1,IF(O1888&gt;1000,10,MATCH(O1888,Cargas,1))),Coluna_fih,1,1))*(1+0.13*0.25)*(PI()*(fi_h/1000)^2/4)*SQRT(2*9.81*(O1888/100-fi_h/2/1000))*1000)),"",IF(O1888&lt;fi_h/20,0,(OFFSET('Base de dados'!$A$5,IF(O1888&lt;20,1,IF(O1888&gt;1000,10,MATCH(O1888,Cargas,1))),Coluna_fih,1,1))*(PI()*(fi_h/1000)^2/4)*SQRT(2*9.81*(O1888/100-fi_h/2/1000))*1000))</f>
        <v>5.8031075405322916</v>
      </c>
      <c r="Q1888" s="38">
        <f ca="1">IF(O1888="","",IF(Tipo_Vertedor="Retangular",IF(O1888&lt;=cota_s*100,0,IF(Tipo_Vertedor="Retangular",Cd_sr*Lef_sr*((O1888/100-cota_s)^(3/2))*1000)),IF(O1888&lt;=cota_s*100+fi_s/20,0,(OFFSET('Base de dados'!$A$4,IF(O1888&lt;20,1,IF(O1888&gt;1000,10,MATCH(O1888,Cargas,1))),Coluna_fis,1,1))*(PI()*(fi_s/1000)^2/4)*(2*9.81*(O1888/100-cota_s-fi_s/2/1000))^0.5*1000)))</f>
        <v>5.0077671609916674</v>
      </c>
      <c r="R1888" s="38">
        <f t="shared" ca="1" si="235"/>
        <v>10.810874701523959</v>
      </c>
      <c r="S1888" s="38">
        <f t="shared" ca="1" si="236"/>
        <v>589.6875</v>
      </c>
    </row>
    <row r="1889" spans="13:19">
      <c r="M1889" s="132">
        <f t="shared" ca="1" si="233"/>
        <v>600.81420612893248</v>
      </c>
      <c r="N1889" s="38">
        <f t="shared" si="234"/>
        <v>17.7</v>
      </c>
      <c r="O1889" s="36">
        <f t="shared" si="232"/>
        <v>472</v>
      </c>
      <c r="P1889" s="38">
        <f ca="1">IF(ISERROR(IF(O1889&lt;fi_h/20,0,(OFFSET('Base de dados'!$A$5,IF(O1889&lt;20,1,IF(O1889&gt;1000,10,MATCH(O1889,Cargas,1))),Coluna_fih,1,1))*(1+0.13*0.25)*(PI()*(fi_h/1000)^2/4)*SQRT(2*9.81*(O1889/100-fi_h/2/1000))*1000)),"",IF(O1889&lt;fi_h/20,0,(OFFSET('Base de dados'!$A$5,IF(O1889&lt;20,1,IF(O1889&gt;1000,10,MATCH(O1889,Cargas,1))),Coluna_fih,1,1))*(PI()*(fi_h/1000)^2/4)*SQRT(2*9.81*(O1889/100-fi_h/2/1000))*1000))</f>
        <v>5.8046507478450682</v>
      </c>
      <c r="Q1889" s="38">
        <f ca="1">IF(O1889="","",IF(Tipo_Vertedor="Retangular",IF(O1889&lt;=cota_s*100,0,IF(Tipo_Vertedor="Retangular",Cd_sr*Lef_sr*((O1889/100-cota_s)^(3/2))*1000)),IF(O1889&lt;=cota_s*100+fi_s/20,0,(OFFSET('Base de dados'!$A$4,IF(O1889&lt;20,1,IF(O1889&gt;1000,10,MATCH(O1889,Cargas,1))),Coluna_fis,1,1))*(PI()*(fi_s/1000)^2/4)*(2*9.81*(O1889/100-cota_s-fi_s/2/1000))^0.5*1000)))</f>
        <v>5.0095553810874396</v>
      </c>
      <c r="R1889" s="38">
        <f t="shared" ca="1" si="235"/>
        <v>10.814206128932508</v>
      </c>
      <c r="S1889" s="38">
        <f t="shared" ca="1" si="236"/>
        <v>590</v>
      </c>
    </row>
    <row r="1890" spans="13:19">
      <c r="M1890" s="132">
        <f t="shared" ca="1" si="233"/>
        <v>601.130036508079</v>
      </c>
      <c r="N1890" s="38">
        <f t="shared" si="234"/>
        <v>17.709375000000001</v>
      </c>
      <c r="O1890" s="36">
        <f t="shared" si="232"/>
        <v>472.25</v>
      </c>
      <c r="P1890" s="38">
        <f ca="1">IF(ISERROR(IF(O1890&lt;fi_h/20,0,(OFFSET('Base de dados'!$A$5,IF(O1890&lt;20,1,IF(O1890&gt;1000,10,MATCH(O1890,Cargas,1))),Coluna_fih,1,1))*(1+0.13*0.25)*(PI()*(fi_h/1000)^2/4)*SQRT(2*9.81*(O1890/100-fi_h/2/1000))*1000)),"",IF(O1890&lt;fi_h/20,0,(OFFSET('Base de dados'!$A$5,IF(O1890&lt;20,1,IF(O1890&gt;1000,10,MATCH(O1890,Cargas,1))),Coluna_fih,1,1))*(PI()*(fi_h/1000)^2/4)*SQRT(2*9.81*(O1890/100-fi_h/2/1000))*1000))</f>
        <v>5.8061935449943363</v>
      </c>
      <c r="Q1890" s="38">
        <f ca="1">IF(O1890="","",IF(Tipo_Vertedor="Retangular",IF(O1890&lt;=cota_s*100,0,IF(Tipo_Vertedor="Retangular",Cd_sr*Lef_sr*((O1890/100-cota_s)^(3/2))*1000)),IF(O1890&lt;=cota_s*100+fi_s/20,0,(OFFSET('Base de dados'!$A$4,IF(O1890&lt;20,1,IF(O1890&gt;1000,10,MATCH(O1890,Cargas,1))),Coluna_fis,1,1))*(PI()*(fi_s/1000)^2/4)*(2*9.81*(O1890/100-cota_s-fi_s/2/1000))^0.5*1000)))</f>
        <v>5.0113429630846156</v>
      </c>
      <c r="R1890" s="38">
        <f t="shared" ca="1" si="235"/>
        <v>10.817536508078952</v>
      </c>
      <c r="S1890" s="38">
        <f t="shared" ca="1" si="236"/>
        <v>590.3125</v>
      </c>
    </row>
    <row r="1891" spans="13:19">
      <c r="M1891" s="132">
        <f t="shared" ca="1" si="233"/>
        <v>601.44586583997273</v>
      </c>
      <c r="N1891" s="38">
        <f t="shared" si="234"/>
        <v>17.71875</v>
      </c>
      <c r="O1891" s="36">
        <f t="shared" si="232"/>
        <v>472.5</v>
      </c>
      <c r="P1891" s="38">
        <f ca="1">IF(ISERROR(IF(O1891&lt;fi_h/20,0,(OFFSET('Base de dados'!$A$5,IF(O1891&lt;20,1,IF(O1891&gt;1000,10,MATCH(O1891,Cargas,1))),Coluna_fih,1,1))*(1+0.13*0.25)*(PI()*(fi_h/1000)^2/4)*SQRT(2*9.81*(O1891/100-fi_h/2/1000))*1000)),"",IF(O1891&lt;fi_h/20,0,(OFFSET('Base de dados'!$A$5,IF(O1891&lt;20,1,IF(O1891&gt;1000,10,MATCH(O1891,Cargas,1))),Coluna_fih,1,1))*(PI()*(fi_h/1000)^2/4)*SQRT(2*9.81*(O1891/100-fi_h/2/1000))*1000))</f>
        <v>5.8077359323069668</v>
      </c>
      <c r="Q1891" s="38">
        <f ca="1">IF(O1891="","",IF(Tipo_Vertedor="Retangular",IF(O1891&lt;=cota_s*100,0,IF(Tipo_Vertedor="Retangular",Cd_sr*Lef_sr*((O1891/100-cota_s)^(3/2))*1000)),IF(O1891&lt;=cota_s*100+fi_s/20,0,(OFFSET('Base de dados'!$A$4,IF(O1891&lt;20,1,IF(O1891&gt;1000,10,MATCH(O1891,Cargas,1))),Coluna_fis,1,1))*(PI()*(fi_s/1000)^2/4)*(2*9.81*(O1891/100-cota_s-fi_s/2/1000))^0.5*1000)))</f>
        <v>5.013129907665796</v>
      </c>
      <c r="R1891" s="38">
        <f t="shared" ca="1" si="235"/>
        <v>10.820865839972763</v>
      </c>
      <c r="S1891" s="38">
        <f t="shared" ca="1" si="236"/>
        <v>590.625</v>
      </c>
    </row>
    <row r="1892" spans="13:19">
      <c r="M1892" s="132">
        <f t="shared" ca="1" si="233"/>
        <v>601.76169412562172</v>
      </c>
      <c r="N1892" s="38">
        <f t="shared" si="234"/>
        <v>17.728124999999999</v>
      </c>
      <c r="O1892" s="36">
        <f t="shared" si="232"/>
        <v>472.75</v>
      </c>
      <c r="P1892" s="38">
        <f ca="1">IF(ISERROR(IF(O1892&lt;fi_h/20,0,(OFFSET('Base de dados'!$A$5,IF(O1892&lt;20,1,IF(O1892&gt;1000,10,MATCH(O1892,Cargas,1))),Coluna_fih,1,1))*(1+0.13*0.25)*(PI()*(fi_h/1000)^2/4)*SQRT(2*9.81*(O1892/100-fi_h/2/1000))*1000)),"",IF(O1892&lt;fi_h/20,0,(OFFSET('Base de dados'!$A$5,IF(O1892&lt;20,1,IF(O1892&gt;1000,10,MATCH(O1892,Cargas,1))),Coluna_fih,1,1))*(PI()*(fi_h/1000)^2/4)*SQRT(2*9.81*(O1892/100-fi_h/2/1000))*1000))</f>
        <v>5.8092779101094001</v>
      </c>
      <c r="Q1892" s="38">
        <f ca="1">IF(O1892="","",IF(Tipo_Vertedor="Retangular",IF(O1892&lt;=cota_s*100,0,IF(Tipo_Vertedor="Retangular",Cd_sr*Lef_sr*((O1892/100-cota_s)^(3/2))*1000)),IF(O1892&lt;=cota_s*100+fi_s/20,0,(OFFSET('Base de dados'!$A$4,IF(O1892&lt;20,1,IF(O1892&gt;1000,10,MATCH(O1892,Cargas,1))),Coluna_fis,1,1))*(PI()*(fi_s/1000)^2/4)*(2*9.81*(O1892/100-cota_s-fi_s/2/1000))^0.5*1000)))</f>
        <v>5.0149162155123639</v>
      </c>
      <c r="R1892" s="38">
        <f t="shared" ca="1" si="235"/>
        <v>10.824194125621764</v>
      </c>
      <c r="S1892" s="38">
        <f t="shared" ca="1" si="236"/>
        <v>590.9375</v>
      </c>
    </row>
    <row r="1893" spans="13:19">
      <c r="M1893" s="132">
        <f t="shared" ca="1" si="233"/>
        <v>602.0775213660321</v>
      </c>
      <c r="N1893" s="38">
        <f t="shared" si="234"/>
        <v>17.737500000000001</v>
      </c>
      <c r="O1893" s="36">
        <f t="shared" si="232"/>
        <v>473</v>
      </c>
      <c r="P1893" s="38">
        <f ca="1">IF(ISERROR(IF(O1893&lt;fi_h/20,0,(OFFSET('Base de dados'!$A$5,IF(O1893&lt;20,1,IF(O1893&gt;1000,10,MATCH(O1893,Cargas,1))),Coluna_fih,1,1))*(1+0.13*0.25)*(PI()*(fi_h/1000)^2/4)*SQRT(2*9.81*(O1893/100-fi_h/2/1000))*1000)),"",IF(O1893&lt;fi_h/20,0,(OFFSET('Base de dados'!$A$5,IF(O1893&lt;20,1,IF(O1893&gt;1000,10,MATCH(O1893,Cargas,1))),Coluna_fih,1,1))*(PI()*(fi_h/1000)^2/4)*SQRT(2*9.81*(O1893/100-fi_h/2/1000))*1000))</f>
        <v>5.8108194787276455</v>
      </c>
      <c r="Q1893" s="38">
        <f ca="1">IF(O1893="","",IF(Tipo_Vertedor="Retangular",IF(O1893&lt;=cota_s*100,0,IF(Tipo_Vertedor="Retangular",Cd_sr*Lef_sr*((O1893/100-cota_s)^(3/2))*1000)),IF(O1893&lt;=cota_s*100+fi_s/20,0,(OFFSET('Base de dados'!$A$4,IF(O1893&lt;20,1,IF(O1893&gt;1000,10,MATCH(O1893,Cargas,1))),Coluna_fis,1,1))*(PI()*(fi_s/1000)^2/4)*(2*9.81*(O1893/100-cota_s-fi_s/2/1000))^0.5*1000)))</f>
        <v>5.0167018873044897</v>
      </c>
      <c r="R1893" s="38">
        <f t="shared" ca="1" si="235"/>
        <v>10.827521366032135</v>
      </c>
      <c r="S1893" s="38">
        <f t="shared" ca="1" si="236"/>
        <v>591.25</v>
      </c>
    </row>
    <row r="1894" spans="13:19">
      <c r="M1894" s="132">
        <f t="shared" ca="1" si="233"/>
        <v>602.39334756220842</v>
      </c>
      <c r="N1894" s="38">
        <f t="shared" si="234"/>
        <v>17.746874999999999</v>
      </c>
      <c r="O1894" s="36">
        <f t="shared" si="232"/>
        <v>473.25</v>
      </c>
      <c r="P1894" s="38">
        <f ca="1">IF(ISERROR(IF(O1894&lt;fi_h/20,0,(OFFSET('Base de dados'!$A$5,IF(O1894&lt;20,1,IF(O1894&gt;1000,10,MATCH(O1894,Cargas,1))),Coluna_fih,1,1))*(1+0.13*0.25)*(PI()*(fi_h/1000)^2/4)*SQRT(2*9.81*(O1894/100-fi_h/2/1000))*1000)),"",IF(O1894&lt;fi_h/20,0,(OFFSET('Base de dados'!$A$5,IF(O1894&lt;20,1,IF(O1894&gt;1000,10,MATCH(O1894,Cargas,1))),Coluna_fih,1,1))*(PI()*(fi_h/1000)^2/4)*SQRT(2*9.81*(O1894/100-fi_h/2/1000))*1000))</f>
        <v>5.8123606384872746</v>
      </c>
      <c r="Q1894" s="38">
        <f ca="1">IF(O1894="","",IF(Tipo_Vertedor="Retangular",IF(O1894&lt;=cota_s*100,0,IF(Tipo_Vertedor="Retangular",Cd_sr*Lef_sr*((O1894/100-cota_s)^(3/2))*1000)),IF(O1894&lt;=cota_s*100+fi_s/20,0,(OFFSET('Base de dados'!$A$4,IF(O1894&lt;20,1,IF(O1894&gt;1000,10,MATCH(O1894,Cargas,1))),Coluna_fis,1,1))*(PI()*(fi_s/1000)^2/4)*(2*9.81*(O1894/100-cota_s-fi_s/2/1000))^0.5*1000)))</f>
        <v>5.0184869237211327</v>
      </c>
      <c r="R1894" s="38">
        <f t="shared" ca="1" si="235"/>
        <v>10.830847562208408</v>
      </c>
      <c r="S1894" s="38">
        <f t="shared" ca="1" si="236"/>
        <v>591.5625</v>
      </c>
    </row>
    <row r="1895" spans="13:19">
      <c r="M1895" s="132">
        <f t="shared" ca="1" si="233"/>
        <v>602.7091727151535</v>
      </c>
      <c r="N1895" s="38">
        <f t="shared" si="234"/>
        <v>17.756250000000001</v>
      </c>
      <c r="O1895" s="36">
        <f t="shared" si="232"/>
        <v>473.5</v>
      </c>
      <c r="P1895" s="38">
        <f ca="1">IF(ISERROR(IF(O1895&lt;fi_h/20,0,(OFFSET('Base de dados'!$A$5,IF(O1895&lt;20,1,IF(O1895&gt;1000,10,MATCH(O1895,Cargas,1))),Coluna_fih,1,1))*(1+0.13*0.25)*(PI()*(fi_h/1000)^2/4)*SQRT(2*9.81*(O1895/100-fi_h/2/1000))*1000)),"",IF(O1895&lt;fi_h/20,0,(OFFSET('Base de dados'!$A$5,IF(O1895&lt;20,1,IF(O1895&gt;1000,10,MATCH(O1895,Cargas,1))),Coluna_fih,1,1))*(PI()*(fi_h/1000)^2/4)*SQRT(2*9.81*(O1895/100-fi_h/2/1000))*1000))</f>
        <v>5.8139013897134317</v>
      </c>
      <c r="Q1895" s="38">
        <f ca="1">IF(O1895="","",IF(Tipo_Vertedor="Retangular",IF(O1895&lt;=cota_s*100,0,IF(Tipo_Vertedor="Retangular",Cd_sr*Lef_sr*((O1895/100-cota_s)^(3/2))*1000)),IF(O1895&lt;=cota_s*100+fi_s/20,0,(OFFSET('Base de dados'!$A$4,IF(O1895&lt;20,1,IF(O1895&gt;1000,10,MATCH(O1895,Cargas,1))),Coluna_fis,1,1))*(PI()*(fi_s/1000)^2/4)*(2*9.81*(O1895/100-cota_s-fi_s/2/1000))^0.5*1000)))</f>
        <v>5.0202713254400475</v>
      </c>
      <c r="R1895" s="38">
        <f t="shared" ca="1" si="235"/>
        <v>10.834172715153478</v>
      </c>
      <c r="S1895" s="38">
        <f t="shared" ca="1" si="236"/>
        <v>591.875</v>
      </c>
    </row>
    <row r="1896" spans="13:19">
      <c r="M1896" s="132">
        <f t="shared" ca="1" si="233"/>
        <v>603.02499682586858</v>
      </c>
      <c r="N1896" s="38">
        <f t="shared" si="234"/>
        <v>17.765625</v>
      </c>
      <c r="O1896" s="36">
        <f t="shared" si="232"/>
        <v>473.75</v>
      </c>
      <c r="P1896" s="38">
        <f ca="1">IF(ISERROR(IF(O1896&lt;fi_h/20,0,(OFFSET('Base de dados'!$A$5,IF(O1896&lt;20,1,IF(O1896&gt;1000,10,MATCH(O1896,Cargas,1))),Coluna_fih,1,1))*(1+0.13*0.25)*(PI()*(fi_h/1000)^2/4)*SQRT(2*9.81*(O1896/100-fi_h/2/1000))*1000)),"",IF(O1896&lt;fi_h/20,0,(OFFSET('Base de dados'!$A$5,IF(O1896&lt;20,1,IF(O1896&gt;1000,10,MATCH(O1896,Cargas,1))),Coluna_fih,1,1))*(PI()*(fi_h/1000)^2/4)*SQRT(2*9.81*(O1896/100-fi_h/2/1000))*1000))</f>
        <v>5.8154417327308288</v>
      </c>
      <c r="Q1896" s="38">
        <f ca="1">IF(O1896="","",IF(Tipo_Vertedor="Retangular",IF(O1896&lt;=cota_s*100,0,IF(Tipo_Vertedor="Retangular",Cd_sr*Lef_sr*((O1896/100-cota_s)^(3/2))*1000)),IF(O1896&lt;=cota_s*100+fi_s/20,0,(OFFSET('Base de dados'!$A$4,IF(O1896&lt;20,1,IF(O1896&gt;1000,10,MATCH(O1896,Cargas,1))),Coluna_fis,1,1))*(PI()*(fi_s/1000)^2/4)*(2*9.81*(O1896/100-cota_s-fi_s/2/1000))^0.5*1000)))</f>
        <v>5.0220550931377828</v>
      </c>
      <c r="R1896" s="38">
        <f t="shared" ca="1" si="235"/>
        <v>10.837496825868612</v>
      </c>
      <c r="S1896" s="38">
        <f t="shared" ca="1" si="236"/>
        <v>592.1875</v>
      </c>
    </row>
    <row r="1897" spans="13:19">
      <c r="M1897" s="132">
        <f t="shared" ca="1" si="233"/>
        <v>603.34081989535355</v>
      </c>
      <c r="N1897" s="38">
        <f t="shared" si="234"/>
        <v>17.775000000000002</v>
      </c>
      <c r="O1897" s="36">
        <f t="shared" si="232"/>
        <v>474</v>
      </c>
      <c r="P1897" s="38">
        <f ca="1">IF(ISERROR(IF(O1897&lt;fi_h/20,0,(OFFSET('Base de dados'!$A$5,IF(O1897&lt;20,1,IF(O1897&gt;1000,10,MATCH(O1897,Cargas,1))),Coluna_fih,1,1))*(1+0.13*0.25)*(PI()*(fi_h/1000)^2/4)*SQRT(2*9.81*(O1897/100-fi_h/2/1000))*1000)),"",IF(O1897&lt;fi_h/20,0,(OFFSET('Base de dados'!$A$5,IF(O1897&lt;20,1,IF(O1897&gt;1000,10,MATCH(O1897,Cargas,1))),Coluna_fih,1,1))*(PI()*(fi_h/1000)^2/4)*SQRT(2*9.81*(O1897/100-fi_h/2/1000))*1000))</f>
        <v>5.8169816678637494</v>
      </c>
      <c r="Q1897" s="38">
        <f ca="1">IF(O1897="","",IF(Tipo_Vertedor="Retangular",IF(O1897&lt;=cota_s*100,0,IF(Tipo_Vertedor="Retangular",Cd_sr*Lef_sr*((O1897/100-cota_s)^(3/2))*1000)),IF(O1897&lt;=cota_s*100+fi_s/20,0,(OFFSET('Base de dados'!$A$4,IF(O1897&lt;20,1,IF(O1897&gt;1000,10,MATCH(O1897,Cargas,1))),Coluna_fis,1,1))*(PI()*(fi_s/1000)^2/4)*(2*9.81*(O1897/100-cota_s-fi_s/2/1000))^0.5*1000)))</f>
        <v>5.023838227489688</v>
      </c>
      <c r="R1897" s="38">
        <f t="shared" ca="1" si="235"/>
        <v>10.840819895353437</v>
      </c>
      <c r="S1897" s="38">
        <f t="shared" ca="1" si="236"/>
        <v>592.50000000000011</v>
      </c>
    </row>
    <row r="1898" spans="13:19">
      <c r="M1898" s="132">
        <f t="shared" ca="1" si="233"/>
        <v>603.65664192460588</v>
      </c>
      <c r="N1898" s="38">
        <f t="shared" si="234"/>
        <v>17.784374999999997</v>
      </c>
      <c r="O1898" s="36">
        <f t="shared" si="232"/>
        <v>474.25</v>
      </c>
      <c r="P1898" s="38">
        <f ca="1">IF(ISERROR(IF(O1898&lt;fi_h/20,0,(OFFSET('Base de dados'!$A$5,IF(O1898&lt;20,1,IF(O1898&gt;1000,10,MATCH(O1898,Cargas,1))),Coluna_fih,1,1))*(1+0.13*0.25)*(PI()*(fi_h/1000)^2/4)*SQRT(2*9.81*(O1898/100-fi_h/2/1000))*1000)),"",IF(O1898&lt;fi_h/20,0,(OFFSET('Base de dados'!$A$5,IF(O1898&lt;20,1,IF(O1898&gt;1000,10,MATCH(O1898,Cargas,1))),Coluna_fih,1,1))*(PI()*(fi_h/1000)^2/4)*SQRT(2*9.81*(O1898/100-fi_h/2/1000))*1000))</f>
        <v>5.8185211954360447</v>
      </c>
      <c r="Q1898" s="38">
        <f ca="1">IF(O1898="","",IF(Tipo_Vertedor="Retangular",IF(O1898&lt;=cota_s*100,0,IF(Tipo_Vertedor="Retangular",Cd_sr*Lef_sr*((O1898/100-cota_s)^(3/2))*1000)),IF(O1898&lt;=cota_s*100+fi_s/20,0,(OFFSET('Base de dados'!$A$4,IF(O1898&lt;20,1,IF(O1898&gt;1000,10,MATCH(O1898,Cargas,1))),Coluna_fis,1,1))*(PI()*(fi_s/1000)^2/4)*(2*9.81*(O1898/100-cota_s-fi_s/2/1000))^0.5*1000)))</f>
        <v>5.0256207291699102</v>
      </c>
      <c r="R1898" s="38">
        <f t="shared" ca="1" si="235"/>
        <v>10.844141924605955</v>
      </c>
      <c r="S1898" s="38">
        <f t="shared" ca="1" si="236"/>
        <v>592.81249999999989</v>
      </c>
    </row>
    <row r="1899" spans="13:19">
      <c r="M1899" s="132">
        <f t="shared" ca="1" si="233"/>
        <v>603.9724629146225</v>
      </c>
      <c r="N1899" s="38">
        <f t="shared" si="234"/>
        <v>17.793749999999999</v>
      </c>
      <c r="O1899" s="36">
        <f t="shared" si="232"/>
        <v>474.5</v>
      </c>
      <c r="P1899" s="38">
        <f ca="1">IF(ISERROR(IF(O1899&lt;fi_h/20,0,(OFFSET('Base de dados'!$A$5,IF(O1899&lt;20,1,IF(O1899&gt;1000,10,MATCH(O1899,Cargas,1))),Coluna_fih,1,1))*(1+0.13*0.25)*(PI()*(fi_h/1000)^2/4)*SQRT(2*9.81*(O1899/100-fi_h/2/1000))*1000)),"",IF(O1899&lt;fi_h/20,0,(OFFSET('Base de dados'!$A$5,IF(O1899&lt;20,1,IF(O1899&gt;1000,10,MATCH(O1899,Cargas,1))),Coluna_fih,1,1))*(PI()*(fi_h/1000)^2/4)*SQRT(2*9.81*(O1899/100-fi_h/2/1000))*1000))</f>
        <v>5.8200603157711415</v>
      </c>
      <c r="Q1899" s="38">
        <f ca="1">IF(O1899="","",IF(Tipo_Vertedor="Retangular",IF(O1899&lt;=cota_s*100,0,IF(Tipo_Vertedor="Retangular",Cd_sr*Lef_sr*((O1899/100-cota_s)^(3/2))*1000)),IF(O1899&lt;=cota_s*100+fi_s/20,0,(OFFSET('Base de dados'!$A$4,IF(O1899&lt;20,1,IF(O1899&gt;1000,10,MATCH(O1899,Cargas,1))),Coluna_fis,1,1))*(PI()*(fi_s/1000)^2/4)*(2*9.81*(O1899/100-cota_s-fi_s/2/1000))^0.5*1000)))</f>
        <v>5.0274025988514062</v>
      </c>
      <c r="R1899" s="38">
        <f t="shared" ca="1" si="235"/>
        <v>10.847462914622547</v>
      </c>
      <c r="S1899" s="38">
        <f t="shared" ca="1" si="236"/>
        <v>593.125</v>
      </c>
    </row>
    <row r="1900" spans="13:19">
      <c r="M1900" s="132">
        <f t="shared" ca="1" si="233"/>
        <v>604.28828286639782</v>
      </c>
      <c r="N1900" s="38">
        <f t="shared" si="234"/>
        <v>17.803124999999998</v>
      </c>
      <c r="O1900" s="36">
        <f t="shared" si="232"/>
        <v>474.75</v>
      </c>
      <c r="P1900" s="38">
        <f ca="1">IF(ISERROR(IF(O1900&lt;fi_h/20,0,(OFFSET('Base de dados'!$A$5,IF(O1900&lt;20,1,IF(O1900&gt;1000,10,MATCH(O1900,Cargas,1))),Coluna_fih,1,1))*(1+0.13*0.25)*(PI()*(fi_h/1000)^2/4)*SQRT(2*9.81*(O1900/100-fi_h/2/1000))*1000)),"",IF(O1900&lt;fi_h/20,0,(OFFSET('Base de dados'!$A$5,IF(O1900&lt;20,1,IF(O1900&gt;1000,10,MATCH(O1900,Cargas,1))),Coluna_fih,1,1))*(PI()*(fi_h/1000)^2/4)*SQRT(2*9.81*(O1900/100-fi_h/2/1000))*1000))</f>
        <v>5.8215990291920345</v>
      </c>
      <c r="Q1900" s="38">
        <f ca="1">IF(O1900="","",IF(Tipo_Vertedor="Retangular",IF(O1900&lt;=cota_s*100,0,IF(Tipo_Vertedor="Retangular",Cd_sr*Lef_sr*((O1900/100-cota_s)^(3/2))*1000)),IF(O1900&lt;=cota_s*100+fi_s/20,0,(OFFSET('Base de dados'!$A$4,IF(O1900&lt;20,1,IF(O1900&gt;1000,10,MATCH(O1900,Cargas,1))),Coluna_fis,1,1))*(PI()*(fi_s/1000)^2/4)*(2*9.81*(O1900/100-cota_s-fi_s/2/1000))^0.5*1000)))</f>
        <v>5.029183837205939</v>
      </c>
      <c r="R1900" s="38">
        <f t="shared" ca="1" si="235"/>
        <v>10.850782866397974</v>
      </c>
      <c r="S1900" s="38">
        <f t="shared" ca="1" si="236"/>
        <v>593.43749999999989</v>
      </c>
    </row>
    <row r="1901" spans="13:19">
      <c r="M1901" s="132">
        <f t="shared" ca="1" si="233"/>
        <v>604.60410178092536</v>
      </c>
      <c r="N1901" s="38">
        <f t="shared" si="234"/>
        <v>17.8125</v>
      </c>
      <c r="O1901" s="36">
        <f t="shared" si="232"/>
        <v>475</v>
      </c>
      <c r="P1901" s="38">
        <f ca="1">IF(ISERROR(IF(O1901&lt;fi_h/20,0,(OFFSET('Base de dados'!$A$5,IF(O1901&lt;20,1,IF(O1901&gt;1000,10,MATCH(O1901,Cargas,1))),Coluna_fih,1,1))*(1+0.13*0.25)*(PI()*(fi_h/1000)^2/4)*SQRT(2*9.81*(O1901/100-fi_h/2/1000))*1000)),"",IF(O1901&lt;fi_h/20,0,(OFFSET('Base de dados'!$A$5,IF(O1901&lt;20,1,IF(O1901&gt;1000,10,MATCH(O1901,Cargas,1))),Coluna_fih,1,1))*(PI()*(fi_h/1000)^2/4)*SQRT(2*9.81*(O1901/100-fi_h/2/1000))*1000))</f>
        <v>5.8231373360212988</v>
      </c>
      <c r="Q1901" s="38">
        <f ca="1">IF(O1901="","",IF(Tipo_Vertedor="Retangular",IF(O1901&lt;=cota_s*100,0,IF(Tipo_Vertedor="Retangular",Cd_sr*Lef_sr*((O1901/100-cota_s)^(3/2))*1000)),IF(O1901&lt;=cota_s*100+fi_s/20,0,(OFFSET('Base de dados'!$A$4,IF(O1901&lt;20,1,IF(O1901&gt;1000,10,MATCH(O1901,Cargas,1))),Coluna_fis,1,1))*(PI()*(fi_s/1000)^2/4)*(2*9.81*(O1901/100-cota_s-fi_s/2/1000))^0.5*1000)))</f>
        <v>5.0309644449040807</v>
      </c>
      <c r="R1901" s="38">
        <f t="shared" ca="1" si="235"/>
        <v>10.854101780925379</v>
      </c>
      <c r="S1901" s="38">
        <f t="shared" ca="1" si="236"/>
        <v>593.75</v>
      </c>
    </row>
    <row r="1902" spans="13:19">
      <c r="M1902" s="132">
        <f t="shared" ca="1" si="233"/>
        <v>604.91991965919647</v>
      </c>
      <c r="N1902" s="38">
        <f t="shared" si="234"/>
        <v>17.821875000000002</v>
      </c>
      <c r="O1902" s="36">
        <f t="shared" si="232"/>
        <v>475.25</v>
      </c>
      <c r="P1902" s="38">
        <f ca="1">IF(ISERROR(IF(O1902&lt;fi_h/20,0,(OFFSET('Base de dados'!$A$5,IF(O1902&lt;20,1,IF(O1902&gt;1000,10,MATCH(O1902,Cargas,1))),Coluna_fih,1,1))*(1+0.13*0.25)*(PI()*(fi_h/1000)^2/4)*SQRT(2*9.81*(O1902/100-fi_h/2/1000))*1000)),"",IF(O1902&lt;fi_h/20,0,(OFFSET('Base de dados'!$A$5,IF(O1902&lt;20,1,IF(O1902&gt;1000,10,MATCH(O1902,Cargas,1))),Coluna_fih,1,1))*(PI()*(fi_h/1000)^2/4)*SQRT(2*9.81*(O1902/100-fi_h/2/1000))*1000))</f>
        <v>5.8246752365810748</v>
      </c>
      <c r="Q1902" s="38">
        <f ca="1">IF(O1902="","",IF(Tipo_Vertedor="Retangular",IF(O1902&lt;=cota_s*100,0,IF(Tipo_Vertedor="Retangular",Cd_sr*Lef_sr*((O1902/100-cota_s)^(3/2))*1000)),IF(O1902&lt;=cota_s*100+fi_s/20,0,(OFFSET('Base de dados'!$A$4,IF(O1902&lt;20,1,IF(O1902&gt;1000,10,MATCH(O1902,Cargas,1))),Coluna_fis,1,1))*(PI()*(fi_s/1000)^2/4)*(2*9.81*(O1902/100-cota_s-fi_s/2/1000))^0.5*1000)))</f>
        <v>5.0327444226152203</v>
      </c>
      <c r="R1902" s="38">
        <f t="shared" ca="1" si="235"/>
        <v>10.857419659196296</v>
      </c>
      <c r="S1902" s="38">
        <f t="shared" ca="1" si="236"/>
        <v>594.06250000000011</v>
      </c>
    </row>
    <row r="1903" spans="13:19">
      <c r="M1903" s="132">
        <f t="shared" ca="1" si="233"/>
        <v>605.23573650220067</v>
      </c>
      <c r="N1903" s="38">
        <f t="shared" si="234"/>
        <v>17.831250000000001</v>
      </c>
      <c r="O1903" s="36">
        <f t="shared" si="232"/>
        <v>475.5</v>
      </c>
      <c r="P1903" s="38">
        <f ca="1">IF(ISERROR(IF(O1903&lt;fi_h/20,0,(OFFSET('Base de dados'!$A$5,IF(O1903&lt;20,1,IF(O1903&gt;1000,10,MATCH(O1903,Cargas,1))),Coluna_fih,1,1))*(1+0.13*0.25)*(PI()*(fi_h/1000)^2/4)*SQRT(2*9.81*(O1903/100-fi_h/2/1000))*1000)),"",IF(O1903&lt;fi_h/20,0,(OFFSET('Base de dados'!$A$5,IF(O1903&lt;20,1,IF(O1903&gt;1000,10,MATCH(O1903,Cargas,1))),Coluna_fih,1,1))*(PI()*(fi_h/1000)^2/4)*SQRT(2*9.81*(O1903/100-fi_h/2/1000))*1000))</f>
        <v>5.8262127311930838</v>
      </c>
      <c r="Q1903" s="38">
        <f ca="1">IF(O1903="","",IF(Tipo_Vertedor="Retangular",IF(O1903&lt;=cota_s*100,0,IF(Tipo_Vertedor="Retangular",Cd_sr*Lef_sr*((O1903/100-cota_s)^(3/2))*1000)),IF(O1903&lt;=cota_s*100+fi_s/20,0,(OFFSET('Base de dados'!$A$4,IF(O1903&lt;20,1,IF(O1903&gt;1000,10,MATCH(O1903,Cargas,1))),Coluna_fis,1,1))*(PI()*(fi_s/1000)^2/4)*(2*9.81*(O1903/100-cota_s-fi_s/2/1000))^0.5*1000)))</f>
        <v>5.0345237710075601</v>
      </c>
      <c r="R1903" s="38">
        <f t="shared" ca="1" si="235"/>
        <v>10.860736502200645</v>
      </c>
      <c r="S1903" s="38">
        <f t="shared" ca="1" si="236"/>
        <v>594.375</v>
      </c>
    </row>
    <row r="1904" spans="13:19">
      <c r="M1904" s="132">
        <f t="shared" ca="1" si="233"/>
        <v>605.55155231092681</v>
      </c>
      <c r="N1904" s="38">
        <f t="shared" si="234"/>
        <v>17.840625000000003</v>
      </c>
      <c r="O1904" s="36">
        <f t="shared" si="232"/>
        <v>475.75</v>
      </c>
      <c r="P1904" s="38">
        <f ca="1">IF(ISERROR(IF(O1904&lt;fi_h/20,0,(OFFSET('Base de dados'!$A$5,IF(O1904&lt;20,1,IF(O1904&gt;1000,10,MATCH(O1904,Cargas,1))),Coluna_fih,1,1))*(1+0.13*0.25)*(PI()*(fi_h/1000)^2/4)*SQRT(2*9.81*(O1904/100-fi_h/2/1000))*1000)),"",IF(O1904&lt;fi_h/20,0,(OFFSET('Base de dados'!$A$5,IF(O1904&lt;20,1,IF(O1904&gt;1000,10,MATCH(O1904,Cargas,1))),Coluna_fih,1,1))*(PI()*(fi_h/1000)^2/4)*SQRT(2*9.81*(O1904/100-fi_h/2/1000))*1000))</f>
        <v>5.8277498201786218</v>
      </c>
      <c r="Q1904" s="38">
        <f ca="1">IF(O1904="","",IF(Tipo_Vertedor="Retangular",IF(O1904&lt;=cota_s*100,0,IF(Tipo_Vertedor="Retangular",Cd_sr*Lef_sr*((O1904/100-cota_s)^(3/2))*1000)),IF(O1904&lt;=cota_s*100+fi_s/20,0,(OFFSET('Base de dados'!$A$4,IF(O1904&lt;20,1,IF(O1904&gt;1000,10,MATCH(O1904,Cargas,1))),Coluna_fis,1,1))*(PI()*(fi_s/1000)^2/4)*(2*9.81*(O1904/100-cota_s-fi_s/2/1000))^0.5*1000)))</f>
        <v>5.036302490748124</v>
      </c>
      <c r="R1904" s="38">
        <f t="shared" ca="1" si="235"/>
        <v>10.864052310926745</v>
      </c>
      <c r="S1904" s="38">
        <f t="shared" ca="1" si="236"/>
        <v>594.68750000000011</v>
      </c>
    </row>
    <row r="1905" spans="13:19">
      <c r="M1905" s="132">
        <f t="shared" ca="1" si="233"/>
        <v>605.86736708636124</v>
      </c>
      <c r="N1905" s="38">
        <f t="shared" si="234"/>
        <v>17.849999999999998</v>
      </c>
      <c r="O1905" s="36">
        <f t="shared" si="232"/>
        <v>476</v>
      </c>
      <c r="P1905" s="38">
        <f ca="1">IF(ISERROR(IF(O1905&lt;fi_h/20,0,(OFFSET('Base de dados'!$A$5,IF(O1905&lt;20,1,IF(O1905&gt;1000,10,MATCH(O1905,Cargas,1))),Coluna_fih,1,1))*(1+0.13*0.25)*(PI()*(fi_h/1000)^2/4)*SQRT(2*9.81*(O1905/100-fi_h/2/1000))*1000)),"",IF(O1905&lt;fi_h/20,0,(OFFSET('Base de dados'!$A$5,IF(O1905&lt;20,1,IF(O1905&gt;1000,10,MATCH(O1905,Cargas,1))),Coluna_fih,1,1))*(PI()*(fi_h/1000)^2/4)*SQRT(2*9.81*(O1905/100-fi_h/2/1000))*1000))</f>
        <v>5.8292865038585564</v>
      </c>
      <c r="Q1905" s="38">
        <f ca="1">IF(O1905="","",IF(Tipo_Vertedor="Retangular",IF(O1905&lt;=cota_s*100,0,IF(Tipo_Vertedor="Retangular",Cd_sr*Lef_sr*((O1905/100-cota_s)^(3/2))*1000)),IF(O1905&lt;=cota_s*100+fi_s/20,0,(OFFSET('Base de dados'!$A$4,IF(O1905&lt;20,1,IF(O1905&gt;1000,10,MATCH(O1905,Cargas,1))),Coluna_fis,1,1))*(PI()*(fi_s/1000)^2/4)*(2*9.81*(O1905/100-cota_s-fi_s/2/1000))^0.5*1000)))</f>
        <v>5.038080582502757</v>
      </c>
      <c r="R1905" s="38">
        <f t="shared" ca="1" si="235"/>
        <v>10.867367086361313</v>
      </c>
      <c r="S1905" s="38">
        <f t="shared" ca="1" si="236"/>
        <v>594.99999999999989</v>
      </c>
    </row>
    <row r="1906" spans="13:19">
      <c r="M1906" s="132">
        <f t="shared" ca="1" si="233"/>
        <v>606.18318082948952</v>
      </c>
      <c r="N1906" s="38">
        <f t="shared" si="234"/>
        <v>17.859375</v>
      </c>
      <c r="O1906" s="36">
        <f t="shared" si="232"/>
        <v>476.25</v>
      </c>
      <c r="P1906" s="38">
        <f ca="1">IF(ISERROR(IF(O1906&lt;fi_h/20,0,(OFFSET('Base de dados'!$A$5,IF(O1906&lt;20,1,IF(O1906&gt;1000,10,MATCH(O1906,Cargas,1))),Coluna_fih,1,1))*(1+0.13*0.25)*(PI()*(fi_h/1000)^2/4)*SQRT(2*9.81*(O1906/100-fi_h/2/1000))*1000)),"",IF(O1906&lt;fi_h/20,0,(OFFSET('Base de dados'!$A$5,IF(O1906&lt;20,1,IF(O1906&gt;1000,10,MATCH(O1906,Cargas,1))),Coluna_fih,1,1))*(PI()*(fi_h/1000)^2/4)*SQRT(2*9.81*(O1906/100-fi_h/2/1000))*1000))</f>
        <v>5.8308227825533416</v>
      </c>
      <c r="Q1906" s="38">
        <f ca="1">IF(O1906="","",IF(Tipo_Vertedor="Retangular",IF(O1906&lt;=cota_s*100,0,IF(Tipo_Vertedor="Retangular",Cd_sr*Lef_sr*((O1906/100-cota_s)^(3/2))*1000)),IF(O1906&lt;=cota_s*100+fi_s/20,0,(OFFSET('Base de dados'!$A$4,IF(O1906&lt;20,1,IF(O1906&gt;1000,10,MATCH(O1906,Cargas,1))),Coluna_fis,1,1))*(PI()*(fi_s/1000)^2/4)*(2*9.81*(O1906/100-cota_s-fi_s/2/1000))^0.5*1000)))</f>
        <v>5.0398580469361338</v>
      </c>
      <c r="R1906" s="38">
        <f t="shared" ca="1" si="235"/>
        <v>10.870680829489476</v>
      </c>
      <c r="S1906" s="38">
        <f t="shared" ca="1" si="236"/>
        <v>595.3125</v>
      </c>
    </row>
    <row r="1907" spans="13:19">
      <c r="M1907" s="132">
        <f t="shared" ca="1" si="233"/>
        <v>606.49899354129479</v>
      </c>
      <c r="N1907" s="38">
        <f t="shared" si="234"/>
        <v>17.868749999999999</v>
      </c>
      <c r="O1907" s="36">
        <f t="shared" si="232"/>
        <v>476.5</v>
      </c>
      <c r="P1907" s="38">
        <f ca="1">IF(ISERROR(IF(O1907&lt;fi_h/20,0,(OFFSET('Base de dados'!$A$5,IF(O1907&lt;20,1,IF(O1907&gt;1000,10,MATCH(O1907,Cargas,1))),Coluna_fih,1,1))*(1+0.13*0.25)*(PI()*(fi_h/1000)^2/4)*SQRT(2*9.81*(O1907/100-fi_h/2/1000))*1000)),"",IF(O1907&lt;fi_h/20,0,(OFFSET('Base de dados'!$A$5,IF(O1907&lt;20,1,IF(O1907&gt;1000,10,MATCH(O1907,Cargas,1))),Coluna_fih,1,1))*(PI()*(fi_h/1000)^2/4)*SQRT(2*9.81*(O1907/100-fi_h/2/1000))*1000))</f>
        <v>5.8323586565830015</v>
      </c>
      <c r="Q1907" s="38">
        <f ca="1">IF(O1907="","",IF(Tipo_Vertedor="Retangular",IF(O1907&lt;=cota_s*100,0,IF(Tipo_Vertedor="Retangular",Cd_sr*Lef_sr*((O1907/100-cota_s)^(3/2))*1000)),IF(O1907&lt;=cota_s*100+fi_s/20,0,(OFFSET('Base de dados'!$A$4,IF(O1907&lt;20,1,IF(O1907&gt;1000,10,MATCH(O1907,Cargas,1))),Coluna_fis,1,1))*(PI()*(fi_s/1000)^2/4)*(2*9.81*(O1907/100-cota_s-fi_s/2/1000))^0.5*1000)))</f>
        <v>5.0416348847117511</v>
      </c>
      <c r="R1907" s="38">
        <f t="shared" ca="1" si="235"/>
        <v>10.873993541294752</v>
      </c>
      <c r="S1907" s="38">
        <f t="shared" ca="1" si="236"/>
        <v>595.625</v>
      </c>
    </row>
    <row r="1908" spans="13:19">
      <c r="M1908" s="132">
        <f t="shared" ca="1" si="233"/>
        <v>606.81480522275911</v>
      </c>
      <c r="N1908" s="38">
        <f t="shared" si="234"/>
        <v>17.878125000000001</v>
      </c>
      <c r="O1908" s="36">
        <f t="shared" si="232"/>
        <v>476.75</v>
      </c>
      <c r="P1908" s="38">
        <f ca="1">IF(ISERROR(IF(O1908&lt;fi_h/20,0,(OFFSET('Base de dados'!$A$5,IF(O1908&lt;20,1,IF(O1908&gt;1000,10,MATCH(O1908,Cargas,1))),Coluna_fih,1,1))*(1+0.13*0.25)*(PI()*(fi_h/1000)^2/4)*SQRT(2*9.81*(O1908/100-fi_h/2/1000))*1000)),"",IF(O1908&lt;fi_h/20,0,(OFFSET('Base de dados'!$A$5,IF(O1908&lt;20,1,IF(O1908&gt;1000,10,MATCH(O1908,Cargas,1))),Coluna_fih,1,1))*(PI()*(fi_h/1000)^2/4)*SQRT(2*9.81*(O1908/100-fi_h/2/1000))*1000))</f>
        <v>5.8338941262671415</v>
      </c>
      <c r="Q1908" s="38">
        <f ca="1">IF(O1908="","",IF(Tipo_Vertedor="Retangular",IF(O1908&lt;=cota_s*100,0,IF(Tipo_Vertedor="Retangular",Cd_sr*Lef_sr*((O1908/100-cota_s)^(3/2))*1000)),IF(O1908&lt;=cota_s*100+fi_s/20,0,(OFFSET('Base de dados'!$A$4,IF(O1908&lt;20,1,IF(O1908&gt;1000,10,MATCH(O1908,Cargas,1))),Coluna_fis,1,1))*(PI()*(fi_s/1000)^2/4)*(2*9.81*(O1908/100-cota_s-fi_s/2/1000))^0.5*1000)))</f>
        <v>5.0434110964919423</v>
      </c>
      <c r="R1908" s="38">
        <f t="shared" ca="1" si="235"/>
        <v>10.877305222759084</v>
      </c>
      <c r="S1908" s="38">
        <f t="shared" ca="1" si="236"/>
        <v>595.9375</v>
      </c>
    </row>
    <row r="1909" spans="13:19">
      <c r="M1909" s="132">
        <f t="shared" ca="1" si="233"/>
        <v>607.13061587486277</v>
      </c>
      <c r="N1909" s="38">
        <f t="shared" si="234"/>
        <v>17.887499999999999</v>
      </c>
      <c r="O1909" s="36">
        <f t="shared" si="232"/>
        <v>477</v>
      </c>
      <c r="P1909" s="38">
        <f ca="1">IF(ISERROR(IF(O1909&lt;fi_h/20,0,(OFFSET('Base de dados'!$A$5,IF(O1909&lt;20,1,IF(O1909&gt;1000,10,MATCH(O1909,Cargas,1))),Coluna_fih,1,1))*(1+0.13*0.25)*(PI()*(fi_h/1000)^2/4)*SQRT(2*9.81*(O1909/100-fi_h/2/1000))*1000)),"",IF(O1909&lt;fi_h/20,0,(OFFSET('Base de dados'!$A$5,IF(O1909&lt;20,1,IF(O1909&gt;1000,10,MATCH(O1909,Cargas,1))),Coluna_fih,1,1))*(PI()*(fi_h/1000)^2/4)*SQRT(2*9.81*(O1909/100-fi_h/2/1000))*1000))</f>
        <v>5.8354291919249448</v>
      </c>
      <c r="Q1909" s="38">
        <f ca="1">IF(O1909="","",IF(Tipo_Vertedor="Retangular",IF(O1909&lt;=cota_s*100,0,IF(Tipo_Vertedor="Retangular",Cd_sr*Lef_sr*((O1909/100-cota_s)^(3/2))*1000)),IF(O1909&lt;=cota_s*100+fi_s/20,0,(OFFSET('Base de dados'!$A$4,IF(O1909&lt;20,1,IF(O1909&gt;1000,10,MATCH(O1909,Cargas,1))),Coluna_fis,1,1))*(PI()*(fi_s/1000)^2/4)*(2*9.81*(O1909/100-cota_s-fi_s/2/1000))^0.5*1000)))</f>
        <v>5.04518668293787</v>
      </c>
      <c r="R1909" s="38">
        <f t="shared" ca="1" si="235"/>
        <v>10.880615874862816</v>
      </c>
      <c r="S1909" s="38">
        <f t="shared" ca="1" si="236"/>
        <v>596.25</v>
      </c>
    </row>
    <row r="1910" spans="13:19">
      <c r="M1910" s="132">
        <f t="shared" ca="1" si="233"/>
        <v>607.44642549858474</v>
      </c>
      <c r="N1910" s="38">
        <f t="shared" si="234"/>
        <v>17.896875000000001</v>
      </c>
      <c r="O1910" s="36">
        <f t="shared" si="232"/>
        <v>477.25</v>
      </c>
      <c r="P1910" s="38">
        <f ca="1">IF(ISERROR(IF(O1910&lt;fi_h/20,0,(OFFSET('Base de dados'!$A$5,IF(O1910&lt;20,1,IF(O1910&gt;1000,10,MATCH(O1910,Cargas,1))),Coluna_fih,1,1))*(1+0.13*0.25)*(PI()*(fi_h/1000)^2/4)*SQRT(2*9.81*(O1910/100-fi_h/2/1000))*1000)),"",IF(O1910&lt;fi_h/20,0,(OFFSET('Base de dados'!$A$5,IF(O1910&lt;20,1,IF(O1910&gt;1000,10,MATCH(O1910,Cargas,1))),Coluna_fih,1,1))*(PI()*(fi_h/1000)^2/4)*SQRT(2*9.81*(O1910/100-fi_h/2/1000))*1000))</f>
        <v>5.8369638538751802</v>
      </c>
      <c r="Q1910" s="38">
        <f ca="1">IF(O1910="","",IF(Tipo_Vertedor="Retangular",IF(O1910&lt;=cota_s*100,0,IF(Tipo_Vertedor="Retangular",Cd_sr*Lef_sr*((O1910/100-cota_s)^(3/2))*1000)),IF(O1910&lt;=cota_s*100+fi_s/20,0,(OFFSET('Base de dados'!$A$4,IF(O1910&lt;20,1,IF(O1910&gt;1000,10,MATCH(O1910,Cargas,1))),Coluna_fis,1,1))*(PI()*(fi_s/1000)^2/4)*(2*9.81*(O1910/100-cota_s-fi_s/2/1000))^0.5*1000)))</f>
        <v>5.0469616447095387</v>
      </c>
      <c r="R1910" s="38">
        <f t="shared" ca="1" si="235"/>
        <v>10.88392549858472</v>
      </c>
      <c r="S1910" s="38">
        <f t="shared" ca="1" si="236"/>
        <v>596.5625</v>
      </c>
    </row>
    <row r="1911" spans="13:19">
      <c r="M1911" s="132">
        <f t="shared" ca="1" si="233"/>
        <v>607.76223409490194</v>
      </c>
      <c r="N1911" s="38">
        <f t="shared" si="234"/>
        <v>17.90625</v>
      </c>
      <c r="O1911" s="36">
        <f t="shared" si="232"/>
        <v>477.5</v>
      </c>
      <c r="P1911" s="38">
        <f ca="1">IF(ISERROR(IF(O1911&lt;fi_h/20,0,(OFFSET('Base de dados'!$A$5,IF(O1911&lt;20,1,IF(O1911&gt;1000,10,MATCH(O1911,Cargas,1))),Coluna_fih,1,1))*(1+0.13*0.25)*(PI()*(fi_h/1000)^2/4)*SQRT(2*9.81*(O1911/100-fi_h/2/1000))*1000)),"",IF(O1911&lt;fi_h/20,0,(OFFSET('Base de dados'!$A$5,IF(O1911&lt;20,1,IF(O1911&gt;1000,10,MATCH(O1911,Cargas,1))),Coluna_fih,1,1))*(PI()*(fi_h/1000)^2/4)*SQRT(2*9.81*(O1911/100-fi_h/2/1000))*1000))</f>
        <v>5.8384981124361923</v>
      </c>
      <c r="Q1911" s="38">
        <f ca="1">IF(O1911="","",IF(Tipo_Vertedor="Retangular",IF(O1911&lt;=cota_s*100,0,IF(Tipo_Vertedor="Retangular",Cd_sr*Lef_sr*((O1911/100-cota_s)^(3/2))*1000)),IF(O1911&lt;=cota_s*100+fi_s/20,0,(OFFSET('Base de dados'!$A$4,IF(O1911&lt;20,1,IF(O1911&gt;1000,10,MATCH(O1911,Cargas,1))),Coluna_fis,1,1))*(PI()*(fi_s/1000)^2/4)*(2*9.81*(O1911/100-cota_s-fi_s/2/1000))^0.5*1000)))</f>
        <v>5.0487359824657876</v>
      </c>
      <c r="R1911" s="38">
        <f t="shared" ca="1" si="235"/>
        <v>10.887234094901981</v>
      </c>
      <c r="S1911" s="38">
        <f t="shared" ca="1" si="236"/>
        <v>596.875</v>
      </c>
    </row>
    <row r="1912" spans="13:19">
      <c r="M1912" s="132">
        <f t="shared" ca="1" si="233"/>
        <v>608.07804166479025</v>
      </c>
      <c r="N1912" s="38">
        <f t="shared" si="234"/>
        <v>17.915624999999999</v>
      </c>
      <c r="O1912" s="36">
        <f t="shared" si="232"/>
        <v>477.75</v>
      </c>
      <c r="P1912" s="38">
        <f ca="1">IF(ISERROR(IF(O1912&lt;fi_h/20,0,(OFFSET('Base de dados'!$A$5,IF(O1912&lt;20,1,IF(O1912&gt;1000,10,MATCH(O1912,Cargas,1))),Coluna_fih,1,1))*(1+0.13*0.25)*(PI()*(fi_h/1000)^2/4)*SQRT(2*9.81*(O1912/100-fi_h/2/1000))*1000)),"",IF(O1912&lt;fi_h/20,0,(OFFSET('Base de dados'!$A$5,IF(O1912&lt;20,1,IF(O1912&gt;1000,10,MATCH(O1912,Cargas,1))),Coluna_fih,1,1))*(PI()*(fi_h/1000)^2/4)*SQRT(2*9.81*(O1912/100-fi_h/2/1000))*1000))</f>
        <v>5.840031967925909</v>
      </c>
      <c r="Q1912" s="38">
        <f ca="1">IF(O1912="","",IF(Tipo_Vertedor="Retangular",IF(O1912&lt;=cota_s*100,0,IF(Tipo_Vertedor="Retangular",Cd_sr*Lef_sr*((O1912/100-cota_s)^(3/2))*1000)),IF(O1912&lt;=cota_s*100+fi_s/20,0,(OFFSET('Base de dados'!$A$4,IF(O1912&lt;20,1,IF(O1912&gt;1000,10,MATCH(O1912,Cargas,1))),Coluna_fis,1,1))*(PI()*(fi_s/1000)^2/4)*(2*9.81*(O1912/100-cota_s-fi_s/2/1000))^0.5*1000)))</f>
        <v>5.0505096968643031</v>
      </c>
      <c r="R1912" s="38">
        <f t="shared" ca="1" si="235"/>
        <v>10.890541664790213</v>
      </c>
      <c r="S1912" s="38">
        <f t="shared" ca="1" si="236"/>
        <v>597.1875</v>
      </c>
    </row>
    <row r="1913" spans="13:19">
      <c r="M1913" s="132">
        <f t="shared" ca="1" si="233"/>
        <v>608.39384820922351</v>
      </c>
      <c r="N1913" s="38">
        <f t="shared" si="234"/>
        <v>17.925000000000001</v>
      </c>
      <c r="O1913" s="36">
        <f t="shared" si="232"/>
        <v>478</v>
      </c>
      <c r="P1913" s="38">
        <f ca="1">IF(ISERROR(IF(O1913&lt;fi_h/20,0,(OFFSET('Base de dados'!$A$5,IF(O1913&lt;20,1,IF(O1913&gt;1000,10,MATCH(O1913,Cargas,1))),Coluna_fih,1,1))*(1+0.13*0.25)*(PI()*(fi_h/1000)^2/4)*SQRT(2*9.81*(O1913/100-fi_h/2/1000))*1000)),"",IF(O1913&lt;fi_h/20,0,(OFFSET('Base de dados'!$A$5,IF(O1913&lt;20,1,IF(O1913&gt;1000,10,MATCH(O1913,Cargas,1))),Coluna_fih,1,1))*(PI()*(fi_h/1000)^2/4)*SQRT(2*9.81*(O1913/100-fi_h/2/1000))*1000))</f>
        <v>5.8415654206618397</v>
      </c>
      <c r="Q1913" s="38">
        <f ca="1">IF(O1913="","",IF(Tipo_Vertedor="Retangular",IF(O1913&lt;=cota_s*100,0,IF(Tipo_Vertedor="Retangular",Cd_sr*Lef_sr*((O1913/100-cota_s)^(3/2))*1000)),IF(O1913&lt;=cota_s*100+fi_s/20,0,(OFFSET('Base de dados'!$A$4,IF(O1913&lt;20,1,IF(O1913&gt;1000,10,MATCH(O1913,Cargas,1))),Coluna_fis,1,1))*(PI()*(fi_s/1000)^2/4)*(2*9.81*(O1913/100-cota_s-fi_s/2/1000))^0.5*1000)))</f>
        <v>5.0522827885616151</v>
      </c>
      <c r="R1913" s="38">
        <f t="shared" ca="1" si="235"/>
        <v>10.893848209223455</v>
      </c>
      <c r="S1913" s="38">
        <f t="shared" ca="1" si="236"/>
        <v>597.5</v>
      </c>
    </row>
    <row r="1914" spans="13:19">
      <c r="M1914" s="132">
        <f t="shared" ca="1" si="233"/>
        <v>608.70965372917419</v>
      </c>
      <c r="N1914" s="38">
        <f t="shared" si="234"/>
        <v>17.934374999999999</v>
      </c>
      <c r="O1914" s="36">
        <f t="shared" si="232"/>
        <v>478.25</v>
      </c>
      <c r="P1914" s="38">
        <f ca="1">IF(ISERROR(IF(O1914&lt;fi_h/20,0,(OFFSET('Base de dados'!$A$5,IF(O1914&lt;20,1,IF(O1914&gt;1000,10,MATCH(O1914,Cargas,1))),Coluna_fih,1,1))*(1+0.13*0.25)*(PI()*(fi_h/1000)^2/4)*SQRT(2*9.81*(O1914/100-fi_h/2/1000))*1000)),"",IF(O1914&lt;fi_h/20,0,(OFFSET('Base de dados'!$A$5,IF(O1914&lt;20,1,IF(O1914&gt;1000,10,MATCH(O1914,Cargas,1))),Coluna_fih,1,1))*(PI()*(fi_h/1000)^2/4)*SQRT(2*9.81*(O1914/100-fi_h/2/1000))*1000))</f>
        <v>5.8430984709610794</v>
      </c>
      <c r="Q1914" s="38">
        <f ca="1">IF(O1914="","",IF(Tipo_Vertedor="Retangular",IF(O1914&lt;=cota_s*100,0,IF(Tipo_Vertedor="Retangular",Cd_sr*Lef_sr*((O1914/100-cota_s)^(3/2))*1000)),IF(O1914&lt;=cota_s*100+fi_s/20,0,(OFFSET('Base de dados'!$A$4,IF(O1914&lt;20,1,IF(O1914&gt;1000,10,MATCH(O1914,Cargas,1))),Coluna_fis,1,1))*(PI()*(fi_s/1000)^2/4)*(2*9.81*(O1914/100-cota_s-fi_s/2/1000))^0.5*1000)))</f>
        <v>5.0540552582131015</v>
      </c>
      <c r="R1914" s="38">
        <f t="shared" ca="1" si="235"/>
        <v>10.897153729174182</v>
      </c>
      <c r="S1914" s="38">
        <f t="shared" ca="1" si="236"/>
        <v>597.8125</v>
      </c>
    </row>
    <row r="1915" spans="13:19">
      <c r="M1915" s="132">
        <f t="shared" ca="1" si="233"/>
        <v>609.02545822561331</v>
      </c>
      <c r="N1915" s="38">
        <f t="shared" si="234"/>
        <v>17.943750000000001</v>
      </c>
      <c r="O1915" s="36">
        <f t="shared" si="232"/>
        <v>478.5</v>
      </c>
      <c r="P1915" s="38">
        <f ca="1">IF(ISERROR(IF(O1915&lt;fi_h/20,0,(OFFSET('Base de dados'!$A$5,IF(O1915&lt;20,1,IF(O1915&gt;1000,10,MATCH(O1915,Cargas,1))),Coluna_fih,1,1))*(1+0.13*0.25)*(PI()*(fi_h/1000)^2/4)*SQRT(2*9.81*(O1915/100-fi_h/2/1000))*1000)),"",IF(O1915&lt;fi_h/20,0,(OFFSET('Base de dados'!$A$5,IF(O1915&lt;20,1,IF(O1915&gt;1000,10,MATCH(O1915,Cargas,1))),Coluna_fih,1,1))*(PI()*(fi_h/1000)^2/4)*SQRT(2*9.81*(O1915/100-fi_h/2/1000))*1000))</f>
        <v>5.8446311191403071</v>
      </c>
      <c r="Q1915" s="38">
        <f ca="1">IF(O1915="","",IF(Tipo_Vertedor="Retangular",IF(O1915&lt;=cota_s*100,0,IF(Tipo_Vertedor="Retangular",Cd_sr*Lef_sr*((O1915/100-cota_s)^(3/2))*1000)),IF(O1915&lt;=cota_s*100+fi_s/20,0,(OFFSET('Base de dados'!$A$4,IF(O1915&lt;20,1,IF(O1915&gt;1000,10,MATCH(O1915,Cargas,1))),Coluna_fis,1,1))*(PI()*(fi_s/1000)^2/4)*(2*9.81*(O1915/100-cota_s-fi_s/2/1000))^0.5*1000)))</f>
        <v>5.0558271064729929</v>
      </c>
      <c r="R1915" s="38">
        <f t="shared" ca="1" si="235"/>
        <v>10.900458225613299</v>
      </c>
      <c r="S1915" s="38">
        <f t="shared" ca="1" si="236"/>
        <v>598.125</v>
      </c>
    </row>
    <row r="1916" spans="13:19">
      <c r="M1916" s="132">
        <f t="shared" ca="1" si="233"/>
        <v>609.34126169951014</v>
      </c>
      <c r="N1916" s="38">
        <f t="shared" si="234"/>
        <v>17.953125</v>
      </c>
      <c r="O1916" s="36">
        <f t="shared" si="232"/>
        <v>478.75</v>
      </c>
      <c r="P1916" s="38">
        <f ca="1">IF(ISERROR(IF(O1916&lt;fi_h/20,0,(OFFSET('Base de dados'!$A$5,IF(O1916&lt;20,1,IF(O1916&gt;1000,10,MATCH(O1916,Cargas,1))),Coluna_fih,1,1))*(1+0.13*0.25)*(PI()*(fi_h/1000)^2/4)*SQRT(2*9.81*(O1916/100-fi_h/2/1000))*1000)),"",IF(O1916&lt;fi_h/20,0,(OFFSET('Base de dados'!$A$5,IF(O1916&lt;20,1,IF(O1916&gt;1000,10,MATCH(O1916,Cargas,1))),Coluna_fih,1,1))*(PI()*(fi_h/1000)^2/4)*SQRT(2*9.81*(O1916/100-fi_h/2/1000))*1000))</f>
        <v>5.8461633655157854</v>
      </c>
      <c r="Q1916" s="38">
        <f ca="1">IF(O1916="","",IF(Tipo_Vertedor="Retangular",IF(O1916&lt;=cota_s*100,0,IF(Tipo_Vertedor="Retangular",Cd_sr*Lef_sr*((O1916/100-cota_s)^(3/2))*1000)),IF(O1916&lt;=cota_s*100+fi_s/20,0,(OFFSET('Base de dados'!$A$4,IF(O1916&lt;20,1,IF(O1916&gt;1000,10,MATCH(O1916,Cargas,1))),Coluna_fis,1,1))*(PI()*(fi_s/1000)^2/4)*(2*9.81*(O1916/100-cota_s-fi_s/2/1000))^0.5*1000)))</f>
        <v>5.0575983339943731</v>
      </c>
      <c r="R1916" s="38">
        <f t="shared" ca="1" si="235"/>
        <v>10.903761699510159</v>
      </c>
      <c r="S1916" s="38">
        <f t="shared" ca="1" si="236"/>
        <v>598.4375</v>
      </c>
    </row>
    <row r="1917" spans="13:19">
      <c r="M1917" s="132">
        <f t="shared" ca="1" si="233"/>
        <v>609.65706415183251</v>
      </c>
      <c r="N1917" s="38">
        <f t="shared" si="234"/>
        <v>17.962499999999999</v>
      </c>
      <c r="O1917" s="36">
        <f t="shared" si="232"/>
        <v>479</v>
      </c>
      <c r="P1917" s="38">
        <f ca="1">IF(ISERROR(IF(O1917&lt;fi_h/20,0,(OFFSET('Base de dados'!$A$5,IF(O1917&lt;20,1,IF(O1917&gt;1000,10,MATCH(O1917,Cargas,1))),Coluna_fih,1,1))*(1+0.13*0.25)*(PI()*(fi_h/1000)^2/4)*SQRT(2*9.81*(O1917/100-fi_h/2/1000))*1000)),"",IF(O1917&lt;fi_h/20,0,(OFFSET('Base de dados'!$A$5,IF(O1917&lt;20,1,IF(O1917&gt;1000,10,MATCH(O1917,Cargas,1))),Coluna_fih,1,1))*(PI()*(fi_h/1000)^2/4)*SQRT(2*9.81*(O1917/100-fi_h/2/1000))*1000))</f>
        <v>5.8476952104033622</v>
      </c>
      <c r="Q1917" s="38">
        <f ca="1">IF(O1917="","",IF(Tipo_Vertedor="Retangular",IF(O1917&lt;=cota_s*100,0,IF(Tipo_Vertedor="Retangular",Cd_sr*Lef_sr*((O1917/100-cota_s)^(3/2))*1000)),IF(O1917&lt;=cota_s*100+fi_s/20,0,(OFFSET('Base de dados'!$A$4,IF(O1917&lt;20,1,IF(O1917&gt;1000,10,MATCH(O1917,Cargas,1))),Coluna_fis,1,1))*(PI()*(fi_s/1000)^2/4)*(2*9.81*(O1917/100-cota_s-fi_s/2/1000))^0.5*1000)))</f>
        <v>5.0593689414291809</v>
      </c>
      <c r="R1917" s="38">
        <f t="shared" ca="1" si="235"/>
        <v>10.907064151832543</v>
      </c>
      <c r="S1917" s="38">
        <f t="shared" ca="1" si="236"/>
        <v>598.75</v>
      </c>
    </row>
    <row r="1918" spans="13:19">
      <c r="M1918" s="132">
        <f t="shared" ca="1" si="233"/>
        <v>609.97286558354665</v>
      </c>
      <c r="N1918" s="38">
        <f t="shared" si="234"/>
        <v>17.971875000000001</v>
      </c>
      <c r="O1918" s="36">
        <f t="shared" si="232"/>
        <v>479.25</v>
      </c>
      <c r="P1918" s="38">
        <f ca="1">IF(ISERROR(IF(O1918&lt;fi_h/20,0,(OFFSET('Base de dados'!$A$5,IF(O1918&lt;20,1,IF(O1918&gt;1000,10,MATCH(O1918,Cargas,1))),Coluna_fih,1,1))*(1+0.13*0.25)*(PI()*(fi_h/1000)^2/4)*SQRT(2*9.81*(O1918/100-fi_h/2/1000))*1000)),"",IF(O1918&lt;fi_h/20,0,(OFFSET('Base de dados'!$A$5,IF(O1918&lt;20,1,IF(O1918&gt;1000,10,MATCH(O1918,Cargas,1))),Coluna_fih,1,1))*(PI()*(fi_h/1000)^2/4)*SQRT(2*9.81*(O1918/100-fi_h/2/1000))*1000))</f>
        <v>5.8492266541184756</v>
      </c>
      <c r="Q1918" s="38">
        <f ca="1">IF(O1918="","",IF(Tipo_Vertedor="Retangular",IF(O1918&lt;=cota_s*100,0,IF(Tipo_Vertedor="Retangular",Cd_sr*Lef_sr*((O1918/100-cota_s)^(3/2))*1000)),IF(O1918&lt;=cota_s*100+fi_s/20,0,(OFFSET('Base de dados'!$A$4,IF(O1918&lt;20,1,IF(O1918&gt;1000,10,MATCH(O1918,Cargas,1))),Coluna_fis,1,1))*(PI()*(fi_s/1000)^2/4)*(2*9.81*(O1918/100-cota_s-fi_s/2/1000))^0.5*1000)))</f>
        <v>5.0611389294282185</v>
      </c>
      <c r="R1918" s="38">
        <f t="shared" ca="1" si="235"/>
        <v>10.910365583546694</v>
      </c>
      <c r="S1918" s="38">
        <f t="shared" ca="1" si="236"/>
        <v>599.0625</v>
      </c>
    </row>
    <row r="1919" spans="13:19">
      <c r="M1919" s="132">
        <f t="shared" ca="1" si="233"/>
        <v>610.28866599561729</v>
      </c>
      <c r="N1919" s="38">
        <f t="shared" si="234"/>
        <v>17.981249999999999</v>
      </c>
      <c r="O1919" s="36">
        <f t="shared" si="232"/>
        <v>479.5</v>
      </c>
      <c r="P1919" s="38">
        <f ca="1">IF(ISERROR(IF(O1919&lt;fi_h/20,0,(OFFSET('Base de dados'!$A$5,IF(O1919&lt;20,1,IF(O1919&gt;1000,10,MATCH(O1919,Cargas,1))),Coluna_fih,1,1))*(1+0.13*0.25)*(PI()*(fi_h/1000)^2/4)*SQRT(2*9.81*(O1919/100-fi_h/2/1000))*1000)),"",IF(O1919&lt;fi_h/20,0,(OFFSET('Base de dados'!$A$5,IF(O1919&lt;20,1,IF(O1919&gt;1000,10,MATCH(O1919,Cargas,1))),Coluna_fih,1,1))*(PI()*(fi_h/1000)^2/4)*SQRT(2*9.81*(O1919/100-fi_h/2/1000))*1000))</f>
        <v>5.8507576969761432</v>
      </c>
      <c r="Q1919" s="38">
        <f ca="1">IF(O1919="","",IF(Tipo_Vertedor="Retangular",IF(O1919&lt;=cota_s*100,0,IF(Tipo_Vertedor="Retangular",Cd_sr*Lef_sr*((O1919/100-cota_s)^(3/2))*1000)),IF(O1919&lt;=cota_s*100+fi_s/20,0,(OFFSET('Base de dados'!$A$4,IF(O1919&lt;20,1,IF(O1919&gt;1000,10,MATCH(O1919,Cargas,1))),Coluna_fis,1,1))*(PI()*(fi_s/1000)^2/4)*(2*9.81*(O1919/100-cota_s-fi_s/2/1000))^0.5*1000)))</f>
        <v>5.0629082986411449</v>
      </c>
      <c r="R1919" s="38">
        <f t="shared" ca="1" si="235"/>
        <v>10.913665995617288</v>
      </c>
      <c r="S1919" s="38">
        <f t="shared" ca="1" si="236"/>
        <v>599.375</v>
      </c>
    </row>
    <row r="1920" spans="13:19">
      <c r="M1920" s="132">
        <f t="shared" ca="1" si="233"/>
        <v>610.60446538900749</v>
      </c>
      <c r="N1920" s="38">
        <f t="shared" si="234"/>
        <v>17.990625000000001</v>
      </c>
      <c r="O1920" s="36">
        <f t="shared" si="232"/>
        <v>479.75</v>
      </c>
      <c r="P1920" s="38">
        <f ca="1">IF(ISERROR(IF(O1920&lt;fi_h/20,0,(OFFSET('Base de dados'!$A$5,IF(O1920&lt;20,1,IF(O1920&gt;1000,10,MATCH(O1920,Cargas,1))),Coluna_fih,1,1))*(1+0.13*0.25)*(PI()*(fi_h/1000)^2/4)*SQRT(2*9.81*(O1920/100-fi_h/2/1000))*1000)),"",IF(O1920&lt;fi_h/20,0,(OFFSET('Base de dados'!$A$5,IF(O1920&lt;20,1,IF(O1920&gt;1000,10,MATCH(O1920,Cargas,1))),Coluna_fih,1,1))*(PI()*(fi_h/1000)^2/4)*SQRT(2*9.81*(O1920/100-fi_h/2/1000))*1000))</f>
        <v>5.8522883392909781</v>
      </c>
      <c r="Q1920" s="38">
        <f ca="1">IF(O1920="","",IF(Tipo_Vertedor="Retangular",IF(O1920&lt;=cota_s*100,0,IF(Tipo_Vertedor="Retangular",Cd_sr*Lef_sr*((O1920/100-cota_s)^(3/2))*1000)),IF(O1920&lt;=cota_s*100+fi_s/20,0,(OFFSET('Base de dados'!$A$4,IF(O1920&lt;20,1,IF(O1920&gt;1000,10,MATCH(O1920,Cargas,1))),Coluna_fis,1,1))*(PI()*(fi_s/1000)^2/4)*(2*9.81*(O1920/100-cota_s-fi_s/2/1000))^0.5*1000)))</f>
        <v>5.0646770497164928</v>
      </c>
      <c r="R1920" s="38">
        <f t="shared" ca="1" si="235"/>
        <v>10.916965389007471</v>
      </c>
      <c r="S1920" s="38">
        <f t="shared" ca="1" si="236"/>
        <v>599.6875</v>
      </c>
    </row>
    <row r="1921" spans="13:19">
      <c r="M1921" s="132">
        <f t="shared" ca="1" si="233"/>
        <v>610.92026376467879</v>
      </c>
      <c r="N1921" s="38">
        <f t="shared" si="234"/>
        <v>18</v>
      </c>
      <c r="O1921" s="36">
        <f t="shared" si="232"/>
        <v>480</v>
      </c>
      <c r="P1921" s="38">
        <f ca="1">IF(ISERROR(IF(O1921&lt;fi_h/20,0,(OFFSET('Base de dados'!$A$5,IF(O1921&lt;20,1,IF(O1921&gt;1000,10,MATCH(O1921,Cargas,1))),Coluna_fih,1,1))*(1+0.13*0.25)*(PI()*(fi_h/1000)^2/4)*SQRT(2*9.81*(O1921/100-fi_h/2/1000))*1000)),"",IF(O1921&lt;fi_h/20,0,(OFFSET('Base de dados'!$A$5,IF(O1921&lt;20,1,IF(O1921&gt;1000,10,MATCH(O1921,Cargas,1))),Coluna_fih,1,1))*(PI()*(fi_h/1000)^2/4)*SQRT(2*9.81*(O1921/100-fi_h/2/1000))*1000))</f>
        <v>5.8538185813771797</v>
      </c>
      <c r="Q1921" s="38">
        <f ca="1">IF(O1921="","",IF(Tipo_Vertedor="Retangular",IF(O1921&lt;=cota_s*100,0,IF(Tipo_Vertedor="Retangular",Cd_sr*Lef_sr*((O1921/100-cota_s)^(3/2))*1000)),IF(O1921&lt;=cota_s*100+fi_s/20,0,(OFFSET('Base de dados'!$A$4,IF(O1921&lt;20,1,IF(O1921&gt;1000,10,MATCH(O1921,Cargas,1))),Coluna_fis,1,1))*(PI()*(fi_s/1000)^2/4)*(2*9.81*(O1921/100-cota_s-fi_s/2/1000))^0.5*1000)))</f>
        <v>5.0664451833016546</v>
      </c>
      <c r="R1921" s="38">
        <f t="shared" ca="1" si="235"/>
        <v>10.920263764678834</v>
      </c>
      <c r="S1921" s="38">
        <f t="shared" ca="1" si="236"/>
        <v>600</v>
      </c>
    </row>
    <row r="1922" spans="13:19">
      <c r="M1922" s="132">
        <f t="shared" ca="1" si="233"/>
        <v>611.23606112359153</v>
      </c>
      <c r="N1922" s="38">
        <f t="shared" si="234"/>
        <v>18.009375000000002</v>
      </c>
      <c r="O1922" s="36">
        <f t="shared" si="232"/>
        <v>480.25</v>
      </c>
      <c r="P1922" s="38">
        <f ca="1">IF(ISERROR(IF(O1922&lt;fi_h/20,0,(OFFSET('Base de dados'!$A$5,IF(O1922&lt;20,1,IF(O1922&gt;1000,10,MATCH(O1922,Cargas,1))),Coluna_fih,1,1))*(1+0.13*0.25)*(PI()*(fi_h/1000)^2/4)*SQRT(2*9.81*(O1922/100-fi_h/2/1000))*1000)),"",IF(O1922&lt;fi_h/20,0,(OFFSET('Base de dados'!$A$5,IF(O1922&lt;20,1,IF(O1922&gt;1000,10,MATCH(O1922,Cargas,1))),Coluna_fih,1,1))*(PI()*(fi_h/1000)^2/4)*SQRT(2*9.81*(O1922/100-fi_h/2/1000))*1000))</f>
        <v>5.8553484235485334</v>
      </c>
      <c r="Q1922" s="38">
        <f ca="1">IF(O1922="","",IF(Tipo_Vertedor="Retangular",IF(O1922&lt;=cota_s*100,0,IF(Tipo_Vertedor="Retangular",Cd_sr*Lef_sr*((O1922/100-cota_s)^(3/2))*1000)),IF(O1922&lt;=cota_s*100+fi_s/20,0,(OFFSET('Base de dados'!$A$4,IF(O1922&lt;20,1,IF(O1922&gt;1000,10,MATCH(O1922,Cargas,1))),Coluna_fis,1,1))*(PI()*(fi_s/1000)^2/4)*(2*9.81*(O1922/100-cota_s-fi_s/2/1000))^0.5*1000)))</f>
        <v>5.0682127000428965</v>
      </c>
      <c r="R1922" s="38">
        <f t="shared" ca="1" si="235"/>
        <v>10.92356112359143</v>
      </c>
      <c r="S1922" s="38">
        <f t="shared" ca="1" si="236"/>
        <v>600.31250000000011</v>
      </c>
    </row>
    <row r="1923" spans="13:19">
      <c r="M1923" s="132">
        <f t="shared" ca="1" si="233"/>
        <v>611.55185746670372</v>
      </c>
      <c r="N1923" s="38">
        <f t="shared" si="234"/>
        <v>18.018749999999997</v>
      </c>
      <c r="O1923" s="36">
        <f t="shared" si="232"/>
        <v>480.5</v>
      </c>
      <c r="P1923" s="38">
        <f ca="1">IF(ISERROR(IF(O1923&lt;fi_h/20,0,(OFFSET('Base de dados'!$A$5,IF(O1923&lt;20,1,IF(O1923&gt;1000,10,MATCH(O1923,Cargas,1))),Coluna_fih,1,1))*(1+0.13*0.25)*(PI()*(fi_h/1000)^2/4)*SQRT(2*9.81*(O1923/100-fi_h/2/1000))*1000)),"",IF(O1923&lt;fi_h/20,0,(OFFSET('Base de dados'!$A$5,IF(O1923&lt;20,1,IF(O1923&gt;1000,10,MATCH(O1923,Cargas,1))),Coluna_fih,1,1))*(PI()*(fi_h/1000)^2/4)*SQRT(2*9.81*(O1923/100-fi_h/2/1000))*1000))</f>
        <v>5.8568778661184213</v>
      </c>
      <c r="Q1923" s="38">
        <f ca="1">IF(O1923="","",IF(Tipo_Vertedor="Retangular",IF(O1923&lt;=cota_s*100,0,IF(Tipo_Vertedor="Retangular",Cd_sr*Lef_sr*((O1923/100-cota_s)^(3/2))*1000)),IF(O1923&lt;=cota_s*100+fi_s/20,0,(OFFSET('Base de dados'!$A$4,IF(O1923&lt;20,1,IF(O1923&gt;1000,10,MATCH(O1923,Cargas,1))),Coluna_fis,1,1))*(PI()*(fi_s/1000)^2/4)*(2*9.81*(O1923/100-cota_s-fi_s/2/1000))^0.5*1000)))</f>
        <v>5.0699796005853601</v>
      </c>
      <c r="R1923" s="38">
        <f t="shared" ca="1" si="235"/>
        <v>10.926857466703781</v>
      </c>
      <c r="S1923" s="38">
        <f t="shared" ca="1" si="236"/>
        <v>600.62499999999989</v>
      </c>
    </row>
    <row r="1924" spans="13:19">
      <c r="M1924" s="132">
        <f t="shared" ca="1" si="233"/>
        <v>611.86765279497286</v>
      </c>
      <c r="N1924" s="38">
        <f t="shared" si="234"/>
        <v>18.028124999999999</v>
      </c>
      <c r="O1924" s="36">
        <f t="shared" si="232"/>
        <v>480.75</v>
      </c>
      <c r="P1924" s="38">
        <f ca="1">IF(ISERROR(IF(O1924&lt;fi_h/20,0,(OFFSET('Base de dados'!$A$5,IF(O1924&lt;20,1,IF(O1924&gt;1000,10,MATCH(O1924,Cargas,1))),Coluna_fih,1,1))*(1+0.13*0.25)*(PI()*(fi_h/1000)^2/4)*SQRT(2*9.81*(O1924/100-fi_h/2/1000))*1000)),"",IF(O1924&lt;fi_h/20,0,(OFFSET('Base de dados'!$A$5,IF(O1924&lt;20,1,IF(O1924&gt;1000,10,MATCH(O1924,Cargas,1))),Coluna_fih,1,1))*(PI()*(fi_h/1000)^2/4)*SQRT(2*9.81*(O1924/100-fi_h/2/1000))*1000))</f>
        <v>5.8584069093998128</v>
      </c>
      <c r="Q1924" s="38">
        <f ca="1">IF(O1924="","",IF(Tipo_Vertedor="Retangular",IF(O1924&lt;=cota_s*100,0,IF(Tipo_Vertedor="Retangular",Cd_sr*Lef_sr*((O1924/100-cota_s)^(3/2))*1000)),IF(O1924&lt;=cota_s*100+fi_s/20,0,(OFFSET('Base de dados'!$A$4,IF(O1924&lt;20,1,IF(O1924&gt;1000,10,MATCH(O1924,Cargas,1))),Coluna_fis,1,1))*(PI()*(fi_s/1000)^2/4)*(2*9.81*(O1924/100-cota_s-fi_s/2/1000))^0.5*1000)))</f>
        <v>5.0717458855730602</v>
      </c>
      <c r="R1924" s="38">
        <f t="shared" ca="1" si="235"/>
        <v>10.930152794972873</v>
      </c>
      <c r="S1924" s="38">
        <f t="shared" ca="1" si="236"/>
        <v>600.9375</v>
      </c>
    </row>
    <row r="1925" spans="13:19">
      <c r="M1925" s="132">
        <f t="shared" ca="1" si="233"/>
        <v>612.18344710935401</v>
      </c>
      <c r="N1925" s="38">
        <f t="shared" si="234"/>
        <v>18.037499999999998</v>
      </c>
      <c r="O1925" s="36">
        <f t="shared" si="232"/>
        <v>481</v>
      </c>
      <c r="P1925" s="38">
        <f ca="1">IF(ISERROR(IF(O1925&lt;fi_h/20,0,(OFFSET('Base de dados'!$A$5,IF(O1925&lt;20,1,IF(O1925&gt;1000,10,MATCH(O1925,Cargas,1))),Coluna_fih,1,1))*(1+0.13*0.25)*(PI()*(fi_h/1000)^2/4)*SQRT(2*9.81*(O1925/100-fi_h/2/1000))*1000)),"",IF(O1925&lt;fi_h/20,0,(OFFSET('Base de dados'!$A$5,IF(O1925&lt;20,1,IF(O1925&gt;1000,10,MATCH(O1925,Cargas,1))),Coluna_fih,1,1))*(PI()*(fi_h/1000)^2/4)*SQRT(2*9.81*(O1925/100-fi_h/2/1000))*1000))</f>
        <v>5.8599355537052658</v>
      </c>
      <c r="Q1925" s="38">
        <f ca="1">IF(O1925="","",IF(Tipo_Vertedor="Retangular",IF(O1925&lt;=cota_s*100,0,IF(Tipo_Vertedor="Retangular",Cd_sr*Lef_sr*((O1925/100-cota_s)^(3/2))*1000)),IF(O1925&lt;=cota_s*100+fi_s/20,0,(OFFSET('Base de dados'!$A$4,IF(O1925&lt;20,1,IF(O1925&gt;1000,10,MATCH(O1925,Cargas,1))),Coluna_fis,1,1))*(PI()*(fi_s/1000)^2/4)*(2*9.81*(O1925/100-cota_s-fi_s/2/1000))^0.5*1000)))</f>
        <v>5.0735115556488912</v>
      </c>
      <c r="R1925" s="38">
        <f t="shared" ca="1" si="235"/>
        <v>10.933447109354157</v>
      </c>
      <c r="S1925" s="38">
        <f t="shared" ca="1" si="236"/>
        <v>601.24999999999989</v>
      </c>
    </row>
    <row r="1926" spans="13:19">
      <c r="M1926" s="132">
        <f t="shared" ca="1" si="233"/>
        <v>612.49924041080158</v>
      </c>
      <c r="N1926" s="38">
        <f t="shared" si="234"/>
        <v>18.046875</v>
      </c>
      <c r="O1926" s="36">
        <f t="shared" si="232"/>
        <v>481.25</v>
      </c>
      <c r="P1926" s="38">
        <f ca="1">IF(ISERROR(IF(O1926&lt;fi_h/20,0,(OFFSET('Base de dados'!$A$5,IF(O1926&lt;20,1,IF(O1926&gt;1000,10,MATCH(O1926,Cargas,1))),Coluna_fih,1,1))*(1+0.13*0.25)*(PI()*(fi_h/1000)^2/4)*SQRT(2*9.81*(O1926/100-fi_h/2/1000))*1000)),"",IF(O1926&lt;fi_h/20,0,(OFFSET('Base de dados'!$A$5,IF(O1926&lt;20,1,IF(O1926&gt;1000,10,MATCH(O1926,Cargas,1))),Coluna_fih,1,1))*(PI()*(fi_h/1000)^2/4)*SQRT(2*9.81*(O1926/100-fi_h/2/1000))*1000))</f>
        <v>5.8614637993469358</v>
      </c>
      <c r="Q1926" s="38">
        <f ca="1">IF(O1926="","",IF(Tipo_Vertedor="Retangular",IF(O1926&lt;=cota_s*100,0,IF(Tipo_Vertedor="Retangular",Cd_sr*Lef_sr*((O1926/100-cota_s)^(3/2))*1000)),IF(O1926&lt;=cota_s*100+fi_s/20,0,(OFFSET('Base de dados'!$A$4,IF(O1926&lt;20,1,IF(O1926&gt;1000,10,MATCH(O1926,Cargas,1))),Coluna_fis,1,1))*(PI()*(fi_s/1000)^2/4)*(2*9.81*(O1926/100-cota_s-fi_s/2/1000))^0.5*1000)))</f>
        <v>5.0752766114546315</v>
      </c>
      <c r="R1926" s="38">
        <f t="shared" ca="1" si="235"/>
        <v>10.936740410801567</v>
      </c>
      <c r="S1926" s="38">
        <f t="shared" ca="1" si="236"/>
        <v>601.5625</v>
      </c>
    </row>
    <row r="1927" spans="13:19">
      <c r="M1927" s="132">
        <f t="shared" ca="1" si="233"/>
        <v>612.81503270026758</v>
      </c>
      <c r="N1927" s="38">
        <f t="shared" si="234"/>
        <v>18.056250000000002</v>
      </c>
      <c r="O1927" s="36">
        <f t="shared" si="232"/>
        <v>481.5</v>
      </c>
      <c r="P1927" s="38">
        <f ca="1">IF(ISERROR(IF(O1927&lt;fi_h/20,0,(OFFSET('Base de dados'!$A$5,IF(O1927&lt;20,1,IF(O1927&gt;1000,10,MATCH(O1927,Cargas,1))),Coluna_fih,1,1))*(1+0.13*0.25)*(PI()*(fi_h/1000)^2/4)*SQRT(2*9.81*(O1927/100-fi_h/2/1000))*1000)),"",IF(O1927&lt;fi_h/20,0,(OFFSET('Base de dados'!$A$5,IF(O1927&lt;20,1,IF(O1927&gt;1000,10,MATCH(O1927,Cargas,1))),Coluna_fih,1,1))*(PI()*(fi_h/1000)^2/4)*SQRT(2*9.81*(O1927/100-fi_h/2/1000))*1000))</f>
        <v>5.8629916466365692</v>
      </c>
      <c r="Q1927" s="38">
        <f ca="1">IF(O1927="","",IF(Tipo_Vertedor="Retangular",IF(O1927&lt;=cota_s*100,0,IF(Tipo_Vertedor="Retangular",Cd_sr*Lef_sr*((O1927/100-cota_s)^(3/2))*1000)),IF(O1927&lt;=cota_s*100+fi_s/20,0,(OFFSET('Base de dados'!$A$4,IF(O1927&lt;20,1,IF(O1927&gt;1000,10,MATCH(O1927,Cargas,1))),Coluna_fis,1,1))*(PI()*(fi_s/1000)^2/4)*(2*9.81*(O1927/100-cota_s-fi_s/2/1000))^0.5*1000)))</f>
        <v>5.0770410536309418</v>
      </c>
      <c r="R1927" s="38">
        <f t="shared" ca="1" si="235"/>
        <v>10.940032700267512</v>
      </c>
      <c r="S1927" s="38">
        <f t="shared" ca="1" si="236"/>
        <v>601.87500000000011</v>
      </c>
    </row>
    <row r="1928" spans="13:19">
      <c r="M1928" s="132">
        <f t="shared" ca="1" si="233"/>
        <v>613.13082397870289</v>
      </c>
      <c r="N1928" s="38">
        <f t="shared" si="234"/>
        <v>18.065625000000001</v>
      </c>
      <c r="O1928" s="36">
        <f t="shared" si="232"/>
        <v>481.75</v>
      </c>
      <c r="P1928" s="38">
        <f ca="1">IF(ISERROR(IF(O1928&lt;fi_h/20,0,(OFFSET('Base de dados'!$A$5,IF(O1928&lt;20,1,IF(O1928&gt;1000,10,MATCH(O1928,Cargas,1))),Coluna_fih,1,1))*(1+0.13*0.25)*(PI()*(fi_h/1000)^2/4)*SQRT(2*9.81*(O1928/100-fi_h/2/1000))*1000)),"",IF(O1928&lt;fi_h/20,0,(OFFSET('Base de dados'!$A$5,IF(O1928&lt;20,1,IF(O1928&gt;1000,10,MATCH(O1928,Cargas,1))),Coluna_fih,1,1))*(PI()*(fi_h/1000)^2/4)*SQRT(2*9.81*(O1928/100-fi_h/2/1000))*1000))</f>
        <v>5.8645190958855062</v>
      </c>
      <c r="Q1928" s="38">
        <f ca="1">IF(O1928="","",IF(Tipo_Vertedor="Retangular",IF(O1928&lt;=cota_s*100,0,IF(Tipo_Vertedor="Retangular",Cd_sr*Lef_sr*((O1928/100-cota_s)^(3/2))*1000)),IF(O1928&lt;=cota_s*100+fi_s/20,0,(OFFSET('Base de dados'!$A$4,IF(O1928&lt;20,1,IF(O1928&gt;1000,10,MATCH(O1928,Cargas,1))),Coluna_fis,1,1))*(PI()*(fi_s/1000)^2/4)*(2*9.81*(O1928/100-cota_s-fi_s/2/1000))^0.5*1000)))</f>
        <v>5.0788048828173702</v>
      </c>
      <c r="R1928" s="38">
        <f t="shared" ca="1" si="235"/>
        <v>10.943323978702876</v>
      </c>
      <c r="S1928" s="38">
        <f t="shared" ca="1" si="236"/>
        <v>602.1875</v>
      </c>
    </row>
    <row r="1929" spans="13:19">
      <c r="M1929" s="132">
        <f t="shared" ca="1" si="233"/>
        <v>613.44661424705714</v>
      </c>
      <c r="N1929" s="38">
        <f t="shared" si="234"/>
        <v>18.075000000000003</v>
      </c>
      <c r="O1929" s="36">
        <f t="shared" si="232"/>
        <v>482</v>
      </c>
      <c r="P1929" s="38">
        <f ca="1">IF(ISERROR(IF(O1929&lt;fi_h/20,0,(OFFSET('Base de dados'!$A$5,IF(O1929&lt;20,1,IF(O1929&gt;1000,10,MATCH(O1929,Cargas,1))),Coluna_fih,1,1))*(1+0.13*0.25)*(PI()*(fi_h/1000)^2/4)*SQRT(2*9.81*(O1929/100-fi_h/2/1000))*1000)),"",IF(O1929&lt;fi_h/20,0,(OFFSET('Base de dados'!$A$5,IF(O1929&lt;20,1,IF(O1929&gt;1000,10,MATCH(O1929,Cargas,1))),Coluna_fih,1,1))*(PI()*(fi_h/1000)^2/4)*SQRT(2*9.81*(O1929/100-fi_h/2/1000))*1000))</f>
        <v>5.8660461474046848</v>
      </c>
      <c r="Q1929" s="38">
        <f ca="1">IF(O1929="","",IF(Tipo_Vertedor="Retangular",IF(O1929&lt;=cota_s*100,0,IF(Tipo_Vertedor="Retangular",Cd_sr*Lef_sr*((O1929/100-cota_s)^(3/2))*1000)),IF(O1929&lt;=cota_s*100+fi_s/20,0,(OFFSET('Base de dados'!$A$4,IF(O1929&lt;20,1,IF(O1929&gt;1000,10,MATCH(O1929,Cargas,1))),Coluna_fis,1,1))*(PI()*(fi_s/1000)^2/4)*(2*9.81*(O1929/100-cota_s-fi_s/2/1000))^0.5*1000)))</f>
        <v>5.0805680996523552</v>
      </c>
      <c r="R1929" s="38">
        <f t="shared" ca="1" si="235"/>
        <v>10.94661424705704</v>
      </c>
      <c r="S1929" s="38">
        <f t="shared" ca="1" si="236"/>
        <v>602.50000000000011</v>
      </c>
    </row>
    <row r="1930" spans="13:19">
      <c r="M1930" s="132">
        <f t="shared" ca="1" si="233"/>
        <v>613.76240350627779</v>
      </c>
      <c r="N1930" s="38">
        <f t="shared" si="234"/>
        <v>18.084374999999998</v>
      </c>
      <c r="O1930" s="36">
        <f t="shared" si="232"/>
        <v>482.25</v>
      </c>
      <c r="P1930" s="38">
        <f ca="1">IF(ISERROR(IF(O1930&lt;fi_h/20,0,(OFFSET('Base de dados'!$A$5,IF(O1930&lt;20,1,IF(O1930&gt;1000,10,MATCH(O1930,Cargas,1))),Coluna_fih,1,1))*(1+0.13*0.25)*(PI()*(fi_h/1000)^2/4)*SQRT(2*9.81*(O1930/100-fi_h/2/1000))*1000)),"",IF(O1930&lt;fi_h/20,0,(OFFSET('Base de dados'!$A$5,IF(O1930&lt;20,1,IF(O1930&gt;1000,10,MATCH(O1930,Cargas,1))),Coluna_fih,1,1))*(PI()*(fi_h/1000)^2/4)*SQRT(2*9.81*(O1930/100-fi_h/2/1000))*1000))</f>
        <v>5.8675728015046307</v>
      </c>
      <c r="Q1930" s="38">
        <f ca="1">IF(O1930="","",IF(Tipo_Vertedor="Retangular",IF(O1930&lt;=cota_s*100,0,IF(Tipo_Vertedor="Retangular",Cd_sr*Lef_sr*((O1930/100-cota_s)^(3/2))*1000)),IF(O1930&lt;=cota_s*100+fi_s/20,0,(OFFSET('Base de dados'!$A$4,IF(O1930&lt;20,1,IF(O1930&gt;1000,10,MATCH(O1930,Cargas,1))),Coluna_fis,1,1))*(PI()*(fi_s/1000)^2/4)*(2*9.81*(O1930/100-cota_s-fi_s/2/1000))^0.5*1000)))</f>
        <v>5.0823307047732253</v>
      </c>
      <c r="R1930" s="38">
        <f t="shared" ca="1" si="235"/>
        <v>10.949903506277856</v>
      </c>
      <c r="S1930" s="38">
        <f t="shared" ca="1" si="236"/>
        <v>602.81249999999989</v>
      </c>
    </row>
    <row r="1931" spans="13:19">
      <c r="M1931" s="132">
        <f t="shared" ca="1" si="233"/>
        <v>614.07819175731174</v>
      </c>
      <c r="N1931" s="38">
        <f t="shared" si="234"/>
        <v>18.09375</v>
      </c>
      <c r="O1931" s="36">
        <f t="shared" si="232"/>
        <v>482.5</v>
      </c>
      <c r="P1931" s="38">
        <f ca="1">IF(ISERROR(IF(O1931&lt;fi_h/20,0,(OFFSET('Base de dados'!$A$5,IF(O1931&lt;20,1,IF(O1931&gt;1000,10,MATCH(O1931,Cargas,1))),Coluna_fih,1,1))*(1+0.13*0.25)*(PI()*(fi_h/1000)^2/4)*SQRT(2*9.81*(O1931/100-fi_h/2/1000))*1000)),"",IF(O1931&lt;fi_h/20,0,(OFFSET('Base de dados'!$A$5,IF(O1931&lt;20,1,IF(O1931&gt;1000,10,MATCH(O1931,Cargas,1))),Coluna_fih,1,1))*(PI()*(fi_h/1000)^2/4)*SQRT(2*9.81*(O1931/100-fi_h/2/1000))*1000))</f>
        <v>5.8690990584954754</v>
      </c>
      <c r="Q1931" s="38">
        <f ca="1">IF(O1931="","",IF(Tipo_Vertedor="Retangular",IF(O1931&lt;=cota_s*100,0,IF(Tipo_Vertedor="Retangular",Cd_sr*Lef_sr*((O1931/100-cota_s)^(3/2))*1000)),IF(O1931&lt;=cota_s*100+fi_s/20,0,(OFFSET('Base de dados'!$A$4,IF(O1931&lt;20,1,IF(O1931&gt;1000,10,MATCH(O1931,Cargas,1))),Coluna_fis,1,1))*(PI()*(fi_s/1000)^2/4)*(2*9.81*(O1931/100-cota_s-fi_s/2/1000))^0.5*1000)))</f>
        <v>5.0840926988162103</v>
      </c>
      <c r="R1931" s="38">
        <f t="shared" ca="1" si="235"/>
        <v>10.953191757311686</v>
      </c>
      <c r="S1931" s="38">
        <f t="shared" ca="1" si="236"/>
        <v>603.125</v>
      </c>
    </row>
    <row r="1932" spans="13:19">
      <c r="M1932" s="132">
        <f t="shared" ca="1" si="233"/>
        <v>614.39397900110339</v>
      </c>
      <c r="N1932" s="38">
        <f t="shared" si="234"/>
        <v>18.103124999999999</v>
      </c>
      <c r="O1932" s="36">
        <f t="shared" si="232"/>
        <v>482.75</v>
      </c>
      <c r="P1932" s="38">
        <f ca="1">IF(ISERROR(IF(O1932&lt;fi_h/20,0,(OFFSET('Base de dados'!$A$5,IF(O1932&lt;20,1,IF(O1932&gt;1000,10,MATCH(O1932,Cargas,1))),Coluna_fih,1,1))*(1+0.13*0.25)*(PI()*(fi_h/1000)^2/4)*SQRT(2*9.81*(O1932/100-fi_h/2/1000))*1000)),"",IF(O1932&lt;fi_h/20,0,(OFFSET('Base de dados'!$A$5,IF(O1932&lt;20,1,IF(O1932&gt;1000,10,MATCH(O1932,Cargas,1))),Coluna_fih,1,1))*(PI()*(fi_h/1000)^2/4)*SQRT(2*9.81*(O1932/100-fi_h/2/1000))*1000))</f>
        <v>5.8706249186869419</v>
      </c>
      <c r="Q1932" s="38">
        <f ca="1">IF(O1932="","",IF(Tipo_Vertedor="Retangular",IF(O1932&lt;=cota_s*100,0,IF(Tipo_Vertedor="Retangular",Cd_sr*Lef_sr*((O1932/100-cota_s)^(3/2))*1000)),IF(O1932&lt;=cota_s*100+fi_s/20,0,(OFFSET('Base de dados'!$A$4,IF(O1932&lt;20,1,IF(O1932&gt;1000,10,MATCH(O1932,Cargas,1))),Coluna_fis,1,1))*(PI()*(fi_s/1000)^2/4)*(2*9.81*(O1932/100-cota_s-fi_s/2/1000))^0.5*1000)))</f>
        <v>5.0858540824164296</v>
      </c>
      <c r="R1932" s="38">
        <f t="shared" ca="1" si="235"/>
        <v>10.956479001103371</v>
      </c>
      <c r="S1932" s="38">
        <f t="shared" ca="1" si="236"/>
        <v>603.4375</v>
      </c>
    </row>
    <row r="1933" spans="13:19">
      <c r="M1933" s="132">
        <f t="shared" ca="1" si="233"/>
        <v>614.70976523859622</v>
      </c>
      <c r="N1933" s="38">
        <f t="shared" si="234"/>
        <v>18.112500000000001</v>
      </c>
      <c r="O1933" s="36">
        <f t="shared" si="232"/>
        <v>483</v>
      </c>
      <c r="P1933" s="38">
        <f ca="1">IF(ISERROR(IF(O1933&lt;fi_h/20,0,(OFFSET('Base de dados'!$A$5,IF(O1933&lt;20,1,IF(O1933&gt;1000,10,MATCH(O1933,Cargas,1))),Coluna_fih,1,1))*(1+0.13*0.25)*(PI()*(fi_h/1000)^2/4)*SQRT(2*9.81*(O1933/100-fi_h/2/1000))*1000)),"",IF(O1933&lt;fi_h/20,0,(OFFSET('Base de dados'!$A$5,IF(O1933&lt;20,1,IF(O1933&gt;1000,10,MATCH(O1933,Cargas,1))),Coluna_fih,1,1))*(PI()*(fi_h/1000)^2/4)*SQRT(2*9.81*(O1933/100-fi_h/2/1000))*1000))</f>
        <v>5.872150382388349</v>
      </c>
      <c r="Q1933" s="38">
        <f ca="1">IF(O1933="","",IF(Tipo_Vertedor="Retangular",IF(O1933&lt;=cota_s*100,0,IF(Tipo_Vertedor="Retangular",Cd_sr*Lef_sr*((O1933/100-cota_s)^(3/2))*1000)),IF(O1933&lt;=cota_s*100+fi_s/20,0,(OFFSET('Base de dados'!$A$4,IF(O1933&lt;20,1,IF(O1933&gt;1000,10,MATCH(O1933,Cargas,1))),Coluna_fis,1,1))*(PI()*(fi_s/1000)^2/4)*(2*9.81*(O1933/100-cota_s-fi_s/2/1000))^0.5*1000)))</f>
        <v>5.0876148562079111</v>
      </c>
      <c r="R1933" s="38">
        <f t="shared" ca="1" si="235"/>
        <v>10.95976523859626</v>
      </c>
      <c r="S1933" s="38">
        <f t="shared" ca="1" si="236"/>
        <v>603.75</v>
      </c>
    </row>
    <row r="1934" spans="13:19">
      <c r="M1934" s="132">
        <f t="shared" ca="1" si="233"/>
        <v>615.02555047073224</v>
      </c>
      <c r="N1934" s="38">
        <f t="shared" si="234"/>
        <v>18.121874999999999</v>
      </c>
      <c r="O1934" s="36">
        <f t="shared" si="232"/>
        <v>483.25</v>
      </c>
      <c r="P1934" s="38">
        <f ca="1">IF(ISERROR(IF(O1934&lt;fi_h/20,0,(OFFSET('Base de dados'!$A$5,IF(O1934&lt;20,1,IF(O1934&gt;1000,10,MATCH(O1934,Cargas,1))),Coluna_fih,1,1))*(1+0.13*0.25)*(PI()*(fi_h/1000)^2/4)*SQRT(2*9.81*(O1934/100-fi_h/2/1000))*1000)),"",IF(O1934&lt;fi_h/20,0,(OFFSET('Base de dados'!$A$5,IF(O1934&lt;20,1,IF(O1934&gt;1000,10,MATCH(O1934,Cargas,1))),Coluna_fih,1,1))*(PI()*(fi_h/1000)^2/4)*SQRT(2*9.81*(O1934/100-fi_h/2/1000))*1000))</f>
        <v>5.8736754499086183</v>
      </c>
      <c r="Q1934" s="38">
        <f ca="1">IF(O1934="","",IF(Tipo_Vertedor="Retangular",IF(O1934&lt;=cota_s*100,0,IF(Tipo_Vertedor="Retangular",Cd_sr*Lef_sr*((O1934/100-cota_s)^(3/2))*1000)),IF(O1934&lt;=cota_s*100+fi_s/20,0,(OFFSET('Base de dados'!$A$4,IF(O1934&lt;20,1,IF(O1934&gt;1000,10,MATCH(O1934,Cargas,1))),Coluna_fis,1,1))*(PI()*(fi_s/1000)^2/4)*(2*9.81*(O1934/100-cota_s-fi_s/2/1000))^0.5*1000)))</f>
        <v>5.0893750208235797</v>
      </c>
      <c r="R1934" s="38">
        <f t="shared" ca="1" si="235"/>
        <v>10.963050470732199</v>
      </c>
      <c r="S1934" s="38">
        <f t="shared" ca="1" si="236"/>
        <v>604.0625</v>
      </c>
    </row>
    <row r="1935" spans="13:19">
      <c r="M1935" s="132">
        <f t="shared" ca="1" si="233"/>
        <v>615.34133469845153</v>
      </c>
      <c r="N1935" s="38">
        <f t="shared" si="234"/>
        <v>18.131250000000001</v>
      </c>
      <c r="O1935" s="36">
        <f t="shared" si="232"/>
        <v>483.5</v>
      </c>
      <c r="P1935" s="38">
        <f ca="1">IF(ISERROR(IF(O1935&lt;fi_h/20,0,(OFFSET('Base de dados'!$A$5,IF(O1935&lt;20,1,IF(O1935&gt;1000,10,MATCH(O1935,Cargas,1))),Coluna_fih,1,1))*(1+0.13*0.25)*(PI()*(fi_h/1000)^2/4)*SQRT(2*9.81*(O1935/100-fi_h/2/1000))*1000)),"",IF(O1935&lt;fi_h/20,0,(OFFSET('Base de dados'!$A$5,IF(O1935&lt;20,1,IF(O1935&gt;1000,10,MATCH(O1935,Cargas,1))),Coluna_fih,1,1))*(PI()*(fi_h/1000)^2/4)*SQRT(2*9.81*(O1935/100-fi_h/2/1000))*1000))</f>
        <v>5.8752001215562686</v>
      </c>
      <c r="Q1935" s="38">
        <f ca="1">IF(O1935="","",IF(Tipo_Vertedor="Retangular",IF(O1935&lt;=cota_s*100,0,IF(Tipo_Vertedor="Retangular",Cd_sr*Lef_sr*((O1935/100-cota_s)^(3/2))*1000)),IF(O1935&lt;=cota_s*100+fi_s/20,0,(OFFSET('Base de dados'!$A$4,IF(O1935&lt;20,1,IF(O1935&gt;1000,10,MATCH(O1935,Cargas,1))),Coluna_fis,1,1))*(PI()*(fi_s/1000)^2/4)*(2*9.81*(O1935/100-cota_s-fi_s/2/1000))^0.5*1000)))</f>
        <v>5.0911345768952705</v>
      </c>
      <c r="R1935" s="38">
        <f t="shared" ca="1" si="235"/>
        <v>10.96633469845154</v>
      </c>
      <c r="S1935" s="38">
        <f t="shared" ca="1" si="236"/>
        <v>604.375</v>
      </c>
    </row>
    <row r="1936" spans="13:19">
      <c r="M1936" s="132">
        <f t="shared" ca="1" si="233"/>
        <v>615.65711792269315</v>
      </c>
      <c r="N1936" s="38">
        <f t="shared" si="234"/>
        <v>18.140625</v>
      </c>
      <c r="O1936" s="36">
        <f t="shared" si="232"/>
        <v>483.75</v>
      </c>
      <c r="P1936" s="38">
        <f ca="1">IF(ISERROR(IF(O1936&lt;fi_h/20,0,(OFFSET('Base de dados'!$A$5,IF(O1936&lt;20,1,IF(O1936&gt;1000,10,MATCH(O1936,Cargas,1))),Coluna_fih,1,1))*(1+0.13*0.25)*(PI()*(fi_h/1000)^2/4)*SQRT(2*9.81*(O1936/100-fi_h/2/1000))*1000)),"",IF(O1936&lt;fi_h/20,0,(OFFSET('Base de dados'!$A$5,IF(O1936&lt;20,1,IF(O1936&gt;1000,10,MATCH(O1936,Cargas,1))),Coluna_fih,1,1))*(PI()*(fi_h/1000)^2/4)*SQRT(2*9.81*(O1936/100-fi_h/2/1000))*1000))</f>
        <v>5.8767243976394168</v>
      </c>
      <c r="Q1936" s="38">
        <f ca="1">IF(O1936="","",IF(Tipo_Vertedor="Retangular",IF(O1936&lt;=cota_s*100,0,IF(Tipo_Vertedor="Retangular",Cd_sr*Lef_sr*((O1936/100-cota_s)^(3/2))*1000)),IF(O1936&lt;=cota_s*100+fi_s/20,0,(OFFSET('Base de dados'!$A$4,IF(O1936&lt;20,1,IF(O1936&gt;1000,10,MATCH(O1936,Cargas,1))),Coluna_fis,1,1))*(PI()*(fi_s/1000)^2/4)*(2*9.81*(O1936/100-cota_s-fi_s/2/1000))^0.5*1000)))</f>
        <v>5.0928935250537268</v>
      </c>
      <c r="R1936" s="38">
        <f t="shared" ca="1" si="235"/>
        <v>10.969617922693143</v>
      </c>
      <c r="S1936" s="38">
        <f t="shared" ca="1" si="236"/>
        <v>604.6875</v>
      </c>
    </row>
    <row r="1937" spans="13:19">
      <c r="M1937" s="132">
        <f t="shared" ca="1" si="233"/>
        <v>615.97290014439443</v>
      </c>
      <c r="N1937" s="38">
        <f t="shared" si="234"/>
        <v>18.149999999999999</v>
      </c>
      <c r="O1937" s="36">
        <f t="shared" si="232"/>
        <v>484</v>
      </c>
      <c r="P1937" s="38">
        <f ca="1">IF(ISERROR(IF(O1937&lt;fi_h/20,0,(OFFSET('Base de dados'!$A$5,IF(O1937&lt;20,1,IF(O1937&gt;1000,10,MATCH(O1937,Cargas,1))),Coluna_fih,1,1))*(1+0.13*0.25)*(PI()*(fi_h/1000)^2/4)*SQRT(2*9.81*(O1937/100-fi_h/2/1000))*1000)),"",IF(O1937&lt;fi_h/20,0,(OFFSET('Base de dados'!$A$5,IF(O1937&lt;20,1,IF(O1937&gt;1000,10,MATCH(O1937,Cargas,1))),Coluna_fih,1,1))*(PI()*(fi_h/1000)^2/4)*SQRT(2*9.81*(O1937/100-fi_h/2/1000))*1000))</f>
        <v>5.8782482784657821</v>
      </c>
      <c r="Q1937" s="38">
        <f ca="1">IF(O1937="","",IF(Tipo_Vertedor="Retangular",IF(O1937&lt;=cota_s*100,0,IF(Tipo_Vertedor="Retangular",Cd_sr*Lef_sr*((O1937/100-cota_s)^(3/2))*1000)),IF(O1937&lt;=cota_s*100+fi_s/20,0,(OFFSET('Base de dados'!$A$4,IF(O1937&lt;20,1,IF(O1937&gt;1000,10,MATCH(O1937,Cargas,1))),Coluna_fis,1,1))*(PI()*(fi_s/1000)^2/4)*(2*9.81*(O1937/100-cota_s-fi_s/2/1000))^0.5*1000)))</f>
        <v>5.0946518659285971</v>
      </c>
      <c r="R1937" s="38">
        <f t="shared" ca="1" si="235"/>
        <v>10.97290014439438</v>
      </c>
      <c r="S1937" s="38">
        <f t="shared" ca="1" si="236"/>
        <v>605</v>
      </c>
    </row>
    <row r="1938" spans="13:19">
      <c r="M1938" s="132">
        <f t="shared" ca="1" si="233"/>
        <v>616.28868136449114</v>
      </c>
      <c r="N1938" s="38">
        <f t="shared" si="234"/>
        <v>18.159375000000001</v>
      </c>
      <c r="O1938" s="36">
        <f t="shared" si="232"/>
        <v>484.25</v>
      </c>
      <c r="P1938" s="38">
        <f ca="1">IF(ISERROR(IF(O1938&lt;fi_h/20,0,(OFFSET('Base de dados'!$A$5,IF(O1938&lt;20,1,IF(O1938&gt;1000,10,MATCH(O1938,Cargas,1))),Coluna_fih,1,1))*(1+0.13*0.25)*(PI()*(fi_h/1000)^2/4)*SQRT(2*9.81*(O1938/100-fi_h/2/1000))*1000)),"",IF(O1938&lt;fi_h/20,0,(OFFSET('Base de dados'!$A$5,IF(O1938&lt;20,1,IF(O1938&gt;1000,10,MATCH(O1938,Cargas,1))),Coluna_fih,1,1))*(PI()*(fi_h/1000)^2/4)*SQRT(2*9.81*(O1938/100-fi_h/2/1000))*1000))</f>
        <v>5.8797717643426859</v>
      </c>
      <c r="Q1938" s="38">
        <f ca="1">IF(O1938="","",IF(Tipo_Vertedor="Retangular",IF(O1938&lt;=cota_s*100,0,IF(Tipo_Vertedor="Retangular",Cd_sr*Lef_sr*((O1938/100-cota_s)^(3/2))*1000)),IF(O1938&lt;=cota_s*100+fi_s/20,0,(OFFSET('Base de dados'!$A$4,IF(O1938&lt;20,1,IF(O1938&gt;1000,10,MATCH(O1938,Cargas,1))),Coluna_fis,1,1))*(PI()*(fi_s/1000)^2/4)*(2*9.81*(O1938/100-cota_s-fi_s/2/1000))^0.5*1000)))</f>
        <v>5.0964096001484531</v>
      </c>
      <c r="R1938" s="38">
        <f t="shared" ca="1" si="235"/>
        <v>10.97618136449114</v>
      </c>
      <c r="S1938" s="38">
        <f t="shared" ca="1" si="236"/>
        <v>605.3125</v>
      </c>
    </row>
    <row r="1939" spans="13:19">
      <c r="M1939" s="132">
        <f t="shared" ca="1" si="233"/>
        <v>616.60446158391778</v>
      </c>
      <c r="N1939" s="38">
        <f t="shared" si="234"/>
        <v>18.168749999999999</v>
      </c>
      <c r="O1939" s="36">
        <f t="shared" ref="O1939:O2002" si="237">IF(ISERROR(IF(O1938+passo_altura&gt;h_max_puls*100,"",O1938+passo_altura)),"",IF(O1938+passo_altura&gt;h_max_puls*100,"",O1938+passo_altura))</f>
        <v>484.5</v>
      </c>
      <c r="P1939" s="38">
        <f ca="1">IF(ISERROR(IF(O1939&lt;fi_h/20,0,(OFFSET('Base de dados'!$A$5,IF(O1939&lt;20,1,IF(O1939&gt;1000,10,MATCH(O1939,Cargas,1))),Coluna_fih,1,1))*(1+0.13*0.25)*(PI()*(fi_h/1000)^2/4)*SQRT(2*9.81*(O1939/100-fi_h/2/1000))*1000)),"",IF(O1939&lt;fi_h/20,0,(OFFSET('Base de dados'!$A$5,IF(O1939&lt;20,1,IF(O1939&gt;1000,10,MATCH(O1939,Cargas,1))),Coluna_fih,1,1))*(PI()*(fi_h/1000)^2/4)*SQRT(2*9.81*(O1939/100-fi_h/2/1000))*1000))</f>
        <v>5.8812948555770515</v>
      </c>
      <c r="Q1939" s="38">
        <f ca="1">IF(O1939="","",IF(Tipo_Vertedor="Retangular",IF(O1939&lt;=cota_s*100,0,IF(Tipo_Vertedor="Retangular",Cd_sr*Lef_sr*((O1939/100-cota_s)^(3/2))*1000)),IF(O1939&lt;=cota_s*100+fi_s/20,0,(OFFSET('Base de dados'!$A$4,IF(O1939&lt;20,1,IF(O1939&gt;1000,10,MATCH(O1939,Cargas,1))),Coluna_fis,1,1))*(PI()*(fi_s/1000)^2/4)*(2*9.81*(O1939/100-cota_s-fi_s/2/1000))^0.5*1000)))</f>
        <v>5.0981667283407761</v>
      </c>
      <c r="R1939" s="38">
        <f t="shared" ca="1" si="235"/>
        <v>10.979461583917828</v>
      </c>
      <c r="S1939" s="38">
        <f t="shared" ca="1" si="236"/>
        <v>605.625</v>
      </c>
    </row>
    <row r="1940" spans="13:19">
      <c r="M1940" s="132">
        <f t="shared" ca="1" si="233"/>
        <v>616.92024080360738</v>
      </c>
      <c r="N1940" s="38">
        <f t="shared" si="234"/>
        <v>18.178125000000001</v>
      </c>
      <c r="O1940" s="36">
        <f t="shared" si="237"/>
        <v>484.75</v>
      </c>
      <c r="P1940" s="38">
        <f ca="1">IF(ISERROR(IF(O1940&lt;fi_h/20,0,(OFFSET('Base de dados'!$A$5,IF(O1940&lt;20,1,IF(O1940&gt;1000,10,MATCH(O1940,Cargas,1))),Coluna_fih,1,1))*(1+0.13*0.25)*(PI()*(fi_h/1000)^2/4)*SQRT(2*9.81*(O1940/100-fi_h/2/1000))*1000)),"",IF(O1940&lt;fi_h/20,0,(OFFSET('Base de dados'!$A$5,IF(O1940&lt;20,1,IF(O1940&gt;1000,10,MATCH(O1940,Cargas,1))),Coluna_fih,1,1))*(PI()*(fi_h/1000)^2/4)*SQRT(2*9.81*(O1940/100-fi_h/2/1000))*1000))</f>
        <v>5.8828175524754007</v>
      </c>
      <c r="Q1940" s="38">
        <f ca="1">IF(O1940="","",IF(Tipo_Vertedor="Retangular",IF(O1940&lt;=cota_s*100,0,IF(Tipo_Vertedor="Retangular",Cd_sr*Lef_sr*((O1940/100-cota_s)^(3/2))*1000)),IF(O1940&lt;=cota_s*100+fi_s/20,0,(OFFSET('Base de dados'!$A$4,IF(O1940&lt;20,1,IF(O1940&gt;1000,10,MATCH(O1940,Cargas,1))),Coluna_fis,1,1))*(PI()*(fi_s/1000)^2/4)*(2*9.81*(O1940/100-cota_s-fi_s/2/1000))^0.5*1000)))</f>
        <v>5.0999232511319699</v>
      </c>
      <c r="R1940" s="38">
        <f t="shared" ca="1" si="235"/>
        <v>10.982740803607371</v>
      </c>
      <c r="S1940" s="38">
        <f t="shared" ca="1" si="236"/>
        <v>605.9375</v>
      </c>
    </row>
    <row r="1941" spans="13:19">
      <c r="M1941" s="132">
        <f t="shared" ca="1" si="233"/>
        <v>617.23601902449127</v>
      </c>
      <c r="N1941" s="38">
        <f t="shared" si="234"/>
        <v>18.1875</v>
      </c>
      <c r="O1941" s="36">
        <f t="shared" si="237"/>
        <v>485</v>
      </c>
      <c r="P1941" s="38">
        <f ca="1">IF(ISERROR(IF(O1941&lt;fi_h/20,0,(OFFSET('Base de dados'!$A$5,IF(O1941&lt;20,1,IF(O1941&gt;1000,10,MATCH(O1941,Cargas,1))),Coluna_fih,1,1))*(1+0.13*0.25)*(PI()*(fi_h/1000)^2/4)*SQRT(2*9.81*(O1941/100-fi_h/2/1000))*1000)),"",IF(O1941&lt;fi_h/20,0,(OFFSET('Base de dados'!$A$5,IF(O1941&lt;20,1,IF(O1941&gt;1000,10,MATCH(O1941,Cargas,1))),Coluna_fih,1,1))*(PI()*(fi_h/1000)^2/4)*SQRT(2*9.81*(O1941/100-fi_h/2/1000))*1000))</f>
        <v>5.8843398553438631</v>
      </c>
      <c r="Q1941" s="38">
        <f ca="1">IF(O1941="","",IF(Tipo_Vertedor="Retangular",IF(O1941&lt;=cota_s*100,0,IF(Tipo_Vertedor="Retangular",Cd_sr*Lef_sr*((O1941/100-cota_s)^(3/2))*1000)),IF(O1941&lt;=cota_s*100+fi_s/20,0,(OFFSET('Base de dados'!$A$4,IF(O1941&lt;20,1,IF(O1941&gt;1000,10,MATCH(O1941,Cargas,1))),Coluna_fis,1,1))*(PI()*(fi_s/1000)^2/4)*(2*9.81*(O1941/100-cota_s-fi_s/2/1000))^0.5*1000)))</f>
        <v>5.1016791691473538</v>
      </c>
      <c r="R1941" s="38">
        <f t="shared" ca="1" si="235"/>
        <v>10.986019024491217</v>
      </c>
      <c r="S1941" s="38">
        <f t="shared" ca="1" si="236"/>
        <v>606.25</v>
      </c>
    </row>
    <row r="1942" spans="13:19">
      <c r="M1942" s="132">
        <f t="shared" ca="1" si="233"/>
        <v>617.5517962474994</v>
      </c>
      <c r="N1942" s="38">
        <f t="shared" si="234"/>
        <v>18.196874999999999</v>
      </c>
      <c r="O1942" s="36">
        <f t="shared" si="237"/>
        <v>485.25</v>
      </c>
      <c r="P1942" s="38">
        <f ca="1">IF(ISERROR(IF(O1942&lt;fi_h/20,0,(OFFSET('Base de dados'!$A$5,IF(O1942&lt;20,1,IF(O1942&gt;1000,10,MATCH(O1942,Cargas,1))),Coluna_fih,1,1))*(1+0.13*0.25)*(PI()*(fi_h/1000)^2/4)*SQRT(2*9.81*(O1942/100-fi_h/2/1000))*1000)),"",IF(O1942&lt;fi_h/20,0,(OFFSET('Base de dados'!$A$5,IF(O1942&lt;20,1,IF(O1942&gt;1000,10,MATCH(O1942,Cargas,1))),Coluna_fih,1,1))*(PI()*(fi_h/1000)^2/4)*SQRT(2*9.81*(O1942/100-fi_h/2/1000))*1000))</f>
        <v>5.8858617644881717</v>
      </c>
      <c r="Q1942" s="38">
        <f ca="1">IF(O1942="","",IF(Tipo_Vertedor="Retangular",IF(O1942&lt;=cota_s*100,0,IF(Tipo_Vertedor="Retangular",Cd_sr*Lef_sr*((O1942/100-cota_s)^(3/2))*1000)),IF(O1942&lt;=cota_s*100+fi_s/20,0,(OFFSET('Base de dados'!$A$4,IF(O1942&lt;20,1,IF(O1942&gt;1000,10,MATCH(O1942,Cargas,1))),Coluna_fis,1,1))*(PI()*(fi_s/1000)^2/4)*(2*9.81*(O1942/100-cota_s-fi_s/2/1000))^0.5*1000)))</f>
        <v>5.1034344830111831</v>
      </c>
      <c r="R1942" s="38">
        <f t="shared" ca="1" si="235"/>
        <v>10.989296247499354</v>
      </c>
      <c r="S1942" s="38">
        <f t="shared" ca="1" si="236"/>
        <v>606.5625</v>
      </c>
    </row>
    <row r="1943" spans="13:19">
      <c r="M1943" s="132">
        <f t="shared" ref="M1943:M2006" ca="1" si="238">IF(O1943="","",2*N1943*1000/(Passo*60)+R1943)</f>
        <v>617.86757247356024</v>
      </c>
      <c r="N1943" s="38">
        <f t="shared" ref="N1943:N2006" si="239">IF(O1943="","",b_0*(O1943/100)^c_0)</f>
        <v>18.206250000000001</v>
      </c>
      <c r="O1943" s="36">
        <f t="shared" si="237"/>
        <v>485.5</v>
      </c>
      <c r="P1943" s="38">
        <f ca="1">IF(ISERROR(IF(O1943&lt;fi_h/20,0,(OFFSET('Base de dados'!$A$5,IF(O1943&lt;20,1,IF(O1943&gt;1000,10,MATCH(O1943,Cargas,1))),Coluna_fih,1,1))*(1+0.13*0.25)*(PI()*(fi_h/1000)^2/4)*SQRT(2*9.81*(O1943/100-fi_h/2/1000))*1000)),"",IF(O1943&lt;fi_h/20,0,(OFFSET('Base de dados'!$A$5,IF(O1943&lt;20,1,IF(O1943&gt;1000,10,MATCH(O1943,Cargas,1))),Coluna_fih,1,1))*(PI()*(fi_h/1000)^2/4)*SQRT(2*9.81*(O1943/100-fi_h/2/1000))*1000))</f>
        <v>5.8873832802136628</v>
      </c>
      <c r="Q1943" s="38">
        <f ca="1">IF(O1943="","",IF(Tipo_Vertedor="Retangular",IF(O1943&lt;=cota_s*100,0,IF(Tipo_Vertedor="Retangular",Cd_sr*Lef_sr*((O1943/100-cota_s)^(3/2))*1000)),IF(O1943&lt;=cota_s*100+fi_s/20,0,(OFFSET('Base de dados'!$A$4,IF(O1943&lt;20,1,IF(O1943&gt;1000,10,MATCH(O1943,Cargas,1))),Coluna_fis,1,1))*(PI()*(fi_s/1000)^2/4)*(2*9.81*(O1943/100-cota_s-fi_s/2/1000))^0.5*1000)))</f>
        <v>5.1051891933466278</v>
      </c>
      <c r="R1943" s="38">
        <f t="shared" ref="R1943:R2006" ca="1" si="240">IF(O1943="","",Q1943+P1943)</f>
        <v>10.992572473560291</v>
      </c>
      <c r="S1943" s="38">
        <f t="shared" ref="S1943:S2006" ca="1" si="241">IF(M1943="","",2*N1943*1000/(Passo*60))</f>
        <v>606.875</v>
      </c>
    </row>
    <row r="1944" spans="13:19">
      <c r="M1944" s="132">
        <f t="shared" ca="1" si="238"/>
        <v>618.18334770360104</v>
      </c>
      <c r="N1944" s="38">
        <f t="shared" si="239"/>
        <v>18.215624999999999</v>
      </c>
      <c r="O1944" s="36">
        <f t="shared" si="237"/>
        <v>485.75</v>
      </c>
      <c r="P1944" s="38">
        <f ca="1">IF(ISERROR(IF(O1944&lt;fi_h/20,0,(OFFSET('Base de dados'!$A$5,IF(O1944&lt;20,1,IF(O1944&gt;1000,10,MATCH(O1944,Cargas,1))),Coluna_fih,1,1))*(1+0.13*0.25)*(PI()*(fi_h/1000)^2/4)*SQRT(2*9.81*(O1944/100-fi_h/2/1000))*1000)),"",IF(O1944&lt;fi_h/20,0,(OFFSET('Base de dados'!$A$5,IF(O1944&lt;20,1,IF(O1944&gt;1000,10,MATCH(O1944,Cargas,1))),Coluna_fih,1,1))*(PI()*(fi_h/1000)^2/4)*SQRT(2*9.81*(O1944/100-fi_h/2/1000))*1000))</f>
        <v>5.8889044028252799</v>
      </c>
      <c r="Q1944" s="38">
        <f ca="1">IF(O1944="","",IF(Tipo_Vertedor="Retangular",IF(O1944&lt;=cota_s*100,0,IF(Tipo_Vertedor="Retangular",Cd_sr*Lef_sr*((O1944/100-cota_s)^(3/2))*1000)),IF(O1944&lt;=cota_s*100+fi_s/20,0,(OFFSET('Base de dados'!$A$4,IF(O1944&lt;20,1,IF(O1944&gt;1000,10,MATCH(O1944,Cargas,1))),Coluna_fis,1,1))*(PI()*(fi_s/1000)^2/4)*(2*9.81*(O1944/100-cota_s-fi_s/2/1000))^0.5*1000)))</f>
        <v>5.1069433007757947</v>
      </c>
      <c r="R1944" s="38">
        <f t="shared" ca="1" si="240"/>
        <v>10.995847703601076</v>
      </c>
      <c r="S1944" s="38">
        <f t="shared" ca="1" si="241"/>
        <v>607.1875</v>
      </c>
    </row>
    <row r="1945" spans="13:19">
      <c r="M1945" s="132">
        <f t="shared" ca="1" si="238"/>
        <v>618.49912193854732</v>
      </c>
      <c r="N1945" s="38">
        <f t="shared" si="239"/>
        <v>18.225000000000001</v>
      </c>
      <c r="O1945" s="36">
        <f t="shared" si="237"/>
        <v>486</v>
      </c>
      <c r="P1945" s="38">
        <f ca="1">IF(ISERROR(IF(O1945&lt;fi_h/20,0,(OFFSET('Base de dados'!$A$5,IF(O1945&lt;20,1,IF(O1945&gt;1000,10,MATCH(O1945,Cargas,1))),Coluna_fih,1,1))*(1+0.13*0.25)*(PI()*(fi_h/1000)^2/4)*SQRT(2*9.81*(O1945/100-fi_h/2/1000))*1000)),"",IF(O1945&lt;fi_h/20,0,(OFFSET('Base de dados'!$A$5,IF(O1945&lt;20,1,IF(O1945&gt;1000,10,MATCH(O1945,Cargas,1))),Coluna_fih,1,1))*(PI()*(fi_h/1000)^2/4)*SQRT(2*9.81*(O1945/100-fi_h/2/1000))*1000))</f>
        <v>5.8904251326275716</v>
      </c>
      <c r="Q1945" s="38">
        <f ca="1">IF(O1945="","",IF(Tipo_Vertedor="Retangular",IF(O1945&lt;=cota_s*100,0,IF(Tipo_Vertedor="Retangular",Cd_sr*Lef_sr*((O1945/100-cota_s)^(3/2))*1000)),IF(O1945&lt;=cota_s*100+fi_s/20,0,(OFFSET('Base de dados'!$A$4,IF(O1945&lt;20,1,IF(O1945&gt;1000,10,MATCH(O1945,Cargas,1))),Coluna_fis,1,1))*(PI()*(fi_s/1000)^2/4)*(2*9.81*(O1945/100-cota_s-fi_s/2/1000))^0.5*1000)))</f>
        <v>5.1086968059197195</v>
      </c>
      <c r="R1945" s="38">
        <f t="shared" ca="1" si="240"/>
        <v>10.99912193854729</v>
      </c>
      <c r="S1945" s="38">
        <f t="shared" ca="1" si="241"/>
        <v>607.5</v>
      </c>
    </row>
    <row r="1946" spans="13:19">
      <c r="M1946" s="132">
        <f t="shared" ca="1" si="238"/>
        <v>618.81489517932312</v>
      </c>
      <c r="N1946" s="38">
        <f t="shared" si="239"/>
        <v>18.234375</v>
      </c>
      <c r="O1946" s="36">
        <f t="shared" si="237"/>
        <v>486.25</v>
      </c>
      <c r="P1946" s="38">
        <f ca="1">IF(ISERROR(IF(O1946&lt;fi_h/20,0,(OFFSET('Base de dados'!$A$5,IF(O1946&lt;20,1,IF(O1946&gt;1000,10,MATCH(O1946,Cargas,1))),Coluna_fih,1,1))*(1+0.13*0.25)*(PI()*(fi_h/1000)^2/4)*SQRT(2*9.81*(O1946/100-fi_h/2/1000))*1000)),"",IF(O1946&lt;fi_h/20,0,(OFFSET('Base de dados'!$A$5,IF(O1946&lt;20,1,IF(O1946&gt;1000,10,MATCH(O1946,Cargas,1))),Coluna_fih,1,1))*(PI()*(fi_h/1000)^2/4)*SQRT(2*9.81*(O1946/100-fi_h/2/1000))*1000))</f>
        <v>5.8919454699246936</v>
      </c>
      <c r="Q1946" s="38">
        <f ca="1">IF(O1946="","",IF(Tipo_Vertedor="Retangular",IF(O1946&lt;=cota_s*100,0,IF(Tipo_Vertedor="Retangular",Cd_sr*Lef_sr*((O1946/100-cota_s)^(3/2))*1000)),IF(O1946&lt;=cota_s*100+fi_s/20,0,(OFFSET('Base de dados'!$A$4,IF(O1946&lt;20,1,IF(O1946&gt;1000,10,MATCH(O1946,Cargas,1))),Coluna_fis,1,1))*(PI()*(fi_s/1000)^2/4)*(2*9.81*(O1946/100-cota_s-fi_s/2/1000))^0.5*1000)))</f>
        <v>5.1104497093983738</v>
      </c>
      <c r="R1946" s="38">
        <f t="shared" ca="1" si="240"/>
        <v>11.002395179323067</v>
      </c>
      <c r="S1946" s="38">
        <f t="shared" ca="1" si="241"/>
        <v>607.8125</v>
      </c>
    </row>
    <row r="1947" spans="13:19">
      <c r="M1947" s="132">
        <f t="shared" ca="1" si="238"/>
        <v>619.13066742685123</v>
      </c>
      <c r="N1947" s="38">
        <f t="shared" si="239"/>
        <v>18.243750000000002</v>
      </c>
      <c r="O1947" s="36">
        <f t="shared" si="237"/>
        <v>486.5</v>
      </c>
      <c r="P1947" s="38">
        <f ca="1">IF(ISERROR(IF(O1947&lt;fi_h/20,0,(OFFSET('Base de dados'!$A$5,IF(O1947&lt;20,1,IF(O1947&gt;1000,10,MATCH(O1947,Cargas,1))),Coluna_fih,1,1))*(1+0.13*0.25)*(PI()*(fi_h/1000)^2/4)*SQRT(2*9.81*(O1947/100-fi_h/2/1000))*1000)),"",IF(O1947&lt;fi_h/20,0,(OFFSET('Base de dados'!$A$5,IF(O1947&lt;20,1,IF(O1947&gt;1000,10,MATCH(O1947,Cargas,1))),Coluna_fih,1,1))*(PI()*(fi_h/1000)^2/4)*SQRT(2*9.81*(O1947/100-fi_h/2/1000))*1000))</f>
        <v>5.89346541502041</v>
      </c>
      <c r="Q1947" s="38">
        <f ca="1">IF(O1947="","",IF(Tipo_Vertedor="Retangular",IF(O1947&lt;=cota_s*100,0,IF(Tipo_Vertedor="Retangular",Cd_sr*Lef_sr*((O1947/100-cota_s)^(3/2))*1000)),IF(O1947&lt;=cota_s*100+fi_s/20,0,(OFFSET('Base de dados'!$A$4,IF(O1947&lt;20,1,IF(O1947&gt;1000,10,MATCH(O1947,Cargas,1))),Coluna_fis,1,1))*(PI()*(fi_s/1000)^2/4)*(2*9.81*(O1947/100-cota_s-fi_s/2/1000))^0.5*1000)))</f>
        <v>5.1122020118306652</v>
      </c>
      <c r="R1947" s="38">
        <f t="shared" ca="1" si="240"/>
        <v>11.005667426851076</v>
      </c>
      <c r="S1947" s="38">
        <f t="shared" ca="1" si="241"/>
        <v>608.12500000000011</v>
      </c>
    </row>
    <row r="1948" spans="13:19">
      <c r="M1948" s="132">
        <f t="shared" ca="1" si="238"/>
        <v>619.44643868205242</v>
      </c>
      <c r="N1948" s="38">
        <f t="shared" si="239"/>
        <v>18.253124999999997</v>
      </c>
      <c r="O1948" s="36">
        <f t="shared" si="237"/>
        <v>486.75</v>
      </c>
      <c r="P1948" s="38">
        <f ca="1">IF(ISERROR(IF(O1948&lt;fi_h/20,0,(OFFSET('Base de dados'!$A$5,IF(O1948&lt;20,1,IF(O1948&gt;1000,10,MATCH(O1948,Cargas,1))),Coluna_fih,1,1))*(1+0.13*0.25)*(PI()*(fi_h/1000)^2/4)*SQRT(2*9.81*(O1948/100-fi_h/2/1000))*1000)),"",IF(O1948&lt;fi_h/20,0,(OFFSET('Base de dados'!$A$5,IF(O1948&lt;20,1,IF(O1948&gt;1000,10,MATCH(O1948,Cargas,1))),Coluna_fih,1,1))*(PI()*(fi_h/1000)^2/4)*SQRT(2*9.81*(O1948/100-fi_h/2/1000))*1000))</f>
        <v>5.8949849682180924</v>
      </c>
      <c r="Q1948" s="38">
        <f ca="1">IF(O1948="","",IF(Tipo_Vertedor="Retangular",IF(O1948&lt;=cota_s*100,0,IF(Tipo_Vertedor="Retangular",Cd_sr*Lef_sr*((O1948/100-cota_s)^(3/2))*1000)),IF(O1948&lt;=cota_s*100+fi_s/20,0,(OFFSET('Base de dados'!$A$4,IF(O1948&lt;20,1,IF(O1948&gt;1000,10,MATCH(O1948,Cargas,1))),Coluna_fis,1,1))*(PI()*(fi_s/1000)^2/4)*(2*9.81*(O1948/100-cota_s-fi_s/2/1000))^0.5*1000)))</f>
        <v>5.1139537138344409</v>
      </c>
      <c r="R1948" s="38">
        <f t="shared" ca="1" si="240"/>
        <v>11.008938682052534</v>
      </c>
      <c r="S1948" s="38">
        <f t="shared" ca="1" si="241"/>
        <v>608.43749999999989</v>
      </c>
    </row>
    <row r="1949" spans="13:19">
      <c r="M1949" s="132">
        <f t="shared" ca="1" si="238"/>
        <v>619.76220894584719</v>
      </c>
      <c r="N1949" s="38">
        <f t="shared" si="239"/>
        <v>18.262499999999999</v>
      </c>
      <c r="O1949" s="36">
        <f t="shared" si="237"/>
        <v>487</v>
      </c>
      <c r="P1949" s="38">
        <f ca="1">IF(ISERROR(IF(O1949&lt;fi_h/20,0,(OFFSET('Base de dados'!$A$5,IF(O1949&lt;20,1,IF(O1949&gt;1000,10,MATCH(O1949,Cargas,1))),Coluna_fih,1,1))*(1+0.13*0.25)*(PI()*(fi_h/1000)^2/4)*SQRT(2*9.81*(O1949/100-fi_h/2/1000))*1000)),"",IF(O1949&lt;fi_h/20,0,(OFFSET('Base de dados'!$A$5,IF(O1949&lt;20,1,IF(O1949&gt;1000,10,MATCH(O1949,Cargas,1))),Coluna_fih,1,1))*(PI()*(fi_h/1000)^2/4)*SQRT(2*9.81*(O1949/100-fi_h/2/1000))*1000))</f>
        <v>5.8965041298207241</v>
      </c>
      <c r="Q1949" s="38">
        <f ca="1">IF(O1949="","",IF(Tipo_Vertedor="Retangular",IF(O1949&lt;=cota_s*100,0,IF(Tipo_Vertedor="Retangular",Cd_sr*Lef_sr*((O1949/100-cota_s)^(3/2))*1000)),IF(O1949&lt;=cota_s*100+fi_s/20,0,(OFFSET('Base de dados'!$A$4,IF(O1949&lt;20,1,IF(O1949&gt;1000,10,MATCH(O1949,Cargas,1))),Coluna_fis,1,1))*(PI()*(fi_s/1000)^2/4)*(2*9.81*(O1949/100-cota_s-fi_s/2/1000))^0.5*1000)))</f>
        <v>5.1157048160264917</v>
      </c>
      <c r="R1949" s="38">
        <f t="shared" ca="1" si="240"/>
        <v>11.012208945847217</v>
      </c>
      <c r="S1949" s="38">
        <f t="shared" ca="1" si="241"/>
        <v>608.75</v>
      </c>
    </row>
    <row r="1950" spans="13:19">
      <c r="M1950" s="132">
        <f t="shared" ca="1" si="238"/>
        <v>620.07797821915335</v>
      </c>
      <c r="N1950" s="38">
        <f t="shared" si="239"/>
        <v>18.271874999999998</v>
      </c>
      <c r="O1950" s="36">
        <f t="shared" si="237"/>
        <v>487.25</v>
      </c>
      <c r="P1950" s="38">
        <f ca="1">IF(ISERROR(IF(O1950&lt;fi_h/20,0,(OFFSET('Base de dados'!$A$5,IF(O1950&lt;20,1,IF(O1950&gt;1000,10,MATCH(O1950,Cargas,1))),Coluna_fih,1,1))*(1+0.13*0.25)*(PI()*(fi_h/1000)^2/4)*SQRT(2*9.81*(O1950/100-fi_h/2/1000))*1000)),"",IF(O1950&lt;fi_h/20,0,(OFFSET('Base de dados'!$A$5,IF(O1950&lt;20,1,IF(O1950&gt;1000,10,MATCH(O1950,Cargas,1))),Coluna_fih,1,1))*(PI()*(fi_h/1000)^2/4)*SQRT(2*9.81*(O1950/100-fi_h/2/1000))*1000))</f>
        <v>5.8980229001308917</v>
      </c>
      <c r="Q1950" s="38">
        <f ca="1">IF(O1950="","",IF(Tipo_Vertedor="Retangular",IF(O1950&lt;=cota_s*100,0,IF(Tipo_Vertedor="Retangular",Cd_sr*Lef_sr*((O1950/100-cota_s)^(3/2))*1000)),IF(O1950&lt;=cota_s*100+fi_s/20,0,(OFFSET('Base de dados'!$A$4,IF(O1950&lt;20,1,IF(O1950&gt;1000,10,MATCH(O1950,Cargas,1))),Coluna_fis,1,1))*(PI()*(fi_s/1000)^2/4)*(2*9.81*(O1950/100-cota_s-fi_s/2/1000))^0.5*1000)))</f>
        <v>5.1174553190225529</v>
      </c>
      <c r="R1950" s="38">
        <f t="shared" ca="1" si="240"/>
        <v>11.015478219153444</v>
      </c>
      <c r="S1950" s="38">
        <f t="shared" ca="1" si="241"/>
        <v>609.06249999999989</v>
      </c>
    </row>
    <row r="1951" spans="13:19">
      <c r="M1951" s="132">
        <f t="shared" ca="1" si="238"/>
        <v>620.39374650288812</v>
      </c>
      <c r="N1951" s="38">
        <f t="shared" si="239"/>
        <v>18.28125</v>
      </c>
      <c r="O1951" s="36">
        <f t="shared" si="237"/>
        <v>487.5</v>
      </c>
      <c r="P1951" s="38">
        <f ca="1">IF(ISERROR(IF(O1951&lt;fi_h/20,0,(OFFSET('Base de dados'!$A$5,IF(O1951&lt;20,1,IF(O1951&gt;1000,10,MATCH(O1951,Cargas,1))),Coluna_fih,1,1))*(1+0.13*0.25)*(PI()*(fi_h/1000)^2/4)*SQRT(2*9.81*(O1951/100-fi_h/2/1000))*1000)),"",IF(O1951&lt;fi_h/20,0,(OFFSET('Base de dados'!$A$5,IF(O1951&lt;20,1,IF(O1951&gt;1000,10,MATCH(O1951,Cargas,1))),Coluna_fih,1,1))*(PI()*(fi_h/1000)^2/4)*SQRT(2*9.81*(O1951/100-fi_h/2/1000))*1000))</f>
        <v>5.8995412794508004</v>
      </c>
      <c r="Q1951" s="38">
        <f ca="1">IF(O1951="","",IF(Tipo_Vertedor="Retangular",IF(O1951&lt;=cota_s*100,0,IF(Tipo_Vertedor="Retangular",Cd_sr*Lef_sr*((O1951/100-cota_s)^(3/2))*1000)),IF(O1951&lt;=cota_s*100+fi_s/20,0,(OFFSET('Base de dados'!$A$4,IF(O1951&lt;20,1,IF(O1951&gt;1000,10,MATCH(O1951,Cargas,1))),Coluna_fis,1,1))*(PI()*(fi_s/1000)^2/4)*(2*9.81*(O1951/100-cota_s-fi_s/2/1000))^0.5*1000)))</f>
        <v>5.1192052234373069</v>
      </c>
      <c r="R1951" s="38">
        <f t="shared" ca="1" si="240"/>
        <v>11.018746502888106</v>
      </c>
      <c r="S1951" s="38">
        <f t="shared" ca="1" si="241"/>
        <v>609.375</v>
      </c>
    </row>
    <row r="1952" spans="13:19">
      <c r="M1952" s="132">
        <f t="shared" ca="1" si="238"/>
        <v>620.70951379796679</v>
      </c>
      <c r="N1952" s="38">
        <f t="shared" si="239"/>
        <v>18.290625000000002</v>
      </c>
      <c r="O1952" s="36">
        <f t="shared" si="237"/>
        <v>487.75</v>
      </c>
      <c r="P1952" s="38">
        <f ca="1">IF(ISERROR(IF(O1952&lt;fi_h/20,0,(OFFSET('Base de dados'!$A$5,IF(O1952&lt;20,1,IF(O1952&gt;1000,10,MATCH(O1952,Cargas,1))),Coluna_fih,1,1))*(1+0.13*0.25)*(PI()*(fi_h/1000)^2/4)*SQRT(2*9.81*(O1952/100-fi_h/2/1000))*1000)),"",IF(O1952&lt;fi_h/20,0,(OFFSET('Base de dados'!$A$5,IF(O1952&lt;20,1,IF(O1952&gt;1000,10,MATCH(O1952,Cargas,1))),Coluna_fih,1,1))*(PI()*(fi_h/1000)^2/4)*SQRT(2*9.81*(O1952/100-fi_h/2/1000))*1000))</f>
        <v>5.9010592680822622</v>
      </c>
      <c r="Q1952" s="38">
        <f ca="1">IF(O1952="","",IF(Tipo_Vertedor="Retangular",IF(O1952&lt;=cota_s*100,0,IF(Tipo_Vertedor="Retangular",Cd_sr*Lef_sr*((O1952/100-cota_s)^(3/2))*1000)),IF(O1952&lt;=cota_s*100+fi_s/20,0,(OFFSET('Base de dados'!$A$4,IF(O1952&lt;20,1,IF(O1952&gt;1000,10,MATCH(O1952,Cargas,1))),Coluna_fis,1,1))*(PI()*(fi_s/1000)^2/4)*(2*9.81*(O1952/100-cota_s-fi_s/2/1000))^0.5*1000)))</f>
        <v>5.1209545298843828</v>
      </c>
      <c r="R1952" s="38">
        <f t="shared" ca="1" si="240"/>
        <v>11.022013797966645</v>
      </c>
      <c r="S1952" s="38">
        <f t="shared" ca="1" si="241"/>
        <v>609.68750000000011</v>
      </c>
    </row>
    <row r="1953" spans="13:19">
      <c r="M1953" s="132">
        <f t="shared" ca="1" si="238"/>
        <v>621.02528010530307</v>
      </c>
      <c r="N1953" s="38">
        <f t="shared" si="239"/>
        <v>18.3</v>
      </c>
      <c r="O1953" s="36">
        <f t="shared" si="237"/>
        <v>488</v>
      </c>
      <c r="P1953" s="38">
        <f ca="1">IF(ISERROR(IF(O1953&lt;fi_h/20,0,(OFFSET('Base de dados'!$A$5,IF(O1953&lt;20,1,IF(O1953&gt;1000,10,MATCH(O1953,Cargas,1))),Coluna_fih,1,1))*(1+0.13*0.25)*(PI()*(fi_h/1000)^2/4)*SQRT(2*9.81*(O1953/100-fi_h/2/1000))*1000)),"",IF(O1953&lt;fi_h/20,0,(OFFSET('Base de dados'!$A$5,IF(O1953&lt;20,1,IF(O1953&gt;1000,10,MATCH(O1953,Cargas,1))),Coluna_fih,1,1))*(PI()*(fi_h/1000)^2/4)*SQRT(2*9.81*(O1953/100-fi_h/2/1000))*1000))</f>
        <v>5.9025768663267018</v>
      </c>
      <c r="Q1953" s="38">
        <f ca="1">IF(O1953="","",IF(Tipo_Vertedor="Retangular",IF(O1953&lt;=cota_s*100,0,IF(Tipo_Vertedor="Retangular",Cd_sr*Lef_sr*((O1953/100-cota_s)^(3/2))*1000)),IF(O1953&lt;=cota_s*100+fi_s/20,0,(OFFSET('Base de dados'!$A$4,IF(O1953&lt;20,1,IF(O1953&gt;1000,10,MATCH(O1953,Cargas,1))),Coluna_fis,1,1))*(PI()*(fi_s/1000)^2/4)*(2*9.81*(O1953/100-cota_s-fi_s/2/1000))^0.5*1000)))</f>
        <v>5.1227032389763654</v>
      </c>
      <c r="R1953" s="38">
        <f t="shared" ca="1" si="240"/>
        <v>11.025280105303068</v>
      </c>
      <c r="S1953" s="38">
        <f t="shared" ca="1" si="241"/>
        <v>610</v>
      </c>
    </row>
    <row r="1954" spans="13:19">
      <c r="M1954" s="132">
        <f t="shared" ca="1" si="238"/>
        <v>621.34104542581008</v>
      </c>
      <c r="N1954" s="38">
        <f t="shared" si="239"/>
        <v>18.309375000000003</v>
      </c>
      <c r="O1954" s="36">
        <f t="shared" si="237"/>
        <v>488.25</v>
      </c>
      <c r="P1954" s="38">
        <f ca="1">IF(ISERROR(IF(O1954&lt;fi_h/20,0,(OFFSET('Base de dados'!$A$5,IF(O1954&lt;20,1,IF(O1954&gt;1000,10,MATCH(O1954,Cargas,1))),Coluna_fih,1,1))*(1+0.13*0.25)*(PI()*(fi_h/1000)^2/4)*SQRT(2*9.81*(O1954/100-fi_h/2/1000))*1000)),"",IF(O1954&lt;fi_h/20,0,(OFFSET('Base de dados'!$A$5,IF(O1954&lt;20,1,IF(O1954&gt;1000,10,MATCH(O1954,Cargas,1))),Coluna_fih,1,1))*(PI()*(fi_h/1000)^2/4)*SQRT(2*9.81*(O1954/100-fi_h/2/1000))*1000))</f>
        <v>5.9040940744851547</v>
      </c>
      <c r="Q1954" s="38">
        <f ca="1">IF(O1954="","",IF(Tipo_Vertedor="Retangular",IF(O1954&lt;=cota_s*100,0,IF(Tipo_Vertedor="Retangular",Cd_sr*Lef_sr*((O1954/100-cota_s)^(3/2))*1000)),IF(O1954&lt;=cota_s*100+fi_s/20,0,(OFFSET('Base de dados'!$A$4,IF(O1954&lt;20,1,IF(O1954&gt;1000,10,MATCH(O1954,Cargas,1))),Coluna_fis,1,1))*(PI()*(fi_s/1000)^2/4)*(2*9.81*(O1954/100-cota_s-fi_s/2/1000))^0.5*1000)))</f>
        <v>5.1244513513247956</v>
      </c>
      <c r="R1954" s="38">
        <f t="shared" ca="1" si="240"/>
        <v>11.02854542580995</v>
      </c>
      <c r="S1954" s="38">
        <f t="shared" ca="1" si="241"/>
        <v>610.31250000000011</v>
      </c>
    </row>
    <row r="1955" spans="13:19">
      <c r="M1955" s="132">
        <f t="shared" ca="1" si="238"/>
        <v>621.65680976039835</v>
      </c>
      <c r="N1955" s="38">
        <f t="shared" si="239"/>
        <v>18.318749999999998</v>
      </c>
      <c r="O1955" s="36">
        <f t="shared" si="237"/>
        <v>488.5</v>
      </c>
      <c r="P1955" s="38">
        <f ca="1">IF(ISERROR(IF(O1955&lt;fi_h/20,0,(OFFSET('Base de dados'!$A$5,IF(O1955&lt;20,1,IF(O1955&gt;1000,10,MATCH(O1955,Cargas,1))),Coluna_fih,1,1))*(1+0.13*0.25)*(PI()*(fi_h/1000)^2/4)*SQRT(2*9.81*(O1955/100-fi_h/2/1000))*1000)),"",IF(O1955&lt;fi_h/20,0,(OFFSET('Base de dados'!$A$5,IF(O1955&lt;20,1,IF(O1955&gt;1000,10,MATCH(O1955,Cargas,1))),Coluna_fih,1,1))*(PI()*(fi_h/1000)^2/4)*SQRT(2*9.81*(O1955/100-fi_h/2/1000))*1000))</f>
        <v>5.9056108928582729</v>
      </c>
      <c r="Q1955" s="38">
        <f ca="1">IF(O1955="","",IF(Tipo_Vertedor="Retangular",IF(O1955&lt;=cota_s*100,0,IF(Tipo_Vertedor="Retangular",Cd_sr*Lef_sr*((O1955/100-cota_s)^(3/2))*1000)),IF(O1955&lt;=cota_s*100+fi_s/20,0,(OFFSET('Base de dados'!$A$4,IF(O1955&lt;20,1,IF(O1955&gt;1000,10,MATCH(O1955,Cargas,1))),Coluna_fis,1,1))*(PI()*(fi_s/1000)^2/4)*(2*9.81*(O1955/100-cota_s-fi_s/2/1000))^0.5*1000)))</f>
        <v>5.1261988675401673</v>
      </c>
      <c r="R1955" s="38">
        <f t="shared" ca="1" si="240"/>
        <v>11.03180976039844</v>
      </c>
      <c r="S1955" s="38">
        <f t="shared" ca="1" si="241"/>
        <v>610.62499999999989</v>
      </c>
    </row>
    <row r="1956" spans="13:19">
      <c r="M1956" s="132">
        <f t="shared" ca="1" si="238"/>
        <v>621.97257310997827</v>
      </c>
      <c r="N1956" s="38">
        <f t="shared" si="239"/>
        <v>18.328125</v>
      </c>
      <c r="O1956" s="36">
        <f t="shared" si="237"/>
        <v>488.75</v>
      </c>
      <c r="P1956" s="38">
        <f ca="1">IF(ISERROR(IF(O1956&lt;fi_h/20,0,(OFFSET('Base de dados'!$A$5,IF(O1956&lt;20,1,IF(O1956&gt;1000,10,MATCH(O1956,Cargas,1))),Coluna_fih,1,1))*(1+0.13*0.25)*(PI()*(fi_h/1000)^2/4)*SQRT(2*9.81*(O1956/100-fi_h/2/1000))*1000)),"",IF(O1956&lt;fi_h/20,0,(OFFSET('Base de dados'!$A$5,IF(O1956&lt;20,1,IF(O1956&gt;1000,10,MATCH(O1956,Cargas,1))),Coluna_fih,1,1))*(PI()*(fi_h/1000)^2/4)*SQRT(2*9.81*(O1956/100-fi_h/2/1000))*1000))</f>
        <v>5.907127321746322</v>
      </c>
      <c r="Q1956" s="38">
        <f ca="1">IF(O1956="","",IF(Tipo_Vertedor="Retangular",IF(O1956&lt;=cota_s*100,0,IF(Tipo_Vertedor="Retangular",Cd_sr*Lef_sr*((O1956/100-cota_s)^(3/2))*1000)),IF(O1956&lt;=cota_s*100+fi_s/20,0,(OFFSET('Base de dados'!$A$4,IF(O1956&lt;20,1,IF(O1956&gt;1000,10,MATCH(O1956,Cargas,1))),Coluna_fis,1,1))*(PI()*(fi_s/1000)^2/4)*(2*9.81*(O1956/100-cota_s-fi_s/2/1000))^0.5*1000)))</f>
        <v>5.1279457882319379</v>
      </c>
      <c r="R1956" s="38">
        <f t="shared" ca="1" si="240"/>
        <v>11.03507310997826</v>
      </c>
      <c r="S1956" s="38">
        <f t="shared" ca="1" si="241"/>
        <v>610.9375</v>
      </c>
    </row>
    <row r="1957" spans="13:19">
      <c r="M1957" s="132">
        <f t="shared" ca="1" si="238"/>
        <v>622.28833547545776</v>
      </c>
      <c r="N1957" s="38">
        <f t="shared" si="239"/>
        <v>18.337499999999999</v>
      </c>
      <c r="O1957" s="36">
        <f t="shared" si="237"/>
        <v>489</v>
      </c>
      <c r="P1957" s="38">
        <f ca="1">IF(ISERROR(IF(O1957&lt;fi_h/20,0,(OFFSET('Base de dados'!$A$5,IF(O1957&lt;20,1,IF(O1957&gt;1000,10,MATCH(O1957,Cargas,1))),Coluna_fih,1,1))*(1+0.13*0.25)*(PI()*(fi_h/1000)^2/4)*SQRT(2*9.81*(O1957/100-fi_h/2/1000))*1000)),"",IF(O1957&lt;fi_h/20,0,(OFFSET('Base de dados'!$A$5,IF(O1957&lt;20,1,IF(O1957&gt;1000,10,MATCH(O1957,Cargas,1))),Coluna_fih,1,1))*(PI()*(fi_h/1000)^2/4)*SQRT(2*9.81*(O1957/100-fi_h/2/1000))*1000))</f>
        <v>5.9086433614491778</v>
      </c>
      <c r="Q1957" s="38">
        <f ca="1">IF(O1957="","",IF(Tipo_Vertedor="Retangular",IF(O1957&lt;=cota_s*100,0,IF(Tipo_Vertedor="Retangular",Cd_sr*Lef_sr*((O1957/100-cota_s)^(3/2))*1000)),IF(O1957&lt;=cota_s*100+fi_s/20,0,(OFFSET('Base de dados'!$A$4,IF(O1957&lt;20,1,IF(O1957&gt;1000,10,MATCH(O1957,Cargas,1))),Coluna_fis,1,1))*(PI()*(fi_s/1000)^2/4)*(2*9.81*(O1957/100-cota_s-fi_s/2/1000))^0.5*1000)))</f>
        <v>5.1296921140085239</v>
      </c>
      <c r="R1957" s="38">
        <f t="shared" ca="1" si="240"/>
        <v>11.038335475457702</v>
      </c>
      <c r="S1957" s="38">
        <f t="shared" ca="1" si="241"/>
        <v>611.25</v>
      </c>
    </row>
    <row r="1958" spans="13:19">
      <c r="M1958" s="132">
        <f t="shared" ca="1" si="238"/>
        <v>622.60409685774368</v>
      </c>
      <c r="N1958" s="38">
        <f t="shared" si="239"/>
        <v>18.346875000000001</v>
      </c>
      <c r="O1958" s="36">
        <f t="shared" si="237"/>
        <v>489.25</v>
      </c>
      <c r="P1958" s="38">
        <f ca="1">IF(ISERROR(IF(O1958&lt;fi_h/20,0,(OFFSET('Base de dados'!$A$5,IF(O1958&lt;20,1,IF(O1958&gt;1000,10,MATCH(O1958,Cargas,1))),Coluna_fih,1,1))*(1+0.13*0.25)*(PI()*(fi_h/1000)^2/4)*SQRT(2*9.81*(O1958/100-fi_h/2/1000))*1000)),"",IF(O1958&lt;fi_h/20,0,(OFFSET('Base de dados'!$A$5,IF(O1958&lt;20,1,IF(O1958&gt;1000,10,MATCH(O1958,Cargas,1))),Coluna_fih,1,1))*(PI()*(fi_h/1000)^2/4)*SQRT(2*9.81*(O1958/100-fi_h/2/1000))*1000))</f>
        <v>5.9101590122663392</v>
      </c>
      <c r="Q1958" s="38">
        <f ca="1">IF(O1958="","",IF(Tipo_Vertedor="Retangular",IF(O1958&lt;=cota_s*100,0,IF(Tipo_Vertedor="Retangular",Cd_sr*Lef_sr*((O1958/100-cota_s)^(3/2))*1000)),IF(O1958&lt;=cota_s*100+fi_s/20,0,(OFFSET('Base de dados'!$A$4,IF(O1958&lt;20,1,IF(O1958&gt;1000,10,MATCH(O1958,Cargas,1))),Coluna_fis,1,1))*(PI()*(fi_s/1000)^2/4)*(2*9.81*(O1958/100-cota_s-fi_s/2/1000))^0.5*1000)))</f>
        <v>5.1314378454773104</v>
      </c>
      <c r="R1958" s="38">
        <f t="shared" ca="1" si="240"/>
        <v>11.041596857743649</v>
      </c>
      <c r="S1958" s="38">
        <f t="shared" ca="1" si="241"/>
        <v>611.5625</v>
      </c>
    </row>
    <row r="1959" spans="13:19">
      <c r="M1959" s="132">
        <f t="shared" ca="1" si="238"/>
        <v>622.91985725774157</v>
      </c>
      <c r="N1959" s="38">
        <f t="shared" si="239"/>
        <v>18.356249999999999</v>
      </c>
      <c r="O1959" s="36">
        <f t="shared" si="237"/>
        <v>489.5</v>
      </c>
      <c r="P1959" s="38">
        <f ca="1">IF(ISERROR(IF(O1959&lt;fi_h/20,0,(OFFSET('Base de dados'!$A$5,IF(O1959&lt;20,1,IF(O1959&gt;1000,10,MATCH(O1959,Cargas,1))),Coluna_fih,1,1))*(1+0.13*0.25)*(PI()*(fi_h/1000)^2/4)*SQRT(2*9.81*(O1959/100-fi_h/2/1000))*1000)),"",IF(O1959&lt;fi_h/20,0,(OFFSET('Base de dados'!$A$5,IF(O1959&lt;20,1,IF(O1959&gt;1000,10,MATCH(O1959,Cargas,1))),Coluna_fih,1,1))*(PI()*(fi_h/1000)^2/4)*SQRT(2*9.81*(O1959/100-fi_h/2/1000))*1000))</f>
        <v>5.9116742744969129</v>
      </c>
      <c r="Q1959" s="38">
        <f ca="1">IF(O1959="","",IF(Tipo_Vertedor="Retangular",IF(O1959&lt;=cota_s*100,0,IF(Tipo_Vertedor="Retangular",Cd_sr*Lef_sr*((O1959/100-cota_s)^(3/2))*1000)),IF(O1959&lt;=cota_s*100+fi_s/20,0,(OFFSET('Base de dados'!$A$4,IF(O1959&lt;20,1,IF(O1959&gt;1000,10,MATCH(O1959,Cargas,1))),Coluna_fis,1,1))*(PI()*(fi_s/1000)^2/4)*(2*9.81*(O1959/100-cota_s-fi_s/2/1000))^0.5*1000)))</f>
        <v>5.1331829832446454</v>
      </c>
      <c r="R1959" s="38">
        <f t="shared" ca="1" si="240"/>
        <v>11.044857257741558</v>
      </c>
      <c r="S1959" s="38">
        <f t="shared" ca="1" si="241"/>
        <v>611.875</v>
      </c>
    </row>
    <row r="1960" spans="13:19">
      <c r="M1960" s="132">
        <f t="shared" ca="1" si="238"/>
        <v>623.23561667635545</v>
      </c>
      <c r="N1960" s="38">
        <f t="shared" si="239"/>
        <v>18.365625000000001</v>
      </c>
      <c r="O1960" s="36">
        <f t="shared" si="237"/>
        <v>489.75</v>
      </c>
      <c r="P1960" s="38">
        <f ca="1">IF(ISERROR(IF(O1960&lt;fi_h/20,0,(OFFSET('Base de dados'!$A$5,IF(O1960&lt;20,1,IF(O1960&gt;1000,10,MATCH(O1960,Cargas,1))),Coluna_fih,1,1))*(1+0.13*0.25)*(PI()*(fi_h/1000)^2/4)*SQRT(2*9.81*(O1960/100-fi_h/2/1000))*1000)),"",IF(O1960&lt;fi_h/20,0,(OFFSET('Base de dados'!$A$5,IF(O1960&lt;20,1,IF(O1960&gt;1000,10,MATCH(O1960,Cargas,1))),Coluna_fih,1,1))*(PI()*(fi_h/1000)^2/4)*SQRT(2*9.81*(O1960/100-fi_h/2/1000))*1000))</f>
        <v>5.9131891484396268</v>
      </c>
      <c r="Q1960" s="38">
        <f ca="1">IF(O1960="","",IF(Tipo_Vertedor="Retangular",IF(O1960&lt;=cota_s*100,0,IF(Tipo_Vertedor="Retangular",Cd_sr*Lef_sr*((O1960/100-cota_s)^(3/2))*1000)),IF(O1960&lt;=cota_s*100+fi_s/20,0,(OFFSET('Base de dados'!$A$4,IF(O1960&lt;20,1,IF(O1960&gt;1000,10,MATCH(O1960,Cargas,1))),Coluna_fis,1,1))*(PI()*(fi_s/1000)^2/4)*(2*9.81*(O1960/100-cota_s-fi_s/2/1000))^0.5*1000)))</f>
        <v>5.1349275279158499</v>
      </c>
      <c r="R1960" s="38">
        <f t="shared" ca="1" si="240"/>
        <v>11.048116676355477</v>
      </c>
      <c r="S1960" s="38">
        <f t="shared" ca="1" si="241"/>
        <v>612.1875</v>
      </c>
    </row>
    <row r="1961" spans="13:19">
      <c r="M1961" s="132">
        <f t="shared" ca="1" si="238"/>
        <v>623.551375114488</v>
      </c>
      <c r="N1961" s="38">
        <f t="shared" si="239"/>
        <v>18.375</v>
      </c>
      <c r="O1961" s="36">
        <f t="shared" si="237"/>
        <v>490</v>
      </c>
      <c r="P1961" s="38">
        <f ca="1">IF(ISERROR(IF(O1961&lt;fi_h/20,0,(OFFSET('Base de dados'!$A$5,IF(O1961&lt;20,1,IF(O1961&gt;1000,10,MATCH(O1961,Cargas,1))),Coluna_fih,1,1))*(1+0.13*0.25)*(PI()*(fi_h/1000)^2/4)*SQRT(2*9.81*(O1961/100-fi_h/2/1000))*1000)),"",IF(O1961&lt;fi_h/20,0,(OFFSET('Base de dados'!$A$5,IF(O1961&lt;20,1,IF(O1961&gt;1000,10,MATCH(O1961,Cargas,1))),Coluna_fih,1,1))*(PI()*(fi_h/1000)^2/4)*SQRT(2*9.81*(O1961/100-fi_h/2/1000))*1000))</f>
        <v>5.9147036343928292</v>
      </c>
      <c r="Q1961" s="38">
        <f ca="1">IF(O1961="","",IF(Tipo_Vertedor="Retangular",IF(O1961&lt;=cota_s*100,0,IF(Tipo_Vertedor="Retangular",Cd_sr*Lef_sr*((O1961/100-cota_s)^(3/2))*1000)),IF(O1961&lt;=cota_s*100+fi_s/20,0,(OFFSET('Base de dados'!$A$4,IF(O1961&lt;20,1,IF(O1961&gt;1000,10,MATCH(O1961,Cargas,1))),Coluna_fis,1,1))*(PI()*(fi_s/1000)^2/4)*(2*9.81*(O1961/100-cota_s-fi_s/2/1000))^0.5*1000)))</f>
        <v>5.136671480095214</v>
      </c>
      <c r="R1961" s="38">
        <f t="shared" ca="1" si="240"/>
        <v>11.051375114488042</v>
      </c>
      <c r="S1961" s="38">
        <f t="shared" ca="1" si="241"/>
        <v>612.5</v>
      </c>
    </row>
    <row r="1962" spans="13:19">
      <c r="M1962" s="132">
        <f t="shared" ca="1" si="238"/>
        <v>623.86713257304052</v>
      </c>
      <c r="N1962" s="38">
        <f t="shared" si="239"/>
        <v>18.384374999999999</v>
      </c>
      <c r="O1962" s="36">
        <f t="shared" si="237"/>
        <v>490.25</v>
      </c>
      <c r="P1962" s="38">
        <f ca="1">IF(ISERROR(IF(O1962&lt;fi_h/20,0,(OFFSET('Base de dados'!$A$5,IF(O1962&lt;20,1,IF(O1962&gt;1000,10,MATCH(O1962,Cargas,1))),Coluna_fih,1,1))*(1+0.13*0.25)*(PI()*(fi_h/1000)^2/4)*SQRT(2*9.81*(O1962/100-fi_h/2/1000))*1000)),"",IF(O1962&lt;fi_h/20,0,(OFFSET('Base de dados'!$A$5,IF(O1962&lt;20,1,IF(O1962&gt;1000,10,MATCH(O1962,Cargas,1))),Coluna_fih,1,1))*(PI()*(fi_h/1000)^2/4)*SQRT(2*9.81*(O1962/100-fi_h/2/1000))*1000))</f>
        <v>5.9162177326544798</v>
      </c>
      <c r="Q1962" s="38">
        <f ca="1">IF(O1962="","",IF(Tipo_Vertedor="Retangular",IF(O1962&lt;=cota_s*100,0,IF(Tipo_Vertedor="Retangular",Cd_sr*Lef_sr*((O1962/100-cota_s)^(3/2))*1000)),IF(O1962&lt;=cota_s*100+fi_s/20,0,(OFFSET('Base de dados'!$A$4,IF(O1962&lt;20,1,IF(O1962&gt;1000,10,MATCH(O1962,Cargas,1))),Coluna_fis,1,1))*(PI()*(fi_s/1000)^2/4)*(2*9.81*(O1962/100-cota_s-fi_s/2/1000))^0.5*1000)))</f>
        <v>5.1384148403860035</v>
      </c>
      <c r="R1962" s="38">
        <f t="shared" ca="1" si="240"/>
        <v>11.054632573040482</v>
      </c>
      <c r="S1962" s="38">
        <f t="shared" ca="1" si="241"/>
        <v>612.8125</v>
      </c>
    </row>
    <row r="1963" spans="13:19">
      <c r="M1963" s="132">
        <f t="shared" ca="1" si="238"/>
        <v>624.18288905291263</v>
      </c>
      <c r="N1963" s="38">
        <f t="shared" si="239"/>
        <v>18.393750000000001</v>
      </c>
      <c r="O1963" s="36">
        <f t="shared" si="237"/>
        <v>490.5</v>
      </c>
      <c r="P1963" s="38">
        <f ca="1">IF(ISERROR(IF(O1963&lt;fi_h/20,0,(OFFSET('Base de dados'!$A$5,IF(O1963&lt;20,1,IF(O1963&gt;1000,10,MATCH(O1963,Cargas,1))),Coluna_fih,1,1))*(1+0.13*0.25)*(PI()*(fi_h/1000)^2/4)*SQRT(2*9.81*(O1963/100-fi_h/2/1000))*1000)),"",IF(O1963&lt;fi_h/20,0,(OFFSET('Base de dados'!$A$5,IF(O1963&lt;20,1,IF(O1963&gt;1000,10,MATCH(O1963,Cargas,1))),Coluna_fih,1,1))*(PI()*(fi_h/1000)^2/4)*SQRT(2*9.81*(O1963/100-fi_h/2/1000))*1000))</f>
        <v>5.9177314435221628</v>
      </c>
      <c r="Q1963" s="38">
        <f ca="1">IF(O1963="","",IF(Tipo_Vertedor="Retangular",IF(O1963&lt;=cota_s*100,0,IF(Tipo_Vertedor="Retangular",Cd_sr*Lef_sr*((O1963/100-cota_s)^(3/2))*1000)),IF(O1963&lt;=cota_s*100+fi_s/20,0,(OFFSET('Base de dados'!$A$4,IF(O1963&lt;20,1,IF(O1963&gt;1000,10,MATCH(O1963,Cargas,1))),Coluna_fis,1,1))*(PI()*(fi_s/1000)^2/4)*(2*9.81*(O1963/100-cota_s-fi_s/2/1000))^0.5*1000)))</f>
        <v>5.1401576093904655</v>
      </c>
      <c r="R1963" s="38">
        <f t="shared" ca="1" si="240"/>
        <v>11.057889052912628</v>
      </c>
      <c r="S1963" s="38">
        <f t="shared" ca="1" si="241"/>
        <v>613.125</v>
      </c>
    </row>
    <row r="1964" spans="13:19">
      <c r="M1964" s="132">
        <f t="shared" ca="1" si="238"/>
        <v>624.4986445550029</v>
      </c>
      <c r="N1964" s="38">
        <f t="shared" si="239"/>
        <v>18.403124999999999</v>
      </c>
      <c r="O1964" s="36">
        <f t="shared" si="237"/>
        <v>490.75</v>
      </c>
      <c r="P1964" s="38">
        <f ca="1">IF(ISERROR(IF(O1964&lt;fi_h/20,0,(OFFSET('Base de dados'!$A$5,IF(O1964&lt;20,1,IF(O1964&gt;1000,10,MATCH(O1964,Cargas,1))),Coluna_fih,1,1))*(1+0.13*0.25)*(PI()*(fi_h/1000)^2/4)*SQRT(2*9.81*(O1964/100-fi_h/2/1000))*1000)),"",IF(O1964&lt;fi_h/20,0,(OFFSET('Base de dados'!$A$5,IF(O1964&lt;20,1,IF(O1964&gt;1000,10,MATCH(O1964,Cargas,1))),Coluna_fih,1,1))*(PI()*(fi_h/1000)^2/4)*SQRT(2*9.81*(O1964/100-fi_h/2/1000))*1000))</f>
        <v>5.919244767293077</v>
      </c>
      <c r="Q1964" s="38">
        <f ca="1">IF(O1964="","",IF(Tipo_Vertedor="Retangular",IF(O1964&lt;=cota_s*100,0,IF(Tipo_Vertedor="Retangular",Cd_sr*Lef_sr*((O1964/100-cota_s)^(3/2))*1000)),IF(O1964&lt;=cota_s*100+fi_s/20,0,(OFFSET('Base de dados'!$A$4,IF(O1964&lt;20,1,IF(O1964&gt;1000,10,MATCH(O1964,Cargas,1))),Coluna_fis,1,1))*(PI()*(fi_s/1000)^2/4)*(2*9.81*(O1964/100-cota_s-fi_s/2/1000))^0.5*1000)))</f>
        <v>5.1418997877098187</v>
      </c>
      <c r="R1964" s="38">
        <f t="shared" ca="1" si="240"/>
        <v>11.061144555002896</v>
      </c>
      <c r="S1964" s="38">
        <f t="shared" ca="1" si="241"/>
        <v>613.4375</v>
      </c>
    </row>
    <row r="1965" spans="13:19">
      <c r="M1965" s="132">
        <f t="shared" ca="1" si="238"/>
        <v>624.81439908020832</v>
      </c>
      <c r="N1965" s="38">
        <f t="shared" si="239"/>
        <v>18.412500000000001</v>
      </c>
      <c r="O1965" s="36">
        <f t="shared" si="237"/>
        <v>491</v>
      </c>
      <c r="P1965" s="38">
        <f ca="1">IF(ISERROR(IF(O1965&lt;fi_h/20,0,(OFFSET('Base de dados'!$A$5,IF(O1965&lt;20,1,IF(O1965&gt;1000,10,MATCH(O1965,Cargas,1))),Coluna_fih,1,1))*(1+0.13*0.25)*(PI()*(fi_h/1000)^2/4)*SQRT(2*9.81*(O1965/100-fi_h/2/1000))*1000)),"",IF(O1965&lt;fi_h/20,0,(OFFSET('Base de dados'!$A$5,IF(O1965&lt;20,1,IF(O1965&gt;1000,10,MATCH(O1965,Cargas,1))),Coluna_fih,1,1))*(PI()*(fi_h/1000)^2/4)*SQRT(2*9.81*(O1965/100-fi_h/2/1000))*1000))</f>
        <v>5.9207577042640462</v>
      </c>
      <c r="Q1965" s="38">
        <f ca="1">IF(O1965="","",IF(Tipo_Vertedor="Retangular",IF(O1965&lt;=cota_s*100,0,IF(Tipo_Vertedor="Retangular",Cd_sr*Lef_sr*((O1965/100-cota_s)^(3/2))*1000)),IF(O1965&lt;=cota_s*100+fi_s/20,0,(OFFSET('Base de dados'!$A$4,IF(O1965&lt;20,1,IF(O1965&gt;1000,10,MATCH(O1965,Cargas,1))),Coluna_fis,1,1))*(PI()*(fi_s/1000)^2/4)*(2*9.81*(O1965/100-cota_s-fi_s/2/1000))^0.5*1000)))</f>
        <v>5.1436413759442701</v>
      </c>
      <c r="R1965" s="38">
        <f t="shared" ca="1" si="240"/>
        <v>11.064399080208316</v>
      </c>
      <c r="S1965" s="38">
        <f t="shared" ca="1" si="241"/>
        <v>613.75</v>
      </c>
    </row>
    <row r="1966" spans="13:19">
      <c r="M1966" s="132">
        <f t="shared" ca="1" si="238"/>
        <v>625.13015262942451</v>
      </c>
      <c r="N1966" s="38">
        <f t="shared" si="239"/>
        <v>18.421875</v>
      </c>
      <c r="O1966" s="36">
        <f t="shared" si="237"/>
        <v>491.25</v>
      </c>
      <c r="P1966" s="38">
        <f ca="1">IF(ISERROR(IF(O1966&lt;fi_h/20,0,(OFFSET('Base de dados'!$A$5,IF(O1966&lt;20,1,IF(O1966&gt;1000,10,MATCH(O1966,Cargas,1))),Coluna_fih,1,1))*(1+0.13*0.25)*(PI()*(fi_h/1000)^2/4)*SQRT(2*9.81*(O1966/100-fi_h/2/1000))*1000)),"",IF(O1966&lt;fi_h/20,0,(OFFSET('Base de dados'!$A$5,IF(O1966&lt;20,1,IF(O1966&gt;1000,10,MATCH(O1966,Cargas,1))),Coluna_fih,1,1))*(PI()*(fi_h/1000)^2/4)*SQRT(2*9.81*(O1966/100-fi_h/2/1000))*1000))</f>
        <v>5.9222702547315098</v>
      </c>
      <c r="Q1966" s="38">
        <f ca="1">IF(O1966="","",IF(Tipo_Vertedor="Retangular",IF(O1966&lt;=cota_s*100,0,IF(Tipo_Vertedor="Retangular",Cd_sr*Lef_sr*((O1966/100-cota_s)^(3/2))*1000)),IF(O1966&lt;=cota_s*100+fi_s/20,0,(OFFSET('Base de dados'!$A$4,IF(O1966&lt;20,1,IF(O1966&gt;1000,10,MATCH(O1966,Cargas,1))),Coluna_fis,1,1))*(PI()*(fi_s/1000)^2/4)*(2*9.81*(O1966/100-cota_s-fi_s/2/1000))^0.5*1000)))</f>
        <v>5.1453823746930052</v>
      </c>
      <c r="R1966" s="38">
        <f t="shared" ca="1" si="240"/>
        <v>11.067652629424515</v>
      </c>
      <c r="S1966" s="38">
        <f t="shared" ca="1" si="241"/>
        <v>614.0625</v>
      </c>
    </row>
    <row r="1967" spans="13:19">
      <c r="M1967" s="132">
        <f t="shared" ca="1" si="238"/>
        <v>625.44590520354575</v>
      </c>
      <c r="N1967" s="38">
        <f t="shared" si="239"/>
        <v>18.431249999999999</v>
      </c>
      <c r="O1967" s="36">
        <f t="shared" si="237"/>
        <v>491.5</v>
      </c>
      <c r="P1967" s="38">
        <f ca="1">IF(ISERROR(IF(O1967&lt;fi_h/20,0,(OFFSET('Base de dados'!$A$5,IF(O1967&lt;20,1,IF(O1967&gt;1000,10,MATCH(O1967,Cargas,1))),Coluna_fih,1,1))*(1+0.13*0.25)*(PI()*(fi_h/1000)^2/4)*SQRT(2*9.81*(O1967/100-fi_h/2/1000))*1000)),"",IF(O1967&lt;fi_h/20,0,(OFFSET('Base de dados'!$A$5,IF(O1967&lt;20,1,IF(O1967&gt;1000,10,MATCH(O1967,Cargas,1))),Coluna_fih,1,1))*(PI()*(fi_h/1000)^2/4)*SQRT(2*9.81*(O1967/100-fi_h/2/1000))*1000))</f>
        <v>5.923782418991534</v>
      </c>
      <c r="Q1967" s="38">
        <f ca="1">IF(O1967="","",IF(Tipo_Vertedor="Retangular",IF(O1967&lt;=cota_s*100,0,IF(Tipo_Vertedor="Retangular",Cd_sr*Lef_sr*((O1967/100-cota_s)^(3/2))*1000)),IF(O1967&lt;=cota_s*100+fi_s/20,0,(OFFSET('Base de dados'!$A$4,IF(O1967&lt;20,1,IF(O1967&gt;1000,10,MATCH(O1967,Cargas,1))),Coluna_fis,1,1))*(PI()*(fi_s/1000)^2/4)*(2*9.81*(O1967/100-cota_s-fi_s/2/1000))^0.5*1000)))</f>
        <v>5.1471227845542025</v>
      </c>
      <c r="R1967" s="38">
        <f t="shared" ca="1" si="240"/>
        <v>11.070905203545736</v>
      </c>
      <c r="S1967" s="38">
        <f t="shared" ca="1" si="241"/>
        <v>614.375</v>
      </c>
    </row>
    <row r="1968" spans="13:19">
      <c r="M1968" s="132">
        <f t="shared" ca="1" si="238"/>
        <v>625.7616568034648</v>
      </c>
      <c r="N1968" s="38">
        <f t="shared" si="239"/>
        <v>18.440625000000001</v>
      </c>
      <c r="O1968" s="36">
        <f t="shared" si="237"/>
        <v>491.75</v>
      </c>
      <c r="P1968" s="38">
        <f ca="1">IF(ISERROR(IF(O1968&lt;fi_h/20,0,(OFFSET('Base de dados'!$A$5,IF(O1968&lt;20,1,IF(O1968&gt;1000,10,MATCH(O1968,Cargas,1))),Coluna_fih,1,1))*(1+0.13*0.25)*(PI()*(fi_h/1000)^2/4)*SQRT(2*9.81*(O1968/100-fi_h/2/1000))*1000)),"",IF(O1968&lt;fi_h/20,0,(OFFSET('Base de dados'!$A$5,IF(O1968&lt;20,1,IF(O1968&gt;1000,10,MATCH(O1968,Cargas,1))),Coluna_fih,1,1))*(PI()*(fi_h/1000)^2/4)*SQRT(2*9.81*(O1968/100-fi_h/2/1000))*1000))</f>
        <v>5.9252941973398059</v>
      </c>
      <c r="Q1968" s="38">
        <f ca="1">IF(O1968="","",IF(Tipo_Vertedor="Retangular",IF(O1968&lt;=cota_s*100,0,IF(Tipo_Vertedor="Retangular",Cd_sr*Lef_sr*((O1968/100-cota_s)^(3/2))*1000)),IF(O1968&lt;=cota_s*100+fi_s/20,0,(OFFSET('Base de dados'!$A$4,IF(O1968&lt;20,1,IF(O1968&gt;1000,10,MATCH(O1968,Cargas,1))),Coluna_fis,1,1))*(PI()*(fi_s/1000)^2/4)*(2*9.81*(O1968/100-cota_s-fi_s/2/1000))^0.5*1000)))</f>
        <v>5.1488626061250251</v>
      </c>
      <c r="R1968" s="38">
        <f t="shared" ca="1" si="240"/>
        <v>11.074156803464831</v>
      </c>
      <c r="S1968" s="38">
        <f t="shared" ca="1" si="241"/>
        <v>614.6875</v>
      </c>
    </row>
    <row r="1969" spans="13:19">
      <c r="M1969" s="132">
        <f t="shared" ca="1" si="238"/>
        <v>626.07740743007321</v>
      </c>
      <c r="N1969" s="38">
        <f t="shared" si="239"/>
        <v>18.45</v>
      </c>
      <c r="O1969" s="36">
        <f t="shared" si="237"/>
        <v>492</v>
      </c>
      <c r="P1969" s="38">
        <f ca="1">IF(ISERROR(IF(O1969&lt;fi_h/20,0,(OFFSET('Base de dados'!$A$5,IF(O1969&lt;20,1,IF(O1969&gt;1000,10,MATCH(O1969,Cargas,1))),Coluna_fih,1,1))*(1+0.13*0.25)*(PI()*(fi_h/1000)^2/4)*SQRT(2*9.81*(O1969/100-fi_h/2/1000))*1000)),"",IF(O1969&lt;fi_h/20,0,(OFFSET('Base de dados'!$A$5,IF(O1969&lt;20,1,IF(O1969&gt;1000,10,MATCH(O1969,Cargas,1))),Coluna_fih,1,1))*(PI()*(fi_h/1000)^2/4)*SQRT(2*9.81*(O1969/100-fi_h/2/1000))*1000))</f>
        <v>5.9268055900716323</v>
      </c>
      <c r="Q1969" s="38">
        <f ca="1">IF(O1969="","",IF(Tipo_Vertedor="Retangular",IF(O1969&lt;=cota_s*100,0,IF(Tipo_Vertedor="Retangular",Cd_sr*Lef_sr*((O1969/100-cota_s)^(3/2))*1000)),IF(O1969&lt;=cota_s*100+fi_s/20,0,(OFFSET('Base de dados'!$A$4,IF(O1969&lt;20,1,IF(O1969&gt;1000,10,MATCH(O1969,Cargas,1))),Coluna_fis,1,1))*(PI()*(fi_s/1000)^2/4)*(2*9.81*(O1969/100-cota_s-fi_s/2/1000))^0.5*1000)))</f>
        <v>5.1506018400016274</v>
      </c>
      <c r="R1969" s="38">
        <f t="shared" ca="1" si="240"/>
        <v>11.07740743007326</v>
      </c>
      <c r="S1969" s="38">
        <f t="shared" ca="1" si="241"/>
        <v>615</v>
      </c>
    </row>
    <row r="1970" spans="13:19">
      <c r="M1970" s="132">
        <f t="shared" ca="1" si="238"/>
        <v>626.39315708426113</v>
      </c>
      <c r="N1970" s="38">
        <f t="shared" si="239"/>
        <v>18.459375000000001</v>
      </c>
      <c r="O1970" s="36">
        <f t="shared" si="237"/>
        <v>492.25</v>
      </c>
      <c r="P1970" s="38">
        <f ca="1">IF(ISERROR(IF(O1970&lt;fi_h/20,0,(OFFSET('Base de dados'!$A$5,IF(O1970&lt;20,1,IF(O1970&gt;1000,10,MATCH(O1970,Cargas,1))),Coluna_fih,1,1))*(1+0.13*0.25)*(PI()*(fi_h/1000)^2/4)*SQRT(2*9.81*(O1970/100-fi_h/2/1000))*1000)),"",IF(O1970&lt;fi_h/20,0,(OFFSET('Base de dados'!$A$5,IF(O1970&lt;20,1,IF(O1970&gt;1000,10,MATCH(O1970,Cargas,1))),Coluna_fih,1,1))*(PI()*(fi_h/1000)^2/4)*SQRT(2*9.81*(O1970/100-fi_h/2/1000))*1000))</f>
        <v>5.9283165974819472</v>
      </c>
      <c r="Q1970" s="38">
        <f ca="1">IF(O1970="","",IF(Tipo_Vertedor="Retangular",IF(O1970&lt;=cota_s*100,0,IF(Tipo_Vertedor="Retangular",Cd_sr*Lef_sr*((O1970/100-cota_s)^(3/2))*1000)),IF(O1970&lt;=cota_s*100+fi_s/20,0,(OFFSET('Base de dados'!$A$4,IF(O1970&lt;20,1,IF(O1970&gt;1000,10,MATCH(O1970,Cargas,1))),Coluna_fis,1,1))*(PI()*(fi_s/1000)^2/4)*(2*9.81*(O1970/100-cota_s-fi_s/2/1000))^0.5*1000)))</f>
        <v>5.1523404867791616</v>
      </c>
      <c r="R1970" s="38">
        <f t="shared" ca="1" si="240"/>
        <v>11.080657084261109</v>
      </c>
      <c r="S1970" s="38">
        <f t="shared" ca="1" si="241"/>
        <v>615.3125</v>
      </c>
    </row>
    <row r="1971" spans="13:19">
      <c r="M1971" s="132">
        <f t="shared" ca="1" si="238"/>
        <v>626.70890576691704</v>
      </c>
      <c r="N1971" s="38">
        <f t="shared" si="239"/>
        <v>18.46875</v>
      </c>
      <c r="O1971" s="36">
        <f t="shared" si="237"/>
        <v>492.5</v>
      </c>
      <c r="P1971" s="38">
        <f ca="1">IF(ISERROR(IF(O1971&lt;fi_h/20,0,(OFFSET('Base de dados'!$A$5,IF(O1971&lt;20,1,IF(O1971&gt;1000,10,MATCH(O1971,Cargas,1))),Coluna_fih,1,1))*(1+0.13*0.25)*(PI()*(fi_h/1000)^2/4)*SQRT(2*9.81*(O1971/100-fi_h/2/1000))*1000)),"",IF(O1971&lt;fi_h/20,0,(OFFSET('Base de dados'!$A$5,IF(O1971&lt;20,1,IF(O1971&gt;1000,10,MATCH(O1971,Cargas,1))),Coluna_fih,1,1))*(PI()*(fi_h/1000)^2/4)*SQRT(2*9.81*(O1971/100-fi_h/2/1000))*1000))</f>
        <v>5.9298272198653059</v>
      </c>
      <c r="Q1971" s="38">
        <f ca="1">IF(O1971="","",IF(Tipo_Vertedor="Retangular",IF(O1971&lt;=cota_s*100,0,IF(Tipo_Vertedor="Retangular",Cd_sr*Lef_sr*((O1971/100-cota_s)^(3/2))*1000)),IF(O1971&lt;=cota_s*100+fi_s/20,0,(OFFSET('Base de dados'!$A$4,IF(O1971&lt;20,1,IF(O1971&gt;1000,10,MATCH(O1971,Cargas,1))),Coluna_fis,1,1))*(PI()*(fi_s/1000)^2/4)*(2*9.81*(O1971/100-cota_s-fi_s/2/1000))^0.5*1000)))</f>
        <v>5.154078547051772</v>
      </c>
      <c r="R1971" s="38">
        <f t="shared" ca="1" si="240"/>
        <v>11.083905766917077</v>
      </c>
      <c r="S1971" s="38">
        <f t="shared" ca="1" si="241"/>
        <v>615.625</v>
      </c>
    </row>
    <row r="1972" spans="13:19">
      <c r="M1972" s="132">
        <f t="shared" ca="1" si="238"/>
        <v>627.0246534789286</v>
      </c>
      <c r="N1972" s="38">
        <f t="shared" si="239"/>
        <v>18.478125000000002</v>
      </c>
      <c r="O1972" s="36">
        <f t="shared" si="237"/>
        <v>492.75</v>
      </c>
      <c r="P1972" s="38">
        <f ca="1">IF(ISERROR(IF(O1972&lt;fi_h/20,0,(OFFSET('Base de dados'!$A$5,IF(O1972&lt;20,1,IF(O1972&gt;1000,10,MATCH(O1972,Cargas,1))),Coluna_fih,1,1))*(1+0.13*0.25)*(PI()*(fi_h/1000)^2/4)*SQRT(2*9.81*(O1972/100-fi_h/2/1000))*1000)),"",IF(O1972&lt;fi_h/20,0,(OFFSET('Base de dados'!$A$5,IF(O1972&lt;20,1,IF(O1972&gt;1000,10,MATCH(O1972,Cargas,1))),Coluna_fih,1,1))*(PI()*(fi_h/1000)^2/4)*SQRT(2*9.81*(O1972/100-fi_h/2/1000))*1000))</f>
        <v>5.931337457515891</v>
      </c>
      <c r="Q1972" s="38">
        <f ca="1">IF(O1972="","",IF(Tipo_Vertedor="Retangular",IF(O1972&lt;=cota_s*100,0,IF(Tipo_Vertedor="Retangular",Cd_sr*Lef_sr*((O1972/100-cota_s)^(3/2))*1000)),IF(O1972&lt;=cota_s*100+fi_s/20,0,(OFFSET('Base de dados'!$A$4,IF(O1972&lt;20,1,IF(O1972&gt;1000,10,MATCH(O1972,Cargas,1))),Coluna_fis,1,1))*(PI()*(fi_s/1000)^2/4)*(2*9.81*(O1972/100-cota_s-fi_s/2/1000))^0.5*1000)))</f>
        <v>5.155816021412603</v>
      </c>
      <c r="R1972" s="38">
        <f t="shared" ca="1" si="240"/>
        <v>11.087153478928494</v>
      </c>
      <c r="S1972" s="38">
        <f t="shared" ca="1" si="241"/>
        <v>615.93750000000011</v>
      </c>
    </row>
    <row r="1973" spans="13:19">
      <c r="M1973" s="132">
        <f t="shared" ca="1" si="238"/>
        <v>627.3404002211812</v>
      </c>
      <c r="N1973" s="38">
        <f t="shared" si="239"/>
        <v>18.487499999999997</v>
      </c>
      <c r="O1973" s="36">
        <f t="shared" si="237"/>
        <v>493</v>
      </c>
      <c r="P1973" s="38">
        <f ca="1">IF(ISERROR(IF(O1973&lt;fi_h/20,0,(OFFSET('Base de dados'!$A$5,IF(O1973&lt;20,1,IF(O1973&gt;1000,10,MATCH(O1973,Cargas,1))),Coluna_fih,1,1))*(1+0.13*0.25)*(PI()*(fi_h/1000)^2/4)*SQRT(2*9.81*(O1973/100-fi_h/2/1000))*1000)),"",IF(O1973&lt;fi_h/20,0,(OFFSET('Base de dados'!$A$5,IF(O1973&lt;20,1,IF(O1973&gt;1000,10,MATCH(O1973,Cargas,1))),Coluna_fih,1,1))*(PI()*(fi_h/1000)^2/4)*SQRT(2*9.81*(O1973/100-fi_h/2/1000))*1000))</f>
        <v>5.9328473107275101</v>
      </c>
      <c r="Q1973" s="38">
        <f ca="1">IF(O1973="","",IF(Tipo_Vertedor="Retangular",IF(O1973&lt;=cota_s*100,0,IF(Tipo_Vertedor="Retangular",Cd_sr*Lef_sr*((O1973/100-cota_s)^(3/2))*1000)),IF(O1973&lt;=cota_s*100+fi_s/20,0,(OFFSET('Base de dados'!$A$4,IF(O1973&lt;20,1,IF(O1973&gt;1000,10,MATCH(O1973,Cargas,1))),Coluna_fis,1,1))*(PI()*(fi_s/1000)^2/4)*(2*9.81*(O1973/100-cota_s-fi_s/2/1000))^0.5*1000)))</f>
        <v>5.1575529104537994</v>
      </c>
      <c r="R1973" s="38">
        <f t="shared" ca="1" si="240"/>
        <v>11.090400221181309</v>
      </c>
      <c r="S1973" s="38">
        <f t="shared" ca="1" si="241"/>
        <v>616.24999999999989</v>
      </c>
    </row>
    <row r="1974" spans="13:19">
      <c r="M1974" s="132">
        <f t="shared" ca="1" si="238"/>
        <v>627.65614599456012</v>
      </c>
      <c r="N1974" s="38">
        <f t="shared" si="239"/>
        <v>18.496874999999999</v>
      </c>
      <c r="O1974" s="36">
        <f t="shared" si="237"/>
        <v>493.25</v>
      </c>
      <c r="P1974" s="38">
        <f ca="1">IF(ISERROR(IF(O1974&lt;fi_h/20,0,(OFFSET('Base de dados'!$A$5,IF(O1974&lt;20,1,IF(O1974&gt;1000,10,MATCH(O1974,Cargas,1))),Coluna_fih,1,1))*(1+0.13*0.25)*(PI()*(fi_h/1000)^2/4)*SQRT(2*9.81*(O1974/100-fi_h/2/1000))*1000)),"",IF(O1974&lt;fi_h/20,0,(OFFSET('Base de dados'!$A$5,IF(O1974&lt;20,1,IF(O1974&gt;1000,10,MATCH(O1974,Cargas,1))),Coluna_fih,1,1))*(PI()*(fi_h/1000)^2/4)*SQRT(2*9.81*(O1974/100-fi_h/2/1000))*1000))</f>
        <v>5.934356779793597</v>
      </c>
      <c r="Q1974" s="38">
        <f ca="1">IF(O1974="","",IF(Tipo_Vertedor="Retangular",IF(O1974&lt;=cota_s*100,0,IF(Tipo_Vertedor="Retangular",Cd_sr*Lef_sr*((O1974/100-cota_s)^(3/2))*1000)),IF(O1974&lt;=cota_s*100+fi_s/20,0,(OFFSET('Base de dados'!$A$4,IF(O1974&lt;20,1,IF(O1974&gt;1000,10,MATCH(O1974,Cargas,1))),Coluna_fis,1,1))*(PI()*(fi_s/1000)^2/4)*(2*9.81*(O1974/100-cota_s-fi_s/2/1000))^0.5*1000)))</f>
        <v>5.1592892147665106</v>
      </c>
      <c r="R1974" s="38">
        <f t="shared" ca="1" si="240"/>
        <v>11.093645994560108</v>
      </c>
      <c r="S1974" s="38">
        <f t="shared" ca="1" si="241"/>
        <v>616.5625</v>
      </c>
    </row>
    <row r="1975" spans="13:19">
      <c r="M1975" s="132">
        <f t="shared" ca="1" si="238"/>
        <v>627.97189079994803</v>
      </c>
      <c r="N1975" s="38">
        <f t="shared" si="239"/>
        <v>18.506249999999998</v>
      </c>
      <c r="O1975" s="36">
        <f t="shared" si="237"/>
        <v>493.5</v>
      </c>
      <c r="P1975" s="38">
        <f ca="1">IF(ISERROR(IF(O1975&lt;fi_h/20,0,(OFFSET('Base de dados'!$A$5,IF(O1975&lt;20,1,IF(O1975&gt;1000,10,MATCH(O1975,Cargas,1))),Coluna_fih,1,1))*(1+0.13*0.25)*(PI()*(fi_h/1000)^2/4)*SQRT(2*9.81*(O1975/100-fi_h/2/1000))*1000)),"",IF(O1975&lt;fi_h/20,0,(OFFSET('Base de dados'!$A$5,IF(O1975&lt;20,1,IF(O1975&gt;1000,10,MATCH(O1975,Cargas,1))),Coluna_fih,1,1))*(PI()*(fi_h/1000)^2/4)*SQRT(2*9.81*(O1975/100-fi_h/2/1000))*1000))</f>
        <v>5.9358658650072105</v>
      </c>
      <c r="Q1975" s="38">
        <f ca="1">IF(O1975="","",IF(Tipo_Vertedor="Retangular",IF(O1975&lt;=cota_s*100,0,IF(Tipo_Vertedor="Retangular",Cd_sr*Lef_sr*((O1975/100-cota_s)^(3/2))*1000)),IF(O1975&lt;=cota_s*100+fi_s/20,0,(OFFSET('Base de dados'!$A$4,IF(O1975&lt;20,1,IF(O1975&gt;1000,10,MATCH(O1975,Cargas,1))),Coluna_fis,1,1))*(PI()*(fi_s/1000)^2/4)*(2*9.81*(O1975/100-cota_s-fi_s/2/1000))^0.5*1000)))</f>
        <v>5.1610249349408885</v>
      </c>
      <c r="R1975" s="38">
        <f t="shared" ca="1" si="240"/>
        <v>11.096890799948099</v>
      </c>
      <c r="S1975" s="38">
        <f t="shared" ca="1" si="241"/>
        <v>616.87499999999989</v>
      </c>
    </row>
    <row r="1976" spans="13:19">
      <c r="M1976" s="132">
        <f t="shared" ca="1" si="238"/>
        <v>628.28763463822713</v>
      </c>
      <c r="N1976" s="38">
        <f t="shared" si="239"/>
        <v>18.515625</v>
      </c>
      <c r="O1976" s="36">
        <f t="shared" si="237"/>
        <v>493.75</v>
      </c>
      <c r="P1976" s="38">
        <f ca="1">IF(ISERROR(IF(O1976&lt;fi_h/20,0,(OFFSET('Base de dados'!$A$5,IF(O1976&lt;20,1,IF(O1976&gt;1000,10,MATCH(O1976,Cargas,1))),Coluna_fih,1,1))*(1+0.13*0.25)*(PI()*(fi_h/1000)^2/4)*SQRT(2*9.81*(O1976/100-fi_h/2/1000))*1000)),"",IF(O1976&lt;fi_h/20,0,(OFFSET('Base de dados'!$A$5,IF(O1976&lt;20,1,IF(O1976&gt;1000,10,MATCH(O1976,Cargas,1))),Coluna_fih,1,1))*(PI()*(fi_h/1000)^2/4)*SQRT(2*9.81*(O1976/100-fi_h/2/1000))*1000))</f>
        <v>5.9373745666610409</v>
      </c>
      <c r="Q1976" s="38">
        <f ca="1">IF(O1976="","",IF(Tipo_Vertedor="Retangular",IF(O1976&lt;=cota_s*100,0,IF(Tipo_Vertedor="Retangular",Cd_sr*Lef_sr*((O1976/100-cota_s)^(3/2))*1000)),IF(O1976&lt;=cota_s*100+fi_s/20,0,(OFFSET('Base de dados'!$A$4,IF(O1976&lt;20,1,IF(O1976&gt;1000,10,MATCH(O1976,Cargas,1))),Coluna_fis,1,1))*(PI()*(fi_s/1000)^2/4)*(2*9.81*(O1976/100-cota_s-fi_s/2/1000))^0.5*1000)))</f>
        <v>5.1627600715660975</v>
      </c>
      <c r="R1976" s="38">
        <f t="shared" ca="1" si="240"/>
        <v>11.100134638227139</v>
      </c>
      <c r="S1976" s="38">
        <f t="shared" ca="1" si="241"/>
        <v>617.1875</v>
      </c>
    </row>
    <row r="1977" spans="13:19">
      <c r="M1977" s="132">
        <f t="shared" ca="1" si="238"/>
        <v>628.60337751027782</v>
      </c>
      <c r="N1977" s="38">
        <f t="shared" si="239"/>
        <v>18.525000000000002</v>
      </c>
      <c r="O1977" s="36">
        <f t="shared" si="237"/>
        <v>494</v>
      </c>
      <c r="P1977" s="38">
        <f ca="1">IF(ISERROR(IF(O1977&lt;fi_h/20,0,(OFFSET('Base de dados'!$A$5,IF(O1977&lt;20,1,IF(O1977&gt;1000,10,MATCH(O1977,Cargas,1))),Coluna_fih,1,1))*(1+0.13*0.25)*(PI()*(fi_h/1000)^2/4)*SQRT(2*9.81*(O1977/100-fi_h/2/1000))*1000)),"",IF(O1977&lt;fi_h/20,0,(OFFSET('Base de dados'!$A$5,IF(O1977&lt;20,1,IF(O1977&gt;1000,10,MATCH(O1977,Cargas,1))),Coluna_fih,1,1))*(PI()*(fi_h/1000)^2/4)*SQRT(2*9.81*(O1977/100-fi_h/2/1000))*1000))</f>
        <v>5.9388828850474029</v>
      </c>
      <c r="Q1977" s="38">
        <f ca="1">IF(O1977="","",IF(Tipo_Vertedor="Retangular",IF(O1977&lt;=cota_s*100,0,IF(Tipo_Vertedor="Retangular",Cd_sr*Lef_sr*((O1977/100-cota_s)^(3/2))*1000)),IF(O1977&lt;=cota_s*100+fi_s/20,0,(OFFSET('Base de dados'!$A$4,IF(O1977&lt;20,1,IF(O1977&gt;1000,10,MATCH(O1977,Cargas,1))),Coluna_fis,1,1))*(PI()*(fi_s/1000)^2/4)*(2*9.81*(O1977/100-cota_s-fi_s/2/1000))^0.5*1000)))</f>
        <v>5.1644946252303097</v>
      </c>
      <c r="R1977" s="38">
        <f t="shared" ca="1" si="240"/>
        <v>11.103377510277713</v>
      </c>
      <c r="S1977" s="38">
        <f t="shared" ca="1" si="241"/>
        <v>617.50000000000011</v>
      </c>
    </row>
    <row r="1978" spans="13:19">
      <c r="M1978" s="132">
        <f t="shared" ca="1" si="238"/>
        <v>628.9191194169789</v>
      </c>
      <c r="N1978" s="38">
        <f t="shared" si="239"/>
        <v>18.534375000000001</v>
      </c>
      <c r="O1978" s="36">
        <f t="shared" si="237"/>
        <v>494.25</v>
      </c>
      <c r="P1978" s="38">
        <f ca="1">IF(ISERROR(IF(O1978&lt;fi_h/20,0,(OFFSET('Base de dados'!$A$5,IF(O1978&lt;20,1,IF(O1978&gt;1000,10,MATCH(O1978,Cargas,1))),Coluna_fih,1,1))*(1+0.13*0.25)*(PI()*(fi_h/1000)^2/4)*SQRT(2*9.81*(O1978/100-fi_h/2/1000))*1000)),"",IF(O1978&lt;fi_h/20,0,(OFFSET('Base de dados'!$A$5,IF(O1978&lt;20,1,IF(O1978&gt;1000,10,MATCH(O1978,Cargas,1))),Coluna_fih,1,1))*(PI()*(fi_h/1000)^2/4)*SQRT(2*9.81*(O1978/100-fi_h/2/1000))*1000))</f>
        <v>5.9403908204582399</v>
      </c>
      <c r="Q1978" s="38">
        <f ca="1">IF(O1978="","",IF(Tipo_Vertedor="Retangular",IF(O1978&lt;=cota_s*100,0,IF(Tipo_Vertedor="Retangular",Cd_sr*Lef_sr*((O1978/100-cota_s)^(3/2))*1000)),IF(O1978&lt;=cota_s*100+fi_s/20,0,(OFFSET('Base de dados'!$A$4,IF(O1978&lt;20,1,IF(O1978&gt;1000,10,MATCH(O1978,Cargas,1))),Coluna_fis,1,1))*(PI()*(fi_s/1000)^2/4)*(2*9.81*(O1978/100-cota_s-fi_s/2/1000))^0.5*1000)))</f>
        <v>5.1662285965207086</v>
      </c>
      <c r="R1978" s="38">
        <f t="shared" ca="1" si="240"/>
        <v>11.106619416978948</v>
      </c>
      <c r="S1978" s="38">
        <f t="shared" ca="1" si="241"/>
        <v>617.8125</v>
      </c>
    </row>
    <row r="1979" spans="13:19">
      <c r="M1979" s="132">
        <f t="shared" ca="1" si="238"/>
        <v>629.23486035920871</v>
      </c>
      <c r="N1979" s="38">
        <f t="shared" si="239"/>
        <v>18.543750000000003</v>
      </c>
      <c r="O1979" s="36">
        <f t="shared" si="237"/>
        <v>494.5</v>
      </c>
      <c r="P1979" s="38">
        <f ca="1">IF(ISERROR(IF(O1979&lt;fi_h/20,0,(OFFSET('Base de dados'!$A$5,IF(O1979&lt;20,1,IF(O1979&gt;1000,10,MATCH(O1979,Cargas,1))),Coluna_fih,1,1))*(1+0.13*0.25)*(PI()*(fi_h/1000)^2/4)*SQRT(2*9.81*(O1979/100-fi_h/2/1000))*1000)),"",IF(O1979&lt;fi_h/20,0,(OFFSET('Base de dados'!$A$5,IF(O1979&lt;20,1,IF(O1979&gt;1000,10,MATCH(O1979,Cargas,1))),Coluna_fih,1,1))*(PI()*(fi_h/1000)^2/4)*SQRT(2*9.81*(O1979/100-fi_h/2/1000))*1000))</f>
        <v>5.9418983731851318</v>
      </c>
      <c r="Q1979" s="38">
        <f ca="1">IF(O1979="","",IF(Tipo_Vertedor="Retangular",IF(O1979&lt;=cota_s*100,0,IF(Tipo_Vertedor="Retangular",Cd_sr*Lef_sr*((O1979/100-cota_s)^(3/2))*1000)),IF(O1979&lt;=cota_s*100+fi_s/20,0,(OFFSET('Base de dados'!$A$4,IF(O1979&lt;20,1,IF(O1979&gt;1000,10,MATCH(O1979,Cargas,1))),Coluna_fis,1,1))*(PI()*(fi_s/1000)^2/4)*(2*9.81*(O1979/100-cota_s-fi_s/2/1000))^0.5*1000)))</f>
        <v>5.1679619860234958</v>
      </c>
      <c r="R1979" s="38">
        <f t="shared" ca="1" si="240"/>
        <v>11.109860359208628</v>
      </c>
      <c r="S1979" s="38">
        <f t="shared" ca="1" si="241"/>
        <v>618.12500000000011</v>
      </c>
    </row>
    <row r="1980" spans="13:19">
      <c r="M1980" s="132">
        <f t="shared" ca="1" si="238"/>
        <v>629.55060033784309</v>
      </c>
      <c r="N1980" s="38">
        <f t="shared" si="239"/>
        <v>18.553124999999998</v>
      </c>
      <c r="O1980" s="36">
        <f t="shared" si="237"/>
        <v>494.75</v>
      </c>
      <c r="P1980" s="38">
        <f ca="1">IF(ISERROR(IF(O1980&lt;fi_h/20,0,(OFFSET('Base de dados'!$A$5,IF(O1980&lt;20,1,IF(O1980&gt;1000,10,MATCH(O1980,Cargas,1))),Coluna_fih,1,1))*(1+0.13*0.25)*(PI()*(fi_h/1000)^2/4)*SQRT(2*9.81*(O1980/100-fi_h/2/1000))*1000)),"",IF(O1980&lt;fi_h/20,0,(OFFSET('Base de dados'!$A$5,IF(O1980&lt;20,1,IF(O1980&gt;1000,10,MATCH(O1980,Cargas,1))),Coluna_fih,1,1))*(PI()*(fi_h/1000)^2/4)*SQRT(2*9.81*(O1980/100-fi_h/2/1000))*1000))</f>
        <v>5.9434055435192779</v>
      </c>
      <c r="Q1980" s="38">
        <f ca="1">IF(O1980="","",IF(Tipo_Vertedor="Retangular",IF(O1980&lt;=cota_s*100,0,IF(Tipo_Vertedor="Retangular",Cd_sr*Lef_sr*((O1980/100-cota_s)^(3/2))*1000)),IF(O1980&lt;=cota_s*100+fi_s/20,0,(OFFSET('Base de dados'!$A$4,IF(O1980&lt;20,1,IF(O1980&gt;1000,10,MATCH(O1980,Cargas,1))),Coluna_fis,1,1))*(PI()*(fi_s/1000)^2/4)*(2*9.81*(O1980/100-cota_s-fi_s/2/1000))^0.5*1000)))</f>
        <v>5.1696947943238865</v>
      </c>
      <c r="R1980" s="38">
        <f t="shared" ca="1" si="240"/>
        <v>11.113100337843164</v>
      </c>
      <c r="S1980" s="38">
        <f t="shared" ca="1" si="241"/>
        <v>618.43749999999989</v>
      </c>
    </row>
    <row r="1981" spans="13:19">
      <c r="M1981" s="132">
        <f t="shared" ca="1" si="238"/>
        <v>629.86633935375767</v>
      </c>
      <c r="N1981" s="38">
        <f t="shared" si="239"/>
        <v>18.5625</v>
      </c>
      <c r="O1981" s="36">
        <f t="shared" si="237"/>
        <v>495</v>
      </c>
      <c r="P1981" s="38">
        <f ca="1">IF(ISERROR(IF(O1981&lt;fi_h/20,0,(OFFSET('Base de dados'!$A$5,IF(O1981&lt;20,1,IF(O1981&gt;1000,10,MATCH(O1981,Cargas,1))),Coluna_fih,1,1))*(1+0.13*0.25)*(PI()*(fi_h/1000)^2/4)*SQRT(2*9.81*(O1981/100-fi_h/2/1000))*1000)),"",IF(O1981&lt;fi_h/20,0,(OFFSET('Base de dados'!$A$5,IF(O1981&lt;20,1,IF(O1981&gt;1000,10,MATCH(O1981,Cargas,1))),Coluna_fih,1,1))*(PI()*(fi_h/1000)^2/4)*SQRT(2*9.81*(O1981/100-fi_h/2/1000))*1000))</f>
        <v>5.9449123317515173</v>
      </c>
      <c r="Q1981" s="38">
        <f ca="1">IF(O1981="","",IF(Tipo_Vertedor="Retangular",IF(O1981&lt;=cota_s*100,0,IF(Tipo_Vertedor="Retangular",Cd_sr*Lef_sr*((O1981/100-cota_s)^(3/2))*1000)),IF(O1981&lt;=cota_s*100+fi_s/20,0,(OFFSET('Base de dados'!$A$4,IF(O1981&lt;20,1,IF(O1981&gt;1000,10,MATCH(O1981,Cargas,1))),Coluna_fis,1,1))*(PI()*(fi_s/1000)^2/4)*(2*9.81*(O1981/100-cota_s-fi_s/2/1000))^0.5*1000)))</f>
        <v>5.1714270220061174</v>
      </c>
      <c r="R1981" s="38">
        <f t="shared" ca="1" si="240"/>
        <v>11.116339353757635</v>
      </c>
      <c r="S1981" s="38">
        <f t="shared" ca="1" si="241"/>
        <v>618.75</v>
      </c>
    </row>
    <row r="1982" spans="13:19">
      <c r="M1982" s="132">
        <f t="shared" ca="1" si="238"/>
        <v>630.18207740782577</v>
      </c>
      <c r="N1982" s="38">
        <f t="shared" si="239"/>
        <v>18.571874999999999</v>
      </c>
      <c r="O1982" s="36">
        <f t="shared" si="237"/>
        <v>495.25</v>
      </c>
      <c r="P1982" s="38">
        <f ca="1">IF(ISERROR(IF(O1982&lt;fi_h/20,0,(OFFSET('Base de dados'!$A$5,IF(O1982&lt;20,1,IF(O1982&gt;1000,10,MATCH(O1982,Cargas,1))),Coluna_fih,1,1))*(1+0.13*0.25)*(PI()*(fi_h/1000)^2/4)*SQRT(2*9.81*(O1982/100-fi_h/2/1000))*1000)),"",IF(O1982&lt;fi_h/20,0,(OFFSET('Base de dados'!$A$5,IF(O1982&lt;20,1,IF(O1982&gt;1000,10,MATCH(O1982,Cargas,1))),Coluna_fih,1,1))*(PI()*(fi_h/1000)^2/4)*SQRT(2*9.81*(O1982/100-fi_h/2/1000))*1000))</f>
        <v>5.9464187381723139</v>
      </c>
      <c r="Q1982" s="38">
        <f ca="1">IF(O1982="","",IF(Tipo_Vertedor="Retangular",IF(O1982&lt;=cota_s*100,0,IF(Tipo_Vertedor="Retangular",Cd_sr*Lef_sr*((O1982/100-cota_s)^(3/2))*1000)),IF(O1982&lt;=cota_s*100+fi_s/20,0,(OFFSET('Base de dados'!$A$4,IF(O1982&lt;20,1,IF(O1982&gt;1000,10,MATCH(O1982,Cargas,1))),Coluna_fis,1,1))*(PI()*(fi_s/1000)^2/4)*(2*9.81*(O1982/100-cota_s-fi_s/2/1000))^0.5*1000)))</f>
        <v>5.1731586696534482</v>
      </c>
      <c r="R1982" s="38">
        <f t="shared" ca="1" si="240"/>
        <v>11.119577407825762</v>
      </c>
      <c r="S1982" s="38">
        <f t="shared" ca="1" si="241"/>
        <v>619.0625</v>
      </c>
    </row>
    <row r="1983" spans="13:19">
      <c r="M1983" s="132">
        <f t="shared" ca="1" si="238"/>
        <v>630.49781450091996</v>
      </c>
      <c r="N1983" s="38">
        <f t="shared" si="239"/>
        <v>18.581250000000001</v>
      </c>
      <c r="O1983" s="36">
        <f t="shared" si="237"/>
        <v>495.5</v>
      </c>
      <c r="P1983" s="38">
        <f ca="1">IF(ISERROR(IF(O1983&lt;fi_h/20,0,(OFFSET('Base de dados'!$A$5,IF(O1983&lt;20,1,IF(O1983&gt;1000,10,MATCH(O1983,Cargas,1))),Coluna_fih,1,1))*(1+0.13*0.25)*(PI()*(fi_h/1000)^2/4)*SQRT(2*9.81*(O1983/100-fi_h/2/1000))*1000)),"",IF(O1983&lt;fi_h/20,0,(OFFSET('Base de dados'!$A$5,IF(O1983&lt;20,1,IF(O1983&gt;1000,10,MATCH(O1983,Cargas,1))),Coluna_fih,1,1))*(PI()*(fi_h/1000)^2/4)*SQRT(2*9.81*(O1983/100-fi_h/2/1000))*1000))</f>
        <v>5.9479247630717733</v>
      </c>
      <c r="Q1983" s="38">
        <f ca="1">IF(O1983="","",IF(Tipo_Vertedor="Retangular",IF(O1983&lt;=cota_s*100,0,IF(Tipo_Vertedor="Retangular",Cd_sr*Lef_sr*((O1983/100-cota_s)^(3/2))*1000)),IF(O1983&lt;=cota_s*100+fi_s/20,0,(OFFSET('Base de dados'!$A$4,IF(O1983&lt;20,1,IF(O1983&gt;1000,10,MATCH(O1983,Cargas,1))),Coluna_fis,1,1))*(PI()*(fi_s/1000)^2/4)*(2*9.81*(O1983/100-cota_s-fi_s/2/1000))^0.5*1000)))</f>
        <v>5.1748897378481606</v>
      </c>
      <c r="R1983" s="38">
        <f t="shared" ca="1" si="240"/>
        <v>11.122814500919933</v>
      </c>
      <c r="S1983" s="38">
        <f t="shared" ca="1" si="241"/>
        <v>619.375</v>
      </c>
    </row>
    <row r="1984" spans="13:19">
      <c r="M1984" s="132">
        <f t="shared" ca="1" si="238"/>
        <v>630.81355063391118</v>
      </c>
      <c r="N1984" s="38">
        <f t="shared" si="239"/>
        <v>18.590624999999999</v>
      </c>
      <c r="O1984" s="36">
        <f t="shared" si="237"/>
        <v>495.75</v>
      </c>
      <c r="P1984" s="38">
        <f ca="1">IF(ISERROR(IF(O1984&lt;fi_h/20,0,(OFFSET('Base de dados'!$A$5,IF(O1984&lt;20,1,IF(O1984&gt;1000,10,MATCH(O1984,Cargas,1))),Coluna_fih,1,1))*(1+0.13*0.25)*(PI()*(fi_h/1000)^2/4)*SQRT(2*9.81*(O1984/100-fi_h/2/1000))*1000)),"",IF(O1984&lt;fi_h/20,0,(OFFSET('Base de dados'!$A$5,IF(O1984&lt;20,1,IF(O1984&gt;1000,10,MATCH(O1984,Cargas,1))),Coluna_fih,1,1))*(PI()*(fi_h/1000)^2/4)*SQRT(2*9.81*(O1984/100-fi_h/2/1000))*1000))</f>
        <v>5.9494304067396211</v>
      </c>
      <c r="Q1984" s="38">
        <f ca="1">IF(O1984="","",IF(Tipo_Vertedor="Retangular",IF(O1984&lt;=cota_s*100,0,IF(Tipo_Vertedor="Retangular",Cd_sr*Lef_sr*((O1984/100-cota_s)^(3/2))*1000)),IF(O1984&lt;=cota_s*100+fi_s/20,0,(OFFSET('Base de dados'!$A$4,IF(O1984&lt;20,1,IF(O1984&gt;1000,10,MATCH(O1984,Cargas,1))),Coluna_fis,1,1))*(PI()*(fi_s/1000)^2/4)*(2*9.81*(O1984/100-cota_s-fi_s/2/1000))^0.5*1000)))</f>
        <v>5.1766202271715649</v>
      </c>
      <c r="R1984" s="38">
        <f t="shared" ca="1" si="240"/>
        <v>11.126050633911186</v>
      </c>
      <c r="S1984" s="38">
        <f t="shared" ca="1" si="241"/>
        <v>619.6875</v>
      </c>
    </row>
    <row r="1985" spans="13:19">
      <c r="M1985" s="132">
        <f t="shared" ca="1" si="238"/>
        <v>631.12928580766925</v>
      </c>
      <c r="N1985" s="38">
        <f t="shared" si="239"/>
        <v>18.600000000000001</v>
      </c>
      <c r="O1985" s="36">
        <f t="shared" si="237"/>
        <v>496</v>
      </c>
      <c r="P1985" s="38">
        <f ca="1">IF(ISERROR(IF(O1985&lt;fi_h/20,0,(OFFSET('Base de dados'!$A$5,IF(O1985&lt;20,1,IF(O1985&gt;1000,10,MATCH(O1985,Cargas,1))),Coluna_fih,1,1))*(1+0.13*0.25)*(PI()*(fi_h/1000)^2/4)*SQRT(2*9.81*(O1985/100-fi_h/2/1000))*1000)),"",IF(O1985&lt;fi_h/20,0,(OFFSET('Base de dados'!$A$5,IF(O1985&lt;20,1,IF(O1985&gt;1000,10,MATCH(O1985,Cargas,1))),Coluna_fih,1,1))*(PI()*(fi_h/1000)^2/4)*SQRT(2*9.81*(O1985/100-fi_h/2/1000))*1000))</f>
        <v>5.9509356694652285</v>
      </c>
      <c r="Q1985" s="38">
        <f ca="1">IF(O1985="","",IF(Tipo_Vertedor="Retangular",IF(O1985&lt;=cota_s*100,0,IF(Tipo_Vertedor="Retangular",Cd_sr*Lef_sr*((O1985/100-cota_s)^(3/2))*1000)),IF(O1985&lt;=cota_s*100+fi_s/20,0,(OFFSET('Base de dados'!$A$4,IF(O1985&lt;20,1,IF(O1985&gt;1000,10,MATCH(O1985,Cargas,1))),Coluna_fis,1,1))*(PI()*(fi_s/1000)^2/4)*(2*9.81*(O1985/100-cota_s-fi_s/2/1000))^0.5*1000)))</f>
        <v>5.1783501382039976</v>
      </c>
      <c r="R1985" s="38">
        <f t="shared" ca="1" si="240"/>
        <v>11.129285807669227</v>
      </c>
      <c r="S1985" s="38">
        <f t="shared" ca="1" si="241"/>
        <v>620</v>
      </c>
    </row>
    <row r="1986" spans="13:19">
      <c r="M1986" s="132">
        <f t="shared" ca="1" si="238"/>
        <v>631.4450200230624</v>
      </c>
      <c r="N1986" s="38">
        <f t="shared" si="239"/>
        <v>18.609375</v>
      </c>
      <c r="O1986" s="36">
        <f t="shared" si="237"/>
        <v>496.25</v>
      </c>
      <c r="P1986" s="38">
        <f ca="1">IF(ISERROR(IF(O1986&lt;fi_h/20,0,(OFFSET('Base de dados'!$A$5,IF(O1986&lt;20,1,IF(O1986&gt;1000,10,MATCH(O1986,Cargas,1))),Coluna_fih,1,1))*(1+0.13*0.25)*(PI()*(fi_h/1000)^2/4)*SQRT(2*9.81*(O1986/100-fi_h/2/1000))*1000)),"",IF(O1986&lt;fi_h/20,0,(OFFSET('Base de dados'!$A$5,IF(O1986&lt;20,1,IF(O1986&gt;1000,10,MATCH(O1986,Cargas,1))),Coluna_fih,1,1))*(PI()*(fi_h/1000)^2/4)*SQRT(2*9.81*(O1986/100-fi_h/2/1000))*1000))</f>
        <v>5.9524405515375909</v>
      </c>
      <c r="Q1986" s="38">
        <f ca="1">IF(O1986="","",IF(Tipo_Vertedor="Retangular",IF(O1986&lt;=cota_s*100,0,IF(Tipo_Vertedor="Retangular",Cd_sr*Lef_sr*((O1986/100-cota_s)^(3/2))*1000)),IF(O1986&lt;=cota_s*100+fi_s/20,0,(OFFSET('Base de dados'!$A$4,IF(O1986&lt;20,1,IF(O1986&gt;1000,10,MATCH(O1986,Cargas,1))),Coluna_fis,1,1))*(PI()*(fi_s/1000)^2/4)*(2*9.81*(O1986/100-cota_s-fi_s/2/1000))^0.5*1000)))</f>
        <v>5.1800794715248282</v>
      </c>
      <c r="R1986" s="38">
        <f t="shared" ca="1" si="240"/>
        <v>11.132520023062419</v>
      </c>
      <c r="S1986" s="38">
        <f t="shared" ca="1" si="241"/>
        <v>620.3125</v>
      </c>
    </row>
    <row r="1987" spans="13:19">
      <c r="M1987" s="132">
        <f t="shared" ca="1" si="238"/>
        <v>631.76075328095783</v>
      </c>
      <c r="N1987" s="38">
        <f t="shared" si="239"/>
        <v>18.618749999999999</v>
      </c>
      <c r="O1987" s="36">
        <f t="shared" si="237"/>
        <v>496.5</v>
      </c>
      <c r="P1987" s="38">
        <f ca="1">IF(ISERROR(IF(O1987&lt;fi_h/20,0,(OFFSET('Base de dados'!$A$5,IF(O1987&lt;20,1,IF(O1987&gt;1000,10,MATCH(O1987,Cargas,1))),Coluna_fih,1,1))*(1+0.13*0.25)*(PI()*(fi_h/1000)^2/4)*SQRT(2*9.81*(O1987/100-fi_h/2/1000))*1000)),"",IF(O1987&lt;fi_h/20,0,(OFFSET('Base de dados'!$A$5,IF(O1987&lt;20,1,IF(O1987&gt;1000,10,MATCH(O1987,Cargas,1))),Coluna_fih,1,1))*(PI()*(fi_h/1000)^2/4)*SQRT(2*9.81*(O1987/100-fi_h/2/1000))*1000))</f>
        <v>5.9539450532453442</v>
      </c>
      <c r="Q1987" s="38">
        <f ca="1">IF(O1987="","",IF(Tipo_Vertedor="Retangular",IF(O1987&lt;=cota_s*100,0,IF(Tipo_Vertedor="Retangular",Cd_sr*Lef_sr*((O1987/100-cota_s)^(3/2))*1000)),IF(O1987&lt;=cota_s*100+fi_s/20,0,(OFFSET('Base de dados'!$A$4,IF(O1987&lt;20,1,IF(O1987&gt;1000,10,MATCH(O1987,Cargas,1))),Coluna_fis,1,1))*(PI()*(fi_s/1000)^2/4)*(2*9.81*(O1987/100-cota_s-fi_s/2/1000))^0.5*1000)))</f>
        <v>5.1818082277124562</v>
      </c>
      <c r="R1987" s="38">
        <f t="shared" ca="1" si="240"/>
        <v>11.1357532809578</v>
      </c>
      <c r="S1987" s="38">
        <f t="shared" ca="1" si="241"/>
        <v>620.625</v>
      </c>
    </row>
    <row r="1988" spans="13:19">
      <c r="M1988" s="132">
        <f t="shared" ca="1" si="238"/>
        <v>632.07648558222104</v>
      </c>
      <c r="N1988" s="38">
        <f t="shared" si="239"/>
        <v>18.628125000000001</v>
      </c>
      <c r="O1988" s="36">
        <f t="shared" si="237"/>
        <v>496.75</v>
      </c>
      <c r="P1988" s="38">
        <f ca="1">IF(ISERROR(IF(O1988&lt;fi_h/20,0,(OFFSET('Base de dados'!$A$5,IF(O1988&lt;20,1,IF(O1988&gt;1000,10,MATCH(O1988,Cargas,1))),Coluna_fih,1,1))*(1+0.13*0.25)*(PI()*(fi_h/1000)^2/4)*SQRT(2*9.81*(O1988/100-fi_h/2/1000))*1000)),"",IF(O1988&lt;fi_h/20,0,(OFFSET('Base de dados'!$A$5,IF(O1988&lt;20,1,IF(O1988&gt;1000,10,MATCH(O1988,Cargas,1))),Coluna_fih,1,1))*(PI()*(fi_h/1000)^2/4)*SQRT(2*9.81*(O1988/100-fi_h/2/1000))*1000))</f>
        <v>5.95544917487676</v>
      </c>
      <c r="Q1988" s="38">
        <f ca="1">IF(O1988="","",IF(Tipo_Vertedor="Retangular",IF(O1988&lt;=cota_s*100,0,IF(Tipo_Vertedor="Retangular",Cd_sr*Lef_sr*((O1988/100-cota_s)^(3/2))*1000)),IF(O1988&lt;=cota_s*100+fi_s/20,0,(OFFSET('Base de dados'!$A$4,IF(O1988&lt;20,1,IF(O1988&gt;1000,10,MATCH(O1988,Cargas,1))),Coluna_fis,1,1))*(PI()*(fi_s/1000)^2/4)*(2*9.81*(O1988/100-cota_s-fi_s/2/1000))^0.5*1000)))</f>
        <v>5.183536407344322</v>
      </c>
      <c r="R1988" s="38">
        <f t="shared" ca="1" si="240"/>
        <v>11.138985582221082</v>
      </c>
      <c r="S1988" s="38">
        <f t="shared" ca="1" si="241"/>
        <v>620.9375</v>
      </c>
    </row>
    <row r="1989" spans="13:19">
      <c r="M1989" s="132">
        <f t="shared" ca="1" si="238"/>
        <v>632.39221692771662</v>
      </c>
      <c r="N1989" s="38">
        <f t="shared" si="239"/>
        <v>18.637499999999999</v>
      </c>
      <c r="O1989" s="36">
        <f t="shared" si="237"/>
        <v>497</v>
      </c>
      <c r="P1989" s="38">
        <f ca="1">IF(ISERROR(IF(O1989&lt;fi_h/20,0,(OFFSET('Base de dados'!$A$5,IF(O1989&lt;20,1,IF(O1989&gt;1000,10,MATCH(O1989,Cargas,1))),Coluna_fih,1,1))*(1+0.13*0.25)*(PI()*(fi_h/1000)^2/4)*SQRT(2*9.81*(O1989/100-fi_h/2/1000))*1000)),"",IF(O1989&lt;fi_h/20,0,(OFFSET('Base de dados'!$A$5,IF(O1989&lt;20,1,IF(O1989&gt;1000,10,MATCH(O1989,Cargas,1))),Coluna_fih,1,1))*(PI()*(fi_h/1000)^2/4)*SQRT(2*9.81*(O1989/100-fi_h/2/1000))*1000))</f>
        <v>5.956952916719743</v>
      </c>
      <c r="Q1989" s="38">
        <f ca="1">IF(O1989="","",IF(Tipo_Vertedor="Retangular",IF(O1989&lt;=cota_s*100,0,IF(Tipo_Vertedor="Retangular",Cd_sr*Lef_sr*((O1989/100-cota_s)^(3/2))*1000)),IF(O1989&lt;=cota_s*100+fi_s/20,0,(OFFSET('Base de dados'!$A$4,IF(O1989&lt;20,1,IF(O1989&gt;1000,10,MATCH(O1989,Cargas,1))),Coluna_fis,1,1))*(PI()*(fi_s/1000)^2/4)*(2*9.81*(O1989/100-cota_s-fi_s/2/1000))^0.5*1000)))</f>
        <v>5.1852640109969004</v>
      </c>
      <c r="R1989" s="38">
        <f t="shared" ca="1" si="240"/>
        <v>11.142216927716643</v>
      </c>
      <c r="S1989" s="38">
        <f t="shared" ca="1" si="241"/>
        <v>621.25</v>
      </c>
    </row>
    <row r="1990" spans="13:19">
      <c r="M1990" s="132">
        <f t="shared" ca="1" si="238"/>
        <v>632.70794731830756</v>
      </c>
      <c r="N1990" s="38">
        <f t="shared" si="239"/>
        <v>18.646875000000001</v>
      </c>
      <c r="O1990" s="36">
        <f t="shared" si="237"/>
        <v>497.25</v>
      </c>
      <c r="P1990" s="38">
        <f ca="1">IF(ISERROR(IF(O1990&lt;fi_h/20,0,(OFFSET('Base de dados'!$A$5,IF(O1990&lt;20,1,IF(O1990&gt;1000,10,MATCH(O1990,Cargas,1))),Coluna_fih,1,1))*(1+0.13*0.25)*(PI()*(fi_h/1000)^2/4)*SQRT(2*9.81*(O1990/100-fi_h/2/1000))*1000)),"",IF(O1990&lt;fi_h/20,0,(OFFSET('Base de dados'!$A$5,IF(O1990&lt;20,1,IF(O1990&gt;1000,10,MATCH(O1990,Cargas,1))),Coluna_fih,1,1))*(PI()*(fi_h/1000)^2/4)*SQRT(2*9.81*(O1990/100-fi_h/2/1000))*1000))</f>
        <v>5.9584562790618376</v>
      </c>
      <c r="Q1990" s="38">
        <f ca="1">IF(O1990="","",IF(Tipo_Vertedor="Retangular",IF(O1990&lt;=cota_s*100,0,IF(Tipo_Vertedor="Retangular",Cd_sr*Lef_sr*((O1990/100-cota_s)^(3/2))*1000)),IF(O1990&lt;=cota_s*100+fi_s/20,0,(OFFSET('Base de dados'!$A$4,IF(O1990&lt;20,1,IF(O1990&gt;1000,10,MATCH(O1990,Cargas,1))),Coluna_fis,1,1))*(PI()*(fi_s/1000)^2/4)*(2*9.81*(O1990/100-cota_s-fi_s/2/1000))^0.5*1000)))</f>
        <v>5.1869910392457053</v>
      </c>
      <c r="R1990" s="38">
        <f t="shared" ca="1" si="240"/>
        <v>11.145447318307543</v>
      </c>
      <c r="S1990" s="38">
        <f t="shared" ca="1" si="241"/>
        <v>621.5625</v>
      </c>
    </row>
    <row r="1991" spans="13:19">
      <c r="M1991" s="132">
        <f t="shared" ca="1" si="238"/>
        <v>633.0236767548555</v>
      </c>
      <c r="N1991" s="38">
        <f t="shared" si="239"/>
        <v>18.65625</v>
      </c>
      <c r="O1991" s="36">
        <f t="shared" si="237"/>
        <v>497.5</v>
      </c>
      <c r="P1991" s="38">
        <f ca="1">IF(ISERROR(IF(O1991&lt;fi_h/20,0,(OFFSET('Base de dados'!$A$5,IF(O1991&lt;20,1,IF(O1991&gt;1000,10,MATCH(O1991,Cargas,1))),Coluna_fih,1,1))*(1+0.13*0.25)*(PI()*(fi_h/1000)^2/4)*SQRT(2*9.81*(O1991/100-fi_h/2/1000))*1000)),"",IF(O1991&lt;fi_h/20,0,(OFFSET('Base de dados'!$A$5,IF(O1991&lt;20,1,IF(O1991&gt;1000,10,MATCH(O1991,Cargas,1))),Coluna_fih,1,1))*(PI()*(fi_h/1000)^2/4)*SQRT(2*9.81*(O1991/100-fi_h/2/1000))*1000))</f>
        <v>5.959959262190222</v>
      </c>
      <c r="Q1991" s="38">
        <f ca="1">IF(O1991="","",IF(Tipo_Vertedor="Retangular",IF(O1991&lt;=cota_s*100,0,IF(Tipo_Vertedor="Retangular",Cd_sr*Lef_sr*((O1991/100-cota_s)^(3/2))*1000)),IF(O1991&lt;=cota_s*100+fi_s/20,0,(OFFSET('Base de dados'!$A$4,IF(O1991&lt;20,1,IF(O1991&gt;1000,10,MATCH(O1991,Cargas,1))),Coluna_fis,1,1))*(PI()*(fi_s/1000)^2/4)*(2*9.81*(O1991/100-cota_s-fi_s/2/1000))^0.5*1000)))</f>
        <v>5.1887174926652939</v>
      </c>
      <c r="R1991" s="38">
        <f t="shared" ca="1" si="240"/>
        <v>11.148676754855515</v>
      </c>
      <c r="S1991" s="38">
        <f t="shared" ca="1" si="241"/>
        <v>621.875</v>
      </c>
    </row>
    <row r="1992" spans="13:19">
      <c r="M1992" s="132">
        <f t="shared" ca="1" si="238"/>
        <v>633.33940523822093</v>
      </c>
      <c r="N1992" s="38">
        <f t="shared" si="239"/>
        <v>18.665624999999999</v>
      </c>
      <c r="O1992" s="36">
        <f t="shared" si="237"/>
        <v>497.75</v>
      </c>
      <c r="P1992" s="38">
        <f ca="1">IF(ISERROR(IF(O1992&lt;fi_h/20,0,(OFFSET('Base de dados'!$A$5,IF(O1992&lt;20,1,IF(O1992&gt;1000,10,MATCH(O1992,Cargas,1))),Coluna_fih,1,1))*(1+0.13*0.25)*(PI()*(fi_h/1000)^2/4)*SQRT(2*9.81*(O1992/100-fi_h/2/1000))*1000)),"",IF(O1992&lt;fi_h/20,0,(OFFSET('Base de dados'!$A$5,IF(O1992&lt;20,1,IF(O1992&gt;1000,10,MATCH(O1992,Cargas,1))),Coluna_fih,1,1))*(PI()*(fi_h/1000)^2/4)*SQRT(2*9.81*(O1992/100-fi_h/2/1000))*1000))</f>
        <v>5.9614618663917147</v>
      </c>
      <c r="Q1992" s="38">
        <f ca="1">IF(O1992="","",IF(Tipo_Vertedor="Retangular",IF(O1992&lt;=cota_s*100,0,IF(Tipo_Vertedor="Retangular",Cd_sr*Lef_sr*((O1992/100-cota_s)^(3/2))*1000)),IF(O1992&lt;=cota_s*100+fi_s/20,0,(OFFSET('Base de dados'!$A$4,IF(O1992&lt;20,1,IF(O1992&gt;1000,10,MATCH(O1992,Cargas,1))),Coluna_fis,1,1))*(PI()*(fi_s/1000)^2/4)*(2*9.81*(O1992/100-cota_s-fi_s/2/1000))^0.5*1000)))</f>
        <v>5.1904433718292688</v>
      </c>
      <c r="R1992" s="38">
        <f t="shared" ca="1" si="240"/>
        <v>11.151905238220984</v>
      </c>
      <c r="S1992" s="38">
        <f t="shared" ca="1" si="241"/>
        <v>622.1875</v>
      </c>
    </row>
    <row r="1993" spans="13:19">
      <c r="M1993" s="132">
        <f t="shared" ca="1" si="238"/>
        <v>633.6551327692631</v>
      </c>
      <c r="N1993" s="38">
        <f t="shared" si="239"/>
        <v>18.675000000000001</v>
      </c>
      <c r="O1993" s="36">
        <f t="shared" si="237"/>
        <v>498</v>
      </c>
      <c r="P1993" s="38">
        <f ca="1">IF(ISERROR(IF(O1993&lt;fi_h/20,0,(OFFSET('Base de dados'!$A$5,IF(O1993&lt;20,1,IF(O1993&gt;1000,10,MATCH(O1993,Cargas,1))),Coluna_fih,1,1))*(1+0.13*0.25)*(PI()*(fi_h/1000)^2/4)*SQRT(2*9.81*(O1993/100-fi_h/2/1000))*1000)),"",IF(O1993&lt;fi_h/20,0,(OFFSET('Base de dados'!$A$5,IF(O1993&lt;20,1,IF(O1993&gt;1000,10,MATCH(O1993,Cargas,1))),Coluna_fih,1,1))*(PI()*(fi_h/1000)^2/4)*SQRT(2*9.81*(O1993/100-fi_h/2/1000))*1000))</f>
        <v>5.9629640919527729</v>
      </c>
      <c r="Q1993" s="38">
        <f ca="1">IF(O1993="","",IF(Tipo_Vertedor="Retangular",IF(O1993&lt;=cota_s*100,0,IF(Tipo_Vertedor="Retangular",Cd_sr*Lef_sr*((O1993/100-cota_s)^(3/2))*1000)),IF(O1993&lt;=cota_s*100+fi_s/20,0,(OFFSET('Base de dados'!$A$4,IF(O1993&lt;20,1,IF(O1993&gt;1000,10,MATCH(O1993,Cargas,1))),Coluna_fis,1,1))*(PI()*(fi_s/1000)^2/4)*(2*9.81*(O1993/100-cota_s-fi_s/2/1000))^0.5*1000)))</f>
        <v>5.1921686773102786</v>
      </c>
      <c r="R1993" s="38">
        <f t="shared" ca="1" si="240"/>
        <v>11.155132769263052</v>
      </c>
      <c r="S1993" s="38">
        <f t="shared" ca="1" si="241"/>
        <v>622.5</v>
      </c>
    </row>
    <row r="1994" spans="13:19">
      <c r="M1994" s="132">
        <f t="shared" ca="1" si="238"/>
        <v>633.97085934883955</v>
      </c>
      <c r="N1994" s="38">
        <f t="shared" si="239"/>
        <v>18.684374999999999</v>
      </c>
      <c r="O1994" s="36">
        <f t="shared" si="237"/>
        <v>498.25</v>
      </c>
      <c r="P1994" s="38">
        <f ca="1">IF(ISERROR(IF(O1994&lt;fi_h/20,0,(OFFSET('Base de dados'!$A$5,IF(O1994&lt;20,1,IF(O1994&gt;1000,10,MATCH(O1994,Cargas,1))),Coluna_fih,1,1))*(1+0.13*0.25)*(PI()*(fi_h/1000)^2/4)*SQRT(2*9.81*(O1994/100-fi_h/2/1000))*1000)),"",IF(O1994&lt;fi_h/20,0,(OFFSET('Base de dados'!$A$5,IF(O1994&lt;20,1,IF(O1994&gt;1000,10,MATCH(O1994,Cargas,1))),Coluna_fih,1,1))*(PI()*(fi_h/1000)^2/4)*SQRT(2*9.81*(O1994/100-fi_h/2/1000))*1000))</f>
        <v>5.964465939159493</v>
      </c>
      <c r="Q1994" s="38">
        <f ca="1">IF(O1994="","",IF(Tipo_Vertedor="Retangular",IF(O1994&lt;=cota_s*100,0,IF(Tipo_Vertedor="Retangular",Cd_sr*Lef_sr*((O1994/100-cota_s)^(3/2))*1000)),IF(O1994&lt;=cota_s*100+fi_s/20,0,(OFFSET('Base de dados'!$A$4,IF(O1994&lt;20,1,IF(O1994&gt;1000,10,MATCH(O1994,Cargas,1))),Coluna_fis,1,1))*(PI()*(fi_s/1000)^2/4)*(2*9.81*(O1994/100-cota_s-fi_s/2/1000))^0.5*1000)))</f>
        <v>5.1938934096800198</v>
      </c>
      <c r="R1994" s="38">
        <f t="shared" ca="1" si="240"/>
        <v>11.158359348839513</v>
      </c>
      <c r="S1994" s="38">
        <f t="shared" ca="1" si="241"/>
        <v>622.8125</v>
      </c>
    </row>
    <row r="1995" spans="13:19">
      <c r="M1995" s="132">
        <f t="shared" ca="1" si="238"/>
        <v>634.2865849778068</v>
      </c>
      <c r="N1995" s="38">
        <f t="shared" si="239"/>
        <v>18.693750000000001</v>
      </c>
      <c r="O1995" s="36">
        <f t="shared" si="237"/>
        <v>498.5</v>
      </c>
      <c r="P1995" s="38">
        <f ca="1">IF(ISERROR(IF(O1995&lt;fi_h/20,0,(OFFSET('Base de dados'!$A$5,IF(O1995&lt;20,1,IF(O1995&gt;1000,10,MATCH(O1995,Cargas,1))),Coluna_fih,1,1))*(1+0.13*0.25)*(PI()*(fi_h/1000)^2/4)*SQRT(2*9.81*(O1995/100-fi_h/2/1000))*1000)),"",IF(O1995&lt;fi_h/20,0,(OFFSET('Base de dados'!$A$5,IF(O1995&lt;20,1,IF(O1995&gt;1000,10,MATCH(O1995,Cargas,1))),Coluna_fih,1,1))*(PI()*(fi_h/1000)^2/4)*SQRT(2*9.81*(O1995/100-fi_h/2/1000))*1000))</f>
        <v>5.9659674082976109</v>
      </c>
      <c r="Q1995" s="38">
        <f ca="1">IF(O1995="","",IF(Tipo_Vertedor="Retangular",IF(O1995&lt;=cota_s*100,0,IF(Tipo_Vertedor="Retangular",Cd_sr*Lef_sr*((O1995/100-cota_s)^(3/2))*1000)),IF(O1995&lt;=cota_s*100+fi_s/20,0,(OFFSET('Base de dados'!$A$4,IF(O1995&lt;20,1,IF(O1995&gt;1000,10,MATCH(O1995,Cargas,1))),Coluna_fis,1,1))*(PI()*(fi_s/1000)^2/4)*(2*9.81*(O1995/100-cota_s-fi_s/2/1000))^0.5*1000)))</f>
        <v>5.195617569509241</v>
      </c>
      <c r="R1995" s="38">
        <f t="shared" ca="1" si="240"/>
        <v>11.161584977806852</v>
      </c>
      <c r="S1995" s="38">
        <f t="shared" ca="1" si="241"/>
        <v>623.125</v>
      </c>
    </row>
    <row r="1996" spans="13:19">
      <c r="M1996" s="132">
        <f t="shared" ca="1" si="238"/>
        <v>634.60230965702021</v>
      </c>
      <c r="N1996" s="38">
        <f t="shared" si="239"/>
        <v>18.703125</v>
      </c>
      <c r="O1996" s="36">
        <f t="shared" si="237"/>
        <v>498.75</v>
      </c>
      <c r="P1996" s="38">
        <f ca="1">IF(ISERROR(IF(O1996&lt;fi_h/20,0,(OFFSET('Base de dados'!$A$5,IF(O1996&lt;20,1,IF(O1996&gt;1000,10,MATCH(O1996,Cargas,1))),Coluna_fih,1,1))*(1+0.13*0.25)*(PI()*(fi_h/1000)^2/4)*SQRT(2*9.81*(O1996/100-fi_h/2/1000))*1000)),"",IF(O1996&lt;fi_h/20,0,(OFFSET('Base de dados'!$A$5,IF(O1996&lt;20,1,IF(O1996&gt;1000,10,MATCH(O1996,Cargas,1))),Coluna_fih,1,1))*(PI()*(fi_h/1000)^2/4)*SQRT(2*9.81*(O1996/100-fi_h/2/1000))*1000))</f>
        <v>5.9674684996525027</v>
      </c>
      <c r="Q1996" s="38">
        <f ca="1">IF(O1996="","",IF(Tipo_Vertedor="Retangular",IF(O1996&lt;=cota_s*100,0,IF(Tipo_Vertedor="Retangular",Cd_sr*Lef_sr*((O1996/100-cota_s)^(3/2))*1000)),IF(O1996&lt;=cota_s*100+fi_s/20,0,(OFFSET('Base de dados'!$A$4,IF(O1996&lt;20,1,IF(O1996&gt;1000,10,MATCH(O1996,Cargas,1))),Coluna_fis,1,1))*(PI()*(fi_s/1000)^2/4)*(2*9.81*(O1996/100-cota_s-fi_s/2/1000))^0.5*1000)))</f>
        <v>5.1973411573677444</v>
      </c>
      <c r="R1996" s="38">
        <f t="shared" ca="1" si="240"/>
        <v>11.164809657020246</v>
      </c>
      <c r="S1996" s="38">
        <f t="shared" ca="1" si="241"/>
        <v>623.4375</v>
      </c>
    </row>
    <row r="1997" spans="13:19">
      <c r="M1997" s="132">
        <f t="shared" ca="1" si="238"/>
        <v>634.91803338733371</v>
      </c>
      <c r="N1997" s="38">
        <f t="shared" si="239"/>
        <v>18.712500000000002</v>
      </c>
      <c r="O1997" s="36">
        <f t="shared" si="237"/>
        <v>499</v>
      </c>
      <c r="P1997" s="38">
        <f ca="1">IF(ISERROR(IF(O1997&lt;fi_h/20,0,(OFFSET('Base de dados'!$A$5,IF(O1997&lt;20,1,IF(O1997&gt;1000,10,MATCH(O1997,Cargas,1))),Coluna_fih,1,1))*(1+0.13*0.25)*(PI()*(fi_h/1000)^2/4)*SQRT(2*9.81*(O1997/100-fi_h/2/1000))*1000)),"",IF(O1997&lt;fi_h/20,0,(OFFSET('Base de dados'!$A$5,IF(O1997&lt;20,1,IF(O1997&gt;1000,10,MATCH(O1997,Cargas,1))),Coluna_fih,1,1))*(PI()*(fi_h/1000)^2/4)*SQRT(2*9.81*(O1997/100-fi_h/2/1000))*1000))</f>
        <v>5.968969213509185</v>
      </c>
      <c r="Q1997" s="38">
        <f ca="1">IF(O1997="","",IF(Tipo_Vertedor="Retangular",IF(O1997&lt;=cota_s*100,0,IF(Tipo_Vertedor="Retangular",Cd_sr*Lef_sr*((O1997/100-cota_s)^(3/2))*1000)),IF(O1997&lt;=cota_s*100+fi_s/20,0,(OFFSET('Base de dados'!$A$4,IF(O1997&lt;20,1,IF(O1997&gt;1000,10,MATCH(O1997,Cargas,1))),Coluna_fis,1,1))*(PI()*(fi_s/1000)^2/4)*(2*9.81*(O1997/100-cota_s-fi_s/2/1000))^0.5*1000)))</f>
        <v>5.1990641738243877</v>
      </c>
      <c r="R1997" s="38">
        <f t="shared" ca="1" si="240"/>
        <v>11.168033387333573</v>
      </c>
      <c r="S1997" s="38">
        <f t="shared" ca="1" si="241"/>
        <v>623.75000000000011</v>
      </c>
    </row>
    <row r="1998" spans="13:19">
      <c r="M1998" s="132">
        <f t="shared" ca="1" si="238"/>
        <v>635.23375616959925</v>
      </c>
      <c r="N1998" s="38">
        <f t="shared" si="239"/>
        <v>18.721874999999997</v>
      </c>
      <c r="O1998" s="36">
        <f t="shared" si="237"/>
        <v>499.25</v>
      </c>
      <c r="P1998" s="38">
        <f ca="1">IF(ISERROR(IF(O1998&lt;fi_h/20,0,(OFFSET('Base de dados'!$A$5,IF(O1998&lt;20,1,IF(O1998&gt;1000,10,MATCH(O1998,Cargas,1))),Coluna_fih,1,1))*(1+0.13*0.25)*(PI()*(fi_h/1000)^2/4)*SQRT(2*9.81*(O1998/100-fi_h/2/1000))*1000)),"",IF(O1998&lt;fi_h/20,0,(OFFSET('Base de dados'!$A$5,IF(O1998&lt;20,1,IF(O1998&gt;1000,10,MATCH(O1998,Cargas,1))),Coluna_fih,1,1))*(PI()*(fi_h/1000)^2/4)*SQRT(2*9.81*(O1998/100-fi_h/2/1000))*1000))</f>
        <v>5.9704695501523197</v>
      </c>
      <c r="Q1998" s="38">
        <f ca="1">IF(O1998="","",IF(Tipo_Vertedor="Retangular",IF(O1998&lt;=cota_s*100,0,IF(Tipo_Vertedor="Retangular",Cd_sr*Lef_sr*((O1998/100-cota_s)^(3/2))*1000)),IF(O1998&lt;=cota_s*100+fi_s/20,0,(OFFSET('Base de dados'!$A$4,IF(O1998&lt;20,1,IF(O1998&gt;1000,10,MATCH(O1998,Cargas,1))),Coluna_fis,1,1))*(PI()*(fi_s/1000)^2/4)*(2*9.81*(O1998/100-cota_s-fi_s/2/1000))^0.5*1000)))</f>
        <v>5.2007866194470846</v>
      </c>
      <c r="R1998" s="38">
        <f t="shared" ca="1" si="240"/>
        <v>11.171256169599404</v>
      </c>
      <c r="S1998" s="38">
        <f t="shared" ca="1" si="241"/>
        <v>624.06249999999989</v>
      </c>
    </row>
    <row r="1999" spans="13:19">
      <c r="M1999" s="132">
        <f t="shared" ca="1" si="238"/>
        <v>635.54947800466903</v>
      </c>
      <c r="N1999" s="38">
        <f t="shared" si="239"/>
        <v>18.731249999999999</v>
      </c>
      <c r="O1999" s="36">
        <f t="shared" si="237"/>
        <v>499.5</v>
      </c>
      <c r="P1999" s="38">
        <f ca="1">IF(ISERROR(IF(O1999&lt;fi_h/20,0,(OFFSET('Base de dados'!$A$5,IF(O1999&lt;20,1,IF(O1999&gt;1000,10,MATCH(O1999,Cargas,1))),Coluna_fih,1,1))*(1+0.13*0.25)*(PI()*(fi_h/1000)^2/4)*SQRT(2*9.81*(O1999/100-fi_h/2/1000))*1000)),"",IF(O1999&lt;fi_h/20,0,(OFFSET('Base de dados'!$A$5,IF(O1999&lt;20,1,IF(O1999&gt;1000,10,MATCH(O1999,Cargas,1))),Coluna_fih,1,1))*(PI()*(fi_h/1000)^2/4)*SQRT(2*9.81*(O1999/100-fi_h/2/1000))*1000))</f>
        <v>5.9719695098662067</v>
      </c>
      <c r="Q1999" s="38">
        <f ca="1">IF(O1999="","",IF(Tipo_Vertedor="Retangular",IF(O1999&lt;=cota_s*100,0,IF(Tipo_Vertedor="Retangular",Cd_sr*Lef_sr*((O1999/100-cota_s)^(3/2))*1000)),IF(O1999&lt;=cota_s*100+fi_s/20,0,(OFFSET('Base de dados'!$A$4,IF(O1999&lt;20,1,IF(O1999&gt;1000,10,MATCH(O1999,Cargas,1))),Coluna_fis,1,1))*(PI()*(fi_s/1000)^2/4)*(2*9.81*(O1999/100-cota_s-fi_s/2/1000))^0.5*1000)))</f>
        <v>5.202508494802812</v>
      </c>
      <c r="R1999" s="38">
        <f t="shared" ca="1" si="240"/>
        <v>11.17447800466902</v>
      </c>
      <c r="S1999" s="38">
        <f t="shared" ca="1" si="241"/>
        <v>624.375</v>
      </c>
    </row>
    <row r="2000" spans="13:19">
      <c r="M2000" s="132">
        <f t="shared" ca="1" si="238"/>
        <v>635.86519889339229</v>
      </c>
      <c r="N2000" s="38">
        <f t="shared" si="239"/>
        <v>18.740624999999998</v>
      </c>
      <c r="O2000" s="36">
        <f t="shared" si="237"/>
        <v>499.75</v>
      </c>
      <c r="P2000" s="38">
        <f ca="1">IF(ISERROR(IF(O2000&lt;fi_h/20,0,(OFFSET('Base de dados'!$A$5,IF(O2000&lt;20,1,IF(O2000&gt;1000,10,MATCH(O2000,Cargas,1))),Coluna_fih,1,1))*(1+0.13*0.25)*(PI()*(fi_h/1000)^2/4)*SQRT(2*9.81*(O2000/100-fi_h/2/1000))*1000)),"",IF(O2000&lt;fi_h/20,0,(OFFSET('Base de dados'!$A$5,IF(O2000&lt;20,1,IF(O2000&gt;1000,10,MATCH(O2000,Cargas,1))),Coluna_fih,1,1))*(PI()*(fi_h/1000)^2/4)*SQRT(2*9.81*(O2000/100-fi_h/2/1000))*1000))</f>
        <v>5.9734690929347902</v>
      </c>
      <c r="Q2000" s="38">
        <f ca="1">IF(O2000="","",IF(Tipo_Vertedor="Retangular",IF(O2000&lt;=cota_s*100,0,IF(Tipo_Vertedor="Retangular",Cd_sr*Lef_sr*((O2000/100-cota_s)^(3/2))*1000)),IF(O2000&lt;=cota_s*100+fi_s/20,0,(OFFSET('Base de dados'!$A$4,IF(O2000&lt;20,1,IF(O2000&gt;1000,10,MATCH(O2000,Cargas,1))),Coluna_fis,1,1))*(PI()*(fi_s/1000)^2/4)*(2*9.81*(O2000/100-cota_s-fi_s/2/1000))^0.5*1000)))</f>
        <v>5.2042298004576031</v>
      </c>
      <c r="R2000" s="38">
        <f t="shared" ca="1" si="240"/>
        <v>11.177698893392392</v>
      </c>
      <c r="S2000" s="38">
        <f t="shared" ca="1" si="241"/>
        <v>624.68749999999989</v>
      </c>
    </row>
    <row r="2001" spans="13:19">
      <c r="M2001" s="132">
        <f t="shared" ca="1" si="238"/>
        <v>636.18091883661828</v>
      </c>
      <c r="N2001" s="38">
        <f t="shared" si="239"/>
        <v>18.75</v>
      </c>
      <c r="O2001" s="36">
        <f t="shared" si="237"/>
        <v>500</v>
      </c>
      <c r="P2001" s="38">
        <f ca="1">IF(ISERROR(IF(O2001&lt;fi_h/20,0,(OFFSET('Base de dados'!$A$5,IF(O2001&lt;20,1,IF(O2001&gt;1000,10,MATCH(O2001,Cargas,1))),Coluna_fih,1,1))*(1+0.13*0.25)*(PI()*(fi_h/1000)^2/4)*SQRT(2*9.81*(O2001/100-fi_h/2/1000))*1000)),"",IF(O2001&lt;fi_h/20,0,(OFFSET('Base de dados'!$A$5,IF(O2001&lt;20,1,IF(O2001&gt;1000,10,MATCH(O2001,Cargas,1))),Coluna_fih,1,1))*(PI()*(fi_h/1000)^2/4)*SQRT(2*9.81*(O2001/100-fi_h/2/1000))*1000))</f>
        <v>5.9749682996416613</v>
      </c>
      <c r="Q2001" s="38">
        <f ca="1">IF(O2001="","",IF(Tipo_Vertedor="Retangular",IF(O2001&lt;=cota_s*100,0,IF(Tipo_Vertedor="Retangular",Cd_sr*Lef_sr*((O2001/100-cota_s)^(3/2))*1000)),IF(O2001&lt;=cota_s*100+fi_s/20,0,(OFFSET('Base de dados'!$A$4,IF(O2001&lt;20,1,IF(O2001&gt;1000,10,MATCH(O2001,Cargas,1))),Coluna_fis,1,1))*(PI()*(fi_s/1000)^2/4)*(2*9.81*(O2001/100-cota_s-fi_s/2/1000))^0.5*1000)))</f>
        <v>5.2059505369765642</v>
      </c>
      <c r="R2001" s="38">
        <f t="shared" ca="1" si="240"/>
        <v>11.180918836618225</v>
      </c>
      <c r="S2001" s="38">
        <f t="shared" ca="1" si="241"/>
        <v>625</v>
      </c>
    </row>
    <row r="2002" spans="13:19">
      <c r="M2002" s="132">
        <f t="shared" ca="1" si="238"/>
        <v>636.49663783519406</v>
      </c>
      <c r="N2002" s="38">
        <f t="shared" si="239"/>
        <v>18.759375000000002</v>
      </c>
      <c r="O2002" s="36">
        <f t="shared" si="237"/>
        <v>500.25</v>
      </c>
      <c r="P2002" s="38">
        <f ca="1">IF(ISERROR(IF(O2002&lt;fi_h/20,0,(OFFSET('Base de dados'!$A$5,IF(O2002&lt;20,1,IF(O2002&gt;1000,10,MATCH(O2002,Cargas,1))),Coluna_fih,1,1))*(1+0.13*0.25)*(PI()*(fi_h/1000)^2/4)*SQRT(2*9.81*(O2002/100-fi_h/2/1000))*1000)),"",IF(O2002&lt;fi_h/20,0,(OFFSET('Base de dados'!$A$5,IF(O2002&lt;20,1,IF(O2002&gt;1000,10,MATCH(O2002,Cargas,1))),Coluna_fih,1,1))*(PI()*(fi_h/1000)^2/4)*SQRT(2*9.81*(O2002/100-fi_h/2/1000))*1000))</f>
        <v>5.9764671302700512</v>
      </c>
      <c r="Q2002" s="38">
        <f ca="1">IF(O2002="","",IF(Tipo_Vertedor="Retangular",IF(O2002&lt;=cota_s*100,0,IF(Tipo_Vertedor="Retangular",Cd_sr*Lef_sr*((O2002/100-cota_s)^(3/2))*1000)),IF(O2002&lt;=cota_s*100+fi_s/20,0,(OFFSET('Base de dados'!$A$4,IF(O2002&lt;20,1,IF(O2002&gt;1000,10,MATCH(O2002,Cargas,1))),Coluna_fis,1,1))*(PI()*(fi_s/1000)^2/4)*(2*9.81*(O2002/100-cota_s-fi_s/2/1000))^0.5*1000)))</f>
        <v>5.2076707049238573</v>
      </c>
      <c r="R2002" s="38">
        <f t="shared" ca="1" si="240"/>
        <v>11.184137835193908</v>
      </c>
      <c r="S2002" s="38">
        <f t="shared" ca="1" si="241"/>
        <v>625.31250000000011</v>
      </c>
    </row>
    <row r="2003" spans="13:19">
      <c r="M2003" s="132">
        <f t="shared" ca="1" si="238"/>
        <v>636.8123558899656</v>
      </c>
      <c r="N2003" s="38">
        <f t="shared" si="239"/>
        <v>18.768750000000001</v>
      </c>
      <c r="O2003" s="36">
        <f t="shared" ref="O2003:O2066" si="242">IF(ISERROR(IF(O2002+passo_altura&gt;h_max_puls*100,"",O2002+passo_altura)),"",IF(O2002+passo_altura&gt;h_max_puls*100,"",O2002+passo_altura))</f>
        <v>500.5</v>
      </c>
      <c r="P2003" s="38">
        <f ca="1">IF(ISERROR(IF(O2003&lt;fi_h/20,0,(OFFSET('Base de dados'!$A$5,IF(O2003&lt;20,1,IF(O2003&gt;1000,10,MATCH(O2003,Cargas,1))),Coluna_fih,1,1))*(1+0.13*0.25)*(PI()*(fi_h/1000)^2/4)*SQRT(2*9.81*(O2003/100-fi_h/2/1000))*1000)),"",IF(O2003&lt;fi_h/20,0,(OFFSET('Base de dados'!$A$5,IF(O2003&lt;20,1,IF(O2003&gt;1000,10,MATCH(O2003,Cargas,1))),Coluna_fih,1,1))*(PI()*(fi_h/1000)^2/4)*SQRT(2*9.81*(O2003/100-fi_h/2/1000))*1000))</f>
        <v>5.9779655851028375</v>
      </c>
      <c r="Q2003" s="38">
        <f ca="1">IF(O2003="","",IF(Tipo_Vertedor="Retangular",IF(O2003&lt;=cota_s*100,0,IF(Tipo_Vertedor="Retangular",Cd_sr*Lef_sr*((O2003/100-cota_s)^(3/2))*1000)),IF(O2003&lt;=cota_s*100+fi_s/20,0,(OFFSET('Base de dados'!$A$4,IF(O2003&lt;20,1,IF(O2003&gt;1000,10,MATCH(O2003,Cargas,1))),Coluna_fis,1,1))*(PI()*(fi_s/1000)^2/4)*(2*9.81*(O2003/100-cota_s-fi_s/2/1000))^0.5*1000)))</f>
        <v>5.2093903048627217</v>
      </c>
      <c r="R2003" s="38">
        <f t="shared" ca="1" si="240"/>
        <v>11.187355889965559</v>
      </c>
      <c r="S2003" s="38">
        <f t="shared" ca="1" si="241"/>
        <v>625.625</v>
      </c>
    </row>
    <row r="2004" spans="13:19">
      <c r="M2004" s="132">
        <f t="shared" ca="1" si="238"/>
        <v>637.12807300177815</v>
      </c>
      <c r="N2004" s="38">
        <f t="shared" si="239"/>
        <v>18.778125000000003</v>
      </c>
      <c r="O2004" s="36">
        <f t="shared" si="242"/>
        <v>500.75</v>
      </c>
      <c r="P2004" s="38">
        <f ca="1">IF(ISERROR(IF(O2004&lt;fi_h/20,0,(OFFSET('Base de dados'!$A$5,IF(O2004&lt;20,1,IF(O2004&gt;1000,10,MATCH(O2004,Cargas,1))),Coluna_fih,1,1))*(1+0.13*0.25)*(PI()*(fi_h/1000)^2/4)*SQRT(2*9.81*(O2004/100-fi_h/2/1000))*1000)),"",IF(O2004&lt;fi_h/20,0,(OFFSET('Base de dados'!$A$5,IF(O2004&lt;20,1,IF(O2004&gt;1000,10,MATCH(O2004,Cargas,1))),Coluna_fih,1,1))*(PI()*(fi_h/1000)^2/4)*SQRT(2*9.81*(O2004/100-fi_h/2/1000))*1000))</f>
        <v>5.9794636644225445</v>
      </c>
      <c r="Q2004" s="38">
        <f ca="1">IF(O2004="","",IF(Tipo_Vertedor="Retangular",IF(O2004&lt;=cota_s*100,0,IF(Tipo_Vertedor="Retangular",Cd_sr*Lef_sr*((O2004/100-cota_s)^(3/2))*1000)),IF(O2004&lt;=cota_s*100+fi_s/20,0,(OFFSET('Base de dados'!$A$4,IF(O2004&lt;20,1,IF(O2004&gt;1000,10,MATCH(O2004,Cargas,1))),Coluna_fis,1,1))*(PI()*(fi_s/1000)^2/4)*(2*9.81*(O2004/100-cota_s-fi_s/2/1000))^0.5*1000)))</f>
        <v>5.2111093373554631</v>
      </c>
      <c r="R2004" s="38">
        <f t="shared" ca="1" si="240"/>
        <v>11.190573001778008</v>
      </c>
      <c r="S2004" s="38">
        <f t="shared" ca="1" si="241"/>
        <v>625.93750000000011</v>
      </c>
    </row>
    <row r="2005" spans="13:19">
      <c r="M2005" s="132">
        <f t="shared" ca="1" si="238"/>
        <v>637.44378917147469</v>
      </c>
      <c r="N2005" s="38">
        <f t="shared" si="239"/>
        <v>18.787499999999998</v>
      </c>
      <c r="O2005" s="36">
        <f t="shared" si="242"/>
        <v>501</v>
      </c>
      <c r="P2005" s="38">
        <f ca="1">IF(ISERROR(IF(O2005&lt;fi_h/20,0,(OFFSET('Base de dados'!$A$5,IF(O2005&lt;20,1,IF(O2005&gt;1000,10,MATCH(O2005,Cargas,1))),Coluna_fih,1,1))*(1+0.13*0.25)*(PI()*(fi_h/1000)^2/4)*SQRT(2*9.81*(O2005/100-fi_h/2/1000))*1000)),"",IF(O2005&lt;fi_h/20,0,(OFFSET('Base de dados'!$A$5,IF(O2005&lt;20,1,IF(O2005&gt;1000,10,MATCH(O2005,Cargas,1))),Coluna_fih,1,1))*(PI()*(fi_h/1000)^2/4)*SQRT(2*9.81*(O2005/100-fi_h/2/1000))*1000))</f>
        <v>5.9809613685113412</v>
      </c>
      <c r="Q2005" s="38">
        <f ca="1">IF(O2005="","",IF(Tipo_Vertedor="Retangular",IF(O2005&lt;=cota_s*100,0,IF(Tipo_Vertedor="Retangular",Cd_sr*Lef_sr*((O2005/100-cota_s)^(3/2))*1000)),IF(O2005&lt;=cota_s*100+fi_s/20,0,(OFFSET('Base de dados'!$A$4,IF(O2005&lt;20,1,IF(O2005&gt;1000,10,MATCH(O2005,Cargas,1))),Coluna_fis,1,1))*(PI()*(fi_s/1000)^2/4)*(2*9.81*(O2005/100-cota_s-fi_s/2/1000))^0.5*1000)))</f>
        <v>5.2128278029634609</v>
      </c>
      <c r="R2005" s="38">
        <f t="shared" ca="1" si="240"/>
        <v>11.193789171474801</v>
      </c>
      <c r="S2005" s="38">
        <f t="shared" ca="1" si="241"/>
        <v>626.24999999999989</v>
      </c>
    </row>
    <row r="2006" spans="13:19">
      <c r="M2006" s="132">
        <f t="shared" ca="1" si="238"/>
        <v>637.75950439989822</v>
      </c>
      <c r="N2006" s="38">
        <f t="shared" si="239"/>
        <v>18.796875</v>
      </c>
      <c r="O2006" s="36">
        <f t="shared" si="242"/>
        <v>501.25</v>
      </c>
      <c r="P2006" s="38">
        <f ca="1">IF(ISERROR(IF(O2006&lt;fi_h/20,0,(OFFSET('Base de dados'!$A$5,IF(O2006&lt;20,1,IF(O2006&gt;1000,10,MATCH(O2006,Cargas,1))),Coluna_fih,1,1))*(1+0.13*0.25)*(PI()*(fi_h/1000)^2/4)*SQRT(2*9.81*(O2006/100-fi_h/2/1000))*1000)),"",IF(O2006&lt;fi_h/20,0,(OFFSET('Base de dados'!$A$5,IF(O2006&lt;20,1,IF(O2006&gt;1000,10,MATCH(O2006,Cargas,1))),Coluna_fih,1,1))*(PI()*(fi_h/1000)^2/4)*SQRT(2*9.81*(O2006/100-fi_h/2/1000))*1000))</f>
        <v>5.9824586976510448</v>
      </c>
      <c r="Q2006" s="38">
        <f ca="1">IF(O2006="","",IF(Tipo_Vertedor="Retangular",IF(O2006&lt;=cota_s*100,0,IF(Tipo_Vertedor="Retangular",Cd_sr*Lef_sr*((O2006/100-cota_s)^(3/2))*1000)),IF(O2006&lt;=cota_s*100+fi_s/20,0,(OFFSET('Base de dados'!$A$4,IF(O2006&lt;20,1,IF(O2006&gt;1000,10,MATCH(O2006,Cargas,1))),Coluna_fis,1,1))*(PI()*(fi_s/1000)^2/4)*(2*9.81*(O2006/100-cota_s-fi_s/2/1000))^0.5*1000)))</f>
        <v>5.2145457022471708</v>
      </c>
      <c r="R2006" s="38">
        <f t="shared" ca="1" si="240"/>
        <v>11.197004399898216</v>
      </c>
      <c r="S2006" s="38">
        <f t="shared" ca="1" si="241"/>
        <v>626.5625</v>
      </c>
    </row>
    <row r="2007" spans="13:19">
      <c r="M2007" s="132">
        <f t="shared" ref="M2007:M2070" ca="1" si="243">IF(O2007="","",2*N2007*1000/(Passo*60)+R2007)</f>
        <v>638.07521868788922</v>
      </c>
      <c r="N2007" s="38">
        <f t="shared" ref="N2007:N2070" si="244">IF(O2007="","",b_0*(O2007/100)^c_0)</f>
        <v>18.806249999999999</v>
      </c>
      <c r="O2007" s="36">
        <f t="shared" si="242"/>
        <v>501.5</v>
      </c>
      <c r="P2007" s="38">
        <f ca="1">IF(ISERROR(IF(O2007&lt;fi_h/20,0,(OFFSET('Base de dados'!$A$5,IF(O2007&lt;20,1,IF(O2007&gt;1000,10,MATCH(O2007,Cargas,1))),Coluna_fih,1,1))*(1+0.13*0.25)*(PI()*(fi_h/1000)^2/4)*SQRT(2*9.81*(O2007/100-fi_h/2/1000))*1000)),"",IF(O2007&lt;fi_h/20,0,(OFFSET('Base de dados'!$A$5,IF(O2007&lt;20,1,IF(O2007&gt;1000,10,MATCH(O2007,Cargas,1))),Coluna_fih,1,1))*(PI()*(fi_h/1000)^2/4)*SQRT(2*9.81*(O2007/100-fi_h/2/1000))*1000))</f>
        <v>5.9839556521231181</v>
      </c>
      <c r="Q2007" s="38">
        <f ca="1">IF(O2007="","",IF(Tipo_Vertedor="Retangular",IF(O2007&lt;=cota_s*100,0,IF(Tipo_Vertedor="Retangular",Cd_sr*Lef_sr*((O2007/100-cota_s)^(3/2))*1000)),IF(O2007&lt;=cota_s*100+fi_s/20,0,(OFFSET('Base de dados'!$A$4,IF(O2007&lt;20,1,IF(O2007&gt;1000,10,MATCH(O2007,Cargas,1))),Coluna_fis,1,1))*(PI()*(fi_s/1000)^2/4)*(2*9.81*(O2007/100-cota_s-fi_s/2/1000))^0.5*1000)))</f>
        <v>5.216263035766123</v>
      </c>
      <c r="R2007" s="38">
        <f t="shared" ref="R2007:R2070" ca="1" si="245">IF(O2007="","",Q2007+P2007)</f>
        <v>11.20021868788924</v>
      </c>
      <c r="S2007" s="38">
        <f t="shared" ref="S2007:S2070" ca="1" si="246">IF(M2007="","",2*N2007*1000/(Passo*60))</f>
        <v>626.875</v>
      </c>
    </row>
    <row r="2008" spans="13:19">
      <c r="M2008" s="132">
        <f t="shared" ca="1" si="243"/>
        <v>638.39093203628761</v>
      </c>
      <c r="N2008" s="38">
        <f t="shared" si="244"/>
        <v>18.815625000000001</v>
      </c>
      <c r="O2008" s="36">
        <f t="shared" si="242"/>
        <v>501.75</v>
      </c>
      <c r="P2008" s="38">
        <f ca="1">IF(ISERROR(IF(O2008&lt;fi_h/20,0,(OFFSET('Base de dados'!$A$5,IF(O2008&lt;20,1,IF(O2008&gt;1000,10,MATCH(O2008,Cargas,1))),Coluna_fih,1,1))*(1+0.13*0.25)*(PI()*(fi_h/1000)^2/4)*SQRT(2*9.81*(O2008/100-fi_h/2/1000))*1000)),"",IF(O2008&lt;fi_h/20,0,(OFFSET('Base de dados'!$A$5,IF(O2008&lt;20,1,IF(O2008&gt;1000,10,MATCH(O2008,Cargas,1))),Coluna_fih,1,1))*(PI()*(fi_h/1000)^2/4)*SQRT(2*9.81*(O2008/100-fi_h/2/1000))*1000))</f>
        <v>5.9854522322086741</v>
      </c>
      <c r="Q2008" s="38">
        <f ca="1">IF(O2008="","",IF(Tipo_Vertedor="Retangular",IF(O2008&lt;=cota_s*100,0,IF(Tipo_Vertedor="Retangular",Cd_sr*Lef_sr*((O2008/100-cota_s)^(3/2))*1000)),IF(O2008&lt;=cota_s*100+fi_s/20,0,(OFFSET('Base de dados'!$A$4,IF(O2008&lt;20,1,IF(O2008&gt;1000,10,MATCH(O2008,Cargas,1))),Coluna_fis,1,1))*(PI()*(fi_s/1000)^2/4)*(2*9.81*(O2008/100-cota_s-fi_s/2/1000))^0.5*1000)))</f>
        <v>5.2179798040789303</v>
      </c>
      <c r="R2008" s="38">
        <f t="shared" ca="1" si="245"/>
        <v>11.203432036287605</v>
      </c>
      <c r="S2008" s="38">
        <f t="shared" ca="1" si="246"/>
        <v>627.1875</v>
      </c>
    </row>
    <row r="2009" spans="13:19">
      <c r="M2009" s="132">
        <f t="shared" ca="1" si="243"/>
        <v>638.70664444593172</v>
      </c>
      <c r="N2009" s="38">
        <f t="shared" si="244"/>
        <v>18.824999999999999</v>
      </c>
      <c r="O2009" s="36">
        <f t="shared" si="242"/>
        <v>502</v>
      </c>
      <c r="P2009" s="38">
        <f ca="1">IF(ISERROR(IF(O2009&lt;fi_h/20,0,(OFFSET('Base de dados'!$A$5,IF(O2009&lt;20,1,IF(O2009&gt;1000,10,MATCH(O2009,Cargas,1))),Coluna_fih,1,1))*(1+0.13*0.25)*(PI()*(fi_h/1000)^2/4)*SQRT(2*9.81*(O2009/100-fi_h/2/1000))*1000)),"",IF(O2009&lt;fi_h/20,0,(OFFSET('Base de dados'!$A$5,IF(O2009&lt;20,1,IF(O2009&gt;1000,10,MATCH(O2009,Cargas,1))),Coluna_fih,1,1))*(PI()*(fi_h/1000)^2/4)*SQRT(2*9.81*(O2009/100-fi_h/2/1000))*1000))</f>
        <v>5.9869484381884694</v>
      </c>
      <c r="Q2009" s="38">
        <f ca="1">IF(O2009="","",IF(Tipo_Vertedor="Retangular",IF(O2009&lt;=cota_s*100,0,IF(Tipo_Vertedor="Retangular",Cd_sr*Lef_sr*((O2009/100-cota_s)^(3/2))*1000)),IF(O2009&lt;=cota_s*100+fi_s/20,0,(OFFSET('Base de dados'!$A$4,IF(O2009&lt;20,1,IF(O2009&gt;1000,10,MATCH(O2009,Cargas,1))),Coluna_fis,1,1))*(PI()*(fi_s/1000)^2/4)*(2*9.81*(O2009/100-cota_s-fi_s/2/1000))^0.5*1000)))</f>
        <v>5.2196960077432832</v>
      </c>
      <c r="R2009" s="38">
        <f t="shared" ca="1" si="245"/>
        <v>11.206644445931753</v>
      </c>
      <c r="S2009" s="38">
        <f t="shared" ca="1" si="246"/>
        <v>627.5</v>
      </c>
    </row>
    <row r="2010" spans="13:19">
      <c r="M2010" s="132">
        <f t="shared" ca="1" si="243"/>
        <v>639.02235591765884</v>
      </c>
      <c r="N2010" s="38">
        <f t="shared" si="244"/>
        <v>18.834375000000001</v>
      </c>
      <c r="O2010" s="36">
        <f t="shared" si="242"/>
        <v>502.25</v>
      </c>
      <c r="P2010" s="38">
        <f ca="1">IF(ISERROR(IF(O2010&lt;fi_h/20,0,(OFFSET('Base de dados'!$A$5,IF(O2010&lt;20,1,IF(O2010&gt;1000,10,MATCH(O2010,Cargas,1))),Coluna_fih,1,1))*(1+0.13*0.25)*(PI()*(fi_h/1000)^2/4)*SQRT(2*9.81*(O2010/100-fi_h/2/1000))*1000)),"",IF(O2010&lt;fi_h/20,0,(OFFSET('Base de dados'!$A$5,IF(O2010&lt;20,1,IF(O2010&gt;1000,10,MATCH(O2010,Cargas,1))),Coluna_fih,1,1))*(PI()*(fi_h/1000)^2/4)*SQRT(2*9.81*(O2010/100-fi_h/2/1000))*1000))</f>
        <v>5.9884442703429199</v>
      </c>
      <c r="Q2010" s="38">
        <f ca="1">IF(O2010="","",IF(Tipo_Vertedor="Retangular",IF(O2010&lt;=cota_s*100,0,IF(Tipo_Vertedor="Retangular",Cd_sr*Lef_sr*((O2010/100-cota_s)^(3/2))*1000)),IF(O2010&lt;=cota_s*100+fi_s/20,0,(OFFSET('Base de dados'!$A$4,IF(O2010&lt;20,1,IF(O2010&gt;1000,10,MATCH(O2010,Cargas,1))),Coluna_fis,1,1))*(PI()*(fi_s/1000)^2/4)*(2*9.81*(O2010/100-cota_s-fi_s/2/1000))^0.5*1000)))</f>
        <v>5.221411647315958</v>
      </c>
      <c r="R2010" s="38">
        <f t="shared" ca="1" si="245"/>
        <v>11.209855917658878</v>
      </c>
      <c r="S2010" s="38">
        <f t="shared" ca="1" si="246"/>
        <v>627.8125</v>
      </c>
    </row>
    <row r="2011" spans="13:19">
      <c r="M2011" s="132">
        <f t="shared" ca="1" si="243"/>
        <v>639.33806645230493</v>
      </c>
      <c r="N2011" s="38">
        <f t="shared" si="244"/>
        <v>18.84375</v>
      </c>
      <c r="O2011" s="36">
        <f t="shared" si="242"/>
        <v>502.5</v>
      </c>
      <c r="P2011" s="38">
        <f ca="1">IF(ISERROR(IF(O2011&lt;fi_h/20,0,(OFFSET('Base de dados'!$A$5,IF(O2011&lt;20,1,IF(O2011&gt;1000,10,MATCH(O2011,Cargas,1))),Coluna_fih,1,1))*(1+0.13*0.25)*(PI()*(fi_h/1000)^2/4)*SQRT(2*9.81*(O2011/100-fi_h/2/1000))*1000)),"",IF(O2011&lt;fi_h/20,0,(OFFSET('Base de dados'!$A$5,IF(O2011&lt;20,1,IF(O2011&gt;1000,10,MATCH(O2011,Cargas,1))),Coluna_fih,1,1))*(PI()*(fi_h/1000)^2/4)*SQRT(2*9.81*(O2011/100-fi_h/2/1000))*1000))</f>
        <v>5.9899397289520806</v>
      </c>
      <c r="Q2011" s="38">
        <f ca="1">IF(O2011="","",IF(Tipo_Vertedor="Retangular",IF(O2011&lt;=cota_s*100,0,IF(Tipo_Vertedor="Retangular",Cd_sr*Lef_sr*((O2011/100-cota_s)^(3/2))*1000)),IF(O2011&lt;=cota_s*100+fi_s/20,0,(OFFSET('Base de dados'!$A$4,IF(O2011&lt;20,1,IF(O2011&gt;1000,10,MATCH(O2011,Cargas,1))),Coluna_fis,1,1))*(PI()*(fi_s/1000)^2/4)*(2*9.81*(O2011/100-cota_s-fi_s/2/1000))^0.5*1000)))</f>
        <v>5.2231267233528165</v>
      </c>
      <c r="R2011" s="38">
        <f t="shared" ca="1" si="245"/>
        <v>11.213066452304897</v>
      </c>
      <c r="S2011" s="38">
        <f t="shared" ca="1" si="246"/>
        <v>628.125</v>
      </c>
    </row>
    <row r="2012" spans="13:19">
      <c r="M2012" s="132">
        <f t="shared" ca="1" si="243"/>
        <v>639.65377605070444</v>
      </c>
      <c r="N2012" s="38">
        <f t="shared" si="244"/>
        <v>18.853124999999999</v>
      </c>
      <c r="O2012" s="36">
        <f t="shared" si="242"/>
        <v>502.75</v>
      </c>
      <c r="P2012" s="38">
        <f ca="1">IF(ISERROR(IF(O2012&lt;fi_h/20,0,(OFFSET('Base de dados'!$A$5,IF(O2012&lt;20,1,IF(O2012&gt;1000,10,MATCH(O2012,Cargas,1))),Coluna_fih,1,1))*(1+0.13*0.25)*(PI()*(fi_h/1000)^2/4)*SQRT(2*9.81*(O2012/100-fi_h/2/1000))*1000)),"",IF(O2012&lt;fi_h/20,0,(OFFSET('Base de dados'!$A$5,IF(O2012&lt;20,1,IF(O2012&gt;1000,10,MATCH(O2012,Cargas,1))),Coluna_fih,1,1))*(PI()*(fi_h/1000)^2/4)*SQRT(2*9.81*(O2012/100-fi_h/2/1000))*1000))</f>
        <v>5.9914348142956628</v>
      </c>
      <c r="Q2012" s="38">
        <f ca="1">IF(O2012="","",IF(Tipo_Vertedor="Retangular",IF(O2012&lt;=cota_s*100,0,IF(Tipo_Vertedor="Retangular",Cd_sr*Lef_sr*((O2012/100-cota_s)^(3/2))*1000)),IF(O2012&lt;=cota_s*100+fi_s/20,0,(OFFSET('Base de dados'!$A$4,IF(O2012&lt;20,1,IF(O2012&gt;1000,10,MATCH(O2012,Cargas,1))),Coluna_fis,1,1))*(PI()*(fi_s/1000)^2/4)*(2*9.81*(O2012/100-cota_s-fi_s/2/1000))^0.5*1000)))</f>
        <v>5.2248412364088059</v>
      </c>
      <c r="R2012" s="38">
        <f t="shared" ca="1" si="245"/>
        <v>11.216276050704469</v>
      </c>
      <c r="S2012" s="38">
        <f t="shared" ca="1" si="246"/>
        <v>628.4375</v>
      </c>
    </row>
    <row r="2013" spans="13:19">
      <c r="M2013" s="132">
        <f t="shared" ca="1" si="243"/>
        <v>639.96948471369103</v>
      </c>
      <c r="N2013" s="38">
        <f t="shared" si="244"/>
        <v>18.862500000000001</v>
      </c>
      <c r="O2013" s="36">
        <f t="shared" si="242"/>
        <v>503</v>
      </c>
      <c r="P2013" s="38">
        <f ca="1">IF(ISERROR(IF(O2013&lt;fi_h/20,0,(OFFSET('Base de dados'!$A$5,IF(O2013&lt;20,1,IF(O2013&gt;1000,10,MATCH(O2013,Cargas,1))),Coluna_fih,1,1))*(1+0.13*0.25)*(PI()*(fi_h/1000)^2/4)*SQRT(2*9.81*(O2013/100-fi_h/2/1000))*1000)),"",IF(O2013&lt;fi_h/20,0,(OFFSET('Base de dados'!$A$5,IF(O2013&lt;20,1,IF(O2013&gt;1000,10,MATCH(O2013,Cargas,1))),Coluna_fih,1,1))*(PI()*(fi_h/1000)^2/4)*SQRT(2*9.81*(O2013/100-fi_h/2/1000))*1000))</f>
        <v>5.9929295266530263</v>
      </c>
      <c r="Q2013" s="38">
        <f ca="1">IF(O2013="","",IF(Tipo_Vertedor="Retangular",IF(O2013&lt;=cota_s*100,0,IF(Tipo_Vertedor="Retangular",Cd_sr*Lef_sr*((O2013/100-cota_s)^(3/2))*1000)),IF(O2013&lt;=cota_s*100+fi_s/20,0,(OFFSET('Base de dados'!$A$4,IF(O2013&lt;20,1,IF(O2013&gt;1000,10,MATCH(O2013,Cargas,1))),Coluna_fis,1,1))*(PI()*(fi_s/1000)^2/4)*(2*9.81*(O2013/100-cota_s-fi_s/2/1000))^0.5*1000)))</f>
        <v>5.2265551870379667</v>
      </c>
      <c r="R2013" s="38">
        <f t="shared" ca="1" si="245"/>
        <v>11.219484713690992</v>
      </c>
      <c r="S2013" s="38">
        <f t="shared" ca="1" si="246"/>
        <v>628.75</v>
      </c>
    </row>
    <row r="2014" spans="13:19">
      <c r="M2014" s="132">
        <f t="shared" ca="1" si="243"/>
        <v>640.28519244209656</v>
      </c>
      <c r="N2014" s="38">
        <f t="shared" si="244"/>
        <v>18.871874999999999</v>
      </c>
      <c r="O2014" s="36">
        <f t="shared" si="242"/>
        <v>503.25</v>
      </c>
      <c r="P2014" s="38">
        <f ca="1">IF(ISERROR(IF(O2014&lt;fi_h/20,0,(OFFSET('Base de dados'!$A$5,IF(O2014&lt;20,1,IF(O2014&gt;1000,10,MATCH(O2014,Cargas,1))),Coluna_fih,1,1))*(1+0.13*0.25)*(PI()*(fi_h/1000)^2/4)*SQRT(2*9.81*(O2014/100-fi_h/2/1000))*1000)),"",IF(O2014&lt;fi_h/20,0,(OFFSET('Base de dados'!$A$5,IF(O2014&lt;20,1,IF(O2014&gt;1000,10,MATCH(O2014,Cargas,1))),Coluna_fih,1,1))*(PI()*(fi_h/1000)^2/4)*SQRT(2*9.81*(O2014/100-fi_h/2/1000))*1000))</f>
        <v>5.9944238663031868</v>
      </c>
      <c r="Q2014" s="38">
        <f ca="1">IF(O2014="","",IF(Tipo_Vertedor="Retangular",IF(O2014&lt;=cota_s*100,0,IF(Tipo_Vertedor="Retangular",Cd_sr*Lef_sr*((O2014/100-cota_s)^(3/2))*1000)),IF(O2014&lt;=cota_s*100+fi_s/20,0,(OFFSET('Base de dados'!$A$4,IF(O2014&lt;20,1,IF(O2014&gt;1000,10,MATCH(O2014,Cargas,1))),Coluna_fis,1,1))*(PI()*(fi_s/1000)^2/4)*(2*9.81*(O2014/100-cota_s-fi_s/2/1000))^0.5*1000)))</f>
        <v>5.2282685757934289</v>
      </c>
      <c r="R2014" s="38">
        <f t="shared" ca="1" si="245"/>
        <v>11.222692442096616</v>
      </c>
      <c r="S2014" s="38">
        <f t="shared" ca="1" si="246"/>
        <v>629.0625</v>
      </c>
    </row>
    <row r="2015" spans="13:19">
      <c r="M2015" s="132">
        <f t="shared" ca="1" si="243"/>
        <v>640.60089923675218</v>
      </c>
      <c r="N2015" s="38">
        <f t="shared" si="244"/>
        <v>18.881250000000001</v>
      </c>
      <c r="O2015" s="36">
        <f t="shared" si="242"/>
        <v>503.5</v>
      </c>
      <c r="P2015" s="38">
        <f ca="1">IF(ISERROR(IF(O2015&lt;fi_h/20,0,(OFFSET('Base de dados'!$A$5,IF(O2015&lt;20,1,IF(O2015&gt;1000,10,MATCH(O2015,Cargas,1))),Coluna_fih,1,1))*(1+0.13*0.25)*(PI()*(fi_h/1000)^2/4)*SQRT(2*9.81*(O2015/100-fi_h/2/1000))*1000)),"",IF(O2015&lt;fi_h/20,0,(OFFSET('Base de dados'!$A$5,IF(O2015&lt;20,1,IF(O2015&gt;1000,10,MATCH(O2015,Cargas,1))),Coluna_fih,1,1))*(PI()*(fi_h/1000)^2/4)*SQRT(2*9.81*(O2015/100-fi_h/2/1000))*1000))</f>
        <v>5.9959178335248069</v>
      </c>
      <c r="Q2015" s="38">
        <f ca="1">IF(O2015="","",IF(Tipo_Vertedor="Retangular",IF(O2015&lt;=cota_s*100,0,IF(Tipo_Vertedor="Retangular",Cd_sr*Lef_sr*((O2015/100-cota_s)^(3/2))*1000)),IF(O2015&lt;=cota_s*100+fi_s/20,0,(OFFSET('Base de dados'!$A$4,IF(O2015&lt;20,1,IF(O2015&gt;1000,10,MATCH(O2015,Cargas,1))),Coluna_fis,1,1))*(PI()*(fi_s/1000)^2/4)*(2*9.81*(O2015/100-cota_s-fi_s/2/1000))^0.5*1000)))</f>
        <v>5.2299814032274163</v>
      </c>
      <c r="R2015" s="38">
        <f t="shared" ca="1" si="245"/>
        <v>11.225899236752223</v>
      </c>
      <c r="S2015" s="38">
        <f t="shared" ca="1" si="246"/>
        <v>629.375</v>
      </c>
    </row>
    <row r="2016" spans="13:19">
      <c r="M2016" s="132">
        <f t="shared" ca="1" si="243"/>
        <v>640.91660509848748</v>
      </c>
      <c r="N2016" s="38">
        <f t="shared" si="244"/>
        <v>18.890625</v>
      </c>
      <c r="O2016" s="36">
        <f t="shared" si="242"/>
        <v>503.75</v>
      </c>
      <c r="P2016" s="38">
        <f ca="1">IF(ISERROR(IF(O2016&lt;fi_h/20,0,(OFFSET('Base de dados'!$A$5,IF(O2016&lt;20,1,IF(O2016&gt;1000,10,MATCH(O2016,Cargas,1))),Coluna_fih,1,1))*(1+0.13*0.25)*(PI()*(fi_h/1000)^2/4)*SQRT(2*9.81*(O2016/100-fi_h/2/1000))*1000)),"",IF(O2016&lt;fi_h/20,0,(OFFSET('Base de dados'!$A$5,IF(O2016&lt;20,1,IF(O2016&gt;1000,10,MATCH(O2016,Cargas,1))),Coluna_fih,1,1))*(PI()*(fi_h/1000)^2/4)*SQRT(2*9.81*(O2016/100-fi_h/2/1000))*1000))</f>
        <v>5.9974114285962061</v>
      </c>
      <c r="Q2016" s="38">
        <f ca="1">IF(O2016="","",IF(Tipo_Vertedor="Retangular",IF(O2016&lt;=cota_s*100,0,IF(Tipo_Vertedor="Retangular",Cd_sr*Lef_sr*((O2016/100-cota_s)^(3/2))*1000)),IF(O2016&lt;=cota_s*100+fi_s/20,0,(OFFSET('Base de dados'!$A$4,IF(O2016&lt;20,1,IF(O2016&gt;1000,10,MATCH(O2016,Cargas,1))),Coluna_fis,1,1))*(PI()*(fi_s/1000)^2/4)*(2*9.81*(O2016/100-cota_s-fi_s/2/1000))^0.5*1000)))</f>
        <v>5.2316936698912517</v>
      </c>
      <c r="R2016" s="38">
        <f t="shared" ca="1" si="245"/>
        <v>11.229105098487459</v>
      </c>
      <c r="S2016" s="38">
        <f t="shared" ca="1" si="246"/>
        <v>629.6875</v>
      </c>
    </row>
    <row r="2017" spans="13:19">
      <c r="M2017" s="132">
        <f t="shared" ca="1" si="243"/>
        <v>641.23231002813066</v>
      </c>
      <c r="N2017" s="38">
        <f t="shared" si="244"/>
        <v>18.899999999999999</v>
      </c>
      <c r="O2017" s="36">
        <f t="shared" si="242"/>
        <v>504</v>
      </c>
      <c r="P2017" s="38">
        <f ca="1">IF(ISERROR(IF(O2017&lt;fi_h/20,0,(OFFSET('Base de dados'!$A$5,IF(O2017&lt;20,1,IF(O2017&gt;1000,10,MATCH(O2017,Cargas,1))),Coluna_fih,1,1))*(1+0.13*0.25)*(PI()*(fi_h/1000)^2/4)*SQRT(2*9.81*(O2017/100-fi_h/2/1000))*1000)),"",IF(O2017&lt;fi_h/20,0,(OFFSET('Base de dados'!$A$5,IF(O2017&lt;20,1,IF(O2017&gt;1000,10,MATCH(O2017,Cargas,1))),Coluna_fih,1,1))*(PI()*(fi_h/1000)^2/4)*SQRT(2*9.81*(O2017/100-fi_h/2/1000))*1000))</f>
        <v>5.9989046517953568</v>
      </c>
      <c r="Q2017" s="38">
        <f ca="1">IF(O2017="","",IF(Tipo_Vertedor="Retangular",IF(O2017&lt;=cota_s*100,0,IF(Tipo_Vertedor="Retangular",Cd_sr*Lef_sr*((O2017/100-cota_s)^(3/2))*1000)),IF(O2017&lt;=cota_s*100+fi_s/20,0,(OFFSET('Base de dados'!$A$4,IF(O2017&lt;20,1,IF(O2017&gt;1000,10,MATCH(O2017,Cargas,1))),Coluna_fis,1,1))*(PI()*(fi_s/1000)^2/4)*(2*9.81*(O2017/100-cota_s-fi_s/2/1000))^0.5*1000)))</f>
        <v>5.2334053763353534</v>
      </c>
      <c r="R2017" s="38">
        <f t="shared" ca="1" si="245"/>
        <v>11.23231002813071</v>
      </c>
      <c r="S2017" s="38">
        <f t="shared" ca="1" si="246"/>
        <v>630</v>
      </c>
    </row>
    <row r="2018" spans="13:19">
      <c r="M2018" s="132">
        <f t="shared" ca="1" si="243"/>
        <v>641.54801402650912</v>
      </c>
      <c r="N2018" s="38">
        <f t="shared" si="244"/>
        <v>18.909375000000001</v>
      </c>
      <c r="O2018" s="36">
        <f t="shared" si="242"/>
        <v>504.25</v>
      </c>
      <c r="P2018" s="38">
        <f ca="1">IF(ISERROR(IF(O2018&lt;fi_h/20,0,(OFFSET('Base de dados'!$A$5,IF(O2018&lt;20,1,IF(O2018&gt;1000,10,MATCH(O2018,Cargas,1))),Coluna_fih,1,1))*(1+0.13*0.25)*(PI()*(fi_h/1000)^2/4)*SQRT(2*9.81*(O2018/100-fi_h/2/1000))*1000)),"",IF(O2018&lt;fi_h/20,0,(OFFSET('Base de dados'!$A$5,IF(O2018&lt;20,1,IF(O2018&gt;1000,10,MATCH(O2018,Cargas,1))),Coluna_fih,1,1))*(PI()*(fi_h/1000)^2/4)*SQRT(2*9.81*(O2018/100-fi_h/2/1000))*1000))</f>
        <v>6.0003975033998831</v>
      </c>
      <c r="Q2018" s="38">
        <f ca="1">IF(O2018="","",IF(Tipo_Vertedor="Retangular",IF(O2018&lt;=cota_s*100,0,IF(Tipo_Vertedor="Retangular",Cd_sr*Lef_sr*((O2018/100-cota_s)^(3/2))*1000)),IF(O2018&lt;=cota_s*100+fi_s/20,0,(OFFSET('Base de dados'!$A$4,IF(O2018&lt;20,1,IF(O2018&gt;1000,10,MATCH(O2018,Cargas,1))),Coluna_fis,1,1))*(PI()*(fi_s/1000)^2/4)*(2*9.81*(O2018/100-cota_s-fi_s/2/1000))^0.5*1000)))</f>
        <v>5.2351165231092374</v>
      </c>
      <c r="R2018" s="38">
        <f t="shared" ca="1" si="245"/>
        <v>11.23551402650912</v>
      </c>
      <c r="S2018" s="38">
        <f t="shared" ca="1" si="246"/>
        <v>630.3125</v>
      </c>
    </row>
    <row r="2019" spans="13:19">
      <c r="M2019" s="132">
        <f t="shared" ca="1" si="243"/>
        <v>641.86371709444859</v>
      </c>
      <c r="N2019" s="38">
        <f t="shared" si="244"/>
        <v>18.918749999999999</v>
      </c>
      <c r="O2019" s="36">
        <f t="shared" si="242"/>
        <v>504.5</v>
      </c>
      <c r="P2019" s="38">
        <f ca="1">IF(ISERROR(IF(O2019&lt;fi_h/20,0,(OFFSET('Base de dados'!$A$5,IF(O2019&lt;20,1,IF(O2019&gt;1000,10,MATCH(O2019,Cargas,1))),Coluna_fih,1,1))*(1+0.13*0.25)*(PI()*(fi_h/1000)^2/4)*SQRT(2*9.81*(O2019/100-fi_h/2/1000))*1000)),"",IF(O2019&lt;fi_h/20,0,(OFFSET('Base de dados'!$A$5,IF(O2019&lt;20,1,IF(O2019&gt;1000,10,MATCH(O2019,Cargas,1))),Coluna_fih,1,1))*(PI()*(fi_h/1000)^2/4)*SQRT(2*9.81*(O2019/100-fi_h/2/1000))*1000))</f>
        <v>6.0018899836870645</v>
      </c>
      <c r="Q2019" s="38">
        <f ca="1">IF(O2019="","",IF(Tipo_Vertedor="Retangular",IF(O2019&lt;=cota_s*100,0,IF(Tipo_Vertedor="Retangular",Cd_sr*Lef_sr*((O2019/100-cota_s)^(3/2))*1000)),IF(O2019&lt;=cota_s*100+fi_s/20,0,(OFFSET('Base de dados'!$A$4,IF(O2019&lt;20,1,IF(O2019&gt;1000,10,MATCH(O2019,Cargas,1))),Coluna_fis,1,1))*(PI()*(fi_s/1000)^2/4)*(2*9.81*(O2019/100-cota_s-fi_s/2/1000))^0.5*1000)))</f>
        <v>5.236827110761527</v>
      </c>
      <c r="R2019" s="38">
        <f t="shared" ca="1" si="245"/>
        <v>11.238717094448592</v>
      </c>
      <c r="S2019" s="38">
        <f t="shared" ca="1" si="246"/>
        <v>630.625</v>
      </c>
    </row>
    <row r="2020" spans="13:19">
      <c r="M2020" s="132">
        <f t="shared" ca="1" si="243"/>
        <v>642.17941923277374</v>
      </c>
      <c r="N2020" s="38">
        <f t="shared" si="244"/>
        <v>18.928125000000001</v>
      </c>
      <c r="O2020" s="36">
        <f t="shared" si="242"/>
        <v>504.75</v>
      </c>
      <c r="P2020" s="38">
        <f ca="1">IF(ISERROR(IF(O2020&lt;fi_h/20,0,(OFFSET('Base de dados'!$A$5,IF(O2020&lt;20,1,IF(O2020&gt;1000,10,MATCH(O2020,Cargas,1))),Coluna_fih,1,1))*(1+0.13*0.25)*(PI()*(fi_h/1000)^2/4)*SQRT(2*9.81*(O2020/100-fi_h/2/1000))*1000)),"",IF(O2020&lt;fi_h/20,0,(OFFSET('Base de dados'!$A$5,IF(O2020&lt;20,1,IF(O2020&gt;1000,10,MATCH(O2020,Cargas,1))),Coluna_fih,1,1))*(PI()*(fi_h/1000)^2/4)*SQRT(2*9.81*(O2020/100-fi_h/2/1000))*1000))</f>
        <v>6.0033820929338404</v>
      </c>
      <c r="Q2020" s="38">
        <f ca="1">IF(O2020="","",IF(Tipo_Vertedor="Retangular",IF(O2020&lt;=cota_s*100,0,IF(Tipo_Vertedor="Retangular",Cd_sr*Lef_sr*((O2020/100-cota_s)^(3/2))*1000)),IF(O2020&lt;=cota_s*100+fi_s/20,0,(OFFSET('Base de dados'!$A$4,IF(O2020&lt;20,1,IF(O2020&gt;1000,10,MATCH(O2020,Cargas,1))),Coluna_fis,1,1))*(PI()*(fi_s/1000)^2/4)*(2*9.81*(O2020/100-cota_s-fi_s/2/1000))^0.5*1000)))</f>
        <v>5.2385371398399476</v>
      </c>
      <c r="R2020" s="38">
        <f t="shared" ca="1" si="245"/>
        <v>11.241919232773789</v>
      </c>
      <c r="S2020" s="38">
        <f t="shared" ca="1" si="246"/>
        <v>630.9375</v>
      </c>
    </row>
    <row r="2021" spans="13:19">
      <c r="M2021" s="132">
        <f t="shared" ca="1" si="243"/>
        <v>642.49512044230812</v>
      </c>
      <c r="N2021" s="38">
        <f t="shared" si="244"/>
        <v>18.9375</v>
      </c>
      <c r="O2021" s="36">
        <f t="shared" si="242"/>
        <v>505</v>
      </c>
      <c r="P2021" s="38">
        <f ca="1">IF(ISERROR(IF(O2021&lt;fi_h/20,0,(OFFSET('Base de dados'!$A$5,IF(O2021&lt;20,1,IF(O2021&gt;1000,10,MATCH(O2021,Cargas,1))),Coluna_fih,1,1))*(1+0.13*0.25)*(PI()*(fi_h/1000)^2/4)*SQRT(2*9.81*(O2021/100-fi_h/2/1000))*1000)),"",IF(O2021&lt;fi_h/20,0,(OFFSET('Base de dados'!$A$5,IF(O2021&lt;20,1,IF(O2021&gt;1000,10,MATCH(O2021,Cargas,1))),Coluna_fih,1,1))*(PI()*(fi_h/1000)^2/4)*SQRT(2*9.81*(O2021/100-fi_h/2/1000))*1000))</f>
        <v>6.0048738314168002</v>
      </c>
      <c r="Q2021" s="38">
        <f ca="1">IF(O2021="","",IF(Tipo_Vertedor="Retangular",IF(O2021&lt;=cota_s*100,0,IF(Tipo_Vertedor="Retangular",Cd_sr*Lef_sr*((O2021/100-cota_s)^(3/2))*1000)),IF(O2021&lt;=cota_s*100+fi_s/20,0,(OFFSET('Base de dados'!$A$4,IF(O2021&lt;20,1,IF(O2021&gt;1000,10,MATCH(O2021,Cargas,1))),Coluna_fis,1,1))*(PI()*(fi_s/1000)^2/4)*(2*9.81*(O2021/100-cota_s-fi_s/2/1000))^0.5*1000)))</f>
        <v>5.2402466108913304</v>
      </c>
      <c r="R2021" s="38">
        <f t="shared" ca="1" si="245"/>
        <v>11.245120442308131</v>
      </c>
      <c r="S2021" s="38">
        <f t="shared" ca="1" si="246"/>
        <v>631.25</v>
      </c>
    </row>
    <row r="2022" spans="13:19">
      <c r="M2022" s="132">
        <f t="shared" ca="1" si="243"/>
        <v>642.81082072387392</v>
      </c>
      <c r="N2022" s="38">
        <f t="shared" si="244"/>
        <v>18.946875000000002</v>
      </c>
      <c r="O2022" s="36">
        <f t="shared" si="242"/>
        <v>505.25</v>
      </c>
      <c r="P2022" s="38">
        <f ca="1">IF(ISERROR(IF(O2022&lt;fi_h/20,0,(OFFSET('Base de dados'!$A$5,IF(O2022&lt;20,1,IF(O2022&gt;1000,10,MATCH(O2022,Cargas,1))),Coluna_fih,1,1))*(1+0.13*0.25)*(PI()*(fi_h/1000)^2/4)*SQRT(2*9.81*(O2022/100-fi_h/2/1000))*1000)),"",IF(O2022&lt;fi_h/20,0,(OFFSET('Base de dados'!$A$5,IF(O2022&lt;20,1,IF(O2022&gt;1000,10,MATCH(O2022,Cargas,1))),Coluna_fih,1,1))*(PI()*(fi_h/1000)^2/4)*SQRT(2*9.81*(O2022/100-fi_h/2/1000))*1000))</f>
        <v>6.0063651994121914</v>
      </c>
      <c r="Q2022" s="38">
        <f ca="1">IF(O2022="","",IF(Tipo_Vertedor="Retangular",IF(O2022&lt;=cota_s*100,0,IF(Tipo_Vertedor="Retangular",Cd_sr*Lef_sr*((O2022/100-cota_s)^(3/2))*1000)),IF(O2022&lt;=cota_s*100+fi_s/20,0,(OFFSET('Base de dados'!$A$4,IF(O2022&lt;20,1,IF(O2022&gt;1000,10,MATCH(O2022,Cargas,1))),Coluna_fis,1,1))*(PI()*(fi_s/1000)^2/4)*(2*9.81*(O2022/100-cota_s-fi_s/2/1000))^0.5*1000)))</f>
        <v>5.2419555244616163</v>
      </c>
      <c r="R2022" s="38">
        <f t="shared" ca="1" si="245"/>
        <v>11.248320723873807</v>
      </c>
      <c r="S2022" s="38">
        <f t="shared" ca="1" si="246"/>
        <v>631.56250000000011</v>
      </c>
    </row>
    <row r="2023" spans="13:19">
      <c r="M2023" s="132">
        <f t="shared" ca="1" si="243"/>
        <v>643.12652007829161</v>
      </c>
      <c r="N2023" s="38">
        <f t="shared" si="244"/>
        <v>18.956249999999997</v>
      </c>
      <c r="O2023" s="36">
        <f t="shared" si="242"/>
        <v>505.5</v>
      </c>
      <c r="P2023" s="38">
        <f ca="1">IF(ISERROR(IF(O2023&lt;fi_h/20,0,(OFFSET('Base de dados'!$A$5,IF(O2023&lt;20,1,IF(O2023&gt;1000,10,MATCH(O2023,Cargas,1))),Coluna_fih,1,1))*(1+0.13*0.25)*(PI()*(fi_h/1000)^2/4)*SQRT(2*9.81*(O2023/100-fi_h/2/1000))*1000)),"",IF(O2023&lt;fi_h/20,0,(OFFSET('Base de dados'!$A$5,IF(O2023&lt;20,1,IF(O2023&gt;1000,10,MATCH(O2023,Cargas,1))),Coluna_fih,1,1))*(PI()*(fi_h/1000)^2/4)*SQRT(2*9.81*(O2023/100-fi_h/2/1000))*1000))</f>
        <v>6.0078561971959195</v>
      </c>
      <c r="Q2023" s="38">
        <f ca="1">IF(O2023="","",IF(Tipo_Vertedor="Retangular",IF(O2023&lt;=cota_s*100,0,IF(Tipo_Vertedor="Retangular",Cd_sr*Lef_sr*((O2023/100-cota_s)^(3/2))*1000)),IF(O2023&lt;=cota_s*100+fi_s/20,0,(OFFSET('Base de dados'!$A$4,IF(O2023&lt;20,1,IF(O2023&gt;1000,10,MATCH(O2023,Cargas,1))),Coluna_fis,1,1))*(PI()*(fi_s/1000)^2/4)*(2*9.81*(O2023/100-cota_s-fi_s/2/1000))^0.5*1000)))</f>
        <v>5.2436638810958538</v>
      </c>
      <c r="R2023" s="38">
        <f t="shared" ca="1" si="245"/>
        <v>11.251520078291772</v>
      </c>
      <c r="S2023" s="38">
        <f t="shared" ca="1" si="246"/>
        <v>631.87499999999989</v>
      </c>
    </row>
    <row r="2024" spans="13:19">
      <c r="M2024" s="132">
        <f t="shared" ca="1" si="243"/>
        <v>643.44221850638178</v>
      </c>
      <c r="N2024" s="38">
        <f t="shared" si="244"/>
        <v>18.965624999999999</v>
      </c>
      <c r="O2024" s="36">
        <f t="shared" si="242"/>
        <v>505.75</v>
      </c>
      <c r="P2024" s="38">
        <f ca="1">IF(ISERROR(IF(O2024&lt;fi_h/20,0,(OFFSET('Base de dados'!$A$5,IF(O2024&lt;20,1,IF(O2024&gt;1000,10,MATCH(O2024,Cargas,1))),Coluna_fih,1,1))*(1+0.13*0.25)*(PI()*(fi_h/1000)^2/4)*SQRT(2*9.81*(O2024/100-fi_h/2/1000))*1000)),"",IF(O2024&lt;fi_h/20,0,(OFFSET('Base de dados'!$A$5,IF(O2024&lt;20,1,IF(O2024&gt;1000,10,MATCH(O2024,Cargas,1))),Coluna_fih,1,1))*(PI()*(fi_h/1000)^2/4)*SQRT(2*9.81*(O2024/100-fi_h/2/1000))*1000))</f>
        <v>6.0093468250435507</v>
      </c>
      <c r="Q2024" s="38">
        <f ca="1">IF(O2024="","",IF(Tipo_Vertedor="Retangular",IF(O2024&lt;=cota_s*100,0,IF(Tipo_Vertedor="Retangular",Cd_sr*Lef_sr*((O2024/100-cota_s)^(3/2))*1000)),IF(O2024&lt;=cota_s*100+fi_s/20,0,(OFFSET('Base de dados'!$A$4,IF(O2024&lt;20,1,IF(O2024&gt;1000,10,MATCH(O2024,Cargas,1))),Coluna_fis,1,1))*(PI()*(fi_s/1000)^2/4)*(2*9.81*(O2024/100-cota_s-fi_s/2/1000))^0.5*1000)))</f>
        <v>5.2453716813382067</v>
      </c>
      <c r="R2024" s="38">
        <f t="shared" ca="1" si="245"/>
        <v>11.254718506381757</v>
      </c>
      <c r="S2024" s="38">
        <f t="shared" ca="1" si="246"/>
        <v>632.1875</v>
      </c>
    </row>
    <row r="2025" spans="13:19">
      <c r="M2025" s="132">
        <f t="shared" ca="1" si="243"/>
        <v>643.75791600896218</v>
      </c>
      <c r="N2025" s="38">
        <f t="shared" si="244"/>
        <v>18.974999999999998</v>
      </c>
      <c r="O2025" s="36">
        <f t="shared" si="242"/>
        <v>506</v>
      </c>
      <c r="P2025" s="38">
        <f ca="1">IF(ISERROR(IF(O2025&lt;fi_h/20,0,(OFFSET('Base de dados'!$A$5,IF(O2025&lt;20,1,IF(O2025&gt;1000,10,MATCH(O2025,Cargas,1))),Coluna_fih,1,1))*(1+0.13*0.25)*(PI()*(fi_h/1000)^2/4)*SQRT(2*9.81*(O2025/100-fi_h/2/1000))*1000)),"",IF(O2025&lt;fi_h/20,0,(OFFSET('Base de dados'!$A$5,IF(O2025&lt;20,1,IF(O2025&gt;1000,10,MATCH(O2025,Cargas,1))),Coluna_fih,1,1))*(PI()*(fi_h/1000)^2/4)*SQRT(2*9.81*(O2025/100-fi_h/2/1000))*1000))</f>
        <v>6.0108370832303031</v>
      </c>
      <c r="Q2025" s="38">
        <f ca="1">IF(O2025="","",IF(Tipo_Vertedor="Retangular",IF(O2025&lt;=cota_s*100,0,IF(Tipo_Vertedor="Retangular",Cd_sr*Lef_sr*((O2025/100-cota_s)^(3/2))*1000)),IF(O2025&lt;=cota_s*100+fi_s/20,0,(OFFSET('Base de dados'!$A$4,IF(O2025&lt;20,1,IF(O2025&gt;1000,10,MATCH(O2025,Cargas,1))),Coluna_fis,1,1))*(PI()*(fi_s/1000)^2/4)*(2*9.81*(O2025/100-cota_s-fi_s/2/1000))^0.5*1000)))</f>
        <v>5.2470789257319517</v>
      </c>
      <c r="R2025" s="38">
        <f t="shared" ca="1" si="245"/>
        <v>11.257916008962255</v>
      </c>
      <c r="S2025" s="38">
        <f t="shared" ca="1" si="246"/>
        <v>632.49999999999989</v>
      </c>
    </row>
    <row r="2026" spans="13:19">
      <c r="M2026" s="132">
        <f t="shared" ca="1" si="243"/>
        <v>644.07361258685057</v>
      </c>
      <c r="N2026" s="38">
        <f t="shared" si="244"/>
        <v>18.984375</v>
      </c>
      <c r="O2026" s="36">
        <f t="shared" si="242"/>
        <v>506.25</v>
      </c>
      <c r="P2026" s="38">
        <f ca="1">IF(ISERROR(IF(O2026&lt;fi_h/20,0,(OFFSET('Base de dados'!$A$5,IF(O2026&lt;20,1,IF(O2026&gt;1000,10,MATCH(O2026,Cargas,1))),Coluna_fih,1,1))*(1+0.13*0.25)*(PI()*(fi_h/1000)^2/4)*SQRT(2*9.81*(O2026/100-fi_h/2/1000))*1000)),"",IF(O2026&lt;fi_h/20,0,(OFFSET('Base de dados'!$A$5,IF(O2026&lt;20,1,IF(O2026&gt;1000,10,MATCH(O2026,Cargas,1))),Coluna_fih,1,1))*(PI()*(fi_h/1000)^2/4)*SQRT(2*9.81*(O2026/100-fi_h/2/1000))*1000))</f>
        <v>6.0123269720310573</v>
      </c>
      <c r="Q2026" s="38">
        <f ca="1">IF(O2026="","",IF(Tipo_Vertedor="Retangular",IF(O2026&lt;=cota_s*100,0,IF(Tipo_Vertedor="Retangular",Cd_sr*Lef_sr*((O2026/100-cota_s)^(3/2))*1000)),IF(O2026&lt;=cota_s*100+fi_s/20,0,(OFFSET('Base de dados'!$A$4,IF(O2026&lt;20,1,IF(O2026&gt;1000,10,MATCH(O2026,Cargas,1))),Coluna_fis,1,1))*(PI()*(fi_s/1000)^2/4)*(2*9.81*(O2026/100-cota_s-fi_s/2/1000))^0.5*1000)))</f>
        <v>5.248785614819484</v>
      </c>
      <c r="R2026" s="38">
        <f t="shared" ca="1" si="245"/>
        <v>11.26111258685054</v>
      </c>
      <c r="S2026" s="38">
        <f t="shared" ca="1" si="246"/>
        <v>632.8125</v>
      </c>
    </row>
    <row r="2027" spans="13:19">
      <c r="M2027" s="132">
        <f t="shared" ca="1" si="243"/>
        <v>644.38930824086276</v>
      </c>
      <c r="N2027" s="38">
        <f t="shared" si="244"/>
        <v>18.993750000000002</v>
      </c>
      <c r="O2027" s="36">
        <f t="shared" si="242"/>
        <v>506.5</v>
      </c>
      <c r="P2027" s="38">
        <f ca="1">IF(ISERROR(IF(O2027&lt;fi_h/20,0,(OFFSET('Base de dados'!$A$5,IF(O2027&lt;20,1,IF(O2027&gt;1000,10,MATCH(O2027,Cargas,1))),Coluna_fih,1,1))*(1+0.13*0.25)*(PI()*(fi_h/1000)^2/4)*SQRT(2*9.81*(O2027/100-fi_h/2/1000))*1000)),"",IF(O2027&lt;fi_h/20,0,(OFFSET('Base de dados'!$A$5,IF(O2027&lt;20,1,IF(O2027&gt;1000,10,MATCH(O2027,Cargas,1))),Coluna_fih,1,1))*(PI()*(fi_h/1000)^2/4)*SQRT(2*9.81*(O2027/100-fi_h/2/1000))*1000))</f>
        <v>6.0138164917203554</v>
      </c>
      <c r="Q2027" s="38">
        <f ca="1">IF(O2027="","",IF(Tipo_Vertedor="Retangular",IF(O2027&lt;=cota_s*100,0,IF(Tipo_Vertedor="Retangular",Cd_sr*Lef_sr*((O2027/100-cota_s)^(3/2))*1000)),IF(O2027&lt;=cota_s*100+fi_s/20,0,(OFFSET('Base de dados'!$A$4,IF(O2027&lt;20,1,IF(O2027&gt;1000,10,MATCH(O2027,Cargas,1))),Coluna_fis,1,1))*(PI()*(fi_s/1000)^2/4)*(2*9.81*(O2027/100-cota_s-fi_s/2/1000))^0.5*1000)))</f>
        <v>5.2504917491423155</v>
      </c>
      <c r="R2027" s="38">
        <f t="shared" ca="1" si="245"/>
        <v>11.264308240862672</v>
      </c>
      <c r="S2027" s="38">
        <f t="shared" ca="1" si="246"/>
        <v>633.12500000000011</v>
      </c>
    </row>
    <row r="2028" spans="13:19">
      <c r="M2028" s="132">
        <f t="shared" ca="1" si="243"/>
        <v>644.70500297181343</v>
      </c>
      <c r="N2028" s="38">
        <f t="shared" si="244"/>
        <v>19.003125000000001</v>
      </c>
      <c r="O2028" s="36">
        <f t="shared" si="242"/>
        <v>506.75</v>
      </c>
      <c r="P2028" s="38">
        <f ca="1">IF(ISERROR(IF(O2028&lt;fi_h/20,0,(OFFSET('Base de dados'!$A$5,IF(O2028&lt;20,1,IF(O2028&gt;1000,10,MATCH(O2028,Cargas,1))),Coluna_fih,1,1))*(1+0.13*0.25)*(PI()*(fi_h/1000)^2/4)*SQRT(2*9.81*(O2028/100-fi_h/2/1000))*1000)),"",IF(O2028&lt;fi_h/20,0,(OFFSET('Base de dados'!$A$5,IF(O2028&lt;20,1,IF(O2028&gt;1000,10,MATCH(O2028,Cargas,1))),Coluna_fih,1,1))*(PI()*(fi_h/1000)^2/4)*SQRT(2*9.81*(O2028/100-fi_h/2/1000))*1000))</f>
        <v>6.0153056425723959</v>
      </c>
      <c r="Q2028" s="38">
        <f ca="1">IF(O2028="","",IF(Tipo_Vertedor="Retangular",IF(O2028&lt;=cota_s*100,0,IF(Tipo_Vertedor="Retangular",Cd_sr*Lef_sr*((O2028/100-cota_s)^(3/2))*1000)),IF(O2028&lt;=cota_s*100+fi_s/20,0,(OFFSET('Base de dados'!$A$4,IF(O2028&lt;20,1,IF(O2028&gt;1000,10,MATCH(O2028,Cargas,1))),Coluna_fis,1,1))*(PI()*(fi_s/1000)^2/4)*(2*9.81*(O2028/100-cota_s-fi_s/2/1000))^0.5*1000)))</f>
        <v>5.2521973292410769</v>
      </c>
      <c r="R2028" s="38">
        <f t="shared" ca="1" si="245"/>
        <v>11.267502971813473</v>
      </c>
      <c r="S2028" s="38">
        <f t="shared" ca="1" si="246"/>
        <v>633.4375</v>
      </c>
    </row>
    <row r="2029" spans="13:19">
      <c r="M2029" s="132">
        <f t="shared" ca="1" si="243"/>
        <v>645.02069678051669</v>
      </c>
      <c r="N2029" s="38">
        <f t="shared" si="244"/>
        <v>19.012500000000003</v>
      </c>
      <c r="O2029" s="36">
        <f t="shared" si="242"/>
        <v>507</v>
      </c>
      <c r="P2029" s="38">
        <f ca="1">IF(ISERROR(IF(O2029&lt;fi_h/20,0,(OFFSET('Base de dados'!$A$5,IF(O2029&lt;20,1,IF(O2029&gt;1000,10,MATCH(O2029,Cargas,1))),Coluna_fih,1,1))*(1+0.13*0.25)*(PI()*(fi_h/1000)^2/4)*SQRT(2*9.81*(O2029/100-fi_h/2/1000))*1000)),"",IF(O2029&lt;fi_h/20,0,(OFFSET('Base de dados'!$A$5,IF(O2029&lt;20,1,IF(O2029&gt;1000,10,MATCH(O2029,Cargas,1))),Coluna_fih,1,1))*(PI()*(fi_h/1000)^2/4)*SQRT(2*9.81*(O2029/100-fi_h/2/1000))*1000))</f>
        <v>6.0167944248610397</v>
      </c>
      <c r="Q2029" s="38">
        <f ca="1">IF(O2029="","",IF(Tipo_Vertedor="Retangular",IF(O2029&lt;=cota_s*100,0,IF(Tipo_Vertedor="Retangular",Cd_sr*Lef_sr*((O2029/100-cota_s)^(3/2))*1000)),IF(O2029&lt;=cota_s*100+fi_s/20,0,(OFFSET('Base de dados'!$A$4,IF(O2029&lt;20,1,IF(O2029&gt;1000,10,MATCH(O2029,Cargas,1))),Coluna_fis,1,1))*(PI()*(fi_s/1000)^2/4)*(2*9.81*(O2029/100-cota_s-fi_s/2/1000))^0.5*1000)))</f>
        <v>5.2539023556555255</v>
      </c>
      <c r="R2029" s="38">
        <f t="shared" ca="1" si="245"/>
        <v>11.270696780516566</v>
      </c>
      <c r="S2029" s="38">
        <f t="shared" ca="1" si="246"/>
        <v>633.75000000000011</v>
      </c>
    </row>
    <row r="2030" spans="13:19">
      <c r="M2030" s="132">
        <f t="shared" ca="1" si="243"/>
        <v>645.33638966778426</v>
      </c>
      <c r="N2030" s="38">
        <f t="shared" si="244"/>
        <v>19.021874999999998</v>
      </c>
      <c r="O2030" s="36">
        <f t="shared" si="242"/>
        <v>507.25</v>
      </c>
      <c r="P2030" s="38">
        <f ca="1">IF(ISERROR(IF(O2030&lt;fi_h/20,0,(OFFSET('Base de dados'!$A$5,IF(O2030&lt;20,1,IF(O2030&gt;1000,10,MATCH(O2030,Cargas,1))),Coluna_fih,1,1))*(1+0.13*0.25)*(PI()*(fi_h/1000)^2/4)*SQRT(2*9.81*(O2030/100-fi_h/2/1000))*1000)),"",IF(O2030&lt;fi_h/20,0,(OFFSET('Base de dados'!$A$5,IF(O2030&lt;20,1,IF(O2030&gt;1000,10,MATCH(O2030,Cargas,1))),Coluna_fih,1,1))*(PI()*(fi_h/1000)^2/4)*SQRT(2*9.81*(O2030/100-fi_h/2/1000))*1000))</f>
        <v>6.0182828388598058</v>
      </c>
      <c r="Q2030" s="38">
        <f ca="1">IF(O2030="","",IF(Tipo_Vertedor="Retangular",IF(O2030&lt;=cota_s*100,0,IF(Tipo_Vertedor="Retangular",Cd_sr*Lef_sr*((O2030/100-cota_s)^(3/2))*1000)),IF(O2030&lt;=cota_s*100+fi_s/20,0,(OFFSET('Base de dados'!$A$4,IF(O2030&lt;20,1,IF(O2030&gt;1000,10,MATCH(O2030,Cargas,1))),Coluna_fis,1,1))*(PI()*(fi_s/1000)^2/4)*(2*9.81*(O2030/100-cota_s-fi_s/2/1000))^0.5*1000)))</f>
        <v>5.255606828924539</v>
      </c>
      <c r="R2030" s="38">
        <f t="shared" ca="1" si="245"/>
        <v>11.273889667784346</v>
      </c>
      <c r="S2030" s="38">
        <f t="shared" ca="1" si="246"/>
        <v>634.06249999999989</v>
      </c>
    </row>
    <row r="2031" spans="13:19">
      <c r="M2031" s="132">
        <f t="shared" ca="1" si="243"/>
        <v>645.65208163442799</v>
      </c>
      <c r="N2031" s="38">
        <f t="shared" si="244"/>
        <v>19.03125</v>
      </c>
      <c r="O2031" s="36">
        <f t="shared" si="242"/>
        <v>507.5</v>
      </c>
      <c r="P2031" s="38">
        <f ca="1">IF(ISERROR(IF(O2031&lt;fi_h/20,0,(OFFSET('Base de dados'!$A$5,IF(O2031&lt;20,1,IF(O2031&gt;1000,10,MATCH(O2031,Cargas,1))),Coluna_fih,1,1))*(1+0.13*0.25)*(PI()*(fi_h/1000)^2/4)*SQRT(2*9.81*(O2031/100-fi_h/2/1000))*1000)),"",IF(O2031&lt;fi_h/20,0,(OFFSET('Base de dados'!$A$5,IF(O2031&lt;20,1,IF(O2031&gt;1000,10,MATCH(O2031,Cargas,1))),Coluna_fih,1,1))*(PI()*(fi_h/1000)^2/4)*SQRT(2*9.81*(O2031/100-fi_h/2/1000))*1000))</f>
        <v>6.0197708848418836</v>
      </c>
      <c r="Q2031" s="38">
        <f ca="1">IF(O2031="","",IF(Tipo_Vertedor="Retangular",IF(O2031&lt;=cota_s*100,0,IF(Tipo_Vertedor="Retangular",Cd_sr*Lef_sr*((O2031/100-cota_s)^(3/2))*1000)),IF(O2031&lt;=cota_s*100+fi_s/20,0,(OFFSET('Base de dados'!$A$4,IF(O2031&lt;20,1,IF(O2031&gt;1000,10,MATCH(O2031,Cargas,1))),Coluna_fis,1,1))*(PI()*(fi_s/1000)^2/4)*(2*9.81*(O2031/100-cota_s-fi_s/2/1000))^0.5*1000)))</f>
        <v>5.2573107495861251</v>
      </c>
      <c r="R2031" s="38">
        <f t="shared" ca="1" si="245"/>
        <v>11.277081634428008</v>
      </c>
      <c r="S2031" s="38">
        <f t="shared" ca="1" si="246"/>
        <v>634.375</v>
      </c>
    </row>
    <row r="2032" spans="13:19">
      <c r="M2032" s="132">
        <f t="shared" ca="1" si="243"/>
        <v>645.96777268125754</v>
      </c>
      <c r="N2032" s="38">
        <f t="shared" si="244"/>
        <v>19.040624999999999</v>
      </c>
      <c r="O2032" s="36">
        <f t="shared" si="242"/>
        <v>507.75</v>
      </c>
      <c r="P2032" s="38">
        <f ca="1">IF(ISERROR(IF(O2032&lt;fi_h/20,0,(OFFSET('Base de dados'!$A$5,IF(O2032&lt;20,1,IF(O2032&gt;1000,10,MATCH(O2032,Cargas,1))),Coluna_fih,1,1))*(1+0.13*0.25)*(PI()*(fi_h/1000)^2/4)*SQRT(2*9.81*(O2032/100-fi_h/2/1000))*1000)),"",IF(O2032&lt;fi_h/20,0,(OFFSET('Base de dados'!$A$5,IF(O2032&lt;20,1,IF(O2032&gt;1000,10,MATCH(O2032,Cargas,1))),Coluna_fih,1,1))*(PI()*(fi_h/1000)^2/4)*SQRT(2*9.81*(O2032/100-fi_h/2/1000))*1000))</f>
        <v>6.0212585630801145</v>
      </c>
      <c r="Q2032" s="38">
        <f ca="1">IF(O2032="","",IF(Tipo_Vertedor="Retangular",IF(O2032&lt;=cota_s*100,0,IF(Tipo_Vertedor="Retangular",Cd_sr*Lef_sr*((O2032/100-cota_s)^(3/2))*1000)),IF(O2032&lt;=cota_s*100+fi_s/20,0,(OFFSET('Base de dados'!$A$4,IF(O2032&lt;20,1,IF(O2032&gt;1000,10,MATCH(O2032,Cargas,1))),Coluna_fis,1,1))*(PI()*(fi_s/1000)^2/4)*(2*9.81*(O2032/100-cota_s-fi_s/2/1000))^0.5*1000)))</f>
        <v>5.2590141181774177</v>
      </c>
      <c r="R2032" s="38">
        <f t="shared" ca="1" si="245"/>
        <v>11.280272681257532</v>
      </c>
      <c r="S2032" s="38">
        <f t="shared" ca="1" si="246"/>
        <v>634.6875</v>
      </c>
    </row>
    <row r="2033" spans="13:19">
      <c r="M2033" s="132">
        <f t="shared" ca="1" si="243"/>
        <v>646.2834628090817</v>
      </c>
      <c r="N2033" s="38">
        <f t="shared" si="244"/>
        <v>19.05</v>
      </c>
      <c r="O2033" s="36">
        <f t="shared" si="242"/>
        <v>508</v>
      </c>
      <c r="P2033" s="38">
        <f ca="1">IF(ISERROR(IF(O2033&lt;fi_h/20,0,(OFFSET('Base de dados'!$A$5,IF(O2033&lt;20,1,IF(O2033&gt;1000,10,MATCH(O2033,Cargas,1))),Coluna_fih,1,1))*(1+0.13*0.25)*(PI()*(fi_h/1000)^2/4)*SQRT(2*9.81*(O2033/100-fi_h/2/1000))*1000)),"",IF(O2033&lt;fi_h/20,0,(OFFSET('Base de dados'!$A$5,IF(O2033&lt;20,1,IF(O2033&gt;1000,10,MATCH(O2033,Cargas,1))),Coluna_fih,1,1))*(PI()*(fi_h/1000)^2/4)*SQRT(2*9.81*(O2033/100-fi_h/2/1000))*1000))</f>
        <v>6.0227458738470094</v>
      </c>
      <c r="Q2033" s="38">
        <f ca="1">IF(O2033="","",IF(Tipo_Vertedor="Retangular",IF(O2033&lt;=cota_s*100,0,IF(Tipo_Vertedor="Retangular",Cd_sr*Lef_sr*((O2033/100-cota_s)^(3/2))*1000)),IF(O2033&lt;=cota_s*100+fi_s/20,0,(OFFSET('Base de dados'!$A$4,IF(O2033&lt;20,1,IF(O2033&gt;1000,10,MATCH(O2033,Cargas,1))),Coluna_fis,1,1))*(PI()*(fi_s/1000)^2/4)*(2*9.81*(O2033/100-cota_s-fi_s/2/1000))^0.5*1000)))</f>
        <v>5.2607169352346812</v>
      </c>
      <c r="R2033" s="38">
        <f t="shared" ca="1" si="245"/>
        <v>11.283462809081691</v>
      </c>
      <c r="S2033" s="38">
        <f t="shared" ca="1" si="246"/>
        <v>635</v>
      </c>
    </row>
    <row r="2034" spans="13:19">
      <c r="M2034" s="132">
        <f t="shared" ca="1" si="243"/>
        <v>646.59915201870808</v>
      </c>
      <c r="N2034" s="38">
        <f t="shared" si="244"/>
        <v>19.059374999999999</v>
      </c>
      <c r="O2034" s="36">
        <f t="shared" si="242"/>
        <v>508.25</v>
      </c>
      <c r="P2034" s="38">
        <f ca="1">IF(ISERROR(IF(O2034&lt;fi_h/20,0,(OFFSET('Base de dados'!$A$5,IF(O2034&lt;20,1,IF(O2034&gt;1000,10,MATCH(O2034,Cargas,1))),Coluna_fih,1,1))*(1+0.13*0.25)*(PI()*(fi_h/1000)^2/4)*SQRT(2*9.81*(O2034/100-fi_h/2/1000))*1000)),"",IF(O2034&lt;fi_h/20,0,(OFFSET('Base de dados'!$A$5,IF(O2034&lt;20,1,IF(O2034&gt;1000,10,MATCH(O2034,Cargas,1))),Coluna_fih,1,1))*(PI()*(fi_h/1000)^2/4)*SQRT(2*9.81*(O2034/100-fi_h/2/1000))*1000))</f>
        <v>6.0242328174147408</v>
      </c>
      <c r="Q2034" s="38">
        <f ca="1">IF(O2034="","",IF(Tipo_Vertedor="Retangular",IF(O2034&lt;=cota_s*100,0,IF(Tipo_Vertedor="Retangular",Cd_sr*Lef_sr*((O2034/100-cota_s)^(3/2))*1000)),IF(O2034&lt;=cota_s*100+fi_s/20,0,(OFFSET('Base de dados'!$A$4,IF(O2034&lt;20,1,IF(O2034&gt;1000,10,MATCH(O2034,Cargas,1))),Coluna_fis,1,1))*(PI()*(fi_s/1000)^2/4)*(2*9.81*(O2034/100-cota_s-fi_s/2/1000))^0.5*1000)))</f>
        <v>5.2624192012933131</v>
      </c>
      <c r="R2034" s="38">
        <f t="shared" ca="1" si="245"/>
        <v>11.286652018708054</v>
      </c>
      <c r="S2034" s="38">
        <f t="shared" ca="1" si="246"/>
        <v>635.3125</v>
      </c>
    </row>
    <row r="2035" spans="13:19">
      <c r="M2035" s="132">
        <f t="shared" ca="1" si="243"/>
        <v>646.91484031094296</v>
      </c>
      <c r="N2035" s="38">
        <f t="shared" si="244"/>
        <v>19.068750000000001</v>
      </c>
      <c r="O2035" s="36">
        <f t="shared" si="242"/>
        <v>508.5</v>
      </c>
      <c r="P2035" s="38">
        <f ca="1">IF(ISERROR(IF(O2035&lt;fi_h/20,0,(OFFSET('Base de dados'!$A$5,IF(O2035&lt;20,1,IF(O2035&gt;1000,10,MATCH(O2035,Cargas,1))),Coluna_fih,1,1))*(1+0.13*0.25)*(PI()*(fi_h/1000)^2/4)*SQRT(2*9.81*(O2035/100-fi_h/2/1000))*1000)),"",IF(O2035&lt;fi_h/20,0,(OFFSET('Base de dados'!$A$5,IF(O2035&lt;20,1,IF(O2035&gt;1000,10,MATCH(O2035,Cargas,1))),Coluna_fih,1,1))*(PI()*(fi_h/1000)^2/4)*SQRT(2*9.81*(O2035/100-fi_h/2/1000))*1000))</f>
        <v>6.0257193940551463</v>
      </c>
      <c r="Q2035" s="38">
        <f ca="1">IF(O2035="","",IF(Tipo_Vertedor="Retangular",IF(O2035&lt;=cota_s*100,0,IF(Tipo_Vertedor="Retangular",Cd_sr*Lef_sr*((O2035/100-cota_s)^(3/2))*1000)),IF(O2035&lt;=cota_s*100+fi_s/20,0,(OFFSET('Base de dados'!$A$4,IF(O2035&lt;20,1,IF(O2035&gt;1000,10,MATCH(O2035,Cargas,1))),Coluna_fis,1,1))*(PI()*(fi_s/1000)^2/4)*(2*9.81*(O2035/100-cota_s-fi_s/2/1000))^0.5*1000)))</f>
        <v>5.2641209168878449</v>
      </c>
      <c r="R2035" s="38">
        <f t="shared" ca="1" si="245"/>
        <v>11.289840310942992</v>
      </c>
      <c r="S2035" s="38">
        <f t="shared" ca="1" si="246"/>
        <v>635.625</v>
      </c>
    </row>
    <row r="2036" spans="13:19">
      <c r="M2036" s="132">
        <f t="shared" ca="1" si="243"/>
        <v>647.2305276865917</v>
      </c>
      <c r="N2036" s="38">
        <f t="shared" si="244"/>
        <v>19.078125</v>
      </c>
      <c r="O2036" s="36">
        <f t="shared" si="242"/>
        <v>508.75</v>
      </c>
      <c r="P2036" s="38">
        <f ca="1">IF(ISERROR(IF(O2036&lt;fi_h/20,0,(OFFSET('Base de dados'!$A$5,IF(O2036&lt;20,1,IF(O2036&gt;1000,10,MATCH(O2036,Cargas,1))),Coluna_fih,1,1))*(1+0.13*0.25)*(PI()*(fi_h/1000)^2/4)*SQRT(2*9.81*(O2036/100-fi_h/2/1000))*1000)),"",IF(O2036&lt;fi_h/20,0,(OFFSET('Base de dados'!$A$5,IF(O2036&lt;20,1,IF(O2036&gt;1000,10,MATCH(O2036,Cargas,1))),Coluna_fih,1,1))*(PI()*(fi_h/1000)^2/4)*SQRT(2*9.81*(O2036/100-fi_h/2/1000))*1000))</f>
        <v>6.0272056040397279</v>
      </c>
      <c r="Q2036" s="38">
        <f ca="1">IF(O2036="","",IF(Tipo_Vertedor="Retangular",IF(O2036&lt;=cota_s*100,0,IF(Tipo_Vertedor="Retangular",Cd_sr*Lef_sr*((O2036/100-cota_s)^(3/2))*1000)),IF(O2036&lt;=cota_s*100+fi_s/20,0,(OFFSET('Base de dados'!$A$4,IF(O2036&lt;20,1,IF(O2036&gt;1000,10,MATCH(O2036,Cargas,1))),Coluna_fis,1,1))*(PI()*(fi_s/1000)^2/4)*(2*9.81*(O2036/100-cota_s-fi_s/2/1000))^0.5*1000)))</f>
        <v>5.2658220825519448</v>
      </c>
      <c r="R2036" s="38">
        <f t="shared" ca="1" si="245"/>
        <v>11.293027686591673</v>
      </c>
      <c r="S2036" s="38">
        <f t="shared" ca="1" si="246"/>
        <v>635.9375</v>
      </c>
    </row>
    <row r="2037" spans="13:19">
      <c r="M2037" s="132">
        <f t="shared" ca="1" si="243"/>
        <v>647.54621414645806</v>
      </c>
      <c r="N2037" s="38">
        <f t="shared" si="244"/>
        <v>19.087499999999999</v>
      </c>
      <c r="O2037" s="36">
        <f t="shared" si="242"/>
        <v>509</v>
      </c>
      <c r="P2037" s="38">
        <f ca="1">IF(ISERROR(IF(O2037&lt;fi_h/20,0,(OFFSET('Base de dados'!$A$5,IF(O2037&lt;20,1,IF(O2037&gt;1000,10,MATCH(O2037,Cargas,1))),Coluna_fih,1,1))*(1+0.13*0.25)*(PI()*(fi_h/1000)^2/4)*SQRT(2*9.81*(O2037/100-fi_h/2/1000))*1000)),"",IF(O2037&lt;fi_h/20,0,(OFFSET('Base de dados'!$A$5,IF(O2037&lt;20,1,IF(O2037&gt;1000,10,MATCH(O2037,Cargas,1))),Coluna_fih,1,1))*(PI()*(fi_h/1000)^2/4)*SQRT(2*9.81*(O2037/100-fi_h/2/1000))*1000))</f>
        <v>6.0286914476396509</v>
      </c>
      <c r="Q2037" s="38">
        <f ca="1">IF(O2037="","",IF(Tipo_Vertedor="Retangular",IF(O2037&lt;=cota_s*100,0,IF(Tipo_Vertedor="Retangular",Cd_sr*Lef_sr*((O2037/100-cota_s)^(3/2))*1000)),IF(O2037&lt;=cota_s*100+fi_s/20,0,(OFFSET('Base de dados'!$A$4,IF(O2037&lt;20,1,IF(O2037&gt;1000,10,MATCH(O2037,Cargas,1))),Coluna_fis,1,1))*(PI()*(fi_s/1000)^2/4)*(2*9.81*(O2037/100-cota_s-fi_s/2/1000))^0.5*1000)))</f>
        <v>5.2675226988184187</v>
      </c>
      <c r="R2037" s="38">
        <f t="shared" ca="1" si="245"/>
        <v>11.29621414645807</v>
      </c>
      <c r="S2037" s="38">
        <f t="shared" ca="1" si="246"/>
        <v>636.25</v>
      </c>
    </row>
    <row r="2038" spans="13:19">
      <c r="M2038" s="132">
        <f t="shared" ca="1" si="243"/>
        <v>647.861899691345</v>
      </c>
      <c r="N2038" s="38">
        <f t="shared" si="244"/>
        <v>19.096875000000001</v>
      </c>
      <c r="O2038" s="36">
        <f t="shared" si="242"/>
        <v>509.25</v>
      </c>
      <c r="P2038" s="38">
        <f ca="1">IF(ISERROR(IF(O2038&lt;fi_h/20,0,(OFFSET('Base de dados'!$A$5,IF(O2038&lt;20,1,IF(O2038&gt;1000,10,MATCH(O2038,Cargas,1))),Coluna_fih,1,1))*(1+0.13*0.25)*(PI()*(fi_h/1000)^2/4)*SQRT(2*9.81*(O2038/100-fi_h/2/1000))*1000)),"",IF(O2038&lt;fi_h/20,0,(OFFSET('Base de dados'!$A$5,IF(O2038&lt;20,1,IF(O2038&gt;1000,10,MATCH(O2038,Cargas,1))),Coluna_fih,1,1))*(PI()*(fi_h/1000)^2/4)*SQRT(2*9.81*(O2038/100-fi_h/2/1000))*1000))</f>
        <v>6.0301769251257502</v>
      </c>
      <c r="Q2038" s="38">
        <f ca="1">IF(O2038="","",IF(Tipo_Vertedor="Retangular",IF(O2038&lt;=cota_s*100,0,IF(Tipo_Vertedor="Retangular",Cd_sr*Lef_sr*((O2038/100-cota_s)^(3/2))*1000)),IF(O2038&lt;=cota_s*100+fi_s/20,0,(OFFSET('Base de dados'!$A$4,IF(O2038&lt;20,1,IF(O2038&gt;1000,10,MATCH(O2038,Cargas,1))),Coluna_fis,1,1))*(PI()*(fi_s/1000)^2/4)*(2*9.81*(O2038/100-cota_s-fi_s/2/1000))^0.5*1000)))</f>
        <v>5.2692227662192135</v>
      </c>
      <c r="R2038" s="38">
        <f t="shared" ca="1" si="245"/>
        <v>11.299399691344963</v>
      </c>
      <c r="S2038" s="38">
        <f t="shared" ca="1" si="246"/>
        <v>636.5625</v>
      </c>
    </row>
    <row r="2039" spans="13:19">
      <c r="M2039" s="132">
        <f t="shared" ca="1" si="243"/>
        <v>648.17758432205392</v>
      </c>
      <c r="N2039" s="38">
        <f t="shared" si="244"/>
        <v>19.106249999999999</v>
      </c>
      <c r="O2039" s="36">
        <f t="shared" si="242"/>
        <v>509.5</v>
      </c>
      <c r="P2039" s="38">
        <f ca="1">IF(ISERROR(IF(O2039&lt;fi_h/20,0,(OFFSET('Base de dados'!$A$5,IF(O2039&lt;20,1,IF(O2039&gt;1000,10,MATCH(O2039,Cargas,1))),Coluna_fih,1,1))*(1+0.13*0.25)*(PI()*(fi_h/1000)^2/4)*SQRT(2*9.81*(O2039/100-fi_h/2/1000))*1000)),"",IF(O2039&lt;fi_h/20,0,(OFFSET('Base de dados'!$A$5,IF(O2039&lt;20,1,IF(O2039&gt;1000,10,MATCH(O2039,Cargas,1))),Coluna_fih,1,1))*(PI()*(fi_h/1000)^2/4)*SQRT(2*9.81*(O2039/100-fi_h/2/1000))*1000))</f>
        <v>6.0316620367685241</v>
      </c>
      <c r="Q2039" s="38">
        <f ca="1">IF(O2039="","",IF(Tipo_Vertedor="Retangular",IF(O2039&lt;=cota_s*100,0,IF(Tipo_Vertedor="Retangular",Cd_sr*Lef_sr*((O2039/100-cota_s)^(3/2))*1000)),IF(O2039&lt;=cota_s*100+fi_s/20,0,(OFFSET('Base de dados'!$A$4,IF(O2039&lt;20,1,IF(O2039&gt;1000,10,MATCH(O2039,Cargas,1))),Coluna_fis,1,1))*(PI()*(fi_s/1000)^2/4)*(2*9.81*(O2039/100-cota_s-fi_s/2/1000))^0.5*1000)))</f>
        <v>5.2709222852854172</v>
      </c>
      <c r="R2039" s="38">
        <f t="shared" ca="1" si="245"/>
        <v>11.302584322053942</v>
      </c>
      <c r="S2039" s="38">
        <f t="shared" ca="1" si="246"/>
        <v>636.875</v>
      </c>
    </row>
    <row r="2040" spans="13:19">
      <c r="M2040" s="132">
        <f t="shared" ca="1" si="243"/>
        <v>648.49326803938538</v>
      </c>
      <c r="N2040" s="38">
        <f t="shared" si="244"/>
        <v>19.115625000000001</v>
      </c>
      <c r="O2040" s="36">
        <f t="shared" si="242"/>
        <v>509.75</v>
      </c>
      <c r="P2040" s="38">
        <f ca="1">IF(ISERROR(IF(O2040&lt;fi_h/20,0,(OFFSET('Base de dados'!$A$5,IF(O2040&lt;20,1,IF(O2040&gt;1000,10,MATCH(O2040,Cargas,1))),Coluna_fih,1,1))*(1+0.13*0.25)*(PI()*(fi_h/1000)^2/4)*SQRT(2*9.81*(O2040/100-fi_h/2/1000))*1000)),"",IF(O2040&lt;fi_h/20,0,(OFFSET('Base de dados'!$A$5,IF(O2040&lt;20,1,IF(O2040&gt;1000,10,MATCH(O2040,Cargas,1))),Coluna_fih,1,1))*(PI()*(fi_h/1000)^2/4)*SQRT(2*9.81*(O2040/100-fi_h/2/1000))*1000))</f>
        <v>6.0331467828381404</v>
      </c>
      <c r="Q2040" s="38">
        <f ca="1">IF(O2040="","",IF(Tipo_Vertedor="Retangular",IF(O2040&lt;=cota_s*100,0,IF(Tipo_Vertedor="Retangular",Cd_sr*Lef_sr*((O2040/100-cota_s)^(3/2))*1000)),IF(O2040&lt;=cota_s*100+fi_s/20,0,(OFFSET('Base de dados'!$A$4,IF(O2040&lt;20,1,IF(O2040&gt;1000,10,MATCH(O2040,Cargas,1))),Coluna_fis,1,1))*(PI()*(fi_s/1000)^2/4)*(2*9.81*(O2040/100-cota_s-fi_s/2/1000))^0.5*1000)))</f>
        <v>5.2726212565472599</v>
      </c>
      <c r="R2040" s="38">
        <f t="shared" ca="1" si="245"/>
        <v>11.3057680393854</v>
      </c>
      <c r="S2040" s="38">
        <f t="shared" ca="1" si="246"/>
        <v>637.1875</v>
      </c>
    </row>
    <row r="2041" spans="13:19">
      <c r="M2041" s="132">
        <f t="shared" ca="1" si="243"/>
        <v>648.80895084413851</v>
      </c>
      <c r="N2041" s="38">
        <f t="shared" si="244"/>
        <v>19.125</v>
      </c>
      <c r="O2041" s="36">
        <f t="shared" si="242"/>
        <v>510</v>
      </c>
      <c r="P2041" s="38">
        <f ca="1">IF(ISERROR(IF(O2041&lt;fi_h/20,0,(OFFSET('Base de dados'!$A$5,IF(O2041&lt;20,1,IF(O2041&gt;1000,10,MATCH(O2041,Cargas,1))),Coluna_fih,1,1))*(1+0.13*0.25)*(PI()*(fi_h/1000)^2/4)*SQRT(2*9.81*(O2041/100-fi_h/2/1000))*1000)),"",IF(O2041&lt;fi_h/20,0,(OFFSET('Base de dados'!$A$5,IF(O2041&lt;20,1,IF(O2041&gt;1000,10,MATCH(O2041,Cargas,1))),Coluna_fih,1,1))*(PI()*(fi_h/1000)^2/4)*SQRT(2*9.81*(O2041/100-fi_h/2/1000))*1000))</f>
        <v>6.0346311636044323</v>
      </c>
      <c r="Q2041" s="38">
        <f ca="1">IF(O2041="","",IF(Tipo_Vertedor="Retangular",IF(O2041&lt;=cota_s*100,0,IF(Tipo_Vertedor="Retangular",Cd_sr*Lef_sr*((O2041/100-cota_s)^(3/2))*1000)),IF(O2041&lt;=cota_s*100+fi_s/20,0,(OFFSET('Base de dados'!$A$4,IF(O2041&lt;20,1,IF(O2041&gt;1000,10,MATCH(O2041,Cargas,1))),Coluna_fis,1,1))*(PI()*(fi_s/1000)^2/4)*(2*9.81*(O2041/100-cota_s-fi_s/2/1000))^0.5*1000)))</f>
        <v>5.2743196805341235</v>
      </c>
      <c r="R2041" s="38">
        <f t="shared" ca="1" si="245"/>
        <v>11.308950844138556</v>
      </c>
      <c r="S2041" s="38">
        <f t="shared" ca="1" si="246"/>
        <v>637.5</v>
      </c>
    </row>
    <row r="2042" spans="13:19">
      <c r="M2042" s="132">
        <f t="shared" ca="1" si="243"/>
        <v>649.12463273711148</v>
      </c>
      <c r="N2042" s="38">
        <f t="shared" si="244"/>
        <v>19.134374999999999</v>
      </c>
      <c r="O2042" s="36">
        <f t="shared" si="242"/>
        <v>510.25</v>
      </c>
      <c r="P2042" s="38">
        <f ca="1">IF(ISERROR(IF(O2042&lt;fi_h/20,0,(OFFSET('Base de dados'!$A$5,IF(O2042&lt;20,1,IF(O2042&gt;1000,10,MATCH(O2042,Cargas,1))),Coluna_fih,1,1))*(1+0.13*0.25)*(PI()*(fi_h/1000)^2/4)*SQRT(2*9.81*(O2042/100-fi_h/2/1000))*1000)),"",IF(O2042&lt;fi_h/20,0,(OFFSET('Base de dados'!$A$5,IF(O2042&lt;20,1,IF(O2042&gt;1000,10,MATCH(O2042,Cargas,1))),Coluna_fih,1,1))*(PI()*(fi_h/1000)^2/4)*SQRT(2*9.81*(O2042/100-fi_h/2/1000))*1000))</f>
        <v>6.0361151793369023</v>
      </c>
      <c r="Q2042" s="38">
        <f ca="1">IF(O2042="","",IF(Tipo_Vertedor="Retangular",IF(O2042&lt;=cota_s*100,0,IF(Tipo_Vertedor="Retangular",Cd_sr*Lef_sr*((O2042/100-cota_s)^(3/2))*1000)),IF(O2042&lt;=cota_s*100+fi_s/20,0,(OFFSET('Base de dados'!$A$4,IF(O2042&lt;20,1,IF(O2042&gt;1000,10,MATCH(O2042,Cargas,1))),Coluna_fis,1,1))*(PI()*(fi_s/1000)^2/4)*(2*9.81*(O2042/100-cota_s-fi_s/2/1000))^0.5*1000)))</f>
        <v>5.2760175577745336</v>
      </c>
      <c r="R2042" s="38">
        <f t="shared" ca="1" si="245"/>
        <v>11.312132737111437</v>
      </c>
      <c r="S2042" s="38">
        <f t="shared" ca="1" si="246"/>
        <v>637.8125</v>
      </c>
    </row>
    <row r="2043" spans="13:19">
      <c r="M2043" s="132">
        <f t="shared" ca="1" si="243"/>
        <v>649.44031371910091</v>
      </c>
      <c r="N2043" s="38">
        <f t="shared" si="244"/>
        <v>19.143750000000001</v>
      </c>
      <c r="O2043" s="36">
        <f t="shared" si="242"/>
        <v>510.5</v>
      </c>
      <c r="P2043" s="38">
        <f ca="1">IF(ISERROR(IF(O2043&lt;fi_h/20,0,(OFFSET('Base de dados'!$A$5,IF(O2043&lt;20,1,IF(O2043&gt;1000,10,MATCH(O2043,Cargas,1))),Coluna_fih,1,1))*(1+0.13*0.25)*(PI()*(fi_h/1000)^2/4)*SQRT(2*9.81*(O2043/100-fi_h/2/1000))*1000)),"",IF(O2043&lt;fi_h/20,0,(OFFSET('Base de dados'!$A$5,IF(O2043&lt;20,1,IF(O2043&gt;1000,10,MATCH(O2043,Cargas,1))),Coluna_fih,1,1))*(PI()*(fi_h/1000)^2/4)*SQRT(2*9.81*(O2043/100-fi_h/2/1000))*1000))</f>
        <v>6.037598830304721</v>
      </c>
      <c r="Q2043" s="38">
        <f ca="1">IF(O2043="","",IF(Tipo_Vertedor="Retangular",IF(O2043&lt;=cota_s*100,0,IF(Tipo_Vertedor="Retangular",Cd_sr*Lef_sr*((O2043/100-cota_s)^(3/2))*1000)),IF(O2043&lt;=cota_s*100+fi_s/20,0,(OFFSET('Base de dados'!$A$4,IF(O2043&lt;20,1,IF(O2043&gt;1000,10,MATCH(O2043,Cargas,1))),Coluna_fis,1,1))*(PI()*(fi_s/1000)^2/4)*(2*9.81*(O2043/100-cota_s-fi_s/2/1000))^0.5*1000)))</f>
        <v>5.2777148887961669</v>
      </c>
      <c r="R2043" s="38">
        <f t="shared" ca="1" si="245"/>
        <v>11.315313719100889</v>
      </c>
      <c r="S2043" s="38">
        <f t="shared" ca="1" si="246"/>
        <v>638.125</v>
      </c>
    </row>
    <row r="2044" spans="13:19">
      <c r="M2044" s="132">
        <f t="shared" ca="1" si="243"/>
        <v>649.75599379090261</v>
      </c>
      <c r="N2044" s="38">
        <f t="shared" si="244"/>
        <v>19.153124999999999</v>
      </c>
      <c r="O2044" s="36">
        <f t="shared" si="242"/>
        <v>510.75</v>
      </c>
      <c r="P2044" s="38">
        <f ca="1">IF(ISERROR(IF(O2044&lt;fi_h/20,0,(OFFSET('Base de dados'!$A$5,IF(O2044&lt;20,1,IF(O2044&gt;1000,10,MATCH(O2044,Cargas,1))),Coluna_fih,1,1))*(1+0.13*0.25)*(PI()*(fi_h/1000)^2/4)*SQRT(2*9.81*(O2044/100-fi_h/2/1000))*1000)),"",IF(O2044&lt;fi_h/20,0,(OFFSET('Base de dados'!$A$5,IF(O2044&lt;20,1,IF(O2044&gt;1000,10,MATCH(O2044,Cargas,1))),Coluna_fih,1,1))*(PI()*(fi_h/1000)^2/4)*SQRT(2*9.81*(O2044/100-fi_h/2/1000))*1000))</f>
        <v>6.0390821167767292</v>
      </c>
      <c r="Q2044" s="38">
        <f ca="1">IF(O2044="","",IF(Tipo_Vertedor="Retangular",IF(O2044&lt;=cota_s*100,0,IF(Tipo_Vertedor="Retangular",Cd_sr*Lef_sr*((O2044/100-cota_s)^(3/2))*1000)),IF(O2044&lt;=cota_s*100+fi_s/20,0,(OFFSET('Base de dados'!$A$4,IF(O2044&lt;20,1,IF(O2044&gt;1000,10,MATCH(O2044,Cargas,1))),Coluna_fis,1,1))*(PI()*(fi_s/1000)^2/4)*(2*9.81*(O2044/100-cota_s-fi_s/2/1000))^0.5*1000)))</f>
        <v>5.279411674125849</v>
      </c>
      <c r="R2044" s="38">
        <f t="shared" ca="1" si="245"/>
        <v>11.318493790902579</v>
      </c>
      <c r="S2044" s="38">
        <f t="shared" ca="1" si="246"/>
        <v>638.4375</v>
      </c>
    </row>
    <row r="2045" spans="13:19">
      <c r="M2045" s="132">
        <f t="shared" ca="1" si="243"/>
        <v>650.07167295331101</v>
      </c>
      <c r="N2045" s="38">
        <f t="shared" si="244"/>
        <v>19.162500000000001</v>
      </c>
      <c r="O2045" s="36">
        <f t="shared" si="242"/>
        <v>511</v>
      </c>
      <c r="P2045" s="38">
        <f ca="1">IF(ISERROR(IF(O2045&lt;fi_h/20,0,(OFFSET('Base de dados'!$A$5,IF(O2045&lt;20,1,IF(O2045&gt;1000,10,MATCH(O2045,Cargas,1))),Coluna_fih,1,1))*(1+0.13*0.25)*(PI()*(fi_h/1000)^2/4)*SQRT(2*9.81*(O2045/100-fi_h/2/1000))*1000)),"",IF(O2045&lt;fi_h/20,0,(OFFSET('Base de dados'!$A$5,IF(O2045&lt;20,1,IF(O2045&gt;1000,10,MATCH(O2045,Cargas,1))),Coluna_fih,1,1))*(PI()*(fi_h/1000)^2/4)*SQRT(2*9.81*(O2045/100-fi_h/2/1000))*1000))</f>
        <v>6.0405650390214394</v>
      </c>
      <c r="Q2045" s="38">
        <f ca="1">IF(O2045="","",IF(Tipo_Vertedor="Retangular",IF(O2045&lt;=cota_s*100,0,IF(Tipo_Vertedor="Retangular",Cd_sr*Lef_sr*((O2045/100-cota_s)^(3/2))*1000)),IF(O2045&lt;=cota_s*100+fi_s/20,0,(OFFSET('Base de dados'!$A$4,IF(O2045&lt;20,1,IF(O2045&gt;1000,10,MATCH(O2045,Cargas,1))),Coluna_fis,1,1))*(PI()*(fi_s/1000)^2/4)*(2*9.81*(O2045/100-cota_s-fi_s/2/1000))^0.5*1000)))</f>
        <v>5.2811079142895663</v>
      </c>
      <c r="R2045" s="38">
        <f t="shared" ca="1" si="245"/>
        <v>11.321672953311005</v>
      </c>
      <c r="S2045" s="38">
        <f t="shared" ca="1" si="246"/>
        <v>638.75</v>
      </c>
    </row>
    <row r="2046" spans="13:19">
      <c r="M2046" s="132">
        <f t="shared" ca="1" si="243"/>
        <v>650.38735120711954</v>
      </c>
      <c r="N2046" s="38">
        <f t="shared" si="244"/>
        <v>19.171875</v>
      </c>
      <c r="O2046" s="36">
        <f t="shared" si="242"/>
        <v>511.25</v>
      </c>
      <c r="P2046" s="38">
        <f ca="1">IF(ISERROR(IF(O2046&lt;fi_h/20,0,(OFFSET('Base de dados'!$A$5,IF(O2046&lt;20,1,IF(O2046&gt;1000,10,MATCH(O2046,Cargas,1))),Coluna_fih,1,1))*(1+0.13*0.25)*(PI()*(fi_h/1000)^2/4)*SQRT(2*9.81*(O2046/100-fi_h/2/1000))*1000)),"",IF(O2046&lt;fi_h/20,0,(OFFSET('Base de dados'!$A$5,IF(O2046&lt;20,1,IF(O2046&gt;1000,10,MATCH(O2046,Cargas,1))),Coluna_fih,1,1))*(PI()*(fi_h/1000)^2/4)*SQRT(2*9.81*(O2046/100-fi_h/2/1000))*1000))</f>
        <v>6.0420475973070307</v>
      </c>
      <c r="Q2046" s="38">
        <f ca="1">IF(O2046="","",IF(Tipo_Vertedor="Retangular",IF(O2046&lt;=cota_s*100,0,IF(Tipo_Vertedor="Retangular",Cd_sr*Lef_sr*((O2046/100-cota_s)^(3/2))*1000)),IF(O2046&lt;=cota_s*100+fi_s/20,0,(OFFSET('Base de dados'!$A$4,IF(O2046&lt;20,1,IF(O2046&gt;1000,10,MATCH(O2046,Cargas,1))),Coluna_fis,1,1))*(PI()*(fi_s/1000)^2/4)*(2*9.81*(O2046/100-cota_s-fi_s/2/1000))^0.5*1000)))</f>
        <v>5.2828036098124516</v>
      </c>
      <c r="R2046" s="38">
        <f t="shared" ca="1" si="245"/>
        <v>11.324851207119483</v>
      </c>
      <c r="S2046" s="38">
        <f t="shared" ca="1" si="246"/>
        <v>639.0625</v>
      </c>
    </row>
    <row r="2047" spans="13:19">
      <c r="M2047" s="132">
        <f t="shared" ca="1" si="243"/>
        <v>650.70302855312025</v>
      </c>
      <c r="N2047" s="38">
        <f t="shared" si="244"/>
        <v>19.181250000000002</v>
      </c>
      <c r="O2047" s="36">
        <f t="shared" si="242"/>
        <v>511.5</v>
      </c>
      <c r="P2047" s="38">
        <f ca="1">IF(ISERROR(IF(O2047&lt;fi_h/20,0,(OFFSET('Base de dados'!$A$5,IF(O2047&lt;20,1,IF(O2047&gt;1000,10,MATCH(O2047,Cargas,1))),Coluna_fih,1,1))*(1+0.13*0.25)*(PI()*(fi_h/1000)^2/4)*SQRT(2*9.81*(O2047/100-fi_h/2/1000))*1000)),"",IF(O2047&lt;fi_h/20,0,(OFFSET('Base de dados'!$A$5,IF(O2047&lt;20,1,IF(O2047&gt;1000,10,MATCH(O2047,Cargas,1))),Coluna_fih,1,1))*(PI()*(fi_h/1000)^2/4)*SQRT(2*9.81*(O2047/100-fi_h/2/1000))*1000))</f>
        <v>6.0435297919013546</v>
      </c>
      <c r="Q2047" s="38">
        <f ca="1">IF(O2047="","",IF(Tipo_Vertedor="Retangular",IF(O2047&lt;=cota_s*100,0,IF(Tipo_Vertedor="Retangular",Cd_sr*Lef_sr*((O2047/100-cota_s)^(3/2))*1000)),IF(O2047&lt;=cota_s*100+fi_s/20,0,(OFFSET('Base de dados'!$A$4,IF(O2047&lt;20,1,IF(O2047&gt;1000,10,MATCH(O2047,Cargas,1))),Coluna_fis,1,1))*(PI()*(fi_s/1000)^2/4)*(2*9.81*(O2047/100-cota_s-fi_s/2/1000))^0.5*1000)))</f>
        <v>5.2844987612188001</v>
      </c>
      <c r="R2047" s="38">
        <f t="shared" ca="1" si="245"/>
        <v>11.328028553120156</v>
      </c>
      <c r="S2047" s="38">
        <f t="shared" ca="1" si="246"/>
        <v>639.37500000000011</v>
      </c>
    </row>
    <row r="2048" spans="13:19">
      <c r="M2048" s="132">
        <f t="shared" ca="1" si="243"/>
        <v>651.01870499210384</v>
      </c>
      <c r="N2048" s="38">
        <f t="shared" si="244"/>
        <v>19.190624999999997</v>
      </c>
      <c r="O2048" s="36">
        <f t="shared" si="242"/>
        <v>511.75</v>
      </c>
      <c r="P2048" s="38">
        <f ca="1">IF(ISERROR(IF(O2048&lt;fi_h/20,0,(OFFSET('Base de dados'!$A$5,IF(O2048&lt;20,1,IF(O2048&gt;1000,10,MATCH(O2048,Cargas,1))),Coluna_fih,1,1))*(1+0.13*0.25)*(PI()*(fi_h/1000)^2/4)*SQRT(2*9.81*(O2048/100-fi_h/2/1000))*1000)),"",IF(O2048&lt;fi_h/20,0,(OFFSET('Base de dados'!$A$5,IF(O2048&lt;20,1,IF(O2048&gt;1000,10,MATCH(O2048,Cargas,1))),Coluna_fih,1,1))*(PI()*(fi_h/1000)^2/4)*SQRT(2*9.81*(O2048/100-fi_h/2/1000))*1000))</f>
        <v>6.045011623071936</v>
      </c>
      <c r="Q2048" s="38">
        <f ca="1">IF(O2048="","",IF(Tipo_Vertedor="Retangular",IF(O2048&lt;=cota_s*100,0,IF(Tipo_Vertedor="Retangular",Cd_sr*Lef_sr*((O2048/100-cota_s)^(3/2))*1000)),IF(O2048&lt;=cota_s*100+fi_s/20,0,(OFFSET('Base de dados'!$A$4,IF(O2048&lt;20,1,IF(O2048&gt;1000,10,MATCH(O2048,Cargas,1))),Coluna_fis,1,1))*(PI()*(fi_s/1000)^2/4)*(2*9.81*(O2048/100-cota_s-fi_s/2/1000))^0.5*1000)))</f>
        <v>5.2861933690320679</v>
      </c>
      <c r="R2048" s="38">
        <f t="shared" ca="1" si="245"/>
        <v>11.331204992104004</v>
      </c>
      <c r="S2048" s="38">
        <f t="shared" ca="1" si="246"/>
        <v>639.68749999999989</v>
      </c>
    </row>
    <row r="2049" spans="13:19">
      <c r="M2049" s="132">
        <f t="shared" ca="1" si="243"/>
        <v>651.33438052486088</v>
      </c>
      <c r="N2049" s="38">
        <f t="shared" si="244"/>
        <v>19.2</v>
      </c>
      <c r="O2049" s="36">
        <f t="shared" si="242"/>
        <v>512</v>
      </c>
      <c r="P2049" s="38">
        <f ca="1">IF(ISERROR(IF(O2049&lt;fi_h/20,0,(OFFSET('Base de dados'!$A$5,IF(O2049&lt;20,1,IF(O2049&gt;1000,10,MATCH(O2049,Cargas,1))),Coluna_fih,1,1))*(1+0.13*0.25)*(PI()*(fi_h/1000)^2/4)*SQRT(2*9.81*(O2049/100-fi_h/2/1000))*1000)),"",IF(O2049&lt;fi_h/20,0,(OFFSET('Base de dados'!$A$5,IF(O2049&lt;20,1,IF(O2049&gt;1000,10,MATCH(O2049,Cargas,1))),Coluna_fih,1,1))*(PI()*(fi_h/1000)^2/4)*SQRT(2*9.81*(O2049/100-fi_h/2/1000))*1000))</f>
        <v>6.0464930910859715</v>
      </c>
      <c r="Q2049" s="38">
        <f ca="1">IF(O2049="","",IF(Tipo_Vertedor="Retangular",IF(O2049&lt;=cota_s*100,0,IF(Tipo_Vertedor="Retangular",Cd_sr*Lef_sr*((O2049/100-cota_s)^(3/2))*1000)),IF(O2049&lt;=cota_s*100+fi_s/20,0,(OFFSET('Base de dados'!$A$4,IF(O2049&lt;20,1,IF(O2049&gt;1000,10,MATCH(O2049,Cargas,1))),Coluna_fis,1,1))*(PI()*(fi_s/1000)^2/4)*(2*9.81*(O2049/100-cota_s-fi_s/2/1000))^0.5*1000)))</f>
        <v>5.2878874337748698</v>
      </c>
      <c r="R2049" s="38">
        <f t="shared" ca="1" si="245"/>
        <v>11.33438052486084</v>
      </c>
      <c r="S2049" s="38">
        <f t="shared" ca="1" si="246"/>
        <v>640</v>
      </c>
    </row>
    <row r="2050" spans="13:19">
      <c r="M2050" s="132">
        <f t="shared" ca="1" si="243"/>
        <v>651.65005515217922</v>
      </c>
      <c r="N2050" s="38">
        <f t="shared" si="244"/>
        <v>19.209374999999998</v>
      </c>
      <c r="O2050" s="36">
        <f t="shared" si="242"/>
        <v>512.25</v>
      </c>
      <c r="P2050" s="38">
        <f ca="1">IF(ISERROR(IF(O2050&lt;fi_h/20,0,(OFFSET('Base de dados'!$A$5,IF(O2050&lt;20,1,IF(O2050&gt;1000,10,MATCH(O2050,Cargas,1))),Coluna_fih,1,1))*(1+0.13*0.25)*(PI()*(fi_h/1000)^2/4)*SQRT(2*9.81*(O2050/100-fi_h/2/1000))*1000)),"",IF(O2050&lt;fi_h/20,0,(OFFSET('Base de dados'!$A$5,IF(O2050&lt;20,1,IF(O2050&gt;1000,10,MATCH(O2050,Cargas,1))),Coluna_fih,1,1))*(PI()*(fi_h/1000)^2/4)*SQRT(2*9.81*(O2050/100-fi_h/2/1000))*1000))</f>
        <v>6.0479741962103271</v>
      </c>
      <c r="Q2050" s="38">
        <f ca="1">IF(O2050="","",IF(Tipo_Vertedor="Retangular",IF(O2050&lt;=cota_s*100,0,IF(Tipo_Vertedor="Retangular",Cd_sr*Lef_sr*((O2050/100-cota_s)^(3/2))*1000)),IF(O2050&lt;=cota_s*100+fi_s/20,0,(OFFSET('Base de dados'!$A$4,IF(O2050&lt;20,1,IF(O2050&gt;1000,10,MATCH(O2050,Cargas,1))),Coluna_fis,1,1))*(PI()*(fi_s/1000)^2/4)*(2*9.81*(O2050/100-cota_s-fi_s/2/1000))^0.5*1000)))</f>
        <v>5.2895809559689848</v>
      </c>
      <c r="R2050" s="38">
        <f t="shared" ca="1" si="245"/>
        <v>11.337555152179313</v>
      </c>
      <c r="S2050" s="38">
        <f t="shared" ca="1" si="246"/>
        <v>640.31249999999989</v>
      </c>
    </row>
    <row r="2051" spans="13:19">
      <c r="M2051" s="132">
        <f t="shared" ca="1" si="243"/>
        <v>651.96572887484695</v>
      </c>
      <c r="N2051" s="38">
        <f t="shared" si="244"/>
        <v>19.21875</v>
      </c>
      <c r="O2051" s="36">
        <f t="shared" si="242"/>
        <v>512.5</v>
      </c>
      <c r="P2051" s="38">
        <f ca="1">IF(ISERROR(IF(O2051&lt;fi_h/20,0,(OFFSET('Base de dados'!$A$5,IF(O2051&lt;20,1,IF(O2051&gt;1000,10,MATCH(O2051,Cargas,1))),Coluna_fih,1,1))*(1+0.13*0.25)*(PI()*(fi_h/1000)^2/4)*SQRT(2*9.81*(O2051/100-fi_h/2/1000))*1000)),"",IF(O2051&lt;fi_h/20,0,(OFFSET('Base de dados'!$A$5,IF(O2051&lt;20,1,IF(O2051&gt;1000,10,MATCH(O2051,Cargas,1))),Coluna_fih,1,1))*(PI()*(fi_h/1000)^2/4)*SQRT(2*9.81*(O2051/100-fi_h/2/1000))*1000))</f>
        <v>6.0494549387115466</v>
      </c>
      <c r="Q2051" s="38">
        <f ca="1">IF(O2051="","",IF(Tipo_Vertedor="Retangular",IF(O2051&lt;=cota_s*100,0,IF(Tipo_Vertedor="Retangular",Cd_sr*Lef_sr*((O2051/100-cota_s)^(3/2))*1000)),IF(O2051&lt;=cota_s*100+fi_s/20,0,(OFFSET('Base de dados'!$A$4,IF(O2051&lt;20,1,IF(O2051&gt;1000,10,MATCH(O2051,Cargas,1))),Coluna_fis,1,1))*(PI()*(fi_s/1000)^2/4)*(2*9.81*(O2051/100-cota_s-fi_s/2/1000))^0.5*1000)))</f>
        <v>5.2912739361353562</v>
      </c>
      <c r="R2051" s="38">
        <f t="shared" ca="1" si="245"/>
        <v>11.340728874846903</v>
      </c>
      <c r="S2051" s="38">
        <f t="shared" ca="1" si="246"/>
        <v>640.625</v>
      </c>
    </row>
    <row r="2052" spans="13:19">
      <c r="M2052" s="132">
        <f t="shared" ca="1" si="243"/>
        <v>652.28140169365008</v>
      </c>
      <c r="N2052" s="38">
        <f t="shared" si="244"/>
        <v>19.228125000000002</v>
      </c>
      <c r="O2052" s="36">
        <f t="shared" si="242"/>
        <v>512.75</v>
      </c>
      <c r="P2052" s="38">
        <f ca="1">IF(ISERROR(IF(O2052&lt;fi_h/20,0,(OFFSET('Base de dados'!$A$5,IF(O2052&lt;20,1,IF(O2052&gt;1000,10,MATCH(O2052,Cargas,1))),Coluna_fih,1,1))*(1+0.13*0.25)*(PI()*(fi_h/1000)^2/4)*SQRT(2*9.81*(O2052/100-fi_h/2/1000))*1000)),"",IF(O2052&lt;fi_h/20,0,(OFFSET('Base de dados'!$A$5,IF(O2052&lt;20,1,IF(O2052&gt;1000,10,MATCH(O2052,Cargas,1))),Coluna_fih,1,1))*(PI()*(fi_h/1000)^2/4)*SQRT(2*9.81*(O2052/100-fi_h/2/1000))*1000))</f>
        <v>6.0509353188558475</v>
      </c>
      <c r="Q2052" s="38">
        <f ca="1">IF(O2052="","",IF(Tipo_Vertedor="Retangular",IF(O2052&lt;=cota_s*100,0,IF(Tipo_Vertedor="Retangular",Cd_sr*Lef_sr*((O2052/100-cota_s)^(3/2))*1000)),IF(O2052&lt;=cota_s*100+fi_s/20,0,(OFFSET('Base de dados'!$A$4,IF(O2052&lt;20,1,IF(O2052&gt;1000,10,MATCH(O2052,Cargas,1))),Coluna_fis,1,1))*(PI()*(fi_s/1000)^2/4)*(2*9.81*(O2052/100-cota_s-fi_s/2/1000))^0.5*1000)))</f>
        <v>5.2929663747940925</v>
      </c>
      <c r="R2052" s="38">
        <f t="shared" ca="1" si="245"/>
        <v>11.34390169364994</v>
      </c>
      <c r="S2052" s="38">
        <f t="shared" ca="1" si="246"/>
        <v>640.93750000000011</v>
      </c>
    </row>
    <row r="2053" spans="13:19">
      <c r="M2053" s="132">
        <f t="shared" ca="1" si="243"/>
        <v>652.59707360937364</v>
      </c>
      <c r="N2053" s="38">
        <f t="shared" si="244"/>
        <v>19.237500000000001</v>
      </c>
      <c r="O2053" s="36">
        <f t="shared" si="242"/>
        <v>513</v>
      </c>
      <c r="P2053" s="38">
        <f ca="1">IF(ISERROR(IF(O2053&lt;fi_h/20,0,(OFFSET('Base de dados'!$A$5,IF(O2053&lt;20,1,IF(O2053&gt;1000,10,MATCH(O2053,Cargas,1))),Coluna_fih,1,1))*(1+0.13*0.25)*(PI()*(fi_h/1000)^2/4)*SQRT(2*9.81*(O2053/100-fi_h/2/1000))*1000)),"",IF(O2053&lt;fi_h/20,0,(OFFSET('Base de dados'!$A$5,IF(O2053&lt;20,1,IF(O2053&gt;1000,10,MATCH(O2053,Cargas,1))),Coluna_fih,1,1))*(PI()*(fi_h/1000)^2/4)*SQRT(2*9.81*(O2053/100-fi_h/2/1000))*1000))</f>
        <v>6.0524153369091156</v>
      </c>
      <c r="Q2053" s="38">
        <f ca="1">IF(O2053="","",IF(Tipo_Vertedor="Retangular",IF(O2053&lt;=cota_s*100,0,IF(Tipo_Vertedor="Retangular",Cd_sr*Lef_sr*((O2053/100-cota_s)^(3/2))*1000)),IF(O2053&lt;=cota_s*100+fi_s/20,0,(OFFSET('Base de dados'!$A$4,IF(O2053&lt;20,1,IF(O2053&gt;1000,10,MATCH(O2053,Cargas,1))),Coluna_fis,1,1))*(PI()*(fi_s/1000)^2/4)*(2*9.81*(O2053/100-cota_s-fi_s/2/1000))^0.5*1000)))</f>
        <v>5.2946582724644742</v>
      </c>
      <c r="R2053" s="38">
        <f t="shared" ca="1" si="245"/>
        <v>11.34707360937359</v>
      </c>
      <c r="S2053" s="38">
        <f t="shared" ca="1" si="246"/>
        <v>641.25</v>
      </c>
    </row>
    <row r="2054" spans="13:19">
      <c r="M2054" s="132">
        <f t="shared" ca="1" si="243"/>
        <v>652.91274462280194</v>
      </c>
      <c r="N2054" s="38">
        <f t="shared" si="244"/>
        <v>19.246875000000003</v>
      </c>
      <c r="O2054" s="36">
        <f t="shared" si="242"/>
        <v>513.25</v>
      </c>
      <c r="P2054" s="38">
        <f ca="1">IF(ISERROR(IF(O2054&lt;fi_h/20,0,(OFFSET('Base de dados'!$A$5,IF(O2054&lt;20,1,IF(O2054&gt;1000,10,MATCH(O2054,Cargas,1))),Coluna_fih,1,1))*(1+0.13*0.25)*(PI()*(fi_h/1000)^2/4)*SQRT(2*9.81*(O2054/100-fi_h/2/1000))*1000)),"",IF(O2054&lt;fi_h/20,0,(OFFSET('Base de dados'!$A$5,IF(O2054&lt;20,1,IF(O2054&gt;1000,10,MATCH(O2054,Cargas,1))),Coluna_fih,1,1))*(PI()*(fi_h/1000)^2/4)*SQRT(2*9.81*(O2054/100-fi_h/2/1000))*1000))</f>
        <v>6.0538949931369199</v>
      </c>
      <c r="Q2054" s="38">
        <f ca="1">IF(O2054="","",IF(Tipo_Vertedor="Retangular",IF(O2054&lt;=cota_s*100,0,IF(Tipo_Vertedor="Retangular",Cd_sr*Lef_sr*((O2054/100-cota_s)^(3/2))*1000)),IF(O2054&lt;=cota_s*100+fi_s/20,0,(OFFSET('Base de dados'!$A$4,IF(O2054&lt;20,1,IF(O2054&gt;1000,10,MATCH(O2054,Cargas,1))),Coluna_fis,1,1))*(PI()*(fi_s/1000)^2/4)*(2*9.81*(O2054/100-cota_s-fi_s/2/1000))^0.5*1000)))</f>
        <v>5.2963496296649506</v>
      </c>
      <c r="R2054" s="38">
        <f t="shared" ca="1" si="245"/>
        <v>11.350244622801871</v>
      </c>
      <c r="S2054" s="38">
        <f t="shared" ca="1" si="246"/>
        <v>641.56250000000011</v>
      </c>
    </row>
    <row r="2055" spans="13:19">
      <c r="M2055" s="132">
        <f t="shared" ca="1" si="243"/>
        <v>653.22841473471749</v>
      </c>
      <c r="N2055" s="38">
        <f t="shared" si="244"/>
        <v>19.256249999999998</v>
      </c>
      <c r="O2055" s="36">
        <f t="shared" si="242"/>
        <v>513.5</v>
      </c>
      <c r="P2055" s="38">
        <f ca="1">IF(ISERROR(IF(O2055&lt;fi_h/20,0,(OFFSET('Base de dados'!$A$5,IF(O2055&lt;20,1,IF(O2055&gt;1000,10,MATCH(O2055,Cargas,1))),Coluna_fih,1,1))*(1+0.13*0.25)*(PI()*(fi_h/1000)^2/4)*SQRT(2*9.81*(O2055/100-fi_h/2/1000))*1000)),"",IF(O2055&lt;fi_h/20,0,(OFFSET('Base de dados'!$A$5,IF(O2055&lt;20,1,IF(O2055&gt;1000,10,MATCH(O2055,Cargas,1))),Coluna_fih,1,1))*(PI()*(fi_h/1000)^2/4)*SQRT(2*9.81*(O2055/100-fi_h/2/1000))*1000))</f>
        <v>6.055374287804498</v>
      </c>
      <c r="Q2055" s="38">
        <f ca="1">IF(O2055="","",IF(Tipo_Vertedor="Retangular",IF(O2055&lt;=cota_s*100,0,IF(Tipo_Vertedor="Retangular",Cd_sr*Lef_sr*((O2055/100-cota_s)^(3/2))*1000)),IF(O2055&lt;=cota_s*100+fi_s/20,0,(OFFSET('Base de dados'!$A$4,IF(O2055&lt;20,1,IF(O2055&gt;1000,10,MATCH(O2055,Cargas,1))),Coluna_fis,1,1))*(PI()*(fi_s/1000)^2/4)*(2*9.81*(O2055/100-cota_s-fi_s/2/1000))^0.5*1000)))</f>
        <v>5.298040446913145</v>
      </c>
      <c r="R2055" s="38">
        <f t="shared" ca="1" si="245"/>
        <v>11.353414734717642</v>
      </c>
      <c r="S2055" s="38">
        <f t="shared" ca="1" si="246"/>
        <v>641.87499999999989</v>
      </c>
    </row>
    <row r="2056" spans="13:19">
      <c r="M2056" s="132">
        <f t="shared" ca="1" si="243"/>
        <v>653.54408394590257</v>
      </c>
      <c r="N2056" s="38">
        <f t="shared" si="244"/>
        <v>19.265625</v>
      </c>
      <c r="O2056" s="36">
        <f t="shared" si="242"/>
        <v>513.75</v>
      </c>
      <c r="P2056" s="38">
        <f ca="1">IF(ISERROR(IF(O2056&lt;fi_h/20,0,(OFFSET('Base de dados'!$A$5,IF(O2056&lt;20,1,IF(O2056&gt;1000,10,MATCH(O2056,Cargas,1))),Coluna_fih,1,1))*(1+0.13*0.25)*(PI()*(fi_h/1000)^2/4)*SQRT(2*9.81*(O2056/100-fi_h/2/1000))*1000)),"",IF(O2056&lt;fi_h/20,0,(OFFSET('Base de dados'!$A$5,IF(O2056&lt;20,1,IF(O2056&gt;1000,10,MATCH(O2056,Cargas,1))),Coluna_fih,1,1))*(PI()*(fi_h/1000)^2/4)*SQRT(2*9.81*(O2056/100-fi_h/2/1000))*1000))</f>
        <v>6.0568532211767705</v>
      </c>
      <c r="Q2056" s="38">
        <f ca="1">IF(O2056="","",IF(Tipo_Vertedor="Retangular",IF(O2056&lt;=cota_s*100,0,IF(Tipo_Vertedor="Retangular",Cd_sr*Lef_sr*((O2056/100-cota_s)^(3/2))*1000)),IF(O2056&lt;=cota_s*100+fi_s/20,0,(OFFSET('Base de dados'!$A$4,IF(O2056&lt;20,1,IF(O2056&gt;1000,10,MATCH(O2056,Cargas,1))),Coluna_fis,1,1))*(PI()*(fi_s/1000)^2/4)*(2*9.81*(O2056/100-cota_s-fi_s/2/1000))^0.5*1000)))</f>
        <v>5.2997307247258529</v>
      </c>
      <c r="R2056" s="38">
        <f t="shared" ca="1" si="245"/>
        <v>11.356583945902624</v>
      </c>
      <c r="S2056" s="38">
        <f t="shared" ca="1" si="246"/>
        <v>642.1875</v>
      </c>
    </row>
    <row r="2057" spans="13:19">
      <c r="M2057" s="132">
        <f t="shared" ca="1" si="243"/>
        <v>653.85975225713742</v>
      </c>
      <c r="N2057" s="38">
        <f t="shared" si="244"/>
        <v>19.274999999999999</v>
      </c>
      <c r="O2057" s="36">
        <f t="shared" si="242"/>
        <v>514</v>
      </c>
      <c r="P2057" s="38">
        <f ca="1">IF(ISERROR(IF(O2057&lt;fi_h/20,0,(OFFSET('Base de dados'!$A$5,IF(O2057&lt;20,1,IF(O2057&gt;1000,10,MATCH(O2057,Cargas,1))),Coluna_fih,1,1))*(1+0.13*0.25)*(PI()*(fi_h/1000)^2/4)*SQRT(2*9.81*(O2057/100-fi_h/2/1000))*1000)),"",IF(O2057&lt;fi_h/20,0,(OFFSET('Base de dados'!$A$5,IF(O2057&lt;20,1,IF(O2057&gt;1000,10,MATCH(O2057,Cargas,1))),Coluna_fih,1,1))*(PI()*(fi_h/1000)^2/4)*SQRT(2*9.81*(O2057/100-fi_h/2/1000))*1000))</f>
        <v>6.0583317935183265</v>
      </c>
      <c r="Q2057" s="38">
        <f ca="1">IF(O2057="","",IF(Tipo_Vertedor="Retangular",IF(O2057&lt;=cota_s*100,0,IF(Tipo_Vertedor="Retangular",Cd_sr*Lef_sr*((O2057/100-cota_s)^(3/2))*1000)),IF(O2057&lt;=cota_s*100+fi_s/20,0,(OFFSET('Base de dados'!$A$4,IF(O2057&lt;20,1,IF(O2057&gt;1000,10,MATCH(O2057,Cargas,1))),Coluna_fis,1,1))*(PI()*(fi_s/1000)^2/4)*(2*9.81*(O2057/100-cota_s-fi_s/2/1000))^0.5*1000)))</f>
        <v>5.3014204636190465</v>
      </c>
      <c r="R2057" s="38">
        <f t="shared" ca="1" si="245"/>
        <v>11.359752257137373</v>
      </c>
      <c r="S2057" s="38">
        <f t="shared" ca="1" si="246"/>
        <v>642.5</v>
      </c>
    </row>
    <row r="2058" spans="13:19">
      <c r="M2058" s="132">
        <f t="shared" ca="1" si="243"/>
        <v>654.17541966920135</v>
      </c>
      <c r="N2058" s="38">
        <f t="shared" si="244"/>
        <v>19.284375000000001</v>
      </c>
      <c r="O2058" s="36">
        <f t="shared" si="242"/>
        <v>514.25</v>
      </c>
      <c r="P2058" s="38">
        <f ca="1">IF(ISERROR(IF(O2058&lt;fi_h/20,0,(OFFSET('Base de dados'!$A$5,IF(O2058&lt;20,1,IF(O2058&gt;1000,10,MATCH(O2058,Cargas,1))),Coluna_fih,1,1))*(1+0.13*0.25)*(PI()*(fi_h/1000)^2/4)*SQRT(2*9.81*(O2058/100-fi_h/2/1000))*1000)),"",IF(O2058&lt;fi_h/20,0,(OFFSET('Base de dados'!$A$5,IF(O2058&lt;20,1,IF(O2058&gt;1000,10,MATCH(O2058,Cargas,1))),Coluna_fih,1,1))*(PI()*(fi_h/1000)^2/4)*SQRT(2*9.81*(O2058/100-fi_h/2/1000))*1000))</f>
        <v>6.05981000509344</v>
      </c>
      <c r="Q2058" s="38">
        <f ca="1">IF(O2058="","",IF(Tipo_Vertedor="Retangular",IF(O2058&lt;=cota_s*100,0,IF(Tipo_Vertedor="Retangular",Cd_sr*Lef_sr*((O2058/100-cota_s)^(3/2))*1000)),IF(O2058&lt;=cota_s*100+fi_s/20,0,(OFFSET('Base de dados'!$A$4,IF(O2058&lt;20,1,IF(O2058&gt;1000,10,MATCH(O2058,Cargas,1))),Coluna_fis,1,1))*(PI()*(fi_s/1000)^2/4)*(2*9.81*(O2058/100-cota_s-fi_s/2/1000))^0.5*1000)))</f>
        <v>5.3031096641078772</v>
      </c>
      <c r="R2058" s="38">
        <f t="shared" ca="1" si="245"/>
        <v>11.362919669201318</v>
      </c>
      <c r="S2058" s="38">
        <f t="shared" ca="1" si="246"/>
        <v>642.8125</v>
      </c>
    </row>
    <row r="2059" spans="13:19">
      <c r="M2059" s="132">
        <f t="shared" ca="1" si="243"/>
        <v>654.49108618287278</v>
      </c>
      <c r="N2059" s="38">
        <f t="shared" si="244"/>
        <v>19.293749999999999</v>
      </c>
      <c r="O2059" s="36">
        <f t="shared" si="242"/>
        <v>514.5</v>
      </c>
      <c r="P2059" s="38">
        <f ca="1">IF(ISERROR(IF(O2059&lt;fi_h/20,0,(OFFSET('Base de dados'!$A$5,IF(O2059&lt;20,1,IF(O2059&gt;1000,10,MATCH(O2059,Cargas,1))),Coluna_fih,1,1))*(1+0.13*0.25)*(PI()*(fi_h/1000)^2/4)*SQRT(2*9.81*(O2059/100-fi_h/2/1000))*1000)),"",IF(O2059&lt;fi_h/20,0,(OFFSET('Base de dados'!$A$5,IF(O2059&lt;20,1,IF(O2059&gt;1000,10,MATCH(O2059,Cargas,1))),Coluna_fih,1,1))*(PI()*(fi_h/1000)^2/4)*SQRT(2*9.81*(O2059/100-fi_h/2/1000))*1000))</f>
        <v>6.0612878561660581</v>
      </c>
      <c r="Q2059" s="38">
        <f ca="1">IF(O2059="","",IF(Tipo_Vertedor="Retangular",IF(O2059&lt;=cota_s*100,0,IF(Tipo_Vertedor="Retangular",Cd_sr*Lef_sr*((O2059/100-cota_s)^(3/2))*1000)),IF(O2059&lt;=cota_s*100+fi_s/20,0,(OFFSET('Base de dados'!$A$4,IF(O2059&lt;20,1,IF(O2059&gt;1000,10,MATCH(O2059,Cargas,1))),Coluna_fis,1,1))*(PI()*(fi_s/1000)^2/4)*(2*9.81*(O2059/100-cota_s-fi_s/2/1000))^0.5*1000)))</f>
        <v>5.3047983267066749</v>
      </c>
      <c r="R2059" s="38">
        <f t="shared" ca="1" si="245"/>
        <v>11.366086182872733</v>
      </c>
      <c r="S2059" s="38">
        <f t="shared" ca="1" si="246"/>
        <v>643.125</v>
      </c>
    </row>
    <row r="2060" spans="13:19">
      <c r="M2060" s="132">
        <f t="shared" ca="1" si="243"/>
        <v>654.80675179892876</v>
      </c>
      <c r="N2060" s="38">
        <f t="shared" si="244"/>
        <v>19.303125000000001</v>
      </c>
      <c r="O2060" s="36">
        <f t="shared" si="242"/>
        <v>514.75</v>
      </c>
      <c r="P2060" s="38">
        <f ca="1">IF(ISERROR(IF(O2060&lt;fi_h/20,0,(OFFSET('Base de dados'!$A$5,IF(O2060&lt;20,1,IF(O2060&gt;1000,10,MATCH(O2060,Cargas,1))),Coluna_fih,1,1))*(1+0.13*0.25)*(PI()*(fi_h/1000)^2/4)*SQRT(2*9.81*(O2060/100-fi_h/2/1000))*1000)),"",IF(O2060&lt;fi_h/20,0,(OFFSET('Base de dados'!$A$5,IF(O2060&lt;20,1,IF(O2060&gt;1000,10,MATCH(O2060,Cargas,1))),Coluna_fih,1,1))*(PI()*(fi_h/1000)^2/4)*SQRT(2*9.81*(O2060/100-fi_h/2/1000))*1000))</f>
        <v>6.0627653469998082</v>
      </c>
      <c r="Q2060" s="38">
        <f ca="1">IF(O2060="","",IF(Tipo_Vertedor="Retangular",IF(O2060&lt;=cota_s*100,0,IF(Tipo_Vertedor="Retangular",Cd_sr*Lef_sr*((O2060/100-cota_s)^(3/2))*1000)),IF(O2060&lt;=cota_s*100+fi_s/20,0,(OFFSET('Base de dados'!$A$4,IF(O2060&lt;20,1,IF(O2060&gt;1000,10,MATCH(O2060,Cargas,1))),Coluna_fis,1,1))*(PI()*(fi_s/1000)^2/4)*(2*9.81*(O2060/100-cota_s-fi_s/2/1000))^0.5*1000)))</f>
        <v>5.3064864519289525</v>
      </c>
      <c r="R2060" s="38">
        <f t="shared" ca="1" si="245"/>
        <v>11.369251798928762</v>
      </c>
      <c r="S2060" s="38">
        <f t="shared" ca="1" si="246"/>
        <v>643.4375</v>
      </c>
    </row>
    <row r="2061" spans="13:19">
      <c r="M2061" s="132">
        <f t="shared" ca="1" si="243"/>
        <v>655.12241651814543</v>
      </c>
      <c r="N2061" s="38">
        <f t="shared" si="244"/>
        <v>19.3125</v>
      </c>
      <c r="O2061" s="36">
        <f t="shared" si="242"/>
        <v>515</v>
      </c>
      <c r="P2061" s="38">
        <f ca="1">IF(ISERROR(IF(O2061&lt;fi_h/20,0,(OFFSET('Base de dados'!$A$5,IF(O2061&lt;20,1,IF(O2061&gt;1000,10,MATCH(O2061,Cargas,1))),Coluna_fih,1,1))*(1+0.13*0.25)*(PI()*(fi_h/1000)^2/4)*SQRT(2*9.81*(O2061/100-fi_h/2/1000))*1000)),"",IF(O2061&lt;fi_h/20,0,(OFFSET('Base de dados'!$A$5,IF(O2061&lt;20,1,IF(O2061&gt;1000,10,MATCH(O2061,Cargas,1))),Coluna_fih,1,1))*(PI()*(fi_h/1000)^2/4)*SQRT(2*9.81*(O2061/100-fi_h/2/1000))*1000))</f>
        <v>6.064242477857996</v>
      </c>
      <c r="Q2061" s="38">
        <f ca="1">IF(O2061="","",IF(Tipo_Vertedor="Retangular",IF(O2061&lt;=cota_s*100,0,IF(Tipo_Vertedor="Retangular",Cd_sr*Lef_sr*((O2061/100-cota_s)^(3/2))*1000)),IF(O2061&lt;=cota_s*100+fi_s/20,0,(OFFSET('Base de dados'!$A$4,IF(O2061&lt;20,1,IF(O2061&gt;1000,10,MATCH(O2061,Cargas,1))),Coluna_fis,1,1))*(PI()*(fi_s/1000)^2/4)*(2*9.81*(O2061/100-cota_s-fi_s/2/1000))^0.5*1000)))</f>
        <v>5.3081740402874029</v>
      </c>
      <c r="R2061" s="38">
        <f t="shared" ca="1" si="245"/>
        <v>11.3724165181454</v>
      </c>
      <c r="S2061" s="38">
        <f t="shared" ca="1" si="246"/>
        <v>643.75</v>
      </c>
    </row>
    <row r="2062" spans="13:19">
      <c r="M2062" s="132">
        <f t="shared" ca="1" si="243"/>
        <v>655.43808034129756</v>
      </c>
      <c r="N2062" s="38">
        <f t="shared" si="244"/>
        <v>19.321874999999999</v>
      </c>
      <c r="O2062" s="36">
        <f t="shared" si="242"/>
        <v>515.25</v>
      </c>
      <c r="P2062" s="38">
        <f ca="1">IF(ISERROR(IF(O2062&lt;fi_h/20,0,(OFFSET('Base de dados'!$A$5,IF(O2062&lt;20,1,IF(O2062&gt;1000,10,MATCH(O2062,Cargas,1))),Coluna_fih,1,1))*(1+0.13*0.25)*(PI()*(fi_h/1000)^2/4)*SQRT(2*9.81*(O2062/100-fi_h/2/1000))*1000)),"",IF(O2062&lt;fi_h/20,0,(OFFSET('Base de dados'!$A$5,IF(O2062&lt;20,1,IF(O2062&gt;1000,10,MATCH(O2062,Cargas,1))),Coluna_fih,1,1))*(PI()*(fi_h/1000)^2/4)*SQRT(2*9.81*(O2062/100-fi_h/2/1000))*1000))</f>
        <v>6.0657192490036058</v>
      </c>
      <c r="Q2062" s="38">
        <f ca="1">IF(O2062="","",IF(Tipo_Vertedor="Retangular",IF(O2062&lt;=cota_s*100,0,IF(Tipo_Vertedor="Retangular",Cd_sr*Lef_sr*((O2062/100-cota_s)^(3/2))*1000)),IF(O2062&lt;=cota_s*100+fi_s/20,0,(OFFSET('Base de dados'!$A$4,IF(O2062&lt;20,1,IF(O2062&gt;1000,10,MATCH(O2062,Cargas,1))),Coluna_fis,1,1))*(PI()*(fi_s/1000)^2/4)*(2*9.81*(O2062/100-cota_s-fi_s/2/1000))^0.5*1000)))</f>
        <v>5.3098610922939082</v>
      </c>
      <c r="R2062" s="38">
        <f t="shared" ca="1" si="245"/>
        <v>11.375580341297514</v>
      </c>
      <c r="S2062" s="38">
        <f t="shared" ca="1" si="246"/>
        <v>644.0625</v>
      </c>
    </row>
    <row r="2063" spans="13:19">
      <c r="M2063" s="132">
        <f t="shared" ca="1" si="243"/>
        <v>655.7537432691588</v>
      </c>
      <c r="N2063" s="38">
        <f t="shared" si="244"/>
        <v>19.331250000000001</v>
      </c>
      <c r="O2063" s="36">
        <f t="shared" si="242"/>
        <v>515.5</v>
      </c>
      <c r="P2063" s="38">
        <f ca="1">IF(ISERROR(IF(O2063&lt;fi_h/20,0,(OFFSET('Base de dados'!$A$5,IF(O2063&lt;20,1,IF(O2063&gt;1000,10,MATCH(O2063,Cargas,1))),Coluna_fih,1,1))*(1+0.13*0.25)*(PI()*(fi_h/1000)^2/4)*SQRT(2*9.81*(O2063/100-fi_h/2/1000))*1000)),"",IF(O2063&lt;fi_h/20,0,(OFFSET('Base de dados'!$A$5,IF(O2063&lt;20,1,IF(O2063&gt;1000,10,MATCH(O2063,Cargas,1))),Coluna_fih,1,1))*(PI()*(fi_h/1000)^2/4)*SQRT(2*9.81*(O2063/100-fi_h/2/1000))*1000))</f>
        <v>6.0671956606993014</v>
      </c>
      <c r="Q2063" s="38">
        <f ca="1">IF(O2063="","",IF(Tipo_Vertedor="Retangular",IF(O2063&lt;=cota_s*100,0,IF(Tipo_Vertedor="Retangular",Cd_sr*Lef_sr*((O2063/100-cota_s)^(3/2))*1000)),IF(O2063&lt;=cota_s*100+fi_s/20,0,(OFFSET('Base de dados'!$A$4,IF(O2063&lt;20,1,IF(O2063&gt;1000,10,MATCH(O2063,Cargas,1))),Coluna_fis,1,1))*(PI()*(fi_s/1000)^2/4)*(2*9.81*(O2063/100-cota_s-fi_s/2/1000))^0.5*1000)))</f>
        <v>5.3115476084595388</v>
      </c>
      <c r="R2063" s="38">
        <f t="shared" ca="1" si="245"/>
        <v>11.378743269158839</v>
      </c>
      <c r="S2063" s="38">
        <f t="shared" ca="1" si="246"/>
        <v>644.375</v>
      </c>
    </row>
    <row r="2064" spans="13:19">
      <c r="M2064" s="132">
        <f t="shared" ca="1" si="243"/>
        <v>656.06940530250199</v>
      </c>
      <c r="N2064" s="38">
        <f t="shared" si="244"/>
        <v>19.340624999999999</v>
      </c>
      <c r="O2064" s="36">
        <f t="shared" si="242"/>
        <v>515.75</v>
      </c>
      <c r="P2064" s="38">
        <f ca="1">IF(ISERROR(IF(O2064&lt;fi_h/20,0,(OFFSET('Base de dados'!$A$5,IF(O2064&lt;20,1,IF(O2064&gt;1000,10,MATCH(O2064,Cargas,1))),Coluna_fih,1,1))*(1+0.13*0.25)*(PI()*(fi_h/1000)^2/4)*SQRT(2*9.81*(O2064/100-fi_h/2/1000))*1000)),"",IF(O2064&lt;fi_h/20,0,(OFFSET('Base de dados'!$A$5,IF(O2064&lt;20,1,IF(O2064&gt;1000,10,MATCH(O2064,Cargas,1))),Coluna_fih,1,1))*(PI()*(fi_h/1000)^2/4)*SQRT(2*9.81*(O2064/100-fi_h/2/1000))*1000))</f>
        <v>6.0686717132074319</v>
      </c>
      <c r="Q2064" s="38">
        <f ca="1">IF(O2064="","",IF(Tipo_Vertedor="Retangular",IF(O2064&lt;=cota_s*100,0,IF(Tipo_Vertedor="Retangular",Cd_sr*Lef_sr*((O2064/100-cota_s)^(3/2))*1000)),IF(O2064&lt;=cota_s*100+fi_s/20,0,(OFFSET('Base de dados'!$A$4,IF(O2064&lt;20,1,IF(O2064&gt;1000,10,MATCH(O2064,Cargas,1))),Coluna_fis,1,1))*(PI()*(fi_s/1000)^2/4)*(2*9.81*(O2064/100-cota_s-fi_s/2/1000))^0.5*1000)))</f>
        <v>5.3132335892945468</v>
      </c>
      <c r="R2064" s="38">
        <f t="shared" ca="1" si="245"/>
        <v>11.381905302501979</v>
      </c>
      <c r="S2064" s="38">
        <f t="shared" ca="1" si="246"/>
        <v>644.6875</v>
      </c>
    </row>
    <row r="2065" spans="13:19">
      <c r="M2065" s="132">
        <f t="shared" ca="1" si="243"/>
        <v>656.38506644209838</v>
      </c>
      <c r="N2065" s="38">
        <f t="shared" si="244"/>
        <v>19.350000000000001</v>
      </c>
      <c r="O2065" s="36">
        <f t="shared" si="242"/>
        <v>516</v>
      </c>
      <c r="P2065" s="38">
        <f ca="1">IF(ISERROR(IF(O2065&lt;fi_h/20,0,(OFFSET('Base de dados'!$A$5,IF(O2065&lt;20,1,IF(O2065&gt;1000,10,MATCH(O2065,Cargas,1))),Coluna_fih,1,1))*(1+0.13*0.25)*(PI()*(fi_h/1000)^2/4)*SQRT(2*9.81*(O2065/100-fi_h/2/1000))*1000)),"",IF(O2065&lt;fi_h/20,0,(OFFSET('Base de dados'!$A$5,IF(O2065&lt;20,1,IF(O2065&gt;1000,10,MATCH(O2065,Cargas,1))),Coluna_fih,1,1))*(PI()*(fi_h/1000)^2/4)*SQRT(2*9.81*(O2065/100-fi_h/2/1000))*1000))</f>
        <v>6.070147406790019</v>
      </c>
      <c r="Q2065" s="38">
        <f ca="1">IF(O2065="","",IF(Tipo_Vertedor="Retangular",IF(O2065&lt;=cota_s*100,0,IF(Tipo_Vertedor="Retangular",Cd_sr*Lef_sr*((O2065/100-cota_s)^(3/2))*1000)),IF(O2065&lt;=cota_s*100+fi_s/20,0,(OFFSET('Base de dados'!$A$4,IF(O2065&lt;20,1,IF(O2065&gt;1000,10,MATCH(O2065,Cargas,1))),Coluna_fis,1,1))*(PI()*(fi_s/1000)^2/4)*(2*9.81*(O2065/100-cota_s-fi_s/2/1000))^0.5*1000)))</f>
        <v>5.3149190353083835</v>
      </c>
      <c r="R2065" s="38">
        <f t="shared" ca="1" si="245"/>
        <v>11.385066442098402</v>
      </c>
      <c r="S2065" s="38">
        <f t="shared" ca="1" si="246"/>
        <v>645</v>
      </c>
    </row>
    <row r="2066" spans="13:19">
      <c r="M2066" s="132">
        <f t="shared" ca="1" si="243"/>
        <v>656.70072668871842</v>
      </c>
      <c r="N2066" s="38">
        <f t="shared" si="244"/>
        <v>19.359375</v>
      </c>
      <c r="O2066" s="36">
        <f t="shared" si="242"/>
        <v>516.25</v>
      </c>
      <c r="P2066" s="38">
        <f ca="1">IF(ISERROR(IF(O2066&lt;fi_h/20,0,(OFFSET('Base de dados'!$A$5,IF(O2066&lt;20,1,IF(O2066&gt;1000,10,MATCH(O2066,Cargas,1))),Coluna_fih,1,1))*(1+0.13*0.25)*(PI()*(fi_h/1000)^2/4)*SQRT(2*9.81*(O2066/100-fi_h/2/1000))*1000)),"",IF(O2066&lt;fi_h/20,0,(OFFSET('Base de dados'!$A$5,IF(O2066&lt;20,1,IF(O2066&gt;1000,10,MATCH(O2066,Cargas,1))),Coluna_fih,1,1))*(PI()*(fi_h/1000)^2/4)*SQRT(2*9.81*(O2066/100-fi_h/2/1000))*1000))</f>
        <v>6.0716227417087731</v>
      </c>
      <c r="Q2066" s="38">
        <f ca="1">IF(O2066="","",IF(Tipo_Vertedor="Retangular",IF(O2066&lt;=cota_s*100,0,IF(Tipo_Vertedor="Retangular",Cd_sr*Lef_sr*((O2066/100-cota_s)^(3/2))*1000)),IF(O2066&lt;=cota_s*100+fi_s/20,0,(OFFSET('Base de dados'!$A$4,IF(O2066&lt;20,1,IF(O2066&gt;1000,10,MATCH(O2066,Cargas,1))),Coluna_fis,1,1))*(PI()*(fi_s/1000)^2/4)*(2*9.81*(O2066/100-cota_s-fi_s/2/1000))^0.5*1000)))</f>
        <v>5.3166039470096855</v>
      </c>
      <c r="R2066" s="38">
        <f t="shared" ca="1" si="245"/>
        <v>11.388226688718458</v>
      </c>
      <c r="S2066" s="38">
        <f t="shared" ca="1" si="246"/>
        <v>645.3125</v>
      </c>
    </row>
    <row r="2067" spans="13:19">
      <c r="M2067" s="132">
        <f t="shared" ca="1" si="243"/>
        <v>657.01638604313132</v>
      </c>
      <c r="N2067" s="38">
        <f t="shared" si="244"/>
        <v>19.368749999999999</v>
      </c>
      <c r="O2067" s="36">
        <f t="shared" ref="O2067:O2130" si="247">IF(ISERROR(IF(O2066+passo_altura&gt;h_max_puls*100,"",O2066+passo_altura)),"",IF(O2066+passo_altura&gt;h_max_puls*100,"",O2066+passo_altura))</f>
        <v>516.5</v>
      </c>
      <c r="P2067" s="38">
        <f ca="1">IF(ISERROR(IF(O2067&lt;fi_h/20,0,(OFFSET('Base de dados'!$A$5,IF(O2067&lt;20,1,IF(O2067&gt;1000,10,MATCH(O2067,Cargas,1))),Coluna_fih,1,1))*(1+0.13*0.25)*(PI()*(fi_h/1000)^2/4)*SQRT(2*9.81*(O2067/100-fi_h/2/1000))*1000)),"",IF(O2067&lt;fi_h/20,0,(OFFSET('Base de dados'!$A$5,IF(O2067&lt;20,1,IF(O2067&gt;1000,10,MATCH(O2067,Cargas,1))),Coluna_fih,1,1))*(PI()*(fi_h/1000)^2/4)*SQRT(2*9.81*(O2067/100-fi_h/2/1000))*1000))</f>
        <v>6.0730977182250845</v>
      </c>
      <c r="Q2067" s="38">
        <f ca="1">IF(O2067="","",IF(Tipo_Vertedor="Retangular",IF(O2067&lt;=cota_s*100,0,IF(Tipo_Vertedor="Retangular",Cd_sr*Lef_sr*((O2067/100-cota_s)^(3/2))*1000)),IF(O2067&lt;=cota_s*100+fi_s/20,0,(OFFSET('Base de dados'!$A$4,IF(O2067&lt;20,1,IF(O2067&gt;1000,10,MATCH(O2067,Cargas,1))),Coluna_fis,1,1))*(PI()*(fi_s/1000)^2/4)*(2*9.81*(O2067/100-cota_s-fi_s/2/1000))^0.5*1000)))</f>
        <v>5.3182883249062893</v>
      </c>
      <c r="R2067" s="38">
        <f t="shared" ca="1" si="245"/>
        <v>11.391386043131373</v>
      </c>
      <c r="S2067" s="38">
        <f t="shared" ca="1" si="246"/>
        <v>645.625</v>
      </c>
    </row>
    <row r="2068" spans="13:19">
      <c r="M2068" s="132">
        <f t="shared" ca="1" si="243"/>
        <v>657.33204450610526</v>
      </c>
      <c r="N2068" s="38">
        <f t="shared" si="244"/>
        <v>19.378125000000001</v>
      </c>
      <c r="O2068" s="36">
        <f t="shared" si="247"/>
        <v>516.75</v>
      </c>
      <c r="P2068" s="38">
        <f ca="1">IF(ISERROR(IF(O2068&lt;fi_h/20,0,(OFFSET('Base de dados'!$A$5,IF(O2068&lt;20,1,IF(O2068&gt;1000,10,MATCH(O2068,Cargas,1))),Coluna_fih,1,1))*(1+0.13*0.25)*(PI()*(fi_h/1000)^2/4)*SQRT(2*9.81*(O2068/100-fi_h/2/1000))*1000)),"",IF(O2068&lt;fi_h/20,0,(OFFSET('Base de dados'!$A$5,IF(O2068&lt;20,1,IF(O2068&gt;1000,10,MATCH(O2068,Cargas,1))),Coluna_fih,1,1))*(PI()*(fi_h/1000)^2/4)*SQRT(2*9.81*(O2068/100-fi_h/2/1000))*1000))</f>
        <v>6.0745723366000277</v>
      </c>
      <c r="Q2068" s="38">
        <f ca="1">IF(O2068="","",IF(Tipo_Vertedor="Retangular",IF(O2068&lt;=cota_s*100,0,IF(Tipo_Vertedor="Retangular",Cd_sr*Lef_sr*((O2068/100-cota_s)^(3/2))*1000)),IF(O2068&lt;=cota_s*100+fi_s/20,0,(OFFSET('Base de dados'!$A$4,IF(O2068&lt;20,1,IF(O2068&gt;1000,10,MATCH(O2068,Cargas,1))),Coluna_fis,1,1))*(PI()*(fi_s/1000)^2/4)*(2*9.81*(O2068/100-cota_s-fi_s/2/1000))^0.5*1000)))</f>
        <v>5.3199721695052249</v>
      </c>
      <c r="R2068" s="38">
        <f t="shared" ca="1" si="245"/>
        <v>11.394544506105252</v>
      </c>
      <c r="S2068" s="38">
        <f t="shared" ca="1" si="246"/>
        <v>645.9375</v>
      </c>
    </row>
    <row r="2069" spans="13:19">
      <c r="M2069" s="132">
        <f t="shared" ca="1" si="243"/>
        <v>657.64770207840706</v>
      </c>
      <c r="N2069" s="38">
        <f t="shared" si="244"/>
        <v>19.387499999999999</v>
      </c>
      <c r="O2069" s="36">
        <f t="shared" si="247"/>
        <v>517</v>
      </c>
      <c r="P2069" s="38">
        <f ca="1">IF(ISERROR(IF(O2069&lt;fi_h/20,0,(OFFSET('Base de dados'!$A$5,IF(O2069&lt;20,1,IF(O2069&gt;1000,10,MATCH(O2069,Cargas,1))),Coluna_fih,1,1))*(1+0.13*0.25)*(PI()*(fi_h/1000)^2/4)*SQRT(2*9.81*(O2069/100-fi_h/2/1000))*1000)),"",IF(O2069&lt;fi_h/20,0,(OFFSET('Base de dados'!$A$5,IF(O2069&lt;20,1,IF(O2069&gt;1000,10,MATCH(O2069,Cargas,1))),Coluna_fih,1,1))*(PI()*(fi_h/1000)^2/4)*SQRT(2*9.81*(O2069/100-fi_h/2/1000))*1000))</f>
        <v>6.076046597094356</v>
      </c>
      <c r="Q2069" s="38">
        <f ca="1">IF(O2069="","",IF(Tipo_Vertedor="Retangular",IF(O2069&lt;=cota_s*100,0,IF(Tipo_Vertedor="Retangular",Cd_sr*Lef_sr*((O2069/100-cota_s)^(3/2))*1000)),IF(O2069&lt;=cota_s*100+fi_s/20,0,(OFFSET('Base de dados'!$A$4,IF(O2069&lt;20,1,IF(O2069&gt;1000,10,MATCH(O2069,Cargas,1))),Coluna_fis,1,1))*(PI()*(fi_s/1000)^2/4)*(2*9.81*(O2069/100-cota_s-fi_s/2/1000))^0.5*1000)))</f>
        <v>5.3216554813127175</v>
      </c>
      <c r="R2069" s="38">
        <f t="shared" ca="1" si="245"/>
        <v>11.397702078407074</v>
      </c>
      <c r="S2069" s="38">
        <f t="shared" ca="1" si="246"/>
        <v>646.25</v>
      </c>
    </row>
    <row r="2070" spans="13:19">
      <c r="M2070" s="132">
        <f t="shared" ca="1" si="243"/>
        <v>657.96335876080275</v>
      </c>
      <c r="N2070" s="38">
        <f t="shared" si="244"/>
        <v>19.396875000000001</v>
      </c>
      <c r="O2070" s="36">
        <f t="shared" si="247"/>
        <v>517.25</v>
      </c>
      <c r="P2070" s="38">
        <f ca="1">IF(ISERROR(IF(O2070&lt;fi_h/20,0,(OFFSET('Base de dados'!$A$5,IF(O2070&lt;20,1,IF(O2070&gt;1000,10,MATCH(O2070,Cargas,1))),Coluna_fih,1,1))*(1+0.13*0.25)*(PI()*(fi_h/1000)^2/4)*SQRT(2*9.81*(O2070/100-fi_h/2/1000))*1000)),"",IF(O2070&lt;fi_h/20,0,(OFFSET('Base de dados'!$A$5,IF(O2070&lt;20,1,IF(O2070&gt;1000,10,MATCH(O2070,Cargas,1))),Coluna_fih,1,1))*(PI()*(fi_h/1000)^2/4)*SQRT(2*9.81*(O2070/100-fi_h/2/1000))*1000))</f>
        <v>6.0775204999685091</v>
      </c>
      <c r="Q2070" s="38">
        <f ca="1">IF(O2070="","",IF(Tipo_Vertedor="Retangular",IF(O2070&lt;=cota_s*100,0,IF(Tipo_Vertedor="Retangular",Cd_sr*Lef_sr*((O2070/100-cota_s)^(3/2))*1000)),IF(O2070&lt;=cota_s*100+fi_s/20,0,(OFFSET('Base de dados'!$A$4,IF(O2070&lt;20,1,IF(O2070&gt;1000,10,MATCH(O2070,Cargas,1))),Coluna_fis,1,1))*(PI()*(fi_s/1000)^2/4)*(2*9.81*(O2070/100-cota_s-fi_s/2/1000))^0.5*1000)))</f>
        <v>5.3233382608341984</v>
      </c>
      <c r="R2070" s="38">
        <f t="shared" ca="1" si="245"/>
        <v>11.400858760802707</v>
      </c>
      <c r="S2070" s="38">
        <f t="shared" ca="1" si="246"/>
        <v>646.5625</v>
      </c>
    </row>
    <row r="2071" spans="13:19">
      <c r="M2071" s="132">
        <f t="shared" ref="M2071:M2134" ca="1" si="248">IF(O2071="","",2*N2071*1000/(Passo*60)+R2071)</f>
        <v>658.27901455405686</v>
      </c>
      <c r="N2071" s="38">
        <f t="shared" ref="N2071:N2134" si="249">IF(O2071="","",b_0*(O2071/100)^c_0)</f>
        <v>19.40625</v>
      </c>
      <c r="O2071" s="36">
        <f t="shared" si="247"/>
        <v>517.5</v>
      </c>
      <c r="P2071" s="38">
        <f ca="1">IF(ISERROR(IF(O2071&lt;fi_h/20,0,(OFFSET('Base de dados'!$A$5,IF(O2071&lt;20,1,IF(O2071&gt;1000,10,MATCH(O2071,Cargas,1))),Coluna_fih,1,1))*(1+0.13*0.25)*(PI()*(fi_h/1000)^2/4)*SQRT(2*9.81*(O2071/100-fi_h/2/1000))*1000)),"",IF(O2071&lt;fi_h/20,0,(OFFSET('Base de dados'!$A$5,IF(O2071&lt;20,1,IF(O2071&gt;1000,10,MATCH(O2071,Cargas,1))),Coluna_fih,1,1))*(PI()*(fi_h/1000)^2/4)*SQRT(2*9.81*(O2071/100-fi_h/2/1000))*1000))</f>
        <v>6.0789940454826104</v>
      </c>
      <c r="Q2071" s="38">
        <f ca="1">IF(O2071="","",IF(Tipo_Vertedor="Retangular",IF(O2071&lt;=cota_s*100,0,IF(Tipo_Vertedor="Retangular",Cd_sr*Lef_sr*((O2071/100-cota_s)^(3/2))*1000)),IF(O2071&lt;=cota_s*100+fi_s/20,0,(OFFSET('Base de dados'!$A$4,IF(O2071&lt;20,1,IF(O2071&gt;1000,10,MATCH(O2071,Cargas,1))),Coluna_fis,1,1))*(PI()*(fi_s/1000)^2/4)*(2*9.81*(O2071/100-cota_s-fi_s/2/1000))^0.5*1000)))</f>
        <v>5.325020508574295</v>
      </c>
      <c r="R2071" s="38">
        <f t="shared" ref="R2071:R2134" ca="1" si="250">IF(O2071="","",Q2071+P2071)</f>
        <v>11.404014554056905</v>
      </c>
      <c r="S2071" s="38">
        <f t="shared" ref="S2071:S2134" ca="1" si="251">IF(M2071="","",2*N2071*1000/(Passo*60))</f>
        <v>646.875</v>
      </c>
    </row>
    <row r="2072" spans="13:19">
      <c r="M2072" s="132">
        <f t="shared" ca="1" si="248"/>
        <v>658.59466945893348</v>
      </c>
      <c r="N2072" s="38">
        <f t="shared" si="249"/>
        <v>19.415625000000002</v>
      </c>
      <c r="O2072" s="36">
        <f t="shared" si="247"/>
        <v>517.75</v>
      </c>
      <c r="P2072" s="38">
        <f ca="1">IF(ISERROR(IF(O2072&lt;fi_h/20,0,(OFFSET('Base de dados'!$A$5,IF(O2072&lt;20,1,IF(O2072&gt;1000,10,MATCH(O2072,Cargas,1))),Coluna_fih,1,1))*(1+0.13*0.25)*(PI()*(fi_h/1000)^2/4)*SQRT(2*9.81*(O2072/100-fi_h/2/1000))*1000)),"",IF(O2072&lt;fi_h/20,0,(OFFSET('Base de dados'!$A$5,IF(O2072&lt;20,1,IF(O2072&gt;1000,10,MATCH(O2072,Cargas,1))),Coluna_fih,1,1))*(PI()*(fi_h/1000)^2/4)*SQRT(2*9.81*(O2072/100-fi_h/2/1000))*1000))</f>
        <v>6.0804672338964725</v>
      </c>
      <c r="Q2072" s="38">
        <f ca="1">IF(O2072="","",IF(Tipo_Vertedor="Retangular",IF(O2072&lt;=cota_s*100,0,IF(Tipo_Vertedor="Retangular",Cd_sr*Lef_sr*((O2072/100-cota_s)^(3/2))*1000)),IF(O2072&lt;=cota_s*100+fi_s/20,0,(OFFSET('Base de dados'!$A$4,IF(O2072&lt;20,1,IF(O2072&gt;1000,10,MATCH(O2072,Cargas,1))),Coluna_fis,1,1))*(PI()*(fi_s/1000)^2/4)*(2*9.81*(O2072/100-cota_s-fi_s/2/1000))^0.5*1000)))</f>
        <v>5.3267022250368399</v>
      </c>
      <c r="R2072" s="38">
        <f t="shared" ca="1" si="250"/>
        <v>11.407169458933312</v>
      </c>
      <c r="S2072" s="38">
        <f t="shared" ca="1" si="251"/>
        <v>647.18750000000011</v>
      </c>
    </row>
    <row r="2073" spans="13:19">
      <c r="M2073" s="132">
        <f t="shared" ca="1" si="248"/>
        <v>658.91032347619432</v>
      </c>
      <c r="N2073" s="38">
        <f t="shared" si="249"/>
        <v>19.424999999999997</v>
      </c>
      <c r="O2073" s="36">
        <f t="shared" si="247"/>
        <v>518</v>
      </c>
      <c r="P2073" s="38">
        <f ca="1">IF(ISERROR(IF(O2073&lt;fi_h/20,0,(OFFSET('Base de dados'!$A$5,IF(O2073&lt;20,1,IF(O2073&gt;1000,10,MATCH(O2073,Cargas,1))),Coluna_fih,1,1))*(1+0.13*0.25)*(PI()*(fi_h/1000)^2/4)*SQRT(2*9.81*(O2073/100-fi_h/2/1000))*1000)),"",IF(O2073&lt;fi_h/20,0,(OFFSET('Base de dados'!$A$5,IF(O2073&lt;20,1,IF(O2073&gt;1000,10,MATCH(O2073,Cargas,1))),Coluna_fih,1,1))*(PI()*(fi_h/1000)^2/4)*SQRT(2*9.81*(O2073/100-fi_h/2/1000))*1000))</f>
        <v>6.0819400654695857</v>
      </c>
      <c r="Q2073" s="38">
        <f ca="1">IF(O2073="","",IF(Tipo_Vertedor="Retangular",IF(O2073&lt;=cota_s*100,0,IF(Tipo_Vertedor="Retangular",Cd_sr*Lef_sr*((O2073/100-cota_s)^(3/2))*1000)),IF(O2073&lt;=cota_s*100+fi_s/20,0,(OFFSET('Base de dados'!$A$4,IF(O2073&lt;20,1,IF(O2073&gt;1000,10,MATCH(O2073,Cargas,1))),Coluna_fis,1,1))*(PI()*(fi_s/1000)^2/4)*(2*9.81*(O2073/100-cota_s-fi_s/2/1000))^0.5*1000)))</f>
        <v>5.3283834107248698</v>
      </c>
      <c r="R2073" s="38">
        <f t="shared" ca="1" si="250"/>
        <v>11.410323476194456</v>
      </c>
      <c r="S2073" s="38">
        <f t="shared" ca="1" si="251"/>
        <v>647.49999999999989</v>
      </c>
    </row>
    <row r="2074" spans="13:19">
      <c r="M2074" s="132">
        <f t="shared" ca="1" si="248"/>
        <v>659.22597660660176</v>
      </c>
      <c r="N2074" s="38">
        <f t="shared" si="249"/>
        <v>19.434374999999999</v>
      </c>
      <c r="O2074" s="36">
        <f t="shared" si="247"/>
        <v>518.25</v>
      </c>
      <c r="P2074" s="38">
        <f ca="1">IF(ISERROR(IF(O2074&lt;fi_h/20,0,(OFFSET('Base de dados'!$A$5,IF(O2074&lt;20,1,IF(O2074&gt;1000,10,MATCH(O2074,Cargas,1))),Coluna_fih,1,1))*(1+0.13*0.25)*(PI()*(fi_h/1000)^2/4)*SQRT(2*9.81*(O2074/100-fi_h/2/1000))*1000)),"",IF(O2074&lt;fi_h/20,0,(OFFSET('Base de dados'!$A$5,IF(O2074&lt;20,1,IF(O2074&gt;1000,10,MATCH(O2074,Cargas,1))),Coluna_fih,1,1))*(PI()*(fi_h/1000)^2/4)*SQRT(2*9.81*(O2074/100-fi_h/2/1000))*1000))</f>
        <v>6.0834125404611319</v>
      </c>
      <c r="Q2074" s="38">
        <f ca="1">IF(O2074="","",IF(Tipo_Vertedor="Retangular",IF(O2074&lt;=cota_s*100,0,IF(Tipo_Vertedor="Retangular",Cd_sr*Lef_sr*((O2074/100-cota_s)^(3/2))*1000)),IF(O2074&lt;=cota_s*100+fi_s/20,0,(OFFSET('Base de dados'!$A$4,IF(O2074&lt;20,1,IF(O2074&gt;1000,10,MATCH(O2074,Cargas,1))),Coluna_fis,1,1))*(PI()*(fi_s/1000)^2/4)*(2*9.81*(O2074/100-cota_s-fi_s/2/1000))^0.5*1000)))</f>
        <v>5.3300640661406291</v>
      </c>
      <c r="R2074" s="38">
        <f t="shared" ca="1" si="250"/>
        <v>11.413476606601762</v>
      </c>
      <c r="S2074" s="38">
        <f t="shared" ca="1" si="251"/>
        <v>647.8125</v>
      </c>
    </row>
    <row r="2075" spans="13:19">
      <c r="M2075" s="132">
        <f t="shared" ca="1" si="248"/>
        <v>659.54162885091546</v>
      </c>
      <c r="N2075" s="38">
        <f t="shared" si="249"/>
        <v>19.443749999999998</v>
      </c>
      <c r="O2075" s="36">
        <f t="shared" si="247"/>
        <v>518.5</v>
      </c>
      <c r="P2075" s="38">
        <f ca="1">IF(ISERROR(IF(O2075&lt;fi_h/20,0,(OFFSET('Base de dados'!$A$5,IF(O2075&lt;20,1,IF(O2075&gt;1000,10,MATCH(O2075,Cargas,1))),Coluna_fih,1,1))*(1+0.13*0.25)*(PI()*(fi_h/1000)^2/4)*SQRT(2*9.81*(O2075/100-fi_h/2/1000))*1000)),"",IF(O2075&lt;fi_h/20,0,(OFFSET('Base de dados'!$A$5,IF(O2075&lt;20,1,IF(O2075&gt;1000,10,MATCH(O2075,Cargas,1))),Coluna_fih,1,1))*(PI()*(fi_h/1000)^2/4)*SQRT(2*9.81*(O2075/100-fi_h/2/1000))*1000))</f>
        <v>6.0848846591299779</v>
      </c>
      <c r="Q2075" s="38">
        <f ca="1">IF(O2075="","",IF(Tipo_Vertedor="Retangular",IF(O2075&lt;=cota_s*100,0,IF(Tipo_Vertedor="Retangular",Cd_sr*Lef_sr*((O2075/100-cota_s)^(3/2))*1000)),IF(O2075&lt;=cota_s*100+fi_s/20,0,(OFFSET('Base de dados'!$A$4,IF(O2075&lt;20,1,IF(O2075&gt;1000,10,MATCH(O2075,Cargas,1))),Coluna_fis,1,1))*(PI()*(fi_s/1000)^2/4)*(2*9.81*(O2075/100-cota_s-fi_s/2/1000))^0.5*1000)))</f>
        <v>5.3317441917855675</v>
      </c>
      <c r="R2075" s="38">
        <f t="shared" ca="1" si="250"/>
        <v>11.416628850915545</v>
      </c>
      <c r="S2075" s="38">
        <f t="shared" ca="1" si="251"/>
        <v>648.12499999999989</v>
      </c>
    </row>
    <row r="2076" spans="13:19">
      <c r="M2076" s="132">
        <f t="shared" ca="1" si="248"/>
        <v>659.85728020989507</v>
      </c>
      <c r="N2076" s="38">
        <f t="shared" si="249"/>
        <v>19.453125</v>
      </c>
      <c r="O2076" s="36">
        <f t="shared" si="247"/>
        <v>518.75</v>
      </c>
      <c r="P2076" s="38">
        <f ca="1">IF(ISERROR(IF(O2076&lt;fi_h/20,0,(OFFSET('Base de dados'!$A$5,IF(O2076&lt;20,1,IF(O2076&gt;1000,10,MATCH(O2076,Cargas,1))),Coluna_fih,1,1))*(1+0.13*0.25)*(PI()*(fi_h/1000)^2/4)*SQRT(2*9.81*(O2076/100-fi_h/2/1000))*1000)),"",IF(O2076&lt;fi_h/20,0,(OFFSET('Base de dados'!$A$5,IF(O2076&lt;20,1,IF(O2076&gt;1000,10,MATCH(O2076,Cargas,1))),Coluna_fih,1,1))*(PI()*(fi_h/1000)^2/4)*SQRT(2*9.81*(O2076/100-fi_h/2/1000))*1000))</f>
        <v>6.0863564217346751</v>
      </c>
      <c r="Q2076" s="38">
        <f ca="1">IF(O2076="","",IF(Tipo_Vertedor="Retangular",IF(O2076&lt;=cota_s*100,0,IF(Tipo_Vertedor="Retangular",Cd_sr*Lef_sr*((O2076/100-cota_s)^(3/2))*1000)),IF(O2076&lt;=cota_s*100+fi_s/20,0,(OFFSET('Base de dados'!$A$4,IF(O2076&lt;20,1,IF(O2076&gt;1000,10,MATCH(O2076,Cargas,1))),Coluna_fis,1,1))*(PI()*(fi_s/1000)^2/4)*(2*9.81*(O2076/100-cota_s-fi_s/2/1000))^0.5*1000)))</f>
        <v>5.3334237881603528</v>
      </c>
      <c r="R2076" s="38">
        <f t="shared" ca="1" si="250"/>
        <v>11.419780209895027</v>
      </c>
      <c r="S2076" s="38">
        <f t="shared" ca="1" si="251"/>
        <v>648.4375</v>
      </c>
    </row>
    <row r="2077" spans="13:19">
      <c r="M2077" s="132">
        <f t="shared" ca="1" si="248"/>
        <v>660.17293068429842</v>
      </c>
      <c r="N2077" s="38">
        <f t="shared" si="249"/>
        <v>19.462500000000002</v>
      </c>
      <c r="O2077" s="36">
        <f t="shared" si="247"/>
        <v>519</v>
      </c>
      <c r="P2077" s="38">
        <f ca="1">IF(ISERROR(IF(O2077&lt;fi_h/20,0,(OFFSET('Base de dados'!$A$5,IF(O2077&lt;20,1,IF(O2077&gt;1000,10,MATCH(O2077,Cargas,1))),Coluna_fih,1,1))*(1+0.13*0.25)*(PI()*(fi_h/1000)^2/4)*SQRT(2*9.81*(O2077/100-fi_h/2/1000))*1000)),"",IF(O2077&lt;fi_h/20,0,(OFFSET('Base de dados'!$A$5,IF(O2077&lt;20,1,IF(O2077&gt;1000,10,MATCH(O2077,Cargas,1))),Coluna_fih,1,1))*(PI()*(fi_h/1000)^2/4)*SQRT(2*9.81*(O2077/100-fi_h/2/1000))*1000))</f>
        <v>6.0878278285334657</v>
      </c>
      <c r="Q2077" s="38">
        <f ca="1">IF(O2077="","",IF(Tipo_Vertedor="Retangular",IF(O2077&lt;=cota_s*100,0,IF(Tipo_Vertedor="Retangular",Cd_sr*Lef_sr*((O2077/100-cota_s)^(3/2))*1000)),IF(O2077&lt;=cota_s*100+fi_s/20,0,(OFFSET('Base de dados'!$A$4,IF(O2077&lt;20,1,IF(O2077&gt;1000,10,MATCH(O2077,Cargas,1))),Coluna_fis,1,1))*(PI()*(fi_s/1000)^2/4)*(2*9.81*(O2077/100-cota_s-fi_s/2/1000))^0.5*1000)))</f>
        <v>5.3351028557648545</v>
      </c>
      <c r="R2077" s="38">
        <f t="shared" ca="1" si="250"/>
        <v>11.42293068429832</v>
      </c>
      <c r="S2077" s="38">
        <f t="shared" ca="1" si="251"/>
        <v>648.75000000000011</v>
      </c>
    </row>
    <row r="2078" spans="13:19">
      <c r="M2078" s="132">
        <f t="shared" ca="1" si="248"/>
        <v>660.48858027488245</v>
      </c>
      <c r="N2078" s="38">
        <f t="shared" si="249"/>
        <v>19.471875000000001</v>
      </c>
      <c r="O2078" s="36">
        <f t="shared" si="247"/>
        <v>519.25</v>
      </c>
      <c r="P2078" s="38">
        <f ca="1">IF(ISERROR(IF(O2078&lt;fi_h/20,0,(OFFSET('Base de dados'!$A$5,IF(O2078&lt;20,1,IF(O2078&gt;1000,10,MATCH(O2078,Cargas,1))),Coluna_fih,1,1))*(1+0.13*0.25)*(PI()*(fi_h/1000)^2/4)*SQRT(2*9.81*(O2078/100-fi_h/2/1000))*1000)),"",IF(O2078&lt;fi_h/20,0,(OFFSET('Base de dados'!$A$5,IF(O2078&lt;20,1,IF(O2078&gt;1000,10,MATCH(O2078,Cargas,1))),Coluna_fih,1,1))*(PI()*(fi_h/1000)^2/4)*SQRT(2*9.81*(O2078/100-fi_h/2/1000))*1000))</f>
        <v>6.0892988797842795</v>
      </c>
      <c r="Q2078" s="38">
        <f ca="1">IF(O2078="","",IF(Tipo_Vertedor="Retangular",IF(O2078&lt;=cota_s*100,0,IF(Tipo_Vertedor="Retangular",Cd_sr*Lef_sr*((O2078/100-cota_s)^(3/2))*1000)),IF(O2078&lt;=cota_s*100+fi_s/20,0,(OFFSET('Base de dados'!$A$4,IF(O2078&lt;20,1,IF(O2078&gt;1000,10,MATCH(O2078,Cargas,1))),Coluna_fis,1,1))*(PI()*(fi_s/1000)^2/4)*(2*9.81*(O2078/100-cota_s-fi_s/2/1000))^0.5*1000)))</f>
        <v>5.3367813950981615</v>
      </c>
      <c r="R2078" s="38">
        <f t="shared" ca="1" si="250"/>
        <v>11.426080274882441</v>
      </c>
      <c r="S2078" s="38">
        <f t="shared" ca="1" si="251"/>
        <v>649.0625</v>
      </c>
    </row>
    <row r="2079" spans="13:19">
      <c r="M2079" s="132">
        <f t="shared" ca="1" si="248"/>
        <v>660.8042289824034</v>
      </c>
      <c r="N2079" s="38">
        <f t="shared" si="249"/>
        <v>19.481250000000003</v>
      </c>
      <c r="O2079" s="36">
        <f t="shared" si="247"/>
        <v>519.5</v>
      </c>
      <c r="P2079" s="38">
        <f ca="1">IF(ISERROR(IF(O2079&lt;fi_h/20,0,(OFFSET('Base de dados'!$A$5,IF(O2079&lt;20,1,IF(O2079&gt;1000,10,MATCH(O2079,Cargas,1))),Coluna_fih,1,1))*(1+0.13*0.25)*(PI()*(fi_h/1000)^2/4)*SQRT(2*9.81*(O2079/100-fi_h/2/1000))*1000)),"",IF(O2079&lt;fi_h/20,0,(OFFSET('Base de dados'!$A$5,IF(O2079&lt;20,1,IF(O2079&gt;1000,10,MATCH(O2079,Cargas,1))),Coluna_fih,1,1))*(PI()*(fi_h/1000)^2/4)*SQRT(2*9.81*(O2079/100-fi_h/2/1000))*1000))</f>
        <v>6.0907695757447309</v>
      </c>
      <c r="Q2079" s="38">
        <f ca="1">IF(O2079="","",IF(Tipo_Vertedor="Retangular",IF(O2079&lt;=cota_s*100,0,IF(Tipo_Vertedor="Retangular",Cd_sr*Lef_sr*((O2079/100-cota_s)^(3/2))*1000)),IF(O2079&lt;=cota_s*100+fi_s/20,0,(OFFSET('Base de dados'!$A$4,IF(O2079&lt;20,1,IF(O2079&gt;1000,10,MATCH(O2079,Cargas,1))),Coluna_fis,1,1))*(PI()*(fi_s/1000)^2/4)*(2*9.81*(O2079/100-cota_s-fi_s/2/1000))^0.5*1000)))</f>
        <v>5.3384594066585773</v>
      </c>
      <c r="R2079" s="38">
        <f t="shared" ca="1" si="250"/>
        <v>11.429228982403309</v>
      </c>
      <c r="S2079" s="38">
        <f t="shared" ca="1" si="251"/>
        <v>649.37500000000011</v>
      </c>
    </row>
    <row r="2080" spans="13:19">
      <c r="M2080" s="132">
        <f t="shared" ca="1" si="248"/>
        <v>661.11987680761558</v>
      </c>
      <c r="N2080" s="38">
        <f t="shared" si="249"/>
        <v>19.490624999999998</v>
      </c>
      <c r="O2080" s="36">
        <f t="shared" si="247"/>
        <v>519.75</v>
      </c>
      <c r="P2080" s="38">
        <f ca="1">IF(ISERROR(IF(O2080&lt;fi_h/20,0,(OFFSET('Base de dados'!$A$5,IF(O2080&lt;20,1,IF(O2080&gt;1000,10,MATCH(O2080,Cargas,1))),Coluna_fih,1,1))*(1+0.13*0.25)*(PI()*(fi_h/1000)^2/4)*SQRT(2*9.81*(O2080/100-fi_h/2/1000))*1000)),"",IF(O2080&lt;fi_h/20,0,(OFFSET('Base de dados'!$A$5,IF(O2080&lt;20,1,IF(O2080&gt;1000,10,MATCH(O2080,Cargas,1))),Coluna_fih,1,1))*(PI()*(fi_h/1000)^2/4)*SQRT(2*9.81*(O2080/100-fi_h/2/1000))*1000))</f>
        <v>6.0922399166721277</v>
      </c>
      <c r="Q2080" s="38">
        <f ca="1">IF(O2080="","",IF(Tipo_Vertedor="Retangular",IF(O2080&lt;=cota_s*100,0,IF(Tipo_Vertedor="Retangular",Cd_sr*Lef_sr*((O2080/100-cota_s)^(3/2))*1000)),IF(O2080&lt;=cota_s*100+fi_s/20,0,(OFFSET('Base de dados'!$A$4,IF(O2080&lt;20,1,IF(O2080&gt;1000,10,MATCH(O2080,Cargas,1))),Coluna_fis,1,1))*(PI()*(fi_s/1000)^2/4)*(2*9.81*(O2080/100-cota_s-fi_s/2/1000))^0.5*1000)))</f>
        <v>5.3401368909436231</v>
      </c>
      <c r="R2080" s="38">
        <f t="shared" ca="1" si="250"/>
        <v>11.43237680761575</v>
      </c>
      <c r="S2080" s="38">
        <f t="shared" ca="1" si="251"/>
        <v>649.68749999999989</v>
      </c>
    </row>
    <row r="2081" spans="13:19">
      <c r="M2081" s="132">
        <f t="shared" ca="1" si="248"/>
        <v>661.43552375127354</v>
      </c>
      <c r="N2081" s="38">
        <f t="shared" si="249"/>
        <v>19.5</v>
      </c>
      <c r="O2081" s="36">
        <f t="shared" si="247"/>
        <v>520</v>
      </c>
      <c r="P2081" s="38">
        <f ca="1">IF(ISERROR(IF(O2081&lt;fi_h/20,0,(OFFSET('Base de dados'!$A$5,IF(O2081&lt;20,1,IF(O2081&gt;1000,10,MATCH(O2081,Cargas,1))),Coluna_fih,1,1))*(1+0.13*0.25)*(PI()*(fi_h/1000)^2/4)*SQRT(2*9.81*(O2081/100-fi_h/2/1000))*1000)),"",IF(O2081&lt;fi_h/20,0,(OFFSET('Base de dados'!$A$5,IF(O2081&lt;20,1,IF(O2081&gt;1000,10,MATCH(O2081,Cargas,1))),Coluna_fih,1,1))*(PI()*(fi_h/1000)^2/4)*SQRT(2*9.81*(O2081/100-fi_h/2/1000))*1000))</f>
        <v>6.093709902823468</v>
      </c>
      <c r="Q2081" s="38">
        <f ca="1">IF(O2081="","",IF(Tipo_Vertedor="Retangular",IF(O2081&lt;=cota_s*100,0,IF(Tipo_Vertedor="Retangular",Cd_sr*Lef_sr*((O2081/100-cota_s)^(3/2))*1000)),IF(O2081&lt;=cota_s*100+fi_s/20,0,(OFFSET('Base de dados'!$A$4,IF(O2081&lt;20,1,IF(O2081&gt;1000,10,MATCH(O2081,Cargas,1))),Coluna_fis,1,1))*(PI()*(fi_s/1000)^2/4)*(2*9.81*(O2081/100-cota_s-fi_s/2/1000))^0.5*1000)))</f>
        <v>5.3418138484500375</v>
      </c>
      <c r="R2081" s="38">
        <f t="shared" ca="1" si="250"/>
        <v>11.435523751273506</v>
      </c>
      <c r="S2081" s="38">
        <f t="shared" ca="1" si="251"/>
        <v>650</v>
      </c>
    </row>
    <row r="2082" spans="13:19">
      <c r="M2082" s="132">
        <f t="shared" ca="1" si="248"/>
        <v>661.75116981412918</v>
      </c>
      <c r="N2082" s="38">
        <f t="shared" si="249"/>
        <v>19.509374999999999</v>
      </c>
      <c r="O2082" s="36">
        <f t="shared" si="247"/>
        <v>520.25</v>
      </c>
      <c r="P2082" s="38">
        <f ca="1">IF(ISERROR(IF(O2082&lt;fi_h/20,0,(OFFSET('Base de dados'!$A$5,IF(O2082&lt;20,1,IF(O2082&gt;1000,10,MATCH(O2082,Cargas,1))),Coluna_fih,1,1))*(1+0.13*0.25)*(PI()*(fi_h/1000)^2/4)*SQRT(2*9.81*(O2082/100-fi_h/2/1000))*1000)),"",IF(O2082&lt;fi_h/20,0,(OFFSET('Base de dados'!$A$5,IF(O2082&lt;20,1,IF(O2082&gt;1000,10,MATCH(O2082,Cargas,1))),Coluna_fih,1,1))*(PI()*(fi_h/1000)^2/4)*SQRT(2*9.81*(O2082/100-fi_h/2/1000))*1000))</f>
        <v>6.0951795344554336</v>
      </c>
      <c r="Q2082" s="38">
        <f ca="1">IF(O2082="","",IF(Tipo_Vertedor="Retangular",IF(O2082&lt;=cota_s*100,0,IF(Tipo_Vertedor="Retangular",Cd_sr*Lef_sr*((O2082/100-cota_s)^(3/2))*1000)),IF(O2082&lt;=cota_s*100+fi_s/20,0,(OFFSET('Base de dados'!$A$4,IF(O2082&lt;20,1,IF(O2082&gt;1000,10,MATCH(O2082,Cargas,1))),Coluna_fis,1,1))*(PI()*(fi_s/1000)^2/4)*(2*9.81*(O2082/100-cota_s-fi_s/2/1000))^0.5*1000)))</f>
        <v>5.3434902796737802</v>
      </c>
      <c r="R2082" s="38">
        <f t="shared" ca="1" si="250"/>
        <v>11.438669814129213</v>
      </c>
      <c r="S2082" s="38">
        <f t="shared" ca="1" si="251"/>
        <v>650.3125</v>
      </c>
    </row>
    <row r="2083" spans="13:19">
      <c r="M2083" s="132">
        <f t="shared" ca="1" si="248"/>
        <v>662.06681499693445</v>
      </c>
      <c r="N2083" s="38">
        <f t="shared" si="249"/>
        <v>19.518750000000001</v>
      </c>
      <c r="O2083" s="36">
        <f t="shared" si="247"/>
        <v>520.5</v>
      </c>
      <c r="P2083" s="38">
        <f ca="1">IF(ISERROR(IF(O2083&lt;fi_h/20,0,(OFFSET('Base de dados'!$A$5,IF(O2083&lt;20,1,IF(O2083&gt;1000,10,MATCH(O2083,Cargas,1))),Coluna_fih,1,1))*(1+0.13*0.25)*(PI()*(fi_h/1000)^2/4)*SQRT(2*9.81*(O2083/100-fi_h/2/1000))*1000)),"",IF(O2083&lt;fi_h/20,0,(OFFSET('Base de dados'!$A$5,IF(O2083&lt;20,1,IF(O2083&gt;1000,10,MATCH(O2083,Cargas,1))),Coluna_fih,1,1))*(PI()*(fi_h/1000)^2/4)*SQRT(2*9.81*(O2083/100-fi_h/2/1000))*1000))</f>
        <v>6.0966488118244069</v>
      </c>
      <c r="Q2083" s="38">
        <f ca="1">IF(O2083="","",IF(Tipo_Vertedor="Retangular",IF(O2083&lt;=cota_s*100,0,IF(Tipo_Vertedor="Retangular",Cd_sr*Lef_sr*((O2083/100-cota_s)^(3/2))*1000)),IF(O2083&lt;=cota_s*100+fi_s/20,0,(OFFSET('Base de dados'!$A$4,IF(O2083&lt;20,1,IF(O2083&gt;1000,10,MATCH(O2083,Cargas,1))),Coluna_fis,1,1))*(PI()*(fi_s/1000)^2/4)*(2*9.81*(O2083/100-cota_s-fi_s/2/1000))^0.5*1000)))</f>
        <v>5.3451661851100329</v>
      </c>
      <c r="R2083" s="38">
        <f t="shared" ca="1" si="250"/>
        <v>11.44181499693444</v>
      </c>
      <c r="S2083" s="38">
        <f t="shared" ca="1" si="251"/>
        <v>650.625</v>
      </c>
    </row>
    <row r="2084" spans="13:19">
      <c r="M2084" s="132">
        <f t="shared" ca="1" si="248"/>
        <v>662.38245930043968</v>
      </c>
      <c r="N2084" s="38">
        <f t="shared" si="249"/>
        <v>19.528124999999999</v>
      </c>
      <c r="O2084" s="36">
        <f t="shared" si="247"/>
        <v>520.75</v>
      </c>
      <c r="P2084" s="38">
        <f ca="1">IF(ISERROR(IF(O2084&lt;fi_h/20,0,(OFFSET('Base de dados'!$A$5,IF(O2084&lt;20,1,IF(O2084&gt;1000,10,MATCH(O2084,Cargas,1))),Coluna_fih,1,1))*(1+0.13*0.25)*(PI()*(fi_h/1000)^2/4)*SQRT(2*9.81*(O2084/100-fi_h/2/1000))*1000)),"",IF(O2084&lt;fi_h/20,0,(OFFSET('Base de dados'!$A$5,IF(O2084&lt;20,1,IF(O2084&gt;1000,10,MATCH(O2084,Cargas,1))),Coluna_fih,1,1))*(PI()*(fi_h/1000)^2/4)*SQRT(2*9.81*(O2084/100-fi_h/2/1000))*1000))</f>
        <v>6.0981177351864506</v>
      </c>
      <c r="Q2084" s="38">
        <f ca="1">IF(O2084="","",IF(Tipo_Vertedor="Retangular",IF(O2084&lt;=cota_s*100,0,IF(Tipo_Vertedor="Retangular",Cd_sr*Lef_sr*((O2084/100-cota_s)^(3/2))*1000)),IF(O2084&lt;=cota_s*100+fi_s/20,0,(OFFSET('Base de dados'!$A$4,IF(O2084&lt;20,1,IF(O2084&gt;1000,10,MATCH(O2084,Cargas,1))),Coluna_fis,1,1))*(PI()*(fi_s/1000)^2/4)*(2*9.81*(O2084/100-cota_s-fi_s/2/1000))^0.5*1000)))</f>
        <v>5.3468415652532038</v>
      </c>
      <c r="R2084" s="38">
        <f t="shared" ca="1" si="250"/>
        <v>11.444959300439654</v>
      </c>
      <c r="S2084" s="38">
        <f t="shared" ca="1" si="251"/>
        <v>650.9375</v>
      </c>
    </row>
    <row r="2085" spans="13:19">
      <c r="M2085" s="132">
        <f t="shared" ca="1" si="248"/>
        <v>662.69810272539428</v>
      </c>
      <c r="N2085" s="38">
        <f t="shared" si="249"/>
        <v>19.537500000000001</v>
      </c>
      <c r="O2085" s="36">
        <f t="shared" si="247"/>
        <v>521</v>
      </c>
      <c r="P2085" s="38">
        <f ca="1">IF(ISERROR(IF(O2085&lt;fi_h/20,0,(OFFSET('Base de dados'!$A$5,IF(O2085&lt;20,1,IF(O2085&gt;1000,10,MATCH(O2085,Cargas,1))),Coluna_fih,1,1))*(1+0.13*0.25)*(PI()*(fi_h/1000)^2/4)*SQRT(2*9.81*(O2085/100-fi_h/2/1000))*1000)),"",IF(O2085&lt;fi_h/20,0,(OFFSET('Base de dados'!$A$5,IF(O2085&lt;20,1,IF(O2085&gt;1000,10,MATCH(O2085,Cargas,1))),Coluna_fih,1,1))*(PI()*(fi_h/1000)^2/4)*SQRT(2*9.81*(O2085/100-fi_h/2/1000))*1000))</f>
        <v>6.0995863047973256</v>
      </c>
      <c r="Q2085" s="38">
        <f ca="1">IF(O2085="","",IF(Tipo_Vertedor="Retangular",IF(O2085&lt;=cota_s*100,0,IF(Tipo_Vertedor="Retangular",Cd_sr*Lef_sr*((O2085/100-cota_s)^(3/2))*1000)),IF(O2085&lt;=cota_s*100+fi_s/20,0,(OFFSET('Base de dados'!$A$4,IF(O2085&lt;20,1,IF(O2085&gt;1000,10,MATCH(O2085,Cargas,1))),Coluna_fis,1,1))*(PI()*(fi_s/1000)^2/4)*(2*9.81*(O2085/100-cota_s-fi_s/2/1000))^0.5*1000)))</f>
        <v>5.3485164205969209</v>
      </c>
      <c r="R2085" s="38">
        <f t="shared" ca="1" si="250"/>
        <v>11.448102725394246</v>
      </c>
      <c r="S2085" s="38">
        <f t="shared" ca="1" si="251"/>
        <v>651.25</v>
      </c>
    </row>
    <row r="2086" spans="13:19">
      <c r="M2086" s="132">
        <f t="shared" ca="1" si="248"/>
        <v>663.01374527254654</v>
      </c>
      <c r="N2086" s="38">
        <f t="shared" si="249"/>
        <v>19.546875</v>
      </c>
      <c r="O2086" s="36">
        <f t="shared" si="247"/>
        <v>521.25</v>
      </c>
      <c r="P2086" s="38">
        <f ca="1">IF(ISERROR(IF(O2086&lt;fi_h/20,0,(OFFSET('Base de dados'!$A$5,IF(O2086&lt;20,1,IF(O2086&gt;1000,10,MATCH(O2086,Cargas,1))),Coluna_fih,1,1))*(1+0.13*0.25)*(PI()*(fi_h/1000)^2/4)*SQRT(2*9.81*(O2086/100-fi_h/2/1000))*1000)),"",IF(O2086&lt;fi_h/20,0,(OFFSET('Base de dados'!$A$5,IF(O2086&lt;20,1,IF(O2086&gt;1000,10,MATCH(O2086,Cargas,1))),Coluna_fih,1,1))*(PI()*(fi_h/1000)^2/4)*SQRT(2*9.81*(O2086/100-fi_h/2/1000))*1000))</f>
        <v>6.101054520912486</v>
      </c>
      <c r="Q2086" s="38">
        <f ca="1">IF(O2086="","",IF(Tipo_Vertedor="Retangular",IF(O2086&lt;=cota_s*100,0,IF(Tipo_Vertedor="Retangular",Cd_sr*Lef_sr*((O2086/100-cota_s)^(3/2))*1000)),IF(O2086&lt;=cota_s*100+fi_s/20,0,(OFFSET('Base de dados'!$A$4,IF(O2086&lt;20,1,IF(O2086&gt;1000,10,MATCH(O2086,Cargas,1))),Coluna_fis,1,1))*(PI()*(fi_s/1000)^2/4)*(2*9.81*(O2086/100-cota_s-fi_s/2/1000))^0.5*1000)))</f>
        <v>5.3501907516340461</v>
      </c>
      <c r="R2086" s="38">
        <f t="shared" ca="1" si="250"/>
        <v>11.451245272546533</v>
      </c>
      <c r="S2086" s="38">
        <f t="shared" ca="1" si="251"/>
        <v>651.5625</v>
      </c>
    </row>
    <row r="2087" spans="13:19">
      <c r="M2087" s="132">
        <f t="shared" ca="1" si="248"/>
        <v>663.32938694264374</v>
      </c>
      <c r="N2087" s="38">
        <f t="shared" si="249"/>
        <v>19.556249999999999</v>
      </c>
      <c r="O2087" s="36">
        <f t="shared" si="247"/>
        <v>521.5</v>
      </c>
      <c r="P2087" s="38">
        <f ca="1">IF(ISERROR(IF(O2087&lt;fi_h/20,0,(OFFSET('Base de dados'!$A$5,IF(O2087&lt;20,1,IF(O2087&gt;1000,10,MATCH(O2087,Cargas,1))),Coluna_fih,1,1))*(1+0.13*0.25)*(PI()*(fi_h/1000)^2/4)*SQRT(2*9.81*(O2087/100-fi_h/2/1000))*1000)),"",IF(O2087&lt;fi_h/20,0,(OFFSET('Base de dados'!$A$5,IF(O2087&lt;20,1,IF(O2087&gt;1000,10,MATCH(O2087,Cargas,1))),Coluna_fih,1,1))*(PI()*(fi_h/1000)^2/4)*SQRT(2*9.81*(O2087/100-fi_h/2/1000))*1000))</f>
        <v>6.1025223837870728</v>
      </c>
      <c r="Q2087" s="38">
        <f ca="1">IF(O2087="","",IF(Tipo_Vertedor="Retangular",IF(O2087&lt;=cota_s*100,0,IF(Tipo_Vertedor="Retangular",Cd_sr*Lef_sr*((O2087/100-cota_s)^(3/2))*1000)),IF(O2087&lt;=cota_s*100+fi_s/20,0,(OFFSET('Base de dados'!$A$4,IF(O2087&lt;20,1,IF(O2087&gt;1000,10,MATCH(O2087,Cargas,1))),Coluna_fis,1,1))*(PI()*(fi_s/1000)^2/4)*(2*9.81*(O2087/100-cota_s-fi_s/2/1000))^0.5*1000)))</f>
        <v>5.3518645588566658</v>
      </c>
      <c r="R2087" s="38">
        <f t="shared" ca="1" si="250"/>
        <v>11.454386942643739</v>
      </c>
      <c r="S2087" s="38">
        <f t="shared" ca="1" si="251"/>
        <v>651.875</v>
      </c>
    </row>
    <row r="2088" spans="13:19">
      <c r="M2088" s="132">
        <f t="shared" ca="1" si="248"/>
        <v>663.64502773643198</v>
      </c>
      <c r="N2088" s="38">
        <f t="shared" si="249"/>
        <v>19.565625000000001</v>
      </c>
      <c r="O2088" s="36">
        <f t="shared" si="247"/>
        <v>521.75</v>
      </c>
      <c r="P2088" s="38">
        <f ca="1">IF(ISERROR(IF(O2088&lt;fi_h/20,0,(OFFSET('Base de dados'!$A$5,IF(O2088&lt;20,1,IF(O2088&gt;1000,10,MATCH(O2088,Cargas,1))),Coluna_fih,1,1))*(1+0.13*0.25)*(PI()*(fi_h/1000)^2/4)*SQRT(2*9.81*(O2088/100-fi_h/2/1000))*1000)),"",IF(O2088&lt;fi_h/20,0,(OFFSET('Base de dados'!$A$5,IF(O2088&lt;20,1,IF(O2088&gt;1000,10,MATCH(O2088,Cargas,1))),Coluna_fih,1,1))*(PI()*(fi_h/1000)^2/4)*SQRT(2*9.81*(O2088/100-fi_h/2/1000))*1000))</f>
        <v>6.1039898936759238</v>
      </c>
      <c r="Q2088" s="38">
        <f ca="1">IF(O2088="","",IF(Tipo_Vertedor="Retangular",IF(O2088&lt;=cota_s*100,0,IF(Tipo_Vertedor="Retangular",Cd_sr*Lef_sr*((O2088/100-cota_s)^(3/2))*1000)),IF(O2088&lt;=cota_s*100+fi_s/20,0,(OFFSET('Base de dados'!$A$4,IF(O2088&lt;20,1,IF(O2088&gt;1000,10,MATCH(O2088,Cargas,1))),Coluna_fis,1,1))*(PI()*(fi_s/1000)^2/4)*(2*9.81*(O2088/100-cota_s-fi_s/2/1000))^0.5*1000)))</f>
        <v>5.3535378427560998</v>
      </c>
      <c r="R2088" s="38">
        <f t="shared" ca="1" si="250"/>
        <v>11.457527736432024</v>
      </c>
      <c r="S2088" s="38">
        <f t="shared" ca="1" si="251"/>
        <v>652.1875</v>
      </c>
    </row>
    <row r="2089" spans="13:19">
      <c r="M2089" s="132">
        <f t="shared" ca="1" si="248"/>
        <v>663.9606676546565</v>
      </c>
      <c r="N2089" s="38">
        <f t="shared" si="249"/>
        <v>19.574999999999999</v>
      </c>
      <c r="O2089" s="36">
        <f t="shared" si="247"/>
        <v>522</v>
      </c>
      <c r="P2089" s="38">
        <f ca="1">IF(ISERROR(IF(O2089&lt;fi_h/20,0,(OFFSET('Base de dados'!$A$5,IF(O2089&lt;20,1,IF(O2089&gt;1000,10,MATCH(O2089,Cargas,1))),Coluna_fih,1,1))*(1+0.13*0.25)*(PI()*(fi_h/1000)^2/4)*SQRT(2*9.81*(O2089/100-fi_h/2/1000))*1000)),"",IF(O2089&lt;fi_h/20,0,(OFFSET('Base de dados'!$A$5,IF(O2089&lt;20,1,IF(O2089&gt;1000,10,MATCH(O2089,Cargas,1))),Coluna_fih,1,1))*(PI()*(fi_h/1000)^2/4)*SQRT(2*9.81*(O2089/100-fi_h/2/1000))*1000))</f>
        <v>6.1054570508335742</v>
      </c>
      <c r="Q2089" s="38">
        <f ca="1">IF(O2089="","",IF(Tipo_Vertedor="Retangular",IF(O2089&lt;=cota_s*100,0,IF(Tipo_Vertedor="Retangular",Cd_sr*Lef_sr*((O2089/100-cota_s)^(3/2))*1000)),IF(O2089&lt;=cota_s*100+fi_s/20,0,(OFFSET('Base de dados'!$A$4,IF(O2089&lt;20,1,IF(O2089&gt;1000,10,MATCH(O2089,Cargas,1))),Coluna_fis,1,1))*(PI()*(fi_s/1000)^2/4)*(2*9.81*(O2089/100-cota_s-fi_s/2/1000))^0.5*1000)))</f>
        <v>5.355210603822897</v>
      </c>
      <c r="R2089" s="38">
        <f t="shared" ca="1" si="250"/>
        <v>11.460667654656472</v>
      </c>
      <c r="S2089" s="38">
        <f t="shared" ca="1" si="251"/>
        <v>652.5</v>
      </c>
    </row>
    <row r="2090" spans="13:19">
      <c r="M2090" s="132">
        <f t="shared" ca="1" si="248"/>
        <v>664.27630669806103</v>
      </c>
      <c r="N2090" s="38">
        <f t="shared" si="249"/>
        <v>19.584375000000001</v>
      </c>
      <c r="O2090" s="36">
        <f t="shared" si="247"/>
        <v>522.25</v>
      </c>
      <c r="P2090" s="38">
        <f ca="1">IF(ISERROR(IF(O2090&lt;fi_h/20,0,(OFFSET('Base de dados'!$A$5,IF(O2090&lt;20,1,IF(O2090&gt;1000,10,MATCH(O2090,Cargas,1))),Coluna_fih,1,1))*(1+0.13*0.25)*(PI()*(fi_h/1000)^2/4)*SQRT(2*9.81*(O2090/100-fi_h/2/1000))*1000)),"",IF(O2090&lt;fi_h/20,0,(OFFSET('Base de dados'!$A$5,IF(O2090&lt;20,1,IF(O2090&gt;1000,10,MATCH(O2090,Cargas,1))),Coluna_fih,1,1))*(PI()*(fi_h/1000)^2/4)*SQRT(2*9.81*(O2090/100-fi_h/2/1000))*1000))</f>
        <v>6.1069238555142444</v>
      </c>
      <c r="Q2090" s="38">
        <f ca="1">IF(O2090="","",IF(Tipo_Vertedor="Retangular",IF(O2090&lt;=cota_s*100,0,IF(Tipo_Vertedor="Retangular",Cd_sr*Lef_sr*((O2090/100-cota_s)^(3/2))*1000)),IF(O2090&lt;=cota_s*100+fi_s/20,0,(OFFSET('Base de dados'!$A$4,IF(O2090&lt;20,1,IF(O2090&gt;1000,10,MATCH(O2090,Cargas,1))),Coluna_fis,1,1))*(PI()*(fi_s/1000)^2/4)*(2*9.81*(O2090/100-cota_s-fi_s/2/1000))^0.5*1000)))</f>
        <v>5.3568828425468462</v>
      </c>
      <c r="R2090" s="38">
        <f t="shared" ca="1" si="250"/>
        <v>11.463806698061092</v>
      </c>
      <c r="S2090" s="38">
        <f t="shared" ca="1" si="251"/>
        <v>652.8125</v>
      </c>
    </row>
    <row r="2091" spans="13:19">
      <c r="M2091" s="132">
        <f t="shared" ca="1" si="248"/>
        <v>664.59194486738886</v>
      </c>
      <c r="N2091" s="38">
        <f t="shared" si="249"/>
        <v>19.59375</v>
      </c>
      <c r="O2091" s="36">
        <f t="shared" si="247"/>
        <v>522.5</v>
      </c>
      <c r="P2091" s="38">
        <f ca="1">IF(ISERROR(IF(O2091&lt;fi_h/20,0,(OFFSET('Base de dados'!$A$5,IF(O2091&lt;20,1,IF(O2091&gt;1000,10,MATCH(O2091,Cargas,1))),Coluna_fih,1,1))*(1+0.13*0.25)*(PI()*(fi_h/1000)^2/4)*SQRT(2*9.81*(O2091/100-fi_h/2/1000))*1000)),"",IF(O2091&lt;fi_h/20,0,(OFFSET('Base de dados'!$A$5,IF(O2091&lt;20,1,IF(O2091&gt;1000,10,MATCH(O2091,Cargas,1))),Coluna_fih,1,1))*(PI()*(fi_h/1000)^2/4)*SQRT(2*9.81*(O2091/100-fi_h/2/1000))*1000))</f>
        <v>6.1083903079718596</v>
      </c>
      <c r="Q2091" s="38">
        <f ca="1">IF(O2091="","",IF(Tipo_Vertedor="Retangular",IF(O2091&lt;=cota_s*100,0,IF(Tipo_Vertedor="Retangular",Cd_sr*Lef_sr*((O2091/100-cota_s)^(3/2))*1000)),IF(O2091&lt;=cota_s*100+fi_s/20,0,(OFFSET('Base de dados'!$A$4,IF(O2091&lt;20,1,IF(O2091&gt;1000,10,MATCH(O2091,Cargas,1))),Coluna_fis,1,1))*(PI()*(fi_s/1000)^2/4)*(2*9.81*(O2091/100-cota_s-fi_s/2/1000))^0.5*1000)))</f>
        <v>5.358554559416965</v>
      </c>
      <c r="R2091" s="38">
        <f t="shared" ca="1" si="250"/>
        <v>11.466944867388825</v>
      </c>
      <c r="S2091" s="38">
        <f t="shared" ca="1" si="251"/>
        <v>653.125</v>
      </c>
    </row>
    <row r="2092" spans="13:19">
      <c r="M2092" s="132">
        <f t="shared" ca="1" si="248"/>
        <v>664.90758216338156</v>
      </c>
      <c r="N2092" s="38">
        <f t="shared" si="249"/>
        <v>19.603124999999999</v>
      </c>
      <c r="O2092" s="36">
        <f t="shared" si="247"/>
        <v>522.75</v>
      </c>
      <c r="P2092" s="38">
        <f ca="1">IF(ISERROR(IF(O2092&lt;fi_h/20,0,(OFFSET('Base de dados'!$A$5,IF(O2092&lt;20,1,IF(O2092&gt;1000,10,MATCH(O2092,Cargas,1))),Coluna_fih,1,1))*(1+0.13*0.25)*(PI()*(fi_h/1000)^2/4)*SQRT(2*9.81*(O2092/100-fi_h/2/1000))*1000)),"",IF(O2092&lt;fi_h/20,0,(OFFSET('Base de dados'!$A$5,IF(O2092&lt;20,1,IF(O2092&gt;1000,10,MATCH(O2092,Cargas,1))),Coluna_fih,1,1))*(PI()*(fi_h/1000)^2/4)*SQRT(2*9.81*(O2092/100-fi_h/2/1000))*1000))</f>
        <v>6.1098564084600318</v>
      </c>
      <c r="Q2092" s="38">
        <f ca="1">IF(O2092="","",IF(Tipo_Vertedor="Retangular",IF(O2092&lt;=cota_s*100,0,IF(Tipo_Vertedor="Retangular",Cd_sr*Lef_sr*((O2092/100-cota_s)^(3/2))*1000)),IF(O2092&lt;=cota_s*100+fi_s/20,0,(OFFSET('Base de dados'!$A$4,IF(O2092&lt;20,1,IF(O2092&gt;1000,10,MATCH(O2092,Cargas,1))),Coluna_fis,1,1))*(PI()*(fi_s/1000)^2/4)*(2*9.81*(O2092/100-cota_s-fi_s/2/1000))^0.5*1000)))</f>
        <v>5.3602257549215144</v>
      </c>
      <c r="R2092" s="38">
        <f t="shared" ca="1" si="250"/>
        <v>11.470082163381546</v>
      </c>
      <c r="S2092" s="38">
        <f t="shared" ca="1" si="251"/>
        <v>653.4375</v>
      </c>
    </row>
    <row r="2093" spans="13:19">
      <c r="M2093" s="132">
        <f t="shared" ca="1" si="248"/>
        <v>665.22321858678004</v>
      </c>
      <c r="N2093" s="38">
        <f t="shared" si="249"/>
        <v>19.612500000000001</v>
      </c>
      <c r="O2093" s="36">
        <f t="shared" si="247"/>
        <v>523</v>
      </c>
      <c r="P2093" s="38">
        <f ca="1">IF(ISERROR(IF(O2093&lt;fi_h/20,0,(OFFSET('Base de dados'!$A$5,IF(O2093&lt;20,1,IF(O2093&gt;1000,10,MATCH(O2093,Cargas,1))),Coluna_fih,1,1))*(1+0.13*0.25)*(PI()*(fi_h/1000)^2/4)*SQRT(2*9.81*(O2093/100-fi_h/2/1000))*1000)),"",IF(O2093&lt;fi_h/20,0,(OFFSET('Base de dados'!$A$5,IF(O2093&lt;20,1,IF(O2093&gt;1000,10,MATCH(O2093,Cargas,1))),Coluna_fih,1,1))*(PI()*(fi_h/1000)^2/4)*SQRT(2*9.81*(O2093/100-fi_h/2/1000))*1000))</f>
        <v>6.1113221572320739</v>
      </c>
      <c r="Q2093" s="38">
        <f ca="1">IF(O2093="","",IF(Tipo_Vertedor="Retangular",IF(O2093&lt;=cota_s*100,0,IF(Tipo_Vertedor="Retangular",Cd_sr*Lef_sr*((O2093/100-cota_s)^(3/2))*1000)),IF(O2093&lt;=cota_s*100+fi_s/20,0,(OFFSET('Base de dados'!$A$4,IF(O2093&lt;20,1,IF(O2093&gt;1000,10,MATCH(O2093,Cargas,1))),Coluna_fis,1,1))*(PI()*(fi_s/1000)^2/4)*(2*9.81*(O2093/100-cota_s-fi_s/2/1000))^0.5*1000)))</f>
        <v>5.3618964295479925</v>
      </c>
      <c r="R2093" s="38">
        <f t="shared" ca="1" si="250"/>
        <v>11.473218586780067</v>
      </c>
      <c r="S2093" s="38">
        <f t="shared" ca="1" si="251"/>
        <v>653.75</v>
      </c>
    </row>
    <row r="2094" spans="13:19">
      <c r="M2094" s="132">
        <f t="shared" ca="1" si="248"/>
        <v>665.53885413832415</v>
      </c>
      <c r="N2094" s="38">
        <f t="shared" si="249"/>
        <v>19.621874999999999</v>
      </c>
      <c r="O2094" s="36">
        <f t="shared" si="247"/>
        <v>523.25</v>
      </c>
      <c r="P2094" s="38">
        <f ca="1">IF(ISERROR(IF(O2094&lt;fi_h/20,0,(OFFSET('Base de dados'!$A$5,IF(O2094&lt;20,1,IF(O2094&gt;1000,10,MATCH(O2094,Cargas,1))),Coluna_fih,1,1))*(1+0.13*0.25)*(PI()*(fi_h/1000)^2/4)*SQRT(2*9.81*(O2094/100-fi_h/2/1000))*1000)),"",IF(O2094&lt;fi_h/20,0,(OFFSET('Base de dados'!$A$5,IF(O2094&lt;20,1,IF(O2094&gt;1000,10,MATCH(O2094,Cargas,1))),Coluna_fih,1,1))*(PI()*(fi_h/1000)^2/4)*SQRT(2*9.81*(O2094/100-fi_h/2/1000))*1000))</f>
        <v>6.1127875545409953</v>
      </c>
      <c r="Q2094" s="38">
        <f ca="1">IF(O2094="","",IF(Tipo_Vertedor="Retangular",IF(O2094&lt;=cota_s*100,0,IF(Tipo_Vertedor="Retangular",Cd_sr*Lef_sr*((O2094/100-cota_s)^(3/2))*1000)),IF(O2094&lt;=cota_s*100+fi_s/20,0,(OFFSET('Base de dados'!$A$4,IF(O2094&lt;20,1,IF(O2094&gt;1000,10,MATCH(O2094,Cargas,1))),Coluna_fis,1,1))*(PI()*(fi_s/1000)^2/4)*(2*9.81*(O2094/100-cota_s-fi_s/2/1000))^0.5*1000)))</f>
        <v>5.3635665837831352</v>
      </c>
      <c r="R2094" s="38">
        <f t="shared" ca="1" si="250"/>
        <v>11.47635413832413</v>
      </c>
      <c r="S2094" s="38">
        <f t="shared" ca="1" si="251"/>
        <v>654.0625</v>
      </c>
    </row>
    <row r="2095" spans="13:19">
      <c r="M2095" s="132">
        <f t="shared" ca="1" si="248"/>
        <v>665.85448881875243</v>
      </c>
      <c r="N2095" s="38">
        <f t="shared" si="249"/>
        <v>19.631250000000001</v>
      </c>
      <c r="O2095" s="36">
        <f t="shared" si="247"/>
        <v>523.5</v>
      </c>
      <c r="P2095" s="38">
        <f ca="1">IF(ISERROR(IF(O2095&lt;fi_h/20,0,(OFFSET('Base de dados'!$A$5,IF(O2095&lt;20,1,IF(O2095&gt;1000,10,MATCH(O2095,Cargas,1))),Coluna_fih,1,1))*(1+0.13*0.25)*(PI()*(fi_h/1000)^2/4)*SQRT(2*9.81*(O2095/100-fi_h/2/1000))*1000)),"",IF(O2095&lt;fi_h/20,0,(OFFSET('Base de dados'!$A$5,IF(O2095&lt;20,1,IF(O2095&gt;1000,10,MATCH(O2095,Cargas,1))),Coluna_fih,1,1))*(PI()*(fi_h/1000)^2/4)*SQRT(2*9.81*(O2095/100-fi_h/2/1000))*1000))</f>
        <v>6.1142526006394968</v>
      </c>
      <c r="Q2095" s="38">
        <f ca="1">IF(O2095="","",IF(Tipo_Vertedor="Retangular",IF(O2095&lt;=cota_s*100,0,IF(Tipo_Vertedor="Retangular",Cd_sr*Lef_sr*((O2095/100-cota_s)^(3/2))*1000)),IF(O2095&lt;=cota_s*100+fi_s/20,0,(OFFSET('Base de dados'!$A$4,IF(O2095&lt;20,1,IF(O2095&gt;1000,10,MATCH(O2095,Cargas,1))),Coluna_fis,1,1))*(PI()*(fi_s/1000)^2/4)*(2*9.81*(O2095/100-cota_s-fi_s/2/1000))^0.5*1000)))</f>
        <v>5.3652362181129227</v>
      </c>
      <c r="R2095" s="38">
        <f t="shared" ca="1" si="250"/>
        <v>11.479488818752419</v>
      </c>
      <c r="S2095" s="38">
        <f t="shared" ca="1" si="251"/>
        <v>654.375</v>
      </c>
    </row>
    <row r="2096" spans="13:19">
      <c r="M2096" s="132">
        <f t="shared" ca="1" si="248"/>
        <v>666.17012262880257</v>
      </c>
      <c r="N2096" s="38">
        <f t="shared" si="249"/>
        <v>19.640625</v>
      </c>
      <c r="O2096" s="36">
        <f t="shared" si="247"/>
        <v>523.75</v>
      </c>
      <c r="P2096" s="38">
        <f ca="1">IF(ISERROR(IF(O2096&lt;fi_h/20,0,(OFFSET('Base de dados'!$A$5,IF(O2096&lt;20,1,IF(O2096&gt;1000,10,MATCH(O2096,Cargas,1))),Coluna_fih,1,1))*(1+0.13*0.25)*(PI()*(fi_h/1000)^2/4)*SQRT(2*9.81*(O2096/100-fi_h/2/1000))*1000)),"",IF(O2096&lt;fi_h/20,0,(OFFSET('Base de dados'!$A$5,IF(O2096&lt;20,1,IF(O2096&gt;1000,10,MATCH(O2096,Cargas,1))),Coluna_fih,1,1))*(PI()*(fi_h/1000)^2/4)*SQRT(2*9.81*(O2096/100-fi_h/2/1000))*1000))</f>
        <v>6.1157172957799828</v>
      </c>
      <c r="Q2096" s="38">
        <f ca="1">IF(O2096="","",IF(Tipo_Vertedor="Retangular",IF(O2096&lt;=cota_s*100,0,IF(Tipo_Vertedor="Retangular",Cd_sr*Lef_sr*((O2096/100-cota_s)^(3/2))*1000)),IF(O2096&lt;=cota_s*100+fi_s/20,0,(OFFSET('Base de dados'!$A$4,IF(O2096&lt;20,1,IF(O2096&gt;1000,10,MATCH(O2096,Cargas,1))),Coluna_fis,1,1))*(PI()*(fi_s/1000)^2/4)*(2*9.81*(O2096/100-cota_s-fi_s/2/1000))^0.5*1000)))</f>
        <v>5.366905333022582</v>
      </c>
      <c r="R2096" s="38">
        <f t="shared" ca="1" si="250"/>
        <v>11.482622628802565</v>
      </c>
      <c r="S2096" s="38">
        <f t="shared" ca="1" si="251"/>
        <v>654.6875</v>
      </c>
    </row>
    <row r="2097" spans="13:19">
      <c r="M2097" s="132">
        <f t="shared" ca="1" si="248"/>
        <v>666.48575556921128</v>
      </c>
      <c r="N2097" s="38">
        <f t="shared" si="249"/>
        <v>19.650000000000002</v>
      </c>
      <c r="O2097" s="36">
        <f t="shared" si="247"/>
        <v>524</v>
      </c>
      <c r="P2097" s="38">
        <f ca="1">IF(ISERROR(IF(O2097&lt;fi_h/20,0,(OFFSET('Base de dados'!$A$5,IF(O2097&lt;20,1,IF(O2097&gt;1000,10,MATCH(O2097,Cargas,1))),Coluna_fih,1,1))*(1+0.13*0.25)*(PI()*(fi_h/1000)^2/4)*SQRT(2*9.81*(O2097/100-fi_h/2/1000))*1000)),"",IF(O2097&lt;fi_h/20,0,(OFFSET('Base de dados'!$A$5,IF(O2097&lt;20,1,IF(O2097&gt;1000,10,MATCH(O2097,Cargas,1))),Coluna_fih,1,1))*(PI()*(fi_h/1000)^2/4)*SQRT(2*9.81*(O2097/100-fi_h/2/1000))*1000))</f>
        <v>6.1171816402145529</v>
      </c>
      <c r="Q2097" s="38">
        <f ca="1">IF(O2097="","",IF(Tipo_Vertedor="Retangular",IF(O2097&lt;=cota_s*100,0,IF(Tipo_Vertedor="Retangular",Cd_sr*Lef_sr*((O2097/100-cota_s)^(3/2))*1000)),IF(O2097&lt;=cota_s*100+fi_s/20,0,(OFFSET('Base de dados'!$A$4,IF(O2097&lt;20,1,IF(O2097&gt;1000,10,MATCH(O2097,Cargas,1))),Coluna_fis,1,1))*(PI()*(fi_s/1000)^2/4)*(2*9.81*(O2097/100-cota_s-fi_s/2/1000))^0.5*1000)))</f>
        <v>5.3685739289965824</v>
      </c>
      <c r="R2097" s="38">
        <f t="shared" ca="1" si="250"/>
        <v>11.485755569211136</v>
      </c>
      <c r="S2097" s="38">
        <f t="shared" ca="1" si="251"/>
        <v>655.00000000000011</v>
      </c>
    </row>
    <row r="2098" spans="13:19">
      <c r="M2098" s="132">
        <f t="shared" ca="1" si="248"/>
        <v>666.80138764071353</v>
      </c>
      <c r="N2098" s="38">
        <f t="shared" si="249"/>
        <v>19.659374999999997</v>
      </c>
      <c r="O2098" s="36">
        <f t="shared" si="247"/>
        <v>524.25</v>
      </c>
      <c r="P2098" s="38">
        <f ca="1">IF(ISERROR(IF(O2098&lt;fi_h/20,0,(OFFSET('Base de dados'!$A$5,IF(O2098&lt;20,1,IF(O2098&gt;1000,10,MATCH(O2098,Cargas,1))),Coluna_fih,1,1))*(1+0.13*0.25)*(PI()*(fi_h/1000)^2/4)*SQRT(2*9.81*(O2098/100-fi_h/2/1000))*1000)),"",IF(O2098&lt;fi_h/20,0,(OFFSET('Base de dados'!$A$5,IF(O2098&lt;20,1,IF(O2098&gt;1000,10,MATCH(O2098,Cargas,1))),Coluna_fih,1,1))*(PI()*(fi_h/1000)^2/4)*SQRT(2*9.81*(O2098/100-fi_h/2/1000))*1000))</f>
        <v>6.1186456341950031</v>
      </c>
      <c r="Q2098" s="38">
        <f ca="1">IF(O2098="","",IF(Tipo_Vertedor="Retangular",IF(O2098&lt;=cota_s*100,0,IF(Tipo_Vertedor="Retangular",Cd_sr*Lef_sr*((O2098/100-cota_s)^(3/2))*1000)),IF(O2098&lt;=cota_s*100+fi_s/20,0,(OFFSET('Base de dados'!$A$4,IF(O2098&lt;20,1,IF(O2098&gt;1000,10,MATCH(O2098,Cargas,1))),Coluna_fis,1,1))*(PI()*(fi_s/1000)^2/4)*(2*9.81*(O2098/100-cota_s-fi_s/2/1000))^0.5*1000)))</f>
        <v>5.3702420065186436</v>
      </c>
      <c r="R2098" s="38">
        <f t="shared" ca="1" si="250"/>
        <v>11.488887640713646</v>
      </c>
      <c r="S2098" s="38">
        <f t="shared" ca="1" si="251"/>
        <v>655.31249999999989</v>
      </c>
    </row>
    <row r="2099" spans="13:19">
      <c r="M2099" s="132">
        <f t="shared" ca="1" si="248"/>
        <v>667.11701884404454</v>
      </c>
      <c r="N2099" s="38">
        <f t="shared" si="249"/>
        <v>19.668749999999999</v>
      </c>
      <c r="O2099" s="36">
        <f t="shared" si="247"/>
        <v>524.5</v>
      </c>
      <c r="P2099" s="38">
        <f ca="1">IF(ISERROR(IF(O2099&lt;fi_h/20,0,(OFFSET('Base de dados'!$A$5,IF(O2099&lt;20,1,IF(O2099&gt;1000,10,MATCH(O2099,Cargas,1))),Coluna_fih,1,1))*(1+0.13*0.25)*(PI()*(fi_h/1000)^2/4)*SQRT(2*9.81*(O2099/100-fi_h/2/1000))*1000)),"",IF(O2099&lt;fi_h/20,0,(OFFSET('Base de dados'!$A$5,IF(O2099&lt;20,1,IF(O2099&gt;1000,10,MATCH(O2099,Cargas,1))),Coluna_fih,1,1))*(PI()*(fi_h/1000)^2/4)*SQRT(2*9.81*(O2099/100-fi_h/2/1000))*1000))</f>
        <v>6.1201092779728334</v>
      </c>
      <c r="Q2099" s="38">
        <f ca="1">IF(O2099="","",IF(Tipo_Vertedor="Retangular",IF(O2099&lt;=cota_s*100,0,IF(Tipo_Vertedor="Retangular",Cd_sr*Lef_sr*((O2099/100-cota_s)^(3/2))*1000)),IF(O2099&lt;=cota_s*100+fi_s/20,0,(OFFSET('Base de dados'!$A$4,IF(O2099&lt;20,1,IF(O2099&gt;1000,10,MATCH(O2099,Cargas,1))),Coluna_fis,1,1))*(PI()*(fi_s/1000)^2/4)*(2*9.81*(O2099/100-cota_s-fi_s/2/1000))^0.5*1000)))</f>
        <v>5.3719095660717295</v>
      </c>
      <c r="R2099" s="38">
        <f t="shared" ca="1" si="250"/>
        <v>11.492018844044562</v>
      </c>
      <c r="S2099" s="38">
        <f t="shared" ca="1" si="251"/>
        <v>655.625</v>
      </c>
    </row>
    <row r="2100" spans="13:19">
      <c r="M2100" s="132">
        <f t="shared" ca="1" si="248"/>
        <v>667.43264917993713</v>
      </c>
      <c r="N2100" s="38">
        <f t="shared" si="249"/>
        <v>19.678124999999998</v>
      </c>
      <c r="O2100" s="36">
        <f t="shared" si="247"/>
        <v>524.75</v>
      </c>
      <c r="P2100" s="38">
        <f ca="1">IF(ISERROR(IF(O2100&lt;fi_h/20,0,(OFFSET('Base de dados'!$A$5,IF(O2100&lt;20,1,IF(O2100&gt;1000,10,MATCH(O2100,Cargas,1))),Coluna_fih,1,1))*(1+0.13*0.25)*(PI()*(fi_h/1000)^2/4)*SQRT(2*9.81*(O2100/100-fi_h/2/1000))*1000)),"",IF(O2100&lt;fi_h/20,0,(OFFSET('Base de dados'!$A$5,IF(O2100&lt;20,1,IF(O2100&gt;1000,10,MATCH(O2100,Cargas,1))),Coluna_fih,1,1))*(PI()*(fi_h/1000)^2/4)*SQRT(2*9.81*(O2100/100-fi_h/2/1000))*1000))</f>
        <v>6.1215725717992369</v>
      </c>
      <c r="Q2100" s="38">
        <f ca="1">IF(O2100="","",IF(Tipo_Vertedor="Retangular",IF(O2100&lt;=cota_s*100,0,IF(Tipo_Vertedor="Retangular",Cd_sr*Lef_sr*((O2100/100-cota_s)^(3/2))*1000)),IF(O2100&lt;=cota_s*100+fi_s/20,0,(OFFSET('Base de dados'!$A$4,IF(O2100&lt;20,1,IF(O2100&gt;1000,10,MATCH(O2100,Cargas,1))),Coluna_fis,1,1))*(PI()*(fi_s/1000)^2/4)*(2*9.81*(O2100/100-cota_s-fi_s/2/1000))^0.5*1000)))</f>
        <v>5.3735766081380589</v>
      </c>
      <c r="R2100" s="38">
        <f t="shared" ca="1" si="250"/>
        <v>11.495149179937297</v>
      </c>
      <c r="S2100" s="38">
        <f t="shared" ca="1" si="251"/>
        <v>655.93749999999989</v>
      </c>
    </row>
    <row r="2101" spans="13:19">
      <c r="M2101" s="132">
        <f t="shared" ca="1" si="248"/>
        <v>667.74827864912425</v>
      </c>
      <c r="N2101" s="38">
        <f t="shared" si="249"/>
        <v>19.6875</v>
      </c>
      <c r="O2101" s="36">
        <f t="shared" si="247"/>
        <v>525</v>
      </c>
      <c r="P2101" s="38">
        <f ca="1">IF(ISERROR(IF(O2101&lt;fi_h/20,0,(OFFSET('Base de dados'!$A$5,IF(O2101&lt;20,1,IF(O2101&gt;1000,10,MATCH(O2101,Cargas,1))),Coluna_fih,1,1))*(1+0.13*0.25)*(PI()*(fi_h/1000)^2/4)*SQRT(2*9.81*(O2101/100-fi_h/2/1000))*1000)),"",IF(O2101&lt;fi_h/20,0,(OFFSET('Base de dados'!$A$5,IF(O2101&lt;20,1,IF(O2101&gt;1000,10,MATCH(O2101,Cargas,1))),Coluna_fih,1,1))*(PI()*(fi_h/1000)^2/4)*SQRT(2*9.81*(O2101/100-fi_h/2/1000))*1000))</f>
        <v>6.1230355159251113</v>
      </c>
      <c r="Q2101" s="38">
        <f ca="1">IF(O2101="","",IF(Tipo_Vertedor="Retangular",IF(O2101&lt;=cota_s*100,0,IF(Tipo_Vertedor="Retangular",Cd_sr*Lef_sr*((O2101/100-cota_s)^(3/2))*1000)),IF(O2101&lt;=cota_s*100+fi_s/20,0,(OFFSET('Base de dados'!$A$4,IF(O2101&lt;20,1,IF(O2101&gt;1000,10,MATCH(O2101,Cargas,1))),Coluna_fis,1,1))*(PI()*(fi_s/1000)^2/4)*(2*9.81*(O2101/100-cota_s-fi_s/2/1000))^0.5*1000)))</f>
        <v>5.3752431331991026</v>
      </c>
      <c r="R2101" s="38">
        <f t="shared" ca="1" si="250"/>
        <v>11.498278649124213</v>
      </c>
      <c r="S2101" s="38">
        <f t="shared" ca="1" si="251"/>
        <v>656.25</v>
      </c>
    </row>
    <row r="2102" spans="13:19">
      <c r="M2102" s="132">
        <f t="shared" ca="1" si="248"/>
        <v>668.06390725233678</v>
      </c>
      <c r="N2102" s="38">
        <f t="shared" si="249"/>
        <v>19.696875000000002</v>
      </c>
      <c r="O2102" s="36">
        <f t="shared" si="247"/>
        <v>525.25</v>
      </c>
      <c r="P2102" s="38">
        <f ca="1">IF(ISERROR(IF(O2102&lt;fi_h/20,0,(OFFSET('Base de dados'!$A$5,IF(O2102&lt;20,1,IF(O2102&gt;1000,10,MATCH(O2102,Cargas,1))),Coluna_fih,1,1))*(1+0.13*0.25)*(PI()*(fi_h/1000)^2/4)*SQRT(2*9.81*(O2102/100-fi_h/2/1000))*1000)),"",IF(O2102&lt;fi_h/20,0,(OFFSET('Base de dados'!$A$5,IF(O2102&lt;20,1,IF(O2102&gt;1000,10,MATCH(O2102,Cargas,1))),Coluna_fih,1,1))*(PI()*(fi_h/1000)^2/4)*SQRT(2*9.81*(O2102/100-fi_h/2/1000))*1000))</f>
        <v>6.1244981106010545</v>
      </c>
      <c r="Q2102" s="38">
        <f ca="1">IF(O2102="","",IF(Tipo_Vertedor="Retangular",IF(O2102&lt;=cota_s*100,0,IF(Tipo_Vertedor="Retangular",Cd_sr*Lef_sr*((O2102/100-cota_s)^(3/2))*1000)),IF(O2102&lt;=cota_s*100+fi_s/20,0,(OFFSET('Base de dados'!$A$4,IF(O2102&lt;20,1,IF(O2102&gt;1000,10,MATCH(O2102,Cargas,1))),Coluna_fis,1,1))*(PI()*(fi_s/1000)^2/4)*(2*9.81*(O2102/100-cota_s-fi_s/2/1000))^0.5*1000)))</f>
        <v>5.3769091417355837</v>
      </c>
      <c r="R2102" s="38">
        <f t="shared" ca="1" si="250"/>
        <v>11.501407252336637</v>
      </c>
      <c r="S2102" s="38">
        <f t="shared" ca="1" si="251"/>
        <v>656.56250000000011</v>
      </c>
    </row>
    <row r="2103" spans="13:19">
      <c r="M2103" s="132">
        <f t="shared" ca="1" si="248"/>
        <v>668.37953499030482</v>
      </c>
      <c r="N2103" s="38">
        <f t="shared" si="249"/>
        <v>19.706250000000001</v>
      </c>
      <c r="O2103" s="36">
        <f t="shared" si="247"/>
        <v>525.5</v>
      </c>
      <c r="P2103" s="38">
        <f ca="1">IF(ISERROR(IF(O2103&lt;fi_h/20,0,(OFFSET('Base de dados'!$A$5,IF(O2103&lt;20,1,IF(O2103&gt;1000,10,MATCH(O2103,Cargas,1))),Coluna_fih,1,1))*(1+0.13*0.25)*(PI()*(fi_h/1000)^2/4)*SQRT(2*9.81*(O2103/100-fi_h/2/1000))*1000)),"",IF(O2103&lt;fi_h/20,0,(OFFSET('Base de dados'!$A$5,IF(O2103&lt;20,1,IF(O2103&gt;1000,10,MATCH(O2103,Cargas,1))),Coluna_fih,1,1))*(PI()*(fi_h/1000)^2/4)*SQRT(2*9.81*(O2103/100-fi_h/2/1000))*1000))</f>
        <v>6.1259603560773597</v>
      </c>
      <c r="Q2103" s="38">
        <f ca="1">IF(O2103="","",IF(Tipo_Vertedor="Retangular",IF(O2103&lt;=cota_s*100,0,IF(Tipo_Vertedor="Retangular",Cd_sr*Lef_sr*((O2103/100-cota_s)^(3/2))*1000)),IF(O2103&lt;=cota_s*100+fi_s/20,0,(OFFSET('Base de dados'!$A$4,IF(O2103&lt;20,1,IF(O2103&gt;1000,10,MATCH(O2103,Cargas,1))),Coluna_fis,1,1))*(PI()*(fi_s/1000)^2/4)*(2*9.81*(O2103/100-cota_s-fi_s/2/1000))^0.5*1000)))</f>
        <v>5.3785746342274789</v>
      </c>
      <c r="R2103" s="38">
        <f t="shared" ca="1" si="250"/>
        <v>11.504534990304839</v>
      </c>
      <c r="S2103" s="38">
        <f t="shared" ca="1" si="251"/>
        <v>656.875</v>
      </c>
    </row>
    <row r="2104" spans="13:19">
      <c r="M2104" s="132">
        <f t="shared" ca="1" si="248"/>
        <v>668.69516186375813</v>
      </c>
      <c r="N2104" s="38">
        <f t="shared" si="249"/>
        <v>19.715625000000003</v>
      </c>
      <c r="O2104" s="36">
        <f t="shared" si="247"/>
        <v>525.75</v>
      </c>
      <c r="P2104" s="38">
        <f ca="1">IF(ISERROR(IF(O2104&lt;fi_h/20,0,(OFFSET('Base de dados'!$A$5,IF(O2104&lt;20,1,IF(O2104&gt;1000,10,MATCH(O2104,Cargas,1))),Coluna_fih,1,1))*(1+0.13*0.25)*(PI()*(fi_h/1000)^2/4)*SQRT(2*9.81*(O2104/100-fi_h/2/1000))*1000)),"",IF(O2104&lt;fi_h/20,0,(OFFSET('Base de dados'!$A$5,IF(O2104&lt;20,1,IF(O2104&gt;1000,10,MATCH(O2104,Cargas,1))),Coluna_fih,1,1))*(PI()*(fi_h/1000)^2/4)*SQRT(2*9.81*(O2104/100-fi_h/2/1000))*1000))</f>
        <v>6.1274222526040285</v>
      </c>
      <c r="Q2104" s="38">
        <f ca="1">IF(O2104="","",IF(Tipo_Vertedor="Retangular",IF(O2104&lt;=cota_s*100,0,IF(Tipo_Vertedor="Retangular",Cd_sr*Lef_sr*((O2104/100-cota_s)^(3/2))*1000)),IF(O2104&lt;=cota_s*100+fi_s/20,0,(OFFSET('Base de dados'!$A$4,IF(O2104&lt;20,1,IF(O2104&gt;1000,10,MATCH(O2104,Cargas,1))),Coluna_fis,1,1))*(PI()*(fi_s/1000)^2/4)*(2*9.81*(O2104/100-cota_s-fi_s/2/1000))^0.5*1000)))</f>
        <v>5.3802396111540274</v>
      </c>
      <c r="R2104" s="38">
        <f t="shared" ca="1" si="250"/>
        <v>11.507661863758056</v>
      </c>
      <c r="S2104" s="38">
        <f t="shared" ca="1" si="251"/>
        <v>657.18750000000011</v>
      </c>
    </row>
    <row r="2105" spans="13:19">
      <c r="M2105" s="132">
        <f t="shared" ca="1" si="248"/>
        <v>669.01078787342442</v>
      </c>
      <c r="N2105" s="38">
        <f t="shared" si="249"/>
        <v>19.724999999999998</v>
      </c>
      <c r="O2105" s="36">
        <f t="shared" si="247"/>
        <v>526</v>
      </c>
      <c r="P2105" s="38">
        <f ca="1">IF(ISERROR(IF(O2105&lt;fi_h/20,0,(OFFSET('Base de dados'!$A$5,IF(O2105&lt;20,1,IF(O2105&gt;1000,10,MATCH(O2105,Cargas,1))),Coluna_fih,1,1))*(1+0.13*0.25)*(PI()*(fi_h/1000)^2/4)*SQRT(2*9.81*(O2105/100-fi_h/2/1000))*1000)),"",IF(O2105&lt;fi_h/20,0,(OFFSET('Base de dados'!$A$5,IF(O2105&lt;20,1,IF(O2105&gt;1000,10,MATCH(O2105,Cargas,1))),Coluna_fih,1,1))*(PI()*(fi_h/1000)^2/4)*SQRT(2*9.81*(O2105/100-fi_h/2/1000))*1000))</f>
        <v>6.1288838004307609</v>
      </c>
      <c r="Q2105" s="38">
        <f ca="1">IF(O2105="","",IF(Tipo_Vertedor="Retangular",IF(O2105&lt;=cota_s*100,0,IF(Tipo_Vertedor="Retangular",Cd_sr*Lef_sr*((O2105/100-cota_s)^(3/2))*1000)),IF(O2105&lt;=cota_s*100+fi_s/20,0,(OFFSET('Base de dados'!$A$4,IF(O2105&lt;20,1,IF(O2105&gt;1000,10,MATCH(O2105,Cargas,1))),Coluna_fis,1,1))*(PI()*(fi_s/1000)^2/4)*(2*9.81*(O2105/100-cota_s-fi_s/2/1000))^0.5*1000)))</f>
        <v>5.3819040729937209</v>
      </c>
      <c r="R2105" s="38">
        <f t="shared" ca="1" si="250"/>
        <v>11.510787873424482</v>
      </c>
      <c r="S2105" s="38">
        <f t="shared" ca="1" si="251"/>
        <v>657.49999999999989</v>
      </c>
    </row>
    <row r="2106" spans="13:19">
      <c r="M2106" s="132">
        <f t="shared" ca="1" si="248"/>
        <v>669.32641302003128</v>
      </c>
      <c r="N2106" s="38">
        <f t="shared" si="249"/>
        <v>19.734375</v>
      </c>
      <c r="O2106" s="36">
        <f t="shared" si="247"/>
        <v>526.25</v>
      </c>
      <c r="P2106" s="38">
        <f ca="1">IF(ISERROR(IF(O2106&lt;fi_h/20,0,(OFFSET('Base de dados'!$A$5,IF(O2106&lt;20,1,IF(O2106&gt;1000,10,MATCH(O2106,Cargas,1))),Coluna_fih,1,1))*(1+0.13*0.25)*(PI()*(fi_h/1000)^2/4)*SQRT(2*9.81*(O2106/100-fi_h/2/1000))*1000)),"",IF(O2106&lt;fi_h/20,0,(OFFSET('Base de dados'!$A$5,IF(O2106&lt;20,1,IF(O2106&gt;1000,10,MATCH(O2106,Cargas,1))),Coluna_fih,1,1))*(PI()*(fi_h/1000)^2/4)*SQRT(2*9.81*(O2106/100-fi_h/2/1000))*1000))</f>
        <v>6.130344999806959</v>
      </c>
      <c r="Q2106" s="38">
        <f ca="1">IF(O2106="","",IF(Tipo_Vertedor="Retangular",IF(O2106&lt;=cota_s*100,0,IF(Tipo_Vertedor="Retangular",Cd_sr*Lef_sr*((O2106/100-cota_s)^(3/2))*1000)),IF(O2106&lt;=cota_s*100+fi_s/20,0,(OFFSET('Base de dados'!$A$4,IF(O2106&lt;20,1,IF(O2106&gt;1000,10,MATCH(O2106,Cargas,1))),Coluna_fis,1,1))*(PI()*(fi_s/1000)^2/4)*(2*9.81*(O2106/100-cota_s-fi_s/2/1000))^0.5*1000)))</f>
        <v>5.3835680202243186</v>
      </c>
      <c r="R2106" s="38">
        <f t="shared" ca="1" si="250"/>
        <v>11.513913020031278</v>
      </c>
      <c r="S2106" s="38">
        <f t="shared" ca="1" si="251"/>
        <v>657.8125</v>
      </c>
    </row>
    <row r="2107" spans="13:19">
      <c r="M2107" s="132">
        <f t="shared" ca="1" si="248"/>
        <v>669.64203730430461</v>
      </c>
      <c r="N2107" s="38">
        <f t="shared" si="249"/>
        <v>19.743749999999999</v>
      </c>
      <c r="O2107" s="36">
        <f t="shared" si="247"/>
        <v>526.5</v>
      </c>
      <c r="P2107" s="38">
        <f ca="1">IF(ISERROR(IF(O2107&lt;fi_h/20,0,(OFFSET('Base de dados'!$A$5,IF(O2107&lt;20,1,IF(O2107&gt;1000,10,MATCH(O2107,Cargas,1))),Coluna_fih,1,1))*(1+0.13*0.25)*(PI()*(fi_h/1000)^2/4)*SQRT(2*9.81*(O2107/100-fi_h/2/1000))*1000)),"",IF(O2107&lt;fi_h/20,0,(OFFSET('Base de dados'!$A$5,IF(O2107&lt;20,1,IF(O2107&gt;1000,10,MATCH(O2107,Cargas,1))),Coluna_fih,1,1))*(PI()*(fi_h/1000)^2/4)*SQRT(2*9.81*(O2107/100-fi_h/2/1000))*1000))</f>
        <v>6.1318058509817286</v>
      </c>
      <c r="Q2107" s="38">
        <f ca="1">IF(O2107="","",IF(Tipo_Vertedor="Retangular",IF(O2107&lt;=cota_s*100,0,IF(Tipo_Vertedor="Retangular",Cd_sr*Lef_sr*((O2107/100-cota_s)^(3/2))*1000)),IF(O2107&lt;=cota_s*100+fi_s/20,0,(OFFSET('Base de dados'!$A$4,IF(O2107&lt;20,1,IF(O2107&gt;1000,10,MATCH(O2107,Cargas,1))),Coluna_fis,1,1))*(PI()*(fi_s/1000)^2/4)*(2*9.81*(O2107/100-cota_s-fi_s/2/1000))^0.5*1000)))</f>
        <v>5.3852314533228327</v>
      </c>
      <c r="R2107" s="38">
        <f t="shared" ca="1" si="250"/>
        <v>11.517037304304562</v>
      </c>
      <c r="S2107" s="38">
        <f t="shared" ca="1" si="251"/>
        <v>658.125</v>
      </c>
    </row>
    <row r="2108" spans="13:19">
      <c r="M2108" s="132">
        <f t="shared" ca="1" si="248"/>
        <v>669.95766072696938</v>
      </c>
      <c r="N2108" s="38">
        <f t="shared" si="249"/>
        <v>19.753125000000001</v>
      </c>
      <c r="O2108" s="36">
        <f t="shared" si="247"/>
        <v>526.75</v>
      </c>
      <c r="P2108" s="38">
        <f ca="1">IF(ISERROR(IF(O2108&lt;fi_h/20,0,(OFFSET('Base de dados'!$A$5,IF(O2108&lt;20,1,IF(O2108&gt;1000,10,MATCH(O2108,Cargas,1))),Coluna_fih,1,1))*(1+0.13*0.25)*(PI()*(fi_h/1000)^2/4)*SQRT(2*9.81*(O2108/100-fi_h/2/1000))*1000)),"",IF(O2108&lt;fi_h/20,0,(OFFSET('Base de dados'!$A$5,IF(O2108&lt;20,1,IF(O2108&gt;1000,10,MATCH(O2108,Cargas,1))),Coluna_fih,1,1))*(PI()*(fi_h/1000)^2/4)*SQRT(2*9.81*(O2108/100-fi_h/2/1000))*1000))</f>
        <v>6.1332663542038786</v>
      </c>
      <c r="Q2108" s="38">
        <f ca="1">IF(O2108="","",IF(Tipo_Vertedor="Retangular",IF(O2108&lt;=cota_s*100,0,IF(Tipo_Vertedor="Retangular",Cd_sr*Lef_sr*((O2108/100-cota_s)^(3/2))*1000)),IF(O2108&lt;=cota_s*100+fi_s/20,0,(OFFSET('Base de dados'!$A$4,IF(O2108&lt;20,1,IF(O2108&gt;1000,10,MATCH(O2108,Cargas,1))),Coluna_fis,1,1))*(PI()*(fi_s/1000)^2/4)*(2*9.81*(O2108/100-cota_s-fi_s/2/1000))^0.5*1000)))</f>
        <v>5.3868943727655489</v>
      </c>
      <c r="R2108" s="38">
        <f t="shared" ca="1" si="250"/>
        <v>11.520160726969428</v>
      </c>
      <c r="S2108" s="38">
        <f t="shared" ca="1" si="251"/>
        <v>658.4375</v>
      </c>
    </row>
    <row r="2109" spans="13:19">
      <c r="M2109" s="132">
        <f t="shared" ca="1" si="248"/>
        <v>670.27328328874989</v>
      </c>
      <c r="N2109" s="38">
        <f t="shared" si="249"/>
        <v>19.762499999999999</v>
      </c>
      <c r="O2109" s="36">
        <f t="shared" si="247"/>
        <v>527</v>
      </c>
      <c r="P2109" s="38">
        <f ca="1">IF(ISERROR(IF(O2109&lt;fi_h/20,0,(OFFSET('Base de dados'!$A$5,IF(O2109&lt;20,1,IF(O2109&gt;1000,10,MATCH(O2109,Cargas,1))),Coluna_fih,1,1))*(1+0.13*0.25)*(PI()*(fi_h/1000)^2/4)*SQRT(2*9.81*(O2109/100-fi_h/2/1000))*1000)),"",IF(O2109&lt;fi_h/20,0,(OFFSET('Base de dados'!$A$5,IF(O2109&lt;20,1,IF(O2109&gt;1000,10,MATCH(O2109,Cargas,1))),Coluna_fih,1,1))*(PI()*(fi_h/1000)^2/4)*SQRT(2*9.81*(O2109/100-fi_h/2/1000))*1000))</f>
        <v>6.1347265097219212</v>
      </c>
      <c r="Q2109" s="38">
        <f ca="1">IF(O2109="","",IF(Tipo_Vertedor="Retangular",IF(O2109&lt;=cota_s*100,0,IF(Tipo_Vertedor="Retangular",Cd_sr*Lef_sr*((O2109/100-cota_s)^(3/2))*1000)),IF(O2109&lt;=cota_s*100+fi_s/20,0,(OFFSET('Base de dados'!$A$4,IF(O2109&lt;20,1,IF(O2109&gt;1000,10,MATCH(O2109,Cargas,1))),Coluna_fis,1,1))*(PI()*(fi_s/1000)^2/4)*(2*9.81*(O2109/100-cota_s-fi_s/2/1000))^0.5*1000)))</f>
        <v>5.3885567790280096</v>
      </c>
      <c r="R2109" s="38">
        <f t="shared" ca="1" si="250"/>
        <v>11.52328328874993</v>
      </c>
      <c r="S2109" s="38">
        <f t="shared" ca="1" si="251"/>
        <v>658.75</v>
      </c>
    </row>
    <row r="2110" spans="13:19">
      <c r="M2110" s="132">
        <f t="shared" ca="1" si="248"/>
        <v>670.58890499036909</v>
      </c>
      <c r="N2110" s="38">
        <f t="shared" si="249"/>
        <v>19.771875000000001</v>
      </c>
      <c r="O2110" s="36">
        <f t="shared" si="247"/>
        <v>527.25</v>
      </c>
      <c r="P2110" s="38">
        <f ca="1">IF(ISERROR(IF(O2110&lt;fi_h/20,0,(OFFSET('Base de dados'!$A$5,IF(O2110&lt;20,1,IF(O2110&gt;1000,10,MATCH(O2110,Cargas,1))),Coluna_fih,1,1))*(1+0.13*0.25)*(PI()*(fi_h/1000)^2/4)*SQRT(2*9.81*(O2110/100-fi_h/2/1000))*1000)),"",IF(O2110&lt;fi_h/20,0,(OFFSET('Base de dados'!$A$5,IF(O2110&lt;20,1,IF(O2110&gt;1000,10,MATCH(O2110,Cargas,1))),Coluna_fih,1,1))*(PI()*(fi_h/1000)^2/4)*SQRT(2*9.81*(O2110/100-fi_h/2/1000))*1000))</f>
        <v>6.1361863177840741</v>
      </c>
      <c r="Q2110" s="38">
        <f ca="1">IF(O2110="","",IF(Tipo_Vertedor="Retangular",IF(O2110&lt;=cota_s*100,0,IF(Tipo_Vertedor="Retangular",Cd_sr*Lef_sr*((O2110/100-cota_s)^(3/2))*1000)),IF(O2110&lt;=cota_s*100+fi_s/20,0,(OFFSET('Base de dados'!$A$4,IF(O2110&lt;20,1,IF(O2110&gt;1000,10,MATCH(O2110,Cargas,1))),Coluna_fis,1,1))*(PI()*(fi_s/1000)^2/4)*(2*9.81*(O2110/100-cota_s-fi_s/2/1000))^0.5*1000)))</f>
        <v>5.3902186725850267</v>
      </c>
      <c r="R2110" s="38">
        <f t="shared" ca="1" si="250"/>
        <v>11.526404990369102</v>
      </c>
      <c r="S2110" s="38">
        <f t="shared" ca="1" si="251"/>
        <v>659.0625</v>
      </c>
    </row>
    <row r="2111" spans="13:19">
      <c r="M2111" s="132">
        <f t="shared" ca="1" si="248"/>
        <v>670.90452583254898</v>
      </c>
      <c r="N2111" s="38">
        <f t="shared" si="249"/>
        <v>19.78125</v>
      </c>
      <c r="O2111" s="36">
        <f t="shared" si="247"/>
        <v>527.5</v>
      </c>
      <c r="P2111" s="38">
        <f ca="1">IF(ISERROR(IF(O2111&lt;fi_h/20,0,(OFFSET('Base de dados'!$A$5,IF(O2111&lt;20,1,IF(O2111&gt;1000,10,MATCH(O2111,Cargas,1))),Coluna_fih,1,1))*(1+0.13*0.25)*(PI()*(fi_h/1000)^2/4)*SQRT(2*9.81*(O2111/100-fi_h/2/1000))*1000)),"",IF(O2111&lt;fi_h/20,0,(OFFSET('Base de dados'!$A$5,IF(O2111&lt;20,1,IF(O2111&gt;1000,10,MATCH(O2111,Cargas,1))),Coluna_fih,1,1))*(PI()*(fi_h/1000)^2/4)*SQRT(2*9.81*(O2111/100-fi_h/2/1000))*1000))</f>
        <v>6.1376457786382606</v>
      </c>
      <c r="Q2111" s="38">
        <f ca="1">IF(O2111="","",IF(Tipo_Vertedor="Retangular",IF(O2111&lt;=cota_s*100,0,IF(Tipo_Vertedor="Retangular",Cd_sr*Lef_sr*((O2111/100-cota_s)^(3/2))*1000)),IF(O2111&lt;=cota_s*100+fi_s/20,0,(OFFSET('Base de dados'!$A$4,IF(O2111&lt;20,1,IF(O2111&gt;1000,10,MATCH(O2111,Cargas,1))),Coluna_fis,1,1))*(PI()*(fi_s/1000)^2/4)*(2*9.81*(O2111/100-cota_s-fi_s/2/1000))^0.5*1000)))</f>
        <v>5.3918800539106826</v>
      </c>
      <c r="R2111" s="38">
        <f t="shared" ca="1" si="250"/>
        <v>11.529525832548943</v>
      </c>
      <c r="S2111" s="38">
        <f t="shared" ca="1" si="251"/>
        <v>659.375</v>
      </c>
    </row>
    <row r="2112" spans="13:19">
      <c r="M2112" s="132">
        <f t="shared" ca="1" si="248"/>
        <v>671.22014581601047</v>
      </c>
      <c r="N2112" s="38">
        <f t="shared" si="249"/>
        <v>19.790624999999999</v>
      </c>
      <c r="O2112" s="36">
        <f t="shared" si="247"/>
        <v>527.75</v>
      </c>
      <c r="P2112" s="38">
        <f ca="1">IF(ISERROR(IF(O2112&lt;fi_h/20,0,(OFFSET('Base de dados'!$A$5,IF(O2112&lt;20,1,IF(O2112&gt;1000,10,MATCH(O2112,Cargas,1))),Coluna_fih,1,1))*(1+0.13*0.25)*(PI()*(fi_h/1000)^2/4)*SQRT(2*9.81*(O2112/100-fi_h/2/1000))*1000)),"",IF(O2112&lt;fi_h/20,0,(OFFSET('Base de dados'!$A$5,IF(O2112&lt;20,1,IF(O2112&gt;1000,10,MATCH(O2112,Cargas,1))),Coluna_fih,1,1))*(PI()*(fi_h/1000)^2/4)*SQRT(2*9.81*(O2112/100-fi_h/2/1000))*1000))</f>
        <v>6.1391048925321057</v>
      </c>
      <c r="Q2112" s="38">
        <f ca="1">IF(O2112="","",IF(Tipo_Vertedor="Retangular",IF(O2112&lt;=cota_s*100,0,IF(Tipo_Vertedor="Retangular",Cd_sr*Lef_sr*((O2112/100-cota_s)^(3/2))*1000)),IF(O2112&lt;=cota_s*100+fi_s/20,0,(OFFSET('Base de dados'!$A$4,IF(O2112&lt;20,1,IF(O2112&gt;1000,10,MATCH(O2112,Cargas,1))),Coluna_fis,1,1))*(PI()*(fi_s/1000)^2/4)*(2*9.81*(O2112/100-cota_s-fi_s/2/1000))^0.5*1000)))</f>
        <v>5.3935409234783256</v>
      </c>
      <c r="R2112" s="38">
        <f t="shared" ca="1" si="250"/>
        <v>11.532645816010431</v>
      </c>
      <c r="S2112" s="38">
        <f t="shared" ca="1" si="251"/>
        <v>659.6875</v>
      </c>
    </row>
    <row r="2113" spans="13:19">
      <c r="M2113" s="132">
        <f t="shared" ca="1" si="248"/>
        <v>671.53576494147353</v>
      </c>
      <c r="N2113" s="38">
        <f t="shared" si="249"/>
        <v>19.8</v>
      </c>
      <c r="O2113" s="36">
        <f t="shared" si="247"/>
        <v>528</v>
      </c>
      <c r="P2113" s="38">
        <f ca="1">IF(ISERROR(IF(O2113&lt;fi_h/20,0,(OFFSET('Base de dados'!$A$5,IF(O2113&lt;20,1,IF(O2113&gt;1000,10,MATCH(O2113,Cargas,1))),Coluna_fih,1,1))*(1+0.13*0.25)*(PI()*(fi_h/1000)^2/4)*SQRT(2*9.81*(O2113/100-fi_h/2/1000))*1000)),"",IF(O2113&lt;fi_h/20,0,(OFFSET('Base de dados'!$A$5,IF(O2113&lt;20,1,IF(O2113&gt;1000,10,MATCH(O2113,Cargas,1))),Coluna_fih,1,1))*(PI()*(fi_h/1000)^2/4)*SQRT(2*9.81*(O2113/100-fi_h/2/1000))*1000))</f>
        <v>6.1405636597129423</v>
      </c>
      <c r="Q2113" s="38">
        <f ca="1">IF(O2113="","",IF(Tipo_Vertedor="Retangular",IF(O2113&lt;=cota_s*100,0,IF(Tipo_Vertedor="Retangular",Cd_sr*Lef_sr*((O2113/100-cota_s)^(3/2))*1000)),IF(O2113&lt;=cota_s*100+fi_s/20,0,(OFFSET('Base de dados'!$A$4,IF(O2113&lt;20,1,IF(O2113&gt;1000,10,MATCH(O2113,Cargas,1))),Coluna_fis,1,1))*(PI()*(fi_s/1000)^2/4)*(2*9.81*(O2113/100-cota_s-fi_s/2/1000))^0.5*1000)))</f>
        <v>5.3952012817605803</v>
      </c>
      <c r="R2113" s="38">
        <f t="shared" ca="1" si="250"/>
        <v>11.535764941473523</v>
      </c>
      <c r="S2113" s="38">
        <f t="shared" ca="1" si="251"/>
        <v>660</v>
      </c>
    </row>
    <row r="2114" spans="13:19">
      <c r="M2114" s="132">
        <f t="shared" ca="1" si="248"/>
        <v>671.85138320965712</v>
      </c>
      <c r="N2114" s="38">
        <f t="shared" si="249"/>
        <v>19.809374999999999</v>
      </c>
      <c r="O2114" s="36">
        <f t="shared" si="247"/>
        <v>528.25</v>
      </c>
      <c r="P2114" s="38">
        <f ca="1">IF(ISERROR(IF(O2114&lt;fi_h/20,0,(OFFSET('Base de dados'!$A$5,IF(O2114&lt;20,1,IF(O2114&gt;1000,10,MATCH(O2114,Cargas,1))),Coluna_fih,1,1))*(1+0.13*0.25)*(PI()*(fi_h/1000)^2/4)*SQRT(2*9.81*(O2114/100-fi_h/2/1000))*1000)),"",IF(O2114&lt;fi_h/20,0,(OFFSET('Base de dados'!$A$5,IF(O2114&lt;20,1,IF(O2114&gt;1000,10,MATCH(O2114,Cargas,1))),Coluna_fih,1,1))*(PI()*(fi_h/1000)^2/4)*SQRT(2*9.81*(O2114/100-fi_h/2/1000))*1000))</f>
        <v>6.1420220804278127</v>
      </c>
      <c r="Q2114" s="38">
        <f ca="1">IF(O2114="","",IF(Tipo_Vertedor="Retangular",IF(O2114&lt;=cota_s*100,0,IF(Tipo_Vertedor="Retangular",Cd_sr*Lef_sr*((O2114/100-cota_s)^(3/2))*1000)),IF(O2114&lt;=cota_s*100+fi_s/20,0,(OFFSET('Base de dados'!$A$4,IF(O2114&lt;20,1,IF(O2114&gt;1000,10,MATCH(O2114,Cargas,1))),Coluna_fis,1,1))*(PI()*(fi_s/1000)^2/4)*(2*9.81*(O2114/100-cota_s-fi_s/2/1000))^0.5*1000)))</f>
        <v>5.3968611292293405</v>
      </c>
      <c r="R2114" s="38">
        <f t="shared" ca="1" si="250"/>
        <v>11.538883209657154</v>
      </c>
      <c r="S2114" s="38">
        <f t="shared" ca="1" si="251"/>
        <v>660.3125</v>
      </c>
    </row>
    <row r="2115" spans="13:19">
      <c r="M2115" s="132">
        <f t="shared" ca="1" si="248"/>
        <v>672.16700062127927</v>
      </c>
      <c r="N2115" s="38">
        <f t="shared" si="249"/>
        <v>19.818750000000001</v>
      </c>
      <c r="O2115" s="36">
        <f t="shared" si="247"/>
        <v>528.5</v>
      </c>
      <c r="P2115" s="38">
        <f ca="1">IF(ISERROR(IF(O2115&lt;fi_h/20,0,(OFFSET('Base de dados'!$A$5,IF(O2115&lt;20,1,IF(O2115&gt;1000,10,MATCH(O2115,Cargas,1))),Coluna_fih,1,1))*(1+0.13*0.25)*(PI()*(fi_h/1000)^2/4)*SQRT(2*9.81*(O2115/100-fi_h/2/1000))*1000)),"",IF(O2115&lt;fi_h/20,0,(OFFSET('Base de dados'!$A$5,IF(O2115&lt;20,1,IF(O2115&gt;1000,10,MATCH(O2115,Cargas,1))),Coluna_fih,1,1))*(PI()*(fi_h/1000)^2/4)*SQRT(2*9.81*(O2115/100-fi_h/2/1000))*1000))</f>
        <v>6.1434801549234583</v>
      </c>
      <c r="Q2115" s="38">
        <f ca="1">IF(O2115="","",IF(Tipo_Vertedor="Retangular",IF(O2115&lt;=cota_s*100,0,IF(Tipo_Vertedor="Retangular",Cd_sr*Lef_sr*((O2115/100-cota_s)^(3/2))*1000)),IF(O2115&lt;=cota_s*100+fi_s/20,0,(OFFSET('Base de dados'!$A$4,IF(O2115&lt;20,1,IF(O2115&gt;1000,10,MATCH(O2115,Cargas,1))),Coluna_fis,1,1))*(PI()*(fi_s/1000)^2/4)*(2*9.81*(O2115/100-cota_s-fi_s/2/1000))^0.5*1000)))</f>
        <v>5.3985204663557749</v>
      </c>
      <c r="R2115" s="38">
        <f t="shared" ca="1" si="250"/>
        <v>11.542000621279232</v>
      </c>
      <c r="S2115" s="38">
        <f t="shared" ca="1" si="251"/>
        <v>660.625</v>
      </c>
    </row>
    <row r="2116" spans="13:19">
      <c r="M2116" s="132">
        <f t="shared" ca="1" si="248"/>
        <v>672.48261717705668</v>
      </c>
      <c r="N2116" s="38">
        <f t="shared" si="249"/>
        <v>19.828125</v>
      </c>
      <c r="O2116" s="36">
        <f t="shared" si="247"/>
        <v>528.75</v>
      </c>
      <c r="P2116" s="38">
        <f ca="1">IF(ISERROR(IF(O2116&lt;fi_h/20,0,(OFFSET('Base de dados'!$A$5,IF(O2116&lt;20,1,IF(O2116&gt;1000,10,MATCH(O2116,Cargas,1))),Coluna_fih,1,1))*(1+0.13*0.25)*(PI()*(fi_h/1000)^2/4)*SQRT(2*9.81*(O2116/100-fi_h/2/1000))*1000)),"",IF(O2116&lt;fi_h/20,0,(OFFSET('Base de dados'!$A$5,IF(O2116&lt;20,1,IF(O2116&gt;1000,10,MATCH(O2116,Cargas,1))),Coluna_fih,1,1))*(PI()*(fi_h/1000)^2/4)*SQRT(2*9.81*(O2116/100-fi_h/2/1000))*1000))</f>
        <v>6.1449378834463353</v>
      </c>
      <c r="Q2116" s="38">
        <f ca="1">IF(O2116="","",IF(Tipo_Vertedor="Retangular",IF(O2116&lt;=cota_s*100,0,IF(Tipo_Vertedor="Retangular",Cd_sr*Lef_sr*((O2116/100-cota_s)^(3/2))*1000)),IF(O2116&lt;=cota_s*100+fi_s/20,0,(OFFSET('Base de dados'!$A$4,IF(O2116&lt;20,1,IF(O2116&gt;1000,10,MATCH(O2116,Cargas,1))),Coluna_fis,1,1))*(PI()*(fi_s/1000)^2/4)*(2*9.81*(O2116/100-cota_s-fi_s/2/1000))^0.5*1000)))</f>
        <v>5.4001792936103277</v>
      </c>
      <c r="R2116" s="38">
        <f t="shared" ca="1" si="250"/>
        <v>11.545117177056664</v>
      </c>
      <c r="S2116" s="38">
        <f t="shared" ca="1" si="251"/>
        <v>660.9375</v>
      </c>
    </row>
    <row r="2117" spans="13:19">
      <c r="M2117" s="132">
        <f t="shared" ca="1" si="248"/>
        <v>672.79823287770535</v>
      </c>
      <c r="N2117" s="38">
        <f t="shared" si="249"/>
        <v>19.837499999999999</v>
      </c>
      <c r="O2117" s="36">
        <f t="shared" si="247"/>
        <v>529</v>
      </c>
      <c r="P2117" s="38">
        <f ca="1">IF(ISERROR(IF(O2117&lt;fi_h/20,0,(OFFSET('Base de dados'!$A$5,IF(O2117&lt;20,1,IF(O2117&gt;1000,10,MATCH(O2117,Cargas,1))),Coluna_fih,1,1))*(1+0.13*0.25)*(PI()*(fi_h/1000)^2/4)*SQRT(2*9.81*(O2117/100-fi_h/2/1000))*1000)),"",IF(O2117&lt;fi_h/20,0,(OFFSET('Base de dados'!$A$5,IF(O2117&lt;20,1,IF(O2117&gt;1000,10,MATCH(O2117,Cargas,1))),Coluna_fih,1,1))*(PI()*(fi_h/1000)^2/4)*SQRT(2*9.81*(O2117/100-fi_h/2/1000))*1000))</f>
        <v>6.1463952662426058</v>
      </c>
      <c r="Q2117" s="38">
        <f ca="1">IF(O2117="","",IF(Tipo_Vertedor="Retangular",IF(O2117&lt;=cota_s*100,0,IF(Tipo_Vertedor="Retangular",Cd_sr*Lef_sr*((O2117/100-cota_s)^(3/2))*1000)),IF(O2117&lt;=cota_s*100+fi_s/20,0,(OFFSET('Base de dados'!$A$4,IF(O2117&lt;20,1,IF(O2117&gt;1000,10,MATCH(O2117,Cargas,1))),Coluna_fis,1,1))*(PI()*(fi_s/1000)^2/4)*(2*9.81*(O2117/100-cota_s-fi_s/2/1000))^0.5*1000)))</f>
        <v>5.4018376114627245</v>
      </c>
      <c r="R2117" s="38">
        <f t="shared" ca="1" si="250"/>
        <v>11.548232877705331</v>
      </c>
      <c r="S2117" s="38">
        <f t="shared" ca="1" si="251"/>
        <v>661.25</v>
      </c>
    </row>
    <row r="2118" spans="13:19">
      <c r="M2118" s="132">
        <f t="shared" ca="1" si="248"/>
        <v>673.11384772394013</v>
      </c>
      <c r="N2118" s="38">
        <f t="shared" si="249"/>
        <v>19.846875000000001</v>
      </c>
      <c r="O2118" s="36">
        <f t="shared" si="247"/>
        <v>529.25</v>
      </c>
      <c r="P2118" s="38">
        <f ca="1">IF(ISERROR(IF(O2118&lt;fi_h/20,0,(OFFSET('Base de dados'!$A$5,IF(O2118&lt;20,1,IF(O2118&gt;1000,10,MATCH(O2118,Cargas,1))),Coluna_fih,1,1))*(1+0.13*0.25)*(PI()*(fi_h/1000)^2/4)*SQRT(2*9.81*(O2118/100-fi_h/2/1000))*1000)),"",IF(O2118&lt;fi_h/20,0,(OFFSET('Base de dados'!$A$5,IF(O2118&lt;20,1,IF(O2118&gt;1000,10,MATCH(O2118,Cargas,1))),Coluna_fih,1,1))*(PI()*(fi_h/1000)^2/4)*SQRT(2*9.81*(O2118/100-fi_h/2/1000))*1000))</f>
        <v>6.1478523035581363</v>
      </c>
      <c r="Q2118" s="38">
        <f ca="1">IF(O2118="","",IF(Tipo_Vertedor="Retangular",IF(O2118&lt;=cota_s*100,0,IF(Tipo_Vertedor="Retangular",Cd_sr*Lef_sr*((O2118/100-cota_s)^(3/2))*1000)),IF(O2118&lt;=cota_s*100+fi_s/20,0,(OFFSET('Base de dados'!$A$4,IF(O2118&lt;20,1,IF(O2118&gt;1000,10,MATCH(O2118,Cargas,1))),Coluna_fis,1,1))*(PI()*(fi_s/1000)^2/4)*(2*9.81*(O2118/100-cota_s-fi_s/2/1000))^0.5*1000)))</f>
        <v>5.4034954203819678</v>
      </c>
      <c r="R2118" s="38">
        <f t="shared" ca="1" si="250"/>
        <v>11.551347723940104</v>
      </c>
      <c r="S2118" s="38">
        <f t="shared" ca="1" si="251"/>
        <v>661.5625</v>
      </c>
    </row>
    <row r="2119" spans="13:19">
      <c r="M2119" s="132">
        <f t="shared" ca="1" si="248"/>
        <v>673.42946171647486</v>
      </c>
      <c r="N2119" s="38">
        <f t="shared" si="249"/>
        <v>19.856249999999999</v>
      </c>
      <c r="O2119" s="36">
        <f t="shared" si="247"/>
        <v>529.5</v>
      </c>
      <c r="P2119" s="38">
        <f ca="1">IF(ISERROR(IF(O2119&lt;fi_h/20,0,(OFFSET('Base de dados'!$A$5,IF(O2119&lt;20,1,IF(O2119&gt;1000,10,MATCH(O2119,Cargas,1))),Coluna_fih,1,1))*(1+0.13*0.25)*(PI()*(fi_h/1000)^2/4)*SQRT(2*9.81*(O2119/100-fi_h/2/1000))*1000)),"",IF(O2119&lt;fi_h/20,0,(OFFSET('Base de dados'!$A$5,IF(O2119&lt;20,1,IF(O2119&gt;1000,10,MATCH(O2119,Cargas,1))),Coluna_fih,1,1))*(PI()*(fi_h/1000)^2/4)*SQRT(2*9.81*(O2119/100-fi_h/2/1000))*1000))</f>
        <v>6.1493089956385072</v>
      </c>
      <c r="Q2119" s="38">
        <f ca="1">IF(O2119="","",IF(Tipo_Vertedor="Retangular",IF(O2119&lt;=cota_s*100,0,IF(Tipo_Vertedor="Retangular",Cd_sr*Lef_sr*((O2119/100-cota_s)^(3/2))*1000)),IF(O2119&lt;=cota_s*100+fi_s/20,0,(OFFSET('Base de dados'!$A$4,IF(O2119&lt;20,1,IF(O2119&gt;1000,10,MATCH(O2119,Cargas,1))),Coluna_fis,1,1))*(PI()*(fi_s/1000)^2/4)*(2*9.81*(O2119/100-cota_s-fi_s/2/1000))^0.5*1000)))</f>
        <v>5.4051527208363375</v>
      </c>
      <c r="R2119" s="38">
        <f t="shared" ca="1" si="250"/>
        <v>11.554461716474844</v>
      </c>
      <c r="S2119" s="38">
        <f t="shared" ca="1" si="251"/>
        <v>661.875</v>
      </c>
    </row>
    <row r="2120" spans="13:19">
      <c r="M2120" s="132">
        <f t="shared" ca="1" si="248"/>
        <v>673.74507485602237</v>
      </c>
      <c r="N2120" s="38">
        <f t="shared" si="249"/>
        <v>19.865625000000001</v>
      </c>
      <c r="O2120" s="36">
        <f t="shared" si="247"/>
        <v>529.75</v>
      </c>
      <c r="P2120" s="38">
        <f ca="1">IF(ISERROR(IF(O2120&lt;fi_h/20,0,(OFFSET('Base de dados'!$A$5,IF(O2120&lt;20,1,IF(O2120&gt;1000,10,MATCH(O2120,Cargas,1))),Coluna_fih,1,1))*(1+0.13*0.25)*(PI()*(fi_h/1000)^2/4)*SQRT(2*9.81*(O2120/100-fi_h/2/1000))*1000)),"",IF(O2120&lt;fi_h/20,0,(OFFSET('Base de dados'!$A$5,IF(O2120&lt;20,1,IF(O2120&gt;1000,10,MATCH(O2120,Cargas,1))),Coluna_fih,1,1))*(PI()*(fi_h/1000)^2/4)*SQRT(2*9.81*(O2120/100-fi_h/2/1000))*1000))</f>
        <v>6.1507653427290041</v>
      </c>
      <c r="Q2120" s="38">
        <f ca="1">IF(O2120="","",IF(Tipo_Vertedor="Retangular",IF(O2120&lt;=cota_s*100,0,IF(Tipo_Vertedor="Retangular",Cd_sr*Lef_sr*((O2120/100-cota_s)^(3/2))*1000)),IF(O2120&lt;=cota_s*100+fi_s/20,0,(OFFSET('Base de dados'!$A$4,IF(O2120&lt;20,1,IF(O2120&gt;1000,10,MATCH(O2120,Cargas,1))),Coluna_fis,1,1))*(PI()*(fi_s/1000)^2/4)*(2*9.81*(O2120/100-cota_s-fi_s/2/1000))^0.5*1000)))</f>
        <v>5.4068095132934024</v>
      </c>
      <c r="R2120" s="38">
        <f t="shared" ca="1" si="250"/>
        <v>11.557574856022406</v>
      </c>
      <c r="S2120" s="38">
        <f t="shared" ca="1" si="251"/>
        <v>662.1875</v>
      </c>
    </row>
    <row r="2121" spans="13:19">
      <c r="M2121" s="132">
        <f t="shared" ca="1" si="248"/>
        <v>674.06068714329467</v>
      </c>
      <c r="N2121" s="38">
        <f t="shared" si="249"/>
        <v>19.875</v>
      </c>
      <c r="O2121" s="36">
        <f t="shared" si="247"/>
        <v>530</v>
      </c>
      <c r="P2121" s="38">
        <f ca="1">IF(ISERROR(IF(O2121&lt;fi_h/20,0,(OFFSET('Base de dados'!$A$5,IF(O2121&lt;20,1,IF(O2121&gt;1000,10,MATCH(O2121,Cargas,1))),Coluna_fih,1,1))*(1+0.13*0.25)*(PI()*(fi_h/1000)^2/4)*SQRT(2*9.81*(O2121/100-fi_h/2/1000))*1000)),"",IF(O2121&lt;fi_h/20,0,(OFFSET('Base de dados'!$A$5,IF(O2121&lt;20,1,IF(O2121&gt;1000,10,MATCH(O2121,Cargas,1))),Coluna_fih,1,1))*(PI()*(fi_h/1000)^2/4)*SQRT(2*9.81*(O2121/100-fi_h/2/1000))*1000))</f>
        <v>6.1522213450746239</v>
      </c>
      <c r="Q2121" s="38">
        <f ca="1">IF(O2121="","",IF(Tipo_Vertedor="Retangular",IF(O2121&lt;=cota_s*100,0,IF(Tipo_Vertedor="Retangular",Cd_sr*Lef_sr*((O2121/100-cota_s)^(3/2))*1000)),IF(O2121&lt;=cota_s*100+fi_s/20,0,(OFFSET('Base de dados'!$A$4,IF(O2121&lt;20,1,IF(O2121&gt;1000,10,MATCH(O2121,Cargas,1))),Coluna_fis,1,1))*(PI()*(fi_s/1000)^2/4)*(2*9.81*(O2121/100-cota_s-fi_s/2/1000))^0.5*1000)))</f>
        <v>5.4084657982200106</v>
      </c>
      <c r="R2121" s="38">
        <f t="shared" ca="1" si="250"/>
        <v>11.560687143294635</v>
      </c>
      <c r="S2121" s="38">
        <f t="shared" ca="1" si="251"/>
        <v>662.5</v>
      </c>
    </row>
    <row r="2122" spans="13:19">
      <c r="M2122" s="132">
        <f t="shared" ca="1" si="248"/>
        <v>674.37629857900254</v>
      </c>
      <c r="N2122" s="38">
        <f t="shared" si="249"/>
        <v>19.884375000000002</v>
      </c>
      <c r="O2122" s="36">
        <f t="shared" si="247"/>
        <v>530.25</v>
      </c>
      <c r="P2122" s="38">
        <f ca="1">IF(ISERROR(IF(O2122&lt;fi_h/20,0,(OFFSET('Base de dados'!$A$5,IF(O2122&lt;20,1,IF(O2122&gt;1000,10,MATCH(O2122,Cargas,1))),Coluna_fih,1,1))*(1+0.13*0.25)*(PI()*(fi_h/1000)^2/4)*SQRT(2*9.81*(O2122/100-fi_h/2/1000))*1000)),"",IF(O2122&lt;fi_h/20,0,(OFFSET('Base de dados'!$A$5,IF(O2122&lt;20,1,IF(O2122&gt;1000,10,MATCH(O2122,Cargas,1))),Coluna_fih,1,1))*(PI()*(fi_h/1000)^2/4)*SQRT(2*9.81*(O2122/100-fi_h/2/1000))*1000))</f>
        <v>6.1536770029200749</v>
      </c>
      <c r="Q2122" s="38">
        <f ca="1">IF(O2122="","",IF(Tipo_Vertedor="Retangular",IF(O2122&lt;=cota_s*100,0,IF(Tipo_Vertedor="Retangular",Cd_sr*Lef_sr*((O2122/100-cota_s)^(3/2))*1000)),IF(O2122&lt;=cota_s*100+fi_s/20,0,(OFFSET('Base de dados'!$A$4,IF(O2122&lt;20,1,IF(O2122&gt;1000,10,MATCH(O2122,Cargas,1))),Coluna_fis,1,1))*(PI()*(fi_s/1000)^2/4)*(2*9.81*(O2122/100-cota_s-fi_s/2/1000))^0.5*1000)))</f>
        <v>5.4101215760822967</v>
      </c>
      <c r="R2122" s="38">
        <f t="shared" ca="1" si="250"/>
        <v>11.563798579002372</v>
      </c>
      <c r="S2122" s="38">
        <f t="shared" ca="1" si="251"/>
        <v>662.81250000000011</v>
      </c>
    </row>
    <row r="2123" spans="13:19">
      <c r="M2123" s="132">
        <f t="shared" ca="1" si="248"/>
        <v>674.69190916385537</v>
      </c>
      <c r="N2123" s="38">
        <f t="shared" si="249"/>
        <v>19.893749999999997</v>
      </c>
      <c r="O2123" s="36">
        <f t="shared" si="247"/>
        <v>530.5</v>
      </c>
      <c r="P2123" s="38">
        <f ca="1">IF(ISERROR(IF(O2123&lt;fi_h/20,0,(OFFSET('Base de dados'!$A$5,IF(O2123&lt;20,1,IF(O2123&gt;1000,10,MATCH(O2123,Cargas,1))),Coluna_fih,1,1))*(1+0.13*0.25)*(PI()*(fi_h/1000)^2/4)*SQRT(2*9.81*(O2123/100-fi_h/2/1000))*1000)),"",IF(O2123&lt;fi_h/20,0,(OFFSET('Base de dados'!$A$5,IF(O2123&lt;20,1,IF(O2123&gt;1000,10,MATCH(O2123,Cargas,1))),Coluna_fih,1,1))*(PI()*(fi_h/1000)^2/4)*SQRT(2*9.81*(O2123/100-fi_h/2/1000))*1000))</f>
        <v>6.1551323165097731</v>
      </c>
      <c r="Q2123" s="38">
        <f ca="1">IF(O2123="","",IF(Tipo_Vertedor="Retangular",IF(O2123&lt;=cota_s*100,0,IF(Tipo_Vertedor="Retangular",Cd_sr*Lef_sr*((O2123/100-cota_s)^(3/2))*1000)),IF(O2123&lt;=cota_s*100+fi_s/20,0,(OFFSET('Base de dados'!$A$4,IF(O2123&lt;20,1,IF(O2123&gt;1000,10,MATCH(O2123,Cargas,1))),Coluna_fis,1,1))*(PI()*(fi_s/1000)^2/4)*(2*9.81*(O2123/100-cota_s-fi_s/2/1000))^0.5*1000)))</f>
        <v>5.4117768473456813</v>
      </c>
      <c r="R2123" s="38">
        <f t="shared" ca="1" si="250"/>
        <v>11.566909163855454</v>
      </c>
      <c r="S2123" s="38">
        <f t="shared" ca="1" si="251"/>
        <v>663.12499999999989</v>
      </c>
    </row>
    <row r="2124" spans="13:19">
      <c r="M2124" s="132">
        <f t="shared" ca="1" si="248"/>
        <v>675.00751889856269</v>
      </c>
      <c r="N2124" s="38">
        <f t="shared" si="249"/>
        <v>19.903124999999999</v>
      </c>
      <c r="O2124" s="36">
        <f t="shared" si="247"/>
        <v>530.75</v>
      </c>
      <c r="P2124" s="38">
        <f ca="1">IF(ISERROR(IF(O2124&lt;fi_h/20,0,(OFFSET('Base de dados'!$A$5,IF(O2124&lt;20,1,IF(O2124&gt;1000,10,MATCH(O2124,Cargas,1))),Coluna_fih,1,1))*(1+0.13*0.25)*(PI()*(fi_h/1000)^2/4)*SQRT(2*9.81*(O2124/100-fi_h/2/1000))*1000)),"",IF(O2124&lt;fi_h/20,0,(OFFSET('Base de dados'!$A$5,IF(O2124&lt;20,1,IF(O2124&gt;1000,10,MATCH(O2124,Cargas,1))),Coluna_fih,1,1))*(PI()*(fi_h/1000)^2/4)*SQRT(2*9.81*(O2124/100-fi_h/2/1000))*1000))</f>
        <v>6.1565872860878486</v>
      </c>
      <c r="Q2124" s="38">
        <f ca="1">IF(O2124="","",IF(Tipo_Vertedor="Retangular",IF(O2124&lt;=cota_s*100,0,IF(Tipo_Vertedor="Retangular",Cd_sr*Lef_sr*((O2124/100-cota_s)^(3/2))*1000)),IF(O2124&lt;=cota_s*100+fi_s/20,0,(OFFSET('Base de dados'!$A$4,IF(O2124&lt;20,1,IF(O2124&gt;1000,10,MATCH(O2124,Cargas,1))),Coluna_fis,1,1))*(PI()*(fi_s/1000)^2/4)*(2*9.81*(O2124/100-cota_s-fi_s/2/1000))^0.5*1000)))</f>
        <v>5.4134316124748771</v>
      </c>
      <c r="R2124" s="38">
        <f t="shared" ca="1" si="250"/>
        <v>11.570018898562726</v>
      </c>
      <c r="S2124" s="38">
        <f t="shared" ca="1" si="251"/>
        <v>663.4375</v>
      </c>
    </row>
    <row r="2125" spans="13:19">
      <c r="M2125" s="132">
        <f t="shared" ca="1" si="248"/>
        <v>675.32312778383186</v>
      </c>
      <c r="N2125" s="38">
        <f t="shared" si="249"/>
        <v>19.912499999999998</v>
      </c>
      <c r="O2125" s="36">
        <f t="shared" si="247"/>
        <v>531</v>
      </c>
      <c r="P2125" s="38">
        <f ca="1">IF(ISERROR(IF(O2125&lt;fi_h/20,0,(OFFSET('Base de dados'!$A$5,IF(O2125&lt;20,1,IF(O2125&gt;1000,10,MATCH(O2125,Cargas,1))),Coluna_fih,1,1))*(1+0.13*0.25)*(PI()*(fi_h/1000)^2/4)*SQRT(2*9.81*(O2125/100-fi_h/2/1000))*1000)),"",IF(O2125&lt;fi_h/20,0,(OFFSET('Base de dados'!$A$5,IF(O2125&lt;20,1,IF(O2125&gt;1000,10,MATCH(O2125,Cargas,1))),Coluna_fih,1,1))*(PI()*(fi_h/1000)^2/4)*SQRT(2*9.81*(O2125/100-fi_h/2/1000))*1000))</f>
        <v>6.1580419118981418</v>
      </c>
      <c r="Q2125" s="38">
        <f ca="1">IF(O2125="","",IF(Tipo_Vertedor="Retangular",IF(O2125&lt;=cota_s*100,0,IF(Tipo_Vertedor="Retangular",Cd_sr*Lef_sr*((O2125/100-cota_s)^(3/2))*1000)),IF(O2125&lt;=cota_s*100+fi_s/20,0,(OFFSET('Base de dados'!$A$4,IF(O2125&lt;20,1,IF(O2125&gt;1000,10,MATCH(O2125,Cargas,1))),Coluna_fis,1,1))*(PI()*(fi_s/1000)^2/4)*(2*9.81*(O2125/100-cota_s-fi_s/2/1000))^0.5*1000)))</f>
        <v>5.4150858719338801</v>
      </c>
      <c r="R2125" s="38">
        <f t="shared" ca="1" si="250"/>
        <v>11.573127783832021</v>
      </c>
      <c r="S2125" s="38">
        <f t="shared" ca="1" si="251"/>
        <v>663.74999999999989</v>
      </c>
    </row>
    <row r="2126" spans="13:19">
      <c r="M2126" s="132">
        <f t="shared" ca="1" si="248"/>
        <v>675.63873582037024</v>
      </c>
      <c r="N2126" s="38">
        <f t="shared" si="249"/>
        <v>19.921875</v>
      </c>
      <c r="O2126" s="36">
        <f t="shared" si="247"/>
        <v>531.25</v>
      </c>
      <c r="P2126" s="38">
        <f ca="1">IF(ISERROR(IF(O2126&lt;fi_h/20,0,(OFFSET('Base de dados'!$A$5,IF(O2126&lt;20,1,IF(O2126&gt;1000,10,MATCH(O2126,Cargas,1))),Coluna_fih,1,1))*(1+0.13*0.25)*(PI()*(fi_h/1000)^2/4)*SQRT(2*9.81*(O2126/100-fi_h/2/1000))*1000)),"",IF(O2126&lt;fi_h/20,0,(OFFSET('Base de dados'!$A$5,IF(O2126&lt;20,1,IF(O2126&gt;1000,10,MATCH(O2126,Cargas,1))),Coluna_fih,1,1))*(PI()*(fi_h/1000)^2/4)*SQRT(2*9.81*(O2126/100-fi_h/2/1000))*1000))</f>
        <v>6.1594961941842037</v>
      </c>
      <c r="Q2126" s="38">
        <f ca="1">IF(O2126="","",IF(Tipo_Vertedor="Retangular",IF(O2126&lt;=cota_s*100,0,IF(Tipo_Vertedor="Retangular",Cd_sr*Lef_sr*((O2126/100-cota_s)^(3/2))*1000)),IF(O2126&lt;=cota_s*100+fi_s/20,0,(OFFSET('Base de dados'!$A$4,IF(O2126&lt;20,1,IF(O2126&gt;1000,10,MATCH(O2126,Cargas,1))),Coluna_fis,1,1))*(PI()*(fi_s/1000)^2/4)*(2*9.81*(O2126/100-cota_s-fi_s/2/1000))^0.5*1000)))</f>
        <v>5.4167396261859855</v>
      </c>
      <c r="R2126" s="38">
        <f t="shared" ca="1" si="250"/>
        <v>11.57623582037019</v>
      </c>
      <c r="S2126" s="38">
        <f t="shared" ca="1" si="251"/>
        <v>664.0625</v>
      </c>
    </row>
    <row r="2127" spans="13:19">
      <c r="M2127" s="132">
        <f t="shared" ca="1" si="248"/>
        <v>675.95434300888314</v>
      </c>
      <c r="N2127" s="38">
        <f t="shared" si="249"/>
        <v>19.931250000000002</v>
      </c>
      <c r="O2127" s="36">
        <f t="shared" si="247"/>
        <v>531.5</v>
      </c>
      <c r="P2127" s="38">
        <f ca="1">IF(ISERROR(IF(O2127&lt;fi_h/20,0,(OFFSET('Base de dados'!$A$5,IF(O2127&lt;20,1,IF(O2127&gt;1000,10,MATCH(O2127,Cargas,1))),Coluna_fih,1,1))*(1+0.13*0.25)*(PI()*(fi_h/1000)^2/4)*SQRT(2*9.81*(O2127/100-fi_h/2/1000))*1000)),"",IF(O2127&lt;fi_h/20,0,(OFFSET('Base de dados'!$A$5,IF(O2127&lt;20,1,IF(O2127&gt;1000,10,MATCH(O2127,Cargas,1))),Coluna_fih,1,1))*(PI()*(fi_h/1000)^2/4)*SQRT(2*9.81*(O2127/100-fi_h/2/1000))*1000))</f>
        <v>6.1609501331893011</v>
      </c>
      <c r="Q2127" s="38">
        <f ca="1">IF(O2127="","",IF(Tipo_Vertedor="Retangular",IF(O2127&lt;=cota_s*100,0,IF(Tipo_Vertedor="Retangular",Cd_sr*Lef_sr*((O2127/100-cota_s)^(3/2))*1000)),IF(O2127&lt;=cota_s*100+fi_s/20,0,(OFFSET('Base de dados'!$A$4,IF(O2127&lt;20,1,IF(O2127&gt;1000,10,MATCH(O2127,Cargas,1))),Coluna_fis,1,1))*(PI()*(fi_s/1000)^2/4)*(2*9.81*(O2127/100-cota_s-fi_s/2/1000))^0.5*1000)))</f>
        <v>5.418392875693776</v>
      </c>
      <c r="R2127" s="38">
        <f t="shared" ca="1" si="250"/>
        <v>11.579343008883077</v>
      </c>
      <c r="S2127" s="38">
        <f t="shared" ca="1" si="251"/>
        <v>664.37500000000011</v>
      </c>
    </row>
    <row r="2128" spans="13:19">
      <c r="M2128" s="132">
        <f t="shared" ca="1" si="248"/>
        <v>676.26994935007554</v>
      </c>
      <c r="N2128" s="38">
        <f t="shared" si="249"/>
        <v>19.940625000000001</v>
      </c>
      <c r="O2128" s="36">
        <f t="shared" si="247"/>
        <v>531.75</v>
      </c>
      <c r="P2128" s="38">
        <f ca="1">IF(ISERROR(IF(O2128&lt;fi_h/20,0,(OFFSET('Base de dados'!$A$5,IF(O2128&lt;20,1,IF(O2128&gt;1000,10,MATCH(O2128,Cargas,1))),Coluna_fih,1,1))*(1+0.13*0.25)*(PI()*(fi_h/1000)^2/4)*SQRT(2*9.81*(O2128/100-fi_h/2/1000))*1000)),"",IF(O2128&lt;fi_h/20,0,(OFFSET('Base de dados'!$A$5,IF(O2128&lt;20,1,IF(O2128&gt;1000,10,MATCH(O2128,Cargas,1))),Coluna_fih,1,1))*(PI()*(fi_h/1000)^2/4)*SQRT(2*9.81*(O2128/100-fi_h/2/1000))*1000))</f>
        <v>6.162403729156412</v>
      </c>
      <c r="Q2128" s="38">
        <f ca="1">IF(O2128="","",IF(Tipo_Vertedor="Retangular",IF(O2128&lt;=cota_s*100,0,IF(Tipo_Vertedor="Retangular",Cd_sr*Lef_sr*((O2128/100-cota_s)^(3/2))*1000)),IF(O2128&lt;=cota_s*100+fi_s/20,0,(OFFSET('Base de dados'!$A$4,IF(O2128&lt;20,1,IF(O2128&gt;1000,10,MATCH(O2128,Cargas,1))),Coluna_fis,1,1))*(PI()*(fi_s/1000)^2/4)*(2*9.81*(O2128/100-cota_s-fi_s/2/1000))^0.5*1000)))</f>
        <v>5.4200456209191312</v>
      </c>
      <c r="R2128" s="38">
        <f t="shared" ca="1" si="250"/>
        <v>11.582449350075542</v>
      </c>
      <c r="S2128" s="38">
        <f t="shared" ca="1" si="251"/>
        <v>664.6875</v>
      </c>
    </row>
    <row r="2129" spans="13:19">
      <c r="M2129" s="132">
        <f t="shared" ca="1" si="248"/>
        <v>676.5855548446516</v>
      </c>
      <c r="N2129" s="38">
        <f t="shared" si="249"/>
        <v>19.950000000000003</v>
      </c>
      <c r="O2129" s="36">
        <f t="shared" si="247"/>
        <v>532</v>
      </c>
      <c r="P2129" s="38">
        <f ca="1">IF(ISERROR(IF(O2129&lt;fi_h/20,0,(OFFSET('Base de dados'!$A$5,IF(O2129&lt;20,1,IF(O2129&gt;1000,10,MATCH(O2129,Cargas,1))),Coluna_fih,1,1))*(1+0.13*0.25)*(PI()*(fi_h/1000)^2/4)*SQRT(2*9.81*(O2129/100-fi_h/2/1000))*1000)),"",IF(O2129&lt;fi_h/20,0,(OFFSET('Base de dados'!$A$5,IF(O2129&lt;20,1,IF(O2129&gt;1000,10,MATCH(O2129,Cargas,1))),Coluna_fih,1,1))*(PI()*(fi_h/1000)^2/4)*SQRT(2*9.81*(O2129/100-fi_h/2/1000))*1000))</f>
        <v>6.163856982328225</v>
      </c>
      <c r="Q2129" s="38">
        <f ca="1">IF(O2129="","",IF(Tipo_Vertedor="Retangular",IF(O2129&lt;=cota_s*100,0,IF(Tipo_Vertedor="Retangular",Cd_sr*Lef_sr*((O2129/100-cota_s)^(3/2))*1000)),IF(O2129&lt;=cota_s*100+fi_s/20,0,(OFFSET('Base de dados'!$A$4,IF(O2129&lt;20,1,IF(O2129&gt;1000,10,MATCH(O2129,Cargas,1))),Coluna_fis,1,1))*(PI()*(fi_s/1000)^2/4)*(2*9.81*(O2129/100-cota_s-fi_s/2/1000))^0.5*1000)))</f>
        <v>5.4216978623232244</v>
      </c>
      <c r="R2129" s="38">
        <f t="shared" ca="1" si="250"/>
        <v>11.585554844651449</v>
      </c>
      <c r="S2129" s="38">
        <f t="shared" ca="1" si="251"/>
        <v>665.00000000000011</v>
      </c>
    </row>
    <row r="2130" spans="13:19">
      <c r="M2130" s="132">
        <f t="shared" ca="1" si="248"/>
        <v>676.90115949331357</v>
      </c>
      <c r="N2130" s="38">
        <f t="shared" si="249"/>
        <v>19.959374999999998</v>
      </c>
      <c r="O2130" s="36">
        <f t="shared" si="247"/>
        <v>532.25</v>
      </c>
      <c r="P2130" s="38">
        <f ca="1">IF(ISERROR(IF(O2130&lt;fi_h/20,0,(OFFSET('Base de dados'!$A$5,IF(O2130&lt;20,1,IF(O2130&gt;1000,10,MATCH(O2130,Cargas,1))),Coluna_fih,1,1))*(1+0.13*0.25)*(PI()*(fi_h/1000)^2/4)*SQRT(2*9.81*(O2130/100-fi_h/2/1000))*1000)),"",IF(O2130&lt;fi_h/20,0,(OFFSET('Base de dados'!$A$5,IF(O2130&lt;20,1,IF(O2130&gt;1000,10,MATCH(O2130,Cargas,1))),Coluna_fih,1,1))*(PI()*(fi_h/1000)^2/4)*SQRT(2*9.81*(O2130/100-fi_h/2/1000))*1000))</f>
        <v>6.1653098929471497</v>
      </c>
      <c r="Q2130" s="38">
        <f ca="1">IF(O2130="","",IF(Tipo_Vertedor="Retangular",IF(O2130&lt;=cota_s*100,0,IF(Tipo_Vertedor="Retangular",Cd_sr*Lef_sr*((O2130/100-cota_s)^(3/2))*1000)),IF(O2130&lt;=cota_s*100+fi_s/20,0,(OFFSET('Base de dados'!$A$4,IF(O2130&lt;20,1,IF(O2130&gt;1000,10,MATCH(O2130,Cargas,1))),Coluna_fis,1,1))*(PI()*(fi_s/1000)^2/4)*(2*9.81*(O2130/100-cota_s-fi_s/2/1000))^0.5*1000)))</f>
        <v>5.4233496003665289</v>
      </c>
      <c r="R2130" s="38">
        <f t="shared" ca="1" si="250"/>
        <v>11.588659493313678</v>
      </c>
      <c r="S2130" s="38">
        <f t="shared" ca="1" si="251"/>
        <v>665.31249999999989</v>
      </c>
    </row>
    <row r="2131" spans="13:19">
      <c r="M2131" s="132">
        <f t="shared" ca="1" si="248"/>
        <v>677.21676329676416</v>
      </c>
      <c r="N2131" s="38">
        <f t="shared" si="249"/>
        <v>19.96875</v>
      </c>
      <c r="O2131" s="36">
        <f t="shared" ref="O2131:O2194" si="252">IF(ISERROR(IF(O2130+passo_altura&gt;h_max_puls*100,"",O2130+passo_altura)),"",IF(O2130+passo_altura&gt;h_max_puls*100,"",O2130+passo_altura))</f>
        <v>532.5</v>
      </c>
      <c r="P2131" s="38">
        <f ca="1">IF(ISERROR(IF(O2131&lt;fi_h/20,0,(OFFSET('Base de dados'!$A$5,IF(O2131&lt;20,1,IF(O2131&gt;1000,10,MATCH(O2131,Cargas,1))),Coluna_fih,1,1))*(1+0.13*0.25)*(PI()*(fi_h/1000)^2/4)*SQRT(2*9.81*(O2131/100-fi_h/2/1000))*1000)),"",IF(O2131&lt;fi_h/20,0,(OFFSET('Base de dados'!$A$5,IF(O2131&lt;20,1,IF(O2131&gt;1000,10,MATCH(O2131,Cargas,1))),Coluna_fih,1,1))*(PI()*(fi_h/1000)^2/4)*SQRT(2*9.81*(O2131/100-fi_h/2/1000))*1000))</f>
        <v>6.1667624612553036</v>
      </c>
      <c r="Q2131" s="38">
        <f ca="1">IF(O2131="","",IF(Tipo_Vertedor="Retangular",IF(O2131&lt;=cota_s*100,0,IF(Tipo_Vertedor="Retangular",Cd_sr*Lef_sr*((O2131/100-cota_s)^(3/2))*1000)),IF(O2131&lt;=cota_s*100+fi_s/20,0,(OFFSET('Base de dados'!$A$4,IF(O2131&lt;20,1,IF(O2131&gt;1000,10,MATCH(O2131,Cargas,1))),Coluna_fis,1,1))*(PI()*(fi_s/1000)^2/4)*(2*9.81*(O2131/100-cota_s-fi_s/2/1000))^0.5*1000)))</f>
        <v>5.4250008355088175</v>
      </c>
      <c r="R2131" s="38">
        <f t="shared" ca="1" si="250"/>
        <v>11.591763296764121</v>
      </c>
      <c r="S2131" s="38">
        <f t="shared" ca="1" si="251"/>
        <v>665.625</v>
      </c>
    </row>
    <row r="2132" spans="13:19">
      <c r="M2132" s="132">
        <f t="shared" ca="1" si="248"/>
        <v>677.53236625570366</v>
      </c>
      <c r="N2132" s="38">
        <f t="shared" si="249"/>
        <v>19.978124999999999</v>
      </c>
      <c r="O2132" s="36">
        <f t="shared" si="252"/>
        <v>532.75</v>
      </c>
      <c r="P2132" s="38">
        <f ca="1">IF(ISERROR(IF(O2132&lt;fi_h/20,0,(OFFSET('Base de dados'!$A$5,IF(O2132&lt;20,1,IF(O2132&gt;1000,10,MATCH(O2132,Cargas,1))),Coluna_fih,1,1))*(1+0.13*0.25)*(PI()*(fi_h/1000)^2/4)*SQRT(2*9.81*(O2132/100-fi_h/2/1000))*1000)),"",IF(O2132&lt;fi_h/20,0,(OFFSET('Base de dados'!$A$5,IF(O2132&lt;20,1,IF(O2132&gt;1000,10,MATCH(O2132,Cargas,1))),Coluna_fih,1,1))*(PI()*(fi_h/1000)^2/4)*SQRT(2*9.81*(O2132/100-fi_h/2/1000))*1000))</f>
        <v>6.1682146874945216</v>
      </c>
      <c r="Q2132" s="38">
        <f ca="1">IF(O2132="","",IF(Tipo_Vertedor="Retangular",IF(O2132&lt;=cota_s*100,0,IF(Tipo_Vertedor="Retangular",Cd_sr*Lef_sr*((O2132/100-cota_s)^(3/2))*1000)),IF(O2132&lt;=cota_s*100+fi_s/20,0,(OFFSET('Base de dados'!$A$4,IF(O2132&lt;20,1,IF(O2132&gt;1000,10,MATCH(O2132,Cargas,1))),Coluna_fis,1,1))*(PI()*(fi_s/1000)^2/4)*(2*9.81*(O2132/100-cota_s-fi_s/2/1000))^0.5*1000)))</f>
        <v>5.4266515682091603</v>
      </c>
      <c r="R2132" s="38">
        <f t="shared" ca="1" si="250"/>
        <v>11.594866255703682</v>
      </c>
      <c r="S2132" s="38">
        <f t="shared" ca="1" si="251"/>
        <v>665.9375</v>
      </c>
    </row>
    <row r="2133" spans="13:19">
      <c r="M2133" s="132">
        <f t="shared" ca="1" si="248"/>
        <v>677.84796837083229</v>
      </c>
      <c r="N2133" s="38">
        <f t="shared" si="249"/>
        <v>19.987500000000001</v>
      </c>
      <c r="O2133" s="36">
        <f t="shared" si="252"/>
        <v>533</v>
      </c>
      <c r="P2133" s="38">
        <f ca="1">IF(ISERROR(IF(O2133&lt;fi_h/20,0,(OFFSET('Base de dados'!$A$5,IF(O2133&lt;20,1,IF(O2133&gt;1000,10,MATCH(O2133,Cargas,1))),Coluna_fih,1,1))*(1+0.13*0.25)*(PI()*(fi_h/1000)^2/4)*SQRT(2*9.81*(O2133/100-fi_h/2/1000))*1000)),"",IF(O2133&lt;fi_h/20,0,(OFFSET('Base de dados'!$A$5,IF(O2133&lt;20,1,IF(O2133&gt;1000,10,MATCH(O2133,Cargas,1))),Coluna_fih,1,1))*(PI()*(fi_h/1000)^2/4)*SQRT(2*9.81*(O2133/100-fi_h/2/1000))*1000))</f>
        <v>6.1696665719063555</v>
      </c>
      <c r="Q2133" s="38">
        <f ca="1">IF(O2133="","",IF(Tipo_Vertedor="Retangular",IF(O2133&lt;=cota_s*100,0,IF(Tipo_Vertedor="Retangular",Cd_sr*Lef_sr*((O2133/100-cota_s)^(3/2))*1000)),IF(O2133&lt;=cota_s*100+fi_s/20,0,(OFFSET('Base de dados'!$A$4,IF(O2133&lt;20,1,IF(O2133&gt;1000,10,MATCH(O2133,Cargas,1))),Coluna_fis,1,1))*(PI()*(fi_s/1000)^2/4)*(2*9.81*(O2133/100-cota_s-fi_s/2/1000))^0.5*1000)))</f>
        <v>5.4283017989259328</v>
      </c>
      <c r="R2133" s="38">
        <f t="shared" ca="1" si="250"/>
        <v>11.597968370832287</v>
      </c>
      <c r="S2133" s="38">
        <f t="shared" ca="1" si="251"/>
        <v>666.25</v>
      </c>
    </row>
    <row r="2134" spans="13:19">
      <c r="M2134" s="132">
        <f t="shared" ca="1" si="248"/>
        <v>678.16356964284887</v>
      </c>
      <c r="N2134" s="38">
        <f t="shared" si="249"/>
        <v>19.996874999999999</v>
      </c>
      <c r="O2134" s="36">
        <f t="shared" si="252"/>
        <v>533.25</v>
      </c>
      <c r="P2134" s="38">
        <f ca="1">IF(ISERROR(IF(O2134&lt;fi_h/20,0,(OFFSET('Base de dados'!$A$5,IF(O2134&lt;20,1,IF(O2134&gt;1000,10,MATCH(O2134,Cargas,1))),Coluna_fih,1,1))*(1+0.13*0.25)*(PI()*(fi_h/1000)^2/4)*SQRT(2*9.81*(O2134/100-fi_h/2/1000))*1000)),"",IF(O2134&lt;fi_h/20,0,(OFFSET('Base de dados'!$A$5,IF(O2134&lt;20,1,IF(O2134&gt;1000,10,MATCH(O2134,Cargas,1))),Coluna_fih,1,1))*(PI()*(fi_h/1000)^2/4)*SQRT(2*9.81*(O2134/100-fi_h/2/1000))*1000))</f>
        <v>6.1711181147320699</v>
      </c>
      <c r="Q2134" s="38">
        <f ca="1">IF(O2134="","",IF(Tipo_Vertedor="Retangular",IF(O2134&lt;=cota_s*100,0,IF(Tipo_Vertedor="Retangular",Cd_sr*Lef_sr*((O2134/100-cota_s)^(3/2))*1000)),IF(O2134&lt;=cota_s*100+fi_s/20,0,(OFFSET('Base de dados'!$A$4,IF(O2134&lt;20,1,IF(O2134&gt;1000,10,MATCH(O2134,Cargas,1))),Coluna_fis,1,1))*(PI()*(fi_s/1000)^2/4)*(2*9.81*(O2134/100-cota_s-fi_s/2/1000))^0.5*1000)))</f>
        <v>5.4299515281168107</v>
      </c>
      <c r="R2134" s="38">
        <f t="shared" ca="1" si="250"/>
        <v>11.601069642848881</v>
      </c>
      <c r="S2134" s="38">
        <f t="shared" ca="1" si="251"/>
        <v>666.5625</v>
      </c>
    </row>
    <row r="2135" spans="13:19">
      <c r="M2135" s="132">
        <f t="shared" ref="M2135:M2198" ca="1" si="253">IF(O2135="","",2*N2135*1000/(Passo*60)+R2135)</f>
        <v>678.47917007245144</v>
      </c>
      <c r="N2135" s="38">
        <f t="shared" ref="N2135:N2198" si="254">IF(O2135="","",b_0*(O2135/100)^c_0)</f>
        <v>20.006250000000001</v>
      </c>
      <c r="O2135" s="36">
        <f t="shared" si="252"/>
        <v>533.5</v>
      </c>
      <c r="P2135" s="38">
        <f ca="1">IF(ISERROR(IF(O2135&lt;fi_h/20,0,(OFFSET('Base de dados'!$A$5,IF(O2135&lt;20,1,IF(O2135&gt;1000,10,MATCH(O2135,Cargas,1))),Coluna_fih,1,1))*(1+0.13*0.25)*(PI()*(fi_h/1000)^2/4)*SQRT(2*9.81*(O2135/100-fi_h/2/1000))*1000)),"",IF(O2135&lt;fi_h/20,0,(OFFSET('Base de dados'!$A$5,IF(O2135&lt;20,1,IF(O2135&gt;1000,10,MATCH(O2135,Cargas,1))),Coluna_fih,1,1))*(PI()*(fi_h/1000)^2/4)*SQRT(2*9.81*(O2135/100-fi_h/2/1000))*1000))</f>
        <v>6.1725693162126474</v>
      </c>
      <c r="Q2135" s="38">
        <f ca="1">IF(O2135="","",IF(Tipo_Vertedor="Retangular",IF(O2135&lt;=cota_s*100,0,IF(Tipo_Vertedor="Retangular",Cd_sr*Lef_sr*((O2135/100-cota_s)^(3/2))*1000)),IF(O2135&lt;=cota_s*100+fi_s/20,0,(OFFSET('Base de dados'!$A$4,IF(O2135&lt;20,1,IF(O2135&gt;1000,10,MATCH(O2135,Cargas,1))),Coluna_fis,1,1))*(PI()*(fi_s/1000)^2/4)*(2*9.81*(O2135/100-cota_s-fi_s/2/1000))^0.5*1000)))</f>
        <v>5.4316007562387787</v>
      </c>
      <c r="R2135" s="38">
        <f t="shared" ref="R2135:R2198" ca="1" si="255">IF(O2135="","",Q2135+P2135)</f>
        <v>11.604170072451426</v>
      </c>
      <c r="S2135" s="38">
        <f t="shared" ref="S2135:S2198" ca="1" si="256">IF(M2135="","",2*N2135*1000/(Passo*60))</f>
        <v>666.875</v>
      </c>
    </row>
    <row r="2136" spans="13:19">
      <c r="M2136" s="132">
        <f t="shared" ca="1" si="253"/>
        <v>678.7947696603369</v>
      </c>
      <c r="N2136" s="38">
        <f t="shared" si="254"/>
        <v>20.015625</v>
      </c>
      <c r="O2136" s="36">
        <f t="shared" si="252"/>
        <v>533.75</v>
      </c>
      <c r="P2136" s="38">
        <f ca="1">IF(ISERROR(IF(O2136&lt;fi_h/20,0,(OFFSET('Base de dados'!$A$5,IF(O2136&lt;20,1,IF(O2136&gt;1000,10,MATCH(O2136,Cargas,1))),Coluna_fih,1,1))*(1+0.13*0.25)*(PI()*(fi_h/1000)^2/4)*SQRT(2*9.81*(O2136/100-fi_h/2/1000))*1000)),"",IF(O2136&lt;fi_h/20,0,(OFFSET('Base de dados'!$A$5,IF(O2136&lt;20,1,IF(O2136&gt;1000,10,MATCH(O2136,Cargas,1))),Coluna_fih,1,1))*(PI()*(fi_h/1000)^2/4)*SQRT(2*9.81*(O2136/100-fi_h/2/1000))*1000))</f>
        <v>6.1740201765887877</v>
      </c>
      <c r="Q2136" s="38">
        <f ca="1">IF(O2136="","",IF(Tipo_Vertedor="Retangular",IF(O2136&lt;=cota_s*100,0,IF(Tipo_Vertedor="Retangular",Cd_sr*Lef_sr*((O2136/100-cota_s)^(3/2))*1000)),IF(O2136&lt;=cota_s*100+fi_s/20,0,(OFFSET('Base de dados'!$A$4,IF(O2136&lt;20,1,IF(O2136&gt;1000,10,MATCH(O2136,Cargas,1))),Coluna_fis,1,1))*(PI()*(fi_s/1000)^2/4)*(2*9.81*(O2136/100-cota_s-fi_s/2/1000))^0.5*1000)))</f>
        <v>5.4332494837481242</v>
      </c>
      <c r="R2136" s="38">
        <f t="shared" ca="1" si="255"/>
        <v>11.607269660336911</v>
      </c>
      <c r="S2136" s="38">
        <f t="shared" ca="1" si="256"/>
        <v>667.1875</v>
      </c>
    </row>
    <row r="2137" spans="13:19">
      <c r="M2137" s="132">
        <f t="shared" ca="1" si="253"/>
        <v>679.11036840720135</v>
      </c>
      <c r="N2137" s="38">
        <f t="shared" si="254"/>
        <v>20.024999999999999</v>
      </c>
      <c r="O2137" s="36">
        <f t="shared" si="252"/>
        <v>534</v>
      </c>
      <c r="P2137" s="38">
        <f ca="1">IF(ISERROR(IF(O2137&lt;fi_h/20,0,(OFFSET('Base de dados'!$A$5,IF(O2137&lt;20,1,IF(O2137&gt;1000,10,MATCH(O2137,Cargas,1))),Coluna_fih,1,1))*(1+0.13*0.25)*(PI()*(fi_h/1000)^2/4)*SQRT(2*9.81*(O2137/100-fi_h/2/1000))*1000)),"",IF(O2137&lt;fi_h/20,0,(OFFSET('Base de dados'!$A$5,IF(O2137&lt;20,1,IF(O2137&gt;1000,10,MATCH(O2137,Cargas,1))),Coluna_fih,1,1))*(PI()*(fi_h/1000)^2/4)*SQRT(2*9.81*(O2137/100-fi_h/2/1000))*1000))</f>
        <v>6.1754706961009065</v>
      </c>
      <c r="Q2137" s="38">
        <f ca="1">IF(O2137="","",IF(Tipo_Vertedor="Retangular",IF(O2137&lt;=cota_s*100,0,IF(Tipo_Vertedor="Retangular",Cd_sr*Lef_sr*((O2137/100-cota_s)^(3/2))*1000)),IF(O2137&lt;=cota_s*100+fi_s/20,0,(OFFSET('Base de dados'!$A$4,IF(O2137&lt;20,1,IF(O2137&gt;1000,10,MATCH(O2137,Cargas,1))),Coluna_fis,1,1))*(PI()*(fi_s/1000)^2/4)*(2*9.81*(O2137/100-cota_s-fi_s/2/1000))^0.5*1000)))</f>
        <v>5.434897711100442</v>
      </c>
      <c r="R2137" s="38">
        <f t="shared" ca="1" si="255"/>
        <v>11.610368407201349</v>
      </c>
      <c r="S2137" s="38">
        <f t="shared" ca="1" si="256"/>
        <v>667.5</v>
      </c>
    </row>
    <row r="2138" spans="13:19">
      <c r="M2138" s="132">
        <f t="shared" ca="1" si="253"/>
        <v>679.42596631373976</v>
      </c>
      <c r="N2138" s="38">
        <f t="shared" si="254"/>
        <v>20.034375000000001</v>
      </c>
      <c r="O2138" s="36">
        <f t="shared" si="252"/>
        <v>534.25</v>
      </c>
      <c r="P2138" s="38">
        <f ca="1">IF(ISERROR(IF(O2138&lt;fi_h/20,0,(OFFSET('Base de dados'!$A$5,IF(O2138&lt;20,1,IF(O2138&gt;1000,10,MATCH(O2138,Cargas,1))),Coluna_fih,1,1))*(1+0.13*0.25)*(PI()*(fi_h/1000)^2/4)*SQRT(2*9.81*(O2138/100-fi_h/2/1000))*1000)),"",IF(O2138&lt;fi_h/20,0,(OFFSET('Base de dados'!$A$5,IF(O2138&lt;20,1,IF(O2138&gt;1000,10,MATCH(O2138,Cargas,1))),Coluna_fih,1,1))*(PI()*(fi_h/1000)^2/4)*SQRT(2*9.81*(O2138/100-fi_h/2/1000))*1000))</f>
        <v>6.1769208749891389</v>
      </c>
      <c r="Q2138" s="38">
        <f ca="1">IF(O2138="","",IF(Tipo_Vertedor="Retangular",IF(O2138&lt;=cota_s*100,0,IF(Tipo_Vertedor="Retangular",Cd_sr*Lef_sr*((O2138/100-cota_s)^(3/2))*1000)),IF(O2138&lt;=cota_s*100+fi_s/20,0,(OFFSET('Base de dados'!$A$4,IF(O2138&lt;20,1,IF(O2138&gt;1000,10,MATCH(O2138,Cargas,1))),Coluna_fis,1,1))*(PI()*(fi_s/1000)^2/4)*(2*9.81*(O2138/100-cota_s-fi_s/2/1000))^0.5*1000)))</f>
        <v>5.4365454387506409</v>
      </c>
      <c r="R2138" s="38">
        <f t="shared" ca="1" si="255"/>
        <v>11.61346631373978</v>
      </c>
      <c r="S2138" s="38">
        <f t="shared" ca="1" si="256"/>
        <v>667.8125</v>
      </c>
    </row>
    <row r="2139" spans="13:19">
      <c r="M2139" s="132">
        <f t="shared" ca="1" si="253"/>
        <v>679.74156338064631</v>
      </c>
      <c r="N2139" s="38">
        <f t="shared" si="254"/>
        <v>20.043749999999999</v>
      </c>
      <c r="O2139" s="36">
        <f t="shared" si="252"/>
        <v>534.5</v>
      </c>
      <c r="P2139" s="38">
        <f ca="1">IF(ISERROR(IF(O2139&lt;fi_h/20,0,(OFFSET('Base de dados'!$A$5,IF(O2139&lt;20,1,IF(O2139&gt;1000,10,MATCH(O2139,Cargas,1))),Coluna_fih,1,1))*(1+0.13*0.25)*(PI()*(fi_h/1000)^2/4)*SQRT(2*9.81*(O2139/100-fi_h/2/1000))*1000)),"",IF(O2139&lt;fi_h/20,0,(OFFSET('Base de dados'!$A$5,IF(O2139&lt;20,1,IF(O2139&gt;1000,10,MATCH(O2139,Cargas,1))),Coluna_fih,1,1))*(PI()*(fi_h/1000)^2/4)*SQRT(2*9.81*(O2139/100-fi_h/2/1000))*1000))</f>
        <v>6.1783707134933374</v>
      </c>
      <c r="Q2139" s="38">
        <f ca="1">IF(O2139="","",IF(Tipo_Vertedor="Retangular",IF(O2139&lt;=cota_s*100,0,IF(Tipo_Vertedor="Retangular",Cd_sr*Lef_sr*((O2139/100-cota_s)^(3/2))*1000)),IF(O2139&lt;=cota_s*100+fi_s/20,0,(OFFSET('Base de dados'!$A$4,IF(O2139&lt;20,1,IF(O2139&gt;1000,10,MATCH(O2139,Cargas,1))),Coluna_fis,1,1))*(PI()*(fi_s/1000)^2/4)*(2*9.81*(O2139/100-cota_s-fi_s/2/1000))^0.5*1000)))</f>
        <v>5.4381926671529364</v>
      </c>
      <c r="R2139" s="38">
        <f t="shared" ca="1" si="255"/>
        <v>11.616563380646273</v>
      </c>
      <c r="S2139" s="38">
        <f t="shared" ca="1" si="256"/>
        <v>668.125</v>
      </c>
    </row>
    <row r="2140" spans="13:19">
      <c r="M2140" s="132">
        <f t="shared" ca="1" si="253"/>
        <v>680.05715960861392</v>
      </c>
      <c r="N2140" s="38">
        <f t="shared" si="254"/>
        <v>20.053125000000001</v>
      </c>
      <c r="O2140" s="36">
        <f t="shared" si="252"/>
        <v>534.75</v>
      </c>
      <c r="P2140" s="38">
        <f ca="1">IF(ISERROR(IF(O2140&lt;fi_h/20,0,(OFFSET('Base de dados'!$A$5,IF(O2140&lt;20,1,IF(O2140&gt;1000,10,MATCH(O2140,Cargas,1))),Coluna_fih,1,1))*(1+0.13*0.25)*(PI()*(fi_h/1000)^2/4)*SQRT(2*9.81*(O2140/100-fi_h/2/1000))*1000)),"",IF(O2140&lt;fi_h/20,0,(OFFSET('Base de dados'!$A$5,IF(O2140&lt;20,1,IF(O2140&gt;1000,10,MATCH(O2140,Cargas,1))),Coluna_fih,1,1))*(PI()*(fi_h/1000)^2/4)*SQRT(2*9.81*(O2140/100-fi_h/2/1000))*1000))</f>
        <v>6.1798202118530723</v>
      </c>
      <c r="Q2140" s="38">
        <f ca="1">IF(O2140="","",IF(Tipo_Vertedor="Retangular",IF(O2140&lt;=cota_s*100,0,IF(Tipo_Vertedor="Retangular",Cd_sr*Lef_sr*((O2140/100-cota_s)^(3/2))*1000)),IF(O2140&lt;=cota_s*100+fi_s/20,0,(OFFSET('Base de dados'!$A$4,IF(O2140&lt;20,1,IF(O2140&gt;1000,10,MATCH(O2140,Cargas,1))),Coluna_fis,1,1))*(PI()*(fi_s/1000)^2/4)*(2*9.81*(O2140/100-cota_s-fi_s/2/1000))^0.5*1000)))</f>
        <v>5.4398393967608589</v>
      </c>
      <c r="R2140" s="38">
        <f t="shared" ca="1" si="255"/>
        <v>11.619659608613931</v>
      </c>
      <c r="S2140" s="38">
        <f t="shared" ca="1" si="256"/>
        <v>668.4375</v>
      </c>
    </row>
    <row r="2141" spans="13:19">
      <c r="M2141" s="132">
        <f t="shared" ca="1" si="253"/>
        <v>680.37275499833493</v>
      </c>
      <c r="N2141" s="38">
        <f t="shared" si="254"/>
        <v>20.0625</v>
      </c>
      <c r="O2141" s="36">
        <f t="shared" si="252"/>
        <v>535</v>
      </c>
      <c r="P2141" s="38">
        <f ca="1">IF(ISERROR(IF(O2141&lt;fi_h/20,0,(OFFSET('Base de dados'!$A$5,IF(O2141&lt;20,1,IF(O2141&gt;1000,10,MATCH(O2141,Cargas,1))),Coluna_fih,1,1))*(1+0.13*0.25)*(PI()*(fi_h/1000)^2/4)*SQRT(2*9.81*(O2141/100-fi_h/2/1000))*1000)),"",IF(O2141&lt;fi_h/20,0,(OFFSET('Base de dados'!$A$5,IF(O2141&lt;20,1,IF(O2141&gt;1000,10,MATCH(O2141,Cargas,1))),Coluna_fih,1,1))*(PI()*(fi_h/1000)^2/4)*SQRT(2*9.81*(O2141/100-fi_h/2/1000))*1000))</f>
        <v>6.181269370307632</v>
      </c>
      <c r="Q2141" s="38">
        <f ca="1">IF(O2141="","",IF(Tipo_Vertedor="Retangular",IF(O2141&lt;=cota_s*100,0,IF(Tipo_Vertedor="Retangular",Cd_sr*Lef_sr*((O2141/100-cota_s)^(3/2))*1000)),IF(O2141&lt;=cota_s*100+fi_s/20,0,(OFFSET('Base de dados'!$A$4,IF(O2141&lt;20,1,IF(O2141&gt;1000,10,MATCH(O2141,Cargas,1))),Coluna_fis,1,1))*(PI()*(fi_s/1000)^2/4)*(2*9.81*(O2141/100-cota_s-fi_s/2/1000))^0.5*1000)))</f>
        <v>5.4414856280272499</v>
      </c>
      <c r="R2141" s="38">
        <f t="shared" ca="1" si="255"/>
        <v>11.622754998334882</v>
      </c>
      <c r="S2141" s="38">
        <f t="shared" ca="1" si="256"/>
        <v>668.75</v>
      </c>
    </row>
    <row r="2142" spans="13:19">
      <c r="M2142" s="132">
        <f t="shared" ca="1" si="253"/>
        <v>680.68834955050033</v>
      </c>
      <c r="N2142" s="38">
        <f t="shared" si="254"/>
        <v>20.071874999999999</v>
      </c>
      <c r="O2142" s="36">
        <f t="shared" si="252"/>
        <v>535.25</v>
      </c>
      <c r="P2142" s="38">
        <f ca="1">IF(ISERROR(IF(O2142&lt;fi_h/20,0,(OFFSET('Base de dados'!$A$5,IF(O2142&lt;20,1,IF(O2142&gt;1000,10,MATCH(O2142,Cargas,1))),Coluna_fih,1,1))*(1+0.13*0.25)*(PI()*(fi_h/1000)^2/4)*SQRT(2*9.81*(O2142/100-fi_h/2/1000))*1000)),"",IF(O2142&lt;fi_h/20,0,(OFFSET('Base de dados'!$A$5,IF(O2142&lt;20,1,IF(O2142&gt;1000,10,MATCH(O2142,Cargas,1))),Coluna_fih,1,1))*(PI()*(fi_h/1000)^2/4)*SQRT(2*9.81*(O2142/100-fi_h/2/1000))*1000))</f>
        <v>6.1827181890960299</v>
      </c>
      <c r="Q2142" s="38">
        <f ca="1">IF(O2142="","",IF(Tipo_Vertedor="Retangular",IF(O2142&lt;=cota_s*100,0,IF(Tipo_Vertedor="Retangular",Cd_sr*Lef_sr*((O2142/100-cota_s)^(3/2))*1000)),IF(O2142&lt;=cota_s*100+fi_s/20,0,(OFFSET('Base de dados'!$A$4,IF(O2142&lt;20,1,IF(O2142&gt;1000,10,MATCH(O2142,Cargas,1))),Coluna_fis,1,1))*(PI()*(fi_s/1000)^2/4)*(2*9.81*(O2142/100-cota_s-fi_s/2/1000))^0.5*1000)))</f>
        <v>5.4431313614042693</v>
      </c>
      <c r="R2142" s="38">
        <f t="shared" ca="1" si="255"/>
        <v>11.625849550500298</v>
      </c>
      <c r="S2142" s="38">
        <f t="shared" ca="1" si="256"/>
        <v>669.0625</v>
      </c>
    </row>
    <row r="2143" spans="13:19">
      <c r="M2143" s="132">
        <f t="shared" ca="1" si="253"/>
        <v>681.00394326580033</v>
      </c>
      <c r="N2143" s="38">
        <f t="shared" si="254"/>
        <v>20.081250000000001</v>
      </c>
      <c r="O2143" s="36">
        <f t="shared" si="252"/>
        <v>535.5</v>
      </c>
      <c r="P2143" s="38">
        <f ca="1">IF(ISERROR(IF(O2143&lt;fi_h/20,0,(OFFSET('Base de dados'!$A$5,IF(O2143&lt;20,1,IF(O2143&gt;1000,10,MATCH(O2143,Cargas,1))),Coluna_fih,1,1))*(1+0.13*0.25)*(PI()*(fi_h/1000)^2/4)*SQRT(2*9.81*(O2143/100-fi_h/2/1000))*1000)),"",IF(O2143&lt;fi_h/20,0,(OFFSET('Base de dados'!$A$5,IF(O2143&lt;20,1,IF(O2143&gt;1000,10,MATCH(O2143,Cargas,1))),Coluna_fih,1,1))*(PI()*(fi_h/1000)^2/4)*SQRT(2*9.81*(O2143/100-fi_h/2/1000))*1000))</f>
        <v>6.1841666684569931</v>
      </c>
      <c r="Q2143" s="38">
        <f ca="1">IF(O2143="","",IF(Tipo_Vertedor="Retangular",IF(O2143&lt;=cota_s*100,0,IF(Tipo_Vertedor="Retangular",Cd_sr*Lef_sr*((O2143/100-cota_s)^(3/2))*1000)),IF(O2143&lt;=cota_s*100+fi_s/20,0,(OFFSET('Base de dados'!$A$4,IF(O2143&lt;20,1,IF(O2143&gt;1000,10,MATCH(O2143,Cargas,1))),Coluna_fis,1,1))*(PI()*(fi_s/1000)^2/4)*(2*9.81*(O2143/100-cota_s-fi_s/2/1000))^0.5*1000)))</f>
        <v>5.4447765973433917</v>
      </c>
      <c r="R2143" s="38">
        <f t="shared" ca="1" si="255"/>
        <v>11.628943265800384</v>
      </c>
      <c r="S2143" s="38">
        <f t="shared" ca="1" si="256"/>
        <v>669.375</v>
      </c>
    </row>
    <row r="2144" spans="13:19">
      <c r="M2144" s="132">
        <f t="shared" ca="1" si="253"/>
        <v>681.31953614492443</v>
      </c>
      <c r="N2144" s="38">
        <f t="shared" si="254"/>
        <v>20.090624999999999</v>
      </c>
      <c r="O2144" s="36">
        <f t="shared" si="252"/>
        <v>535.75</v>
      </c>
      <c r="P2144" s="38">
        <f ca="1">IF(ISERROR(IF(O2144&lt;fi_h/20,0,(OFFSET('Base de dados'!$A$5,IF(O2144&lt;20,1,IF(O2144&gt;1000,10,MATCH(O2144,Cargas,1))),Coluna_fih,1,1))*(1+0.13*0.25)*(PI()*(fi_h/1000)^2/4)*SQRT(2*9.81*(O2144/100-fi_h/2/1000))*1000)),"",IF(O2144&lt;fi_h/20,0,(OFFSET('Base de dados'!$A$5,IF(O2144&lt;20,1,IF(O2144&gt;1000,10,MATCH(O2144,Cargas,1))),Coluna_fih,1,1))*(PI()*(fi_h/1000)^2/4)*SQRT(2*9.81*(O2144/100-fi_h/2/1000))*1000))</f>
        <v>6.1856148086289737</v>
      </c>
      <c r="Q2144" s="38">
        <f ca="1">IF(O2144="","",IF(Tipo_Vertedor="Retangular",IF(O2144&lt;=cota_s*100,0,IF(Tipo_Vertedor="Retangular",Cd_sr*Lef_sr*((O2144/100-cota_s)^(3/2))*1000)),IF(O2144&lt;=cota_s*100+fi_s/20,0,(OFFSET('Base de dados'!$A$4,IF(O2144&lt;20,1,IF(O2144&gt;1000,10,MATCH(O2144,Cargas,1))),Coluna_fis,1,1))*(PI()*(fi_s/1000)^2/4)*(2*9.81*(O2144/100-cota_s-fi_s/2/1000))^0.5*1000)))</f>
        <v>5.4464213362954075</v>
      </c>
      <c r="R2144" s="38">
        <f t="shared" ca="1" si="255"/>
        <v>11.632036144924381</v>
      </c>
      <c r="S2144" s="38">
        <f t="shared" ca="1" si="256"/>
        <v>669.6875</v>
      </c>
    </row>
    <row r="2145" spans="13:19">
      <c r="M2145" s="132">
        <f t="shared" ca="1" si="253"/>
        <v>681.63512818856054</v>
      </c>
      <c r="N2145" s="38">
        <f t="shared" si="254"/>
        <v>20.100000000000001</v>
      </c>
      <c r="O2145" s="36">
        <f t="shared" si="252"/>
        <v>536</v>
      </c>
      <c r="P2145" s="38">
        <f ca="1">IF(ISERROR(IF(O2145&lt;fi_h/20,0,(OFFSET('Base de dados'!$A$5,IF(O2145&lt;20,1,IF(O2145&gt;1000,10,MATCH(O2145,Cargas,1))),Coluna_fih,1,1))*(1+0.13*0.25)*(PI()*(fi_h/1000)^2/4)*SQRT(2*9.81*(O2145/100-fi_h/2/1000))*1000)),"",IF(O2145&lt;fi_h/20,0,(OFFSET('Base de dados'!$A$5,IF(O2145&lt;20,1,IF(O2145&gt;1000,10,MATCH(O2145,Cargas,1))),Coluna_fih,1,1))*(PI()*(fi_h/1000)^2/4)*SQRT(2*9.81*(O2145/100-fi_h/2/1000))*1000))</f>
        <v>6.1870626098501402</v>
      </c>
      <c r="Q2145" s="38">
        <f ca="1">IF(O2145="","",IF(Tipo_Vertedor="Retangular",IF(O2145&lt;=cota_s*100,0,IF(Tipo_Vertedor="Retangular",Cd_sr*Lef_sr*((O2145/100-cota_s)^(3/2))*1000)),IF(O2145&lt;=cota_s*100+fi_s/20,0,(OFFSET('Base de dados'!$A$4,IF(O2145&lt;20,1,IF(O2145&gt;1000,10,MATCH(O2145,Cargas,1))),Coluna_fis,1,1))*(PI()*(fi_s/1000)^2/4)*(2*9.81*(O2145/100-cota_s-fi_s/2/1000))^0.5*1000)))</f>
        <v>5.4480655787104313</v>
      </c>
      <c r="R2145" s="38">
        <f t="shared" ca="1" si="255"/>
        <v>11.635128188560572</v>
      </c>
      <c r="S2145" s="38">
        <f t="shared" ca="1" si="256"/>
        <v>670</v>
      </c>
    </row>
    <row r="2146" spans="13:19">
      <c r="M2146" s="132">
        <f t="shared" ca="1" si="253"/>
        <v>681.95071939739626</v>
      </c>
      <c r="N2146" s="38">
        <f t="shared" si="254"/>
        <v>20.109375</v>
      </c>
      <c r="O2146" s="36">
        <f t="shared" si="252"/>
        <v>536.25</v>
      </c>
      <c r="P2146" s="38">
        <f ca="1">IF(ISERROR(IF(O2146&lt;fi_h/20,0,(OFFSET('Base de dados'!$A$5,IF(O2146&lt;20,1,IF(O2146&gt;1000,10,MATCH(O2146,Cargas,1))),Coluna_fih,1,1))*(1+0.13*0.25)*(PI()*(fi_h/1000)^2/4)*SQRT(2*9.81*(O2146/100-fi_h/2/1000))*1000)),"",IF(O2146&lt;fi_h/20,0,(OFFSET('Base de dados'!$A$5,IF(O2146&lt;20,1,IF(O2146&gt;1000,10,MATCH(O2146,Cargas,1))),Coluna_fih,1,1))*(PI()*(fi_h/1000)^2/4)*SQRT(2*9.81*(O2146/100-fi_h/2/1000))*1000))</f>
        <v>6.1885100723583859</v>
      </c>
      <c r="Q2146" s="38">
        <f ca="1">IF(O2146="","",IF(Tipo_Vertedor="Retangular",IF(O2146&lt;=cota_s*100,0,IF(Tipo_Vertedor="Retangular",Cd_sr*Lef_sr*((O2146/100-cota_s)^(3/2))*1000)),IF(O2146&lt;=cota_s*100+fi_s/20,0,(OFFSET('Base de dados'!$A$4,IF(O2146&lt;20,1,IF(O2146&gt;1000,10,MATCH(O2146,Cargas,1))),Coluna_fis,1,1))*(PI()*(fi_s/1000)^2/4)*(2*9.81*(O2146/100-cota_s-fi_s/2/1000))^0.5*1000)))</f>
        <v>5.4497093250378956</v>
      </c>
      <c r="R2146" s="38">
        <f t="shared" ca="1" si="255"/>
        <v>11.638219397396281</v>
      </c>
      <c r="S2146" s="38">
        <f t="shared" ca="1" si="256"/>
        <v>670.3125</v>
      </c>
    </row>
    <row r="2147" spans="13:19">
      <c r="M2147" s="132">
        <f t="shared" ca="1" si="253"/>
        <v>682.26630977211801</v>
      </c>
      <c r="N2147" s="38">
        <f t="shared" si="254"/>
        <v>20.118750000000002</v>
      </c>
      <c r="O2147" s="36">
        <f t="shared" si="252"/>
        <v>536.5</v>
      </c>
      <c r="P2147" s="38">
        <f ca="1">IF(ISERROR(IF(O2147&lt;fi_h/20,0,(OFFSET('Base de dados'!$A$5,IF(O2147&lt;20,1,IF(O2147&gt;1000,10,MATCH(O2147,Cargas,1))),Coluna_fih,1,1))*(1+0.13*0.25)*(PI()*(fi_h/1000)^2/4)*SQRT(2*9.81*(O2147/100-fi_h/2/1000))*1000)),"",IF(O2147&lt;fi_h/20,0,(OFFSET('Base de dados'!$A$5,IF(O2147&lt;20,1,IF(O2147&gt;1000,10,MATCH(O2147,Cargas,1))),Coluna_fih,1,1))*(PI()*(fi_h/1000)^2/4)*SQRT(2*9.81*(O2147/100-fi_h/2/1000))*1000))</f>
        <v>6.189957196391326</v>
      </c>
      <c r="Q2147" s="38">
        <f ca="1">IF(O2147="","",IF(Tipo_Vertedor="Retangular",IF(O2147&lt;=cota_s*100,0,IF(Tipo_Vertedor="Retangular",Cd_sr*Lef_sr*((O2147/100-cota_s)^(3/2))*1000)),IF(O2147&lt;=cota_s*100+fi_s/20,0,(OFFSET('Base de dados'!$A$4,IF(O2147&lt;20,1,IF(O2147&gt;1000,10,MATCH(O2147,Cargas,1))),Coluna_fis,1,1))*(PI()*(fi_s/1000)^2/4)*(2*9.81*(O2147/100-cota_s-fi_s/2/1000))^0.5*1000)))</f>
        <v>5.451352575726558</v>
      </c>
      <c r="R2147" s="38">
        <f t="shared" ca="1" si="255"/>
        <v>11.641309772117884</v>
      </c>
      <c r="S2147" s="38">
        <f t="shared" ca="1" si="256"/>
        <v>670.62500000000011</v>
      </c>
    </row>
    <row r="2148" spans="13:19">
      <c r="M2148" s="132">
        <f t="shared" ca="1" si="253"/>
        <v>682.58189931341064</v>
      </c>
      <c r="N2148" s="38">
        <f t="shared" si="254"/>
        <v>20.128124999999997</v>
      </c>
      <c r="O2148" s="36">
        <f t="shared" si="252"/>
        <v>536.75</v>
      </c>
      <c r="P2148" s="38">
        <f ca="1">IF(ISERROR(IF(O2148&lt;fi_h/20,0,(OFFSET('Base de dados'!$A$5,IF(O2148&lt;20,1,IF(O2148&gt;1000,10,MATCH(O2148,Cargas,1))),Coluna_fih,1,1))*(1+0.13*0.25)*(PI()*(fi_h/1000)^2/4)*SQRT(2*9.81*(O2148/100-fi_h/2/1000))*1000)),"",IF(O2148&lt;fi_h/20,0,(OFFSET('Base de dados'!$A$5,IF(O2148&lt;20,1,IF(O2148&gt;1000,10,MATCH(O2148,Cargas,1))),Coluna_fih,1,1))*(PI()*(fi_h/1000)^2/4)*SQRT(2*9.81*(O2148/100-fi_h/2/1000))*1000))</f>
        <v>6.1914039821862978</v>
      </c>
      <c r="Q2148" s="38">
        <f ca="1">IF(O2148="","",IF(Tipo_Vertedor="Retangular",IF(O2148&lt;=cota_s*100,0,IF(Tipo_Vertedor="Retangular",Cd_sr*Lef_sr*((O2148/100-cota_s)^(3/2))*1000)),IF(O2148&lt;=cota_s*100+fi_s/20,0,(OFFSET('Base de dados'!$A$4,IF(O2148&lt;20,1,IF(O2148&gt;1000,10,MATCH(O2148,Cargas,1))),Coluna_fis,1,1))*(PI()*(fi_s/1000)^2/4)*(2*9.81*(O2148/100-cota_s-fi_s/2/1000))^0.5*1000)))</f>
        <v>5.4529953312244954</v>
      </c>
      <c r="R2148" s="38">
        <f t="shared" ca="1" si="255"/>
        <v>11.644399313410794</v>
      </c>
      <c r="S2148" s="38">
        <f t="shared" ca="1" si="256"/>
        <v>670.93749999999989</v>
      </c>
    </row>
    <row r="2149" spans="13:19">
      <c r="M2149" s="132">
        <f t="shared" ca="1" si="253"/>
        <v>682.89748802195948</v>
      </c>
      <c r="N2149" s="38">
        <f t="shared" si="254"/>
        <v>20.137499999999999</v>
      </c>
      <c r="O2149" s="36">
        <f t="shared" si="252"/>
        <v>537</v>
      </c>
      <c r="P2149" s="38">
        <f ca="1">IF(ISERROR(IF(O2149&lt;fi_h/20,0,(OFFSET('Base de dados'!$A$5,IF(O2149&lt;20,1,IF(O2149&gt;1000,10,MATCH(O2149,Cargas,1))),Coluna_fih,1,1))*(1+0.13*0.25)*(PI()*(fi_h/1000)^2/4)*SQRT(2*9.81*(O2149/100-fi_h/2/1000))*1000)),"",IF(O2149&lt;fi_h/20,0,(OFFSET('Base de dados'!$A$5,IF(O2149&lt;20,1,IF(O2149&gt;1000,10,MATCH(O2149,Cargas,1))),Coluna_fih,1,1))*(PI()*(fi_h/1000)^2/4)*SQRT(2*9.81*(O2149/100-fi_h/2/1000))*1000))</f>
        <v>6.1928504299803588</v>
      </c>
      <c r="Q2149" s="38">
        <f ca="1">IF(O2149="","",IF(Tipo_Vertedor="Retangular",IF(O2149&lt;=cota_s*100,0,IF(Tipo_Vertedor="Retangular",Cd_sr*Lef_sr*((O2149/100-cota_s)^(3/2))*1000)),IF(O2149&lt;=cota_s*100+fi_s/20,0,(OFFSET('Base de dados'!$A$4,IF(O2149&lt;20,1,IF(O2149&gt;1000,10,MATCH(O2149,Cargas,1))),Coluna_fis,1,1))*(PI()*(fi_s/1000)^2/4)*(2*9.81*(O2149/100-cota_s-fi_s/2/1000))^0.5*1000)))</f>
        <v>5.4546375919791164</v>
      </c>
      <c r="R2149" s="38">
        <f t="shared" ca="1" si="255"/>
        <v>11.647488021959475</v>
      </c>
      <c r="S2149" s="38">
        <f t="shared" ca="1" si="256"/>
        <v>671.25</v>
      </c>
    </row>
    <row r="2150" spans="13:19">
      <c r="M2150" s="132">
        <f t="shared" ca="1" si="253"/>
        <v>683.2130758984473</v>
      </c>
      <c r="N2150" s="38">
        <f t="shared" si="254"/>
        <v>20.146874999999998</v>
      </c>
      <c r="O2150" s="36">
        <f t="shared" si="252"/>
        <v>537.25</v>
      </c>
      <c r="P2150" s="38">
        <f ca="1">IF(ISERROR(IF(O2150&lt;fi_h/20,0,(OFFSET('Base de dados'!$A$5,IF(O2150&lt;20,1,IF(O2150&gt;1000,10,MATCH(O2150,Cargas,1))),Coluna_fih,1,1))*(1+0.13*0.25)*(PI()*(fi_h/1000)^2/4)*SQRT(2*9.81*(O2150/100-fi_h/2/1000))*1000)),"",IF(O2150&lt;fi_h/20,0,(OFFSET('Base de dados'!$A$5,IF(O2150&lt;20,1,IF(O2150&gt;1000,10,MATCH(O2150,Cargas,1))),Coluna_fih,1,1))*(PI()*(fi_h/1000)^2/4)*SQRT(2*9.81*(O2150/100-fi_h/2/1000))*1000))</f>
        <v>6.1942965400102938</v>
      </c>
      <c r="Q2150" s="38">
        <f ca="1">IF(O2150="","",IF(Tipo_Vertedor="Retangular",IF(O2150&lt;=cota_s*100,0,IF(Tipo_Vertedor="Retangular",Cd_sr*Lef_sr*((O2150/100-cota_s)^(3/2))*1000)),IF(O2150&lt;=cota_s*100+fi_s/20,0,(OFFSET('Base de dados'!$A$4,IF(O2150&lt;20,1,IF(O2150&gt;1000,10,MATCH(O2150,Cargas,1))),Coluna_fis,1,1))*(PI()*(fi_s/1000)^2/4)*(2*9.81*(O2150/100-cota_s-fi_s/2/1000))^0.5*1000)))</f>
        <v>5.4562793584371487</v>
      </c>
      <c r="R2150" s="38">
        <f t="shared" ca="1" si="255"/>
        <v>11.650575898447443</v>
      </c>
      <c r="S2150" s="38">
        <f t="shared" ca="1" si="256"/>
        <v>671.56249999999989</v>
      </c>
    </row>
    <row r="2151" spans="13:19">
      <c r="M2151" s="132">
        <f t="shared" ca="1" si="253"/>
        <v>683.52866294355726</v>
      </c>
      <c r="N2151" s="38">
        <f t="shared" si="254"/>
        <v>20.15625</v>
      </c>
      <c r="O2151" s="36">
        <f t="shared" si="252"/>
        <v>537.5</v>
      </c>
      <c r="P2151" s="38">
        <f ca="1">IF(ISERROR(IF(O2151&lt;fi_h/20,0,(OFFSET('Base de dados'!$A$5,IF(O2151&lt;20,1,IF(O2151&gt;1000,10,MATCH(O2151,Cargas,1))),Coluna_fih,1,1))*(1+0.13*0.25)*(PI()*(fi_h/1000)^2/4)*SQRT(2*9.81*(O2151/100-fi_h/2/1000))*1000)),"",IF(O2151&lt;fi_h/20,0,(OFFSET('Base de dados'!$A$5,IF(O2151&lt;20,1,IF(O2151&gt;1000,10,MATCH(O2151,Cargas,1))),Coluna_fih,1,1))*(PI()*(fi_h/1000)^2/4)*SQRT(2*9.81*(O2151/100-fi_h/2/1000))*1000))</f>
        <v>6.1957423125126079</v>
      </c>
      <c r="Q2151" s="38">
        <f ca="1">IF(O2151="","",IF(Tipo_Vertedor="Retangular",IF(O2151&lt;=cota_s*100,0,IF(Tipo_Vertedor="Retangular",Cd_sr*Lef_sr*((O2151/100-cota_s)^(3/2))*1000)),IF(O2151&lt;=cota_s*100+fi_s/20,0,(OFFSET('Base de dados'!$A$4,IF(O2151&lt;20,1,IF(O2151&gt;1000,10,MATCH(O2151,Cargas,1))),Coluna_fis,1,1))*(PI()*(fi_s/1000)^2/4)*(2*9.81*(O2151/100-cota_s-fi_s/2/1000))^0.5*1000)))</f>
        <v>5.4579206310446544</v>
      </c>
      <c r="R2151" s="38">
        <f t="shared" ca="1" si="255"/>
        <v>11.653662943557261</v>
      </c>
      <c r="S2151" s="38">
        <f t="shared" ca="1" si="256"/>
        <v>671.875</v>
      </c>
    </row>
    <row r="2152" spans="13:19">
      <c r="M2152" s="132">
        <f t="shared" ca="1" si="253"/>
        <v>683.84424915797069</v>
      </c>
      <c r="N2152" s="38">
        <f t="shared" si="254"/>
        <v>20.165625000000002</v>
      </c>
      <c r="O2152" s="36">
        <f t="shared" si="252"/>
        <v>537.75</v>
      </c>
      <c r="P2152" s="38">
        <f ca="1">IF(ISERROR(IF(O2152&lt;fi_h/20,0,(OFFSET('Base de dados'!$A$5,IF(O2152&lt;20,1,IF(O2152&gt;1000,10,MATCH(O2152,Cargas,1))),Coluna_fih,1,1))*(1+0.13*0.25)*(PI()*(fi_h/1000)^2/4)*SQRT(2*9.81*(O2152/100-fi_h/2/1000))*1000)),"",IF(O2152&lt;fi_h/20,0,(OFFSET('Base de dados'!$A$5,IF(O2152&lt;20,1,IF(O2152&gt;1000,10,MATCH(O2152,Cargas,1))),Coluna_fih,1,1))*(PI()*(fi_h/1000)^2/4)*SQRT(2*9.81*(O2152/100-fi_h/2/1000))*1000))</f>
        <v>6.1971877477235315</v>
      </c>
      <c r="Q2152" s="38">
        <f ca="1">IF(O2152="","",IF(Tipo_Vertedor="Retangular",IF(O2152&lt;=cota_s*100,0,IF(Tipo_Vertedor="Retangular",Cd_sr*Lef_sr*((O2152/100-cota_s)^(3/2))*1000)),IF(O2152&lt;=cota_s*100+fi_s/20,0,(OFFSET('Base de dados'!$A$4,IF(O2152&lt;20,1,IF(O2152&gt;1000,10,MATCH(O2152,Cargas,1))),Coluna_fis,1,1))*(PI()*(fi_s/1000)^2/4)*(2*9.81*(O2152/100-cota_s-fi_s/2/1000))^0.5*1000)))</f>
        <v>5.4595614102470229</v>
      </c>
      <c r="R2152" s="38">
        <f t="shared" ca="1" si="255"/>
        <v>11.656749157970555</v>
      </c>
      <c r="S2152" s="38">
        <f t="shared" ca="1" si="256"/>
        <v>672.18750000000011</v>
      </c>
    </row>
    <row r="2153" spans="13:19">
      <c r="M2153" s="132">
        <f t="shared" ca="1" si="253"/>
        <v>684.159834542368</v>
      </c>
      <c r="N2153" s="38">
        <f t="shared" si="254"/>
        <v>20.175000000000001</v>
      </c>
      <c r="O2153" s="36">
        <f t="shared" si="252"/>
        <v>538</v>
      </c>
      <c r="P2153" s="38">
        <f ca="1">IF(ISERROR(IF(O2153&lt;fi_h/20,0,(OFFSET('Base de dados'!$A$5,IF(O2153&lt;20,1,IF(O2153&gt;1000,10,MATCH(O2153,Cargas,1))),Coluna_fih,1,1))*(1+0.13*0.25)*(PI()*(fi_h/1000)^2/4)*SQRT(2*9.81*(O2153/100-fi_h/2/1000))*1000)),"",IF(O2153&lt;fi_h/20,0,(OFFSET('Base de dados'!$A$5,IF(O2153&lt;20,1,IF(O2153&gt;1000,10,MATCH(O2153,Cargas,1))),Coluna_fih,1,1))*(PI()*(fi_h/1000)^2/4)*SQRT(2*9.81*(O2153/100-fi_h/2/1000))*1000))</f>
        <v>6.1986328458790183</v>
      </c>
      <c r="Q2153" s="38">
        <f ca="1">IF(O2153="","",IF(Tipo_Vertedor="Retangular",IF(O2153&lt;=cota_s*100,0,IF(Tipo_Vertedor="Retangular",Cd_sr*Lef_sr*((O2153/100-cota_s)^(3/2))*1000)),IF(O2153&lt;=cota_s*100+fi_s/20,0,(OFFSET('Base de dados'!$A$4,IF(O2153&lt;20,1,IF(O2153&gt;1000,10,MATCH(O2153,Cargas,1))),Coluna_fis,1,1))*(PI()*(fi_s/1000)^2/4)*(2*9.81*(O2153/100-cota_s-fi_s/2/1000))^0.5*1000)))</f>
        <v>5.4612016964889722</v>
      </c>
      <c r="R2153" s="38">
        <f t="shared" ca="1" si="255"/>
        <v>11.659834542367991</v>
      </c>
      <c r="S2153" s="38">
        <f t="shared" ca="1" si="256"/>
        <v>672.5</v>
      </c>
    </row>
    <row r="2154" spans="13:19">
      <c r="M2154" s="132">
        <f t="shared" ca="1" si="253"/>
        <v>684.47541909742938</v>
      </c>
      <c r="N2154" s="38">
        <f t="shared" si="254"/>
        <v>20.184375000000003</v>
      </c>
      <c r="O2154" s="36">
        <f t="shared" si="252"/>
        <v>538.25</v>
      </c>
      <c r="P2154" s="38">
        <f ca="1">IF(ISERROR(IF(O2154&lt;fi_h/20,0,(OFFSET('Base de dados'!$A$5,IF(O2154&lt;20,1,IF(O2154&gt;1000,10,MATCH(O2154,Cargas,1))),Coluna_fih,1,1))*(1+0.13*0.25)*(PI()*(fi_h/1000)^2/4)*SQRT(2*9.81*(O2154/100-fi_h/2/1000))*1000)),"",IF(O2154&lt;fi_h/20,0,(OFFSET('Base de dados'!$A$5,IF(O2154&lt;20,1,IF(O2154&gt;1000,10,MATCH(O2154,Cargas,1))),Coluna_fih,1,1))*(PI()*(fi_h/1000)^2/4)*SQRT(2*9.81*(O2154/100-fi_h/2/1000))*1000))</f>
        <v>6.2000776072147517</v>
      </c>
      <c r="Q2154" s="38">
        <f ca="1">IF(O2154="","",IF(Tipo_Vertedor="Retangular",IF(O2154&lt;=cota_s*100,0,IF(Tipo_Vertedor="Retangular",Cd_sr*Lef_sr*((O2154/100-cota_s)^(3/2))*1000)),IF(O2154&lt;=cota_s*100+fi_s/20,0,(OFFSET('Base de dados'!$A$4,IF(O2154&lt;20,1,IF(O2154&gt;1000,10,MATCH(O2154,Cargas,1))),Coluna_fis,1,1))*(PI()*(fi_s/1000)^2/4)*(2*9.81*(O2154/100-cota_s-fi_s/2/1000))^0.5*1000)))</f>
        <v>5.4628414902145579</v>
      </c>
      <c r="R2154" s="38">
        <f t="shared" ca="1" si="255"/>
        <v>11.66291909742931</v>
      </c>
      <c r="S2154" s="38">
        <f t="shared" ca="1" si="256"/>
        <v>672.81250000000011</v>
      </c>
    </row>
    <row r="2155" spans="13:19">
      <c r="M2155" s="132">
        <f t="shared" ca="1" si="253"/>
        <v>684.7910028238332</v>
      </c>
      <c r="N2155" s="38">
        <f t="shared" si="254"/>
        <v>20.193749999999998</v>
      </c>
      <c r="O2155" s="36">
        <f t="shared" si="252"/>
        <v>538.5</v>
      </c>
      <c r="P2155" s="38">
        <f ca="1">IF(ISERROR(IF(O2155&lt;fi_h/20,0,(OFFSET('Base de dados'!$A$5,IF(O2155&lt;20,1,IF(O2155&gt;1000,10,MATCH(O2155,Cargas,1))),Coluna_fih,1,1))*(1+0.13*0.25)*(PI()*(fi_h/1000)^2/4)*SQRT(2*9.81*(O2155/100-fi_h/2/1000))*1000)),"",IF(O2155&lt;fi_h/20,0,(OFFSET('Base de dados'!$A$5,IF(O2155&lt;20,1,IF(O2155&gt;1000,10,MATCH(O2155,Cargas,1))),Coluna_fih,1,1))*(PI()*(fi_h/1000)^2/4)*SQRT(2*9.81*(O2155/100-fi_h/2/1000))*1000))</f>
        <v>6.2015220319661344</v>
      </c>
      <c r="Q2155" s="38">
        <f ca="1">IF(O2155="","",IF(Tipo_Vertedor="Retangular",IF(O2155&lt;=cota_s*100,0,IF(Tipo_Vertedor="Retangular",Cd_sr*Lef_sr*((O2155/100-cota_s)^(3/2))*1000)),IF(O2155&lt;=cota_s*100+fi_s/20,0,(OFFSET('Base de dados'!$A$4,IF(O2155&lt;20,1,IF(O2155&gt;1000,10,MATCH(O2155,Cargas,1))),Coluna_fis,1,1))*(PI()*(fi_s/1000)^2/4)*(2*9.81*(O2155/100-cota_s-fi_s/2/1000))^0.5*1000)))</f>
        <v>5.464480791867163</v>
      </c>
      <c r="R2155" s="38">
        <f t="shared" ca="1" si="255"/>
        <v>11.666002823833297</v>
      </c>
      <c r="S2155" s="38">
        <f t="shared" ca="1" si="256"/>
        <v>673.12499999999989</v>
      </c>
    </row>
    <row r="2156" spans="13:19">
      <c r="M2156" s="132">
        <f t="shared" ca="1" si="253"/>
        <v>685.10658572225782</v>
      </c>
      <c r="N2156" s="38">
        <f t="shared" si="254"/>
        <v>20.203125</v>
      </c>
      <c r="O2156" s="36">
        <f t="shared" si="252"/>
        <v>538.75</v>
      </c>
      <c r="P2156" s="38">
        <f ca="1">IF(ISERROR(IF(O2156&lt;fi_h/20,0,(OFFSET('Base de dados'!$A$5,IF(O2156&lt;20,1,IF(O2156&gt;1000,10,MATCH(O2156,Cargas,1))),Coluna_fih,1,1))*(1+0.13*0.25)*(PI()*(fi_h/1000)^2/4)*SQRT(2*9.81*(O2156/100-fi_h/2/1000))*1000)),"",IF(O2156&lt;fi_h/20,0,(OFFSET('Base de dados'!$A$5,IF(O2156&lt;20,1,IF(O2156&gt;1000,10,MATCH(O2156,Cargas,1))),Coluna_fih,1,1))*(PI()*(fi_h/1000)^2/4)*SQRT(2*9.81*(O2156/100-fi_h/2/1000))*1000))</f>
        <v>6.2029661203682993</v>
      </c>
      <c r="Q2156" s="38">
        <f ca="1">IF(O2156="","",IF(Tipo_Vertedor="Retangular",IF(O2156&lt;=cota_s*100,0,IF(Tipo_Vertedor="Retangular",Cd_sr*Lef_sr*((O2156/100-cota_s)^(3/2))*1000)),IF(O2156&lt;=cota_s*100+fi_s/20,0,(OFFSET('Base de dados'!$A$4,IF(O2156&lt;20,1,IF(O2156&gt;1000,10,MATCH(O2156,Cargas,1))),Coluna_fis,1,1))*(PI()*(fi_s/1000)^2/4)*(2*9.81*(O2156/100-cota_s-fi_s/2/1000))^0.5*1000)))</f>
        <v>5.4661196018895115</v>
      </c>
      <c r="R2156" s="38">
        <f t="shared" ca="1" si="255"/>
        <v>11.669085722257812</v>
      </c>
      <c r="S2156" s="38">
        <f t="shared" ca="1" si="256"/>
        <v>673.4375</v>
      </c>
    </row>
    <row r="2157" spans="13:19">
      <c r="M2157" s="132">
        <f t="shared" ca="1" si="253"/>
        <v>685.4221677933798</v>
      </c>
      <c r="N2157" s="38">
        <f t="shared" si="254"/>
        <v>20.212499999999999</v>
      </c>
      <c r="O2157" s="36">
        <f t="shared" si="252"/>
        <v>539</v>
      </c>
      <c r="P2157" s="38">
        <f ca="1">IF(ISERROR(IF(O2157&lt;fi_h/20,0,(OFFSET('Base de dados'!$A$5,IF(O2157&lt;20,1,IF(O2157&gt;1000,10,MATCH(O2157,Cargas,1))),Coluna_fih,1,1))*(1+0.13*0.25)*(PI()*(fi_h/1000)^2/4)*SQRT(2*9.81*(O2157/100-fi_h/2/1000))*1000)),"",IF(O2157&lt;fi_h/20,0,(OFFSET('Base de dados'!$A$5,IF(O2157&lt;20,1,IF(O2157&gt;1000,10,MATCH(O2157,Cargas,1))),Coluna_fih,1,1))*(PI()*(fi_h/1000)^2/4)*SQRT(2*9.81*(O2157/100-fi_h/2/1000))*1000))</f>
        <v>6.2044098726561039</v>
      </c>
      <c r="Q2157" s="38">
        <f ca="1">IF(O2157="","",IF(Tipo_Vertedor="Retangular",IF(O2157&lt;=cota_s*100,0,IF(Tipo_Vertedor="Retangular",Cd_sr*Lef_sr*((O2157/100-cota_s)^(3/2))*1000)),IF(O2157&lt;=cota_s*100+fi_s/20,0,(OFFSET('Base de dados'!$A$4,IF(O2157&lt;20,1,IF(O2157&gt;1000,10,MATCH(O2157,Cargas,1))),Coluna_fis,1,1))*(PI()*(fi_s/1000)^2/4)*(2*9.81*(O2157/100-cota_s-fi_s/2/1000))^0.5*1000)))</f>
        <v>5.4677579207236606</v>
      </c>
      <c r="R2157" s="38">
        <f t="shared" ca="1" si="255"/>
        <v>11.672167793379764</v>
      </c>
      <c r="S2157" s="38">
        <f t="shared" ca="1" si="256"/>
        <v>673.75</v>
      </c>
    </row>
    <row r="2158" spans="13:19">
      <c r="M2158" s="132">
        <f t="shared" ca="1" si="253"/>
        <v>685.73774903787512</v>
      </c>
      <c r="N2158" s="38">
        <f t="shared" si="254"/>
        <v>20.221875000000001</v>
      </c>
      <c r="O2158" s="36">
        <f t="shared" si="252"/>
        <v>539.25</v>
      </c>
      <c r="P2158" s="38">
        <f ca="1">IF(ISERROR(IF(O2158&lt;fi_h/20,0,(OFFSET('Base de dados'!$A$5,IF(O2158&lt;20,1,IF(O2158&gt;1000,10,MATCH(O2158,Cargas,1))),Coluna_fih,1,1))*(1+0.13*0.25)*(PI()*(fi_h/1000)^2/4)*SQRT(2*9.81*(O2158/100-fi_h/2/1000))*1000)),"",IF(O2158&lt;fi_h/20,0,(OFFSET('Base de dados'!$A$5,IF(O2158&lt;20,1,IF(O2158&gt;1000,10,MATCH(O2158,Cargas,1))),Coluna_fih,1,1))*(PI()*(fi_h/1000)^2/4)*SQRT(2*9.81*(O2158/100-fi_h/2/1000))*1000))</f>
        <v>6.205853289064132</v>
      </c>
      <c r="Q2158" s="38">
        <f ca="1">IF(O2158="","",IF(Tipo_Vertedor="Retangular",IF(O2158&lt;=cota_s*100,0,IF(Tipo_Vertedor="Retangular",Cd_sr*Lef_sr*((O2158/100-cota_s)^(3/2))*1000)),IF(O2158&lt;=cota_s*100+fi_s/20,0,(OFFSET('Base de dados'!$A$4,IF(O2158&lt;20,1,IF(O2158&gt;1000,10,MATCH(O2158,Cargas,1))),Coluna_fis,1,1))*(PI()*(fi_s/1000)^2/4)*(2*9.81*(O2158/100-cota_s-fi_s/2/1000))^0.5*1000)))</f>
        <v>5.4693957488110065</v>
      </c>
      <c r="R2158" s="38">
        <f t="shared" ca="1" si="255"/>
        <v>11.675249037875139</v>
      </c>
      <c r="S2158" s="38">
        <f t="shared" ca="1" si="256"/>
        <v>674.0625</v>
      </c>
    </row>
    <row r="2159" spans="13:19">
      <c r="M2159" s="132">
        <f t="shared" ca="1" si="253"/>
        <v>686.05332945641896</v>
      </c>
      <c r="N2159" s="38">
        <f t="shared" si="254"/>
        <v>20.231249999999999</v>
      </c>
      <c r="O2159" s="36">
        <f t="shared" si="252"/>
        <v>539.5</v>
      </c>
      <c r="P2159" s="38">
        <f ca="1">IF(ISERROR(IF(O2159&lt;fi_h/20,0,(OFFSET('Base de dados'!$A$5,IF(O2159&lt;20,1,IF(O2159&gt;1000,10,MATCH(O2159,Cargas,1))),Coluna_fih,1,1))*(1+0.13*0.25)*(PI()*(fi_h/1000)^2/4)*SQRT(2*9.81*(O2159/100-fi_h/2/1000))*1000)),"",IF(O2159&lt;fi_h/20,0,(OFFSET('Base de dados'!$A$5,IF(O2159&lt;20,1,IF(O2159&gt;1000,10,MATCH(O2159,Cargas,1))),Coluna_fih,1,1))*(PI()*(fi_h/1000)^2/4)*SQRT(2*9.81*(O2159/100-fi_h/2/1000))*1000))</f>
        <v>6.2072963698266959</v>
      </c>
      <c r="Q2159" s="38">
        <f ca="1">IF(O2159="","",IF(Tipo_Vertedor="Retangular",IF(O2159&lt;=cota_s*100,0,IF(Tipo_Vertedor="Retangular",Cd_sr*Lef_sr*((O2159/100-cota_s)^(3/2))*1000)),IF(O2159&lt;=cota_s*100+fi_s/20,0,(OFFSET('Base de dados'!$A$4,IF(O2159&lt;20,1,IF(O2159&gt;1000,10,MATCH(O2159,Cargas,1))),Coluna_fis,1,1))*(PI()*(fi_s/1000)^2/4)*(2*9.81*(O2159/100-cota_s-fi_s/2/1000))^0.5*1000)))</f>
        <v>5.4710330865922829</v>
      </c>
      <c r="R2159" s="38">
        <f t="shared" ca="1" si="255"/>
        <v>11.678329456418979</v>
      </c>
      <c r="S2159" s="38">
        <f t="shared" ca="1" si="256"/>
        <v>674.375</v>
      </c>
    </row>
    <row r="2160" spans="13:19">
      <c r="M2160" s="132">
        <f t="shared" ca="1" si="253"/>
        <v>686.36890904968539</v>
      </c>
      <c r="N2160" s="38">
        <f t="shared" si="254"/>
        <v>20.240625000000001</v>
      </c>
      <c r="O2160" s="36">
        <f t="shared" si="252"/>
        <v>539.75</v>
      </c>
      <c r="P2160" s="38">
        <f ca="1">IF(ISERROR(IF(O2160&lt;fi_h/20,0,(OFFSET('Base de dados'!$A$5,IF(O2160&lt;20,1,IF(O2160&gt;1000,10,MATCH(O2160,Cargas,1))),Coluna_fih,1,1))*(1+0.13*0.25)*(PI()*(fi_h/1000)^2/4)*SQRT(2*9.81*(O2160/100-fi_h/2/1000))*1000)),"",IF(O2160&lt;fi_h/20,0,(OFFSET('Base de dados'!$A$5,IF(O2160&lt;20,1,IF(O2160&gt;1000,10,MATCH(O2160,Cargas,1))),Coluna_fih,1,1))*(PI()*(fi_h/1000)^2/4)*SQRT(2*9.81*(O2160/100-fi_h/2/1000))*1000))</f>
        <v>6.2087391151778357</v>
      </c>
      <c r="Q2160" s="38">
        <f ca="1">IF(O2160="","",IF(Tipo_Vertedor="Retangular",IF(O2160&lt;=cota_s*100,0,IF(Tipo_Vertedor="Retangular",Cd_sr*Lef_sr*((O2160/100-cota_s)^(3/2))*1000)),IF(O2160&lt;=cota_s*100+fi_s/20,0,(OFFSET('Base de dados'!$A$4,IF(O2160&lt;20,1,IF(O2160&gt;1000,10,MATCH(O2160,Cargas,1))),Coluna_fis,1,1))*(PI()*(fi_s/1000)^2/4)*(2*9.81*(O2160/100-cota_s-fi_s/2/1000))^0.5*1000)))</f>
        <v>5.4726699345075662</v>
      </c>
      <c r="R2160" s="38">
        <f t="shared" ca="1" si="255"/>
        <v>11.681409049685403</v>
      </c>
      <c r="S2160" s="38">
        <f t="shared" ca="1" si="256"/>
        <v>674.6875</v>
      </c>
    </row>
    <row r="2161" spans="13:19">
      <c r="M2161" s="132">
        <f t="shared" ca="1" si="253"/>
        <v>686.68448781834763</v>
      </c>
      <c r="N2161" s="38">
        <f t="shared" si="254"/>
        <v>20.25</v>
      </c>
      <c r="O2161" s="36">
        <f t="shared" si="252"/>
        <v>540</v>
      </c>
      <c r="P2161" s="38">
        <f ca="1">IF(ISERROR(IF(O2161&lt;fi_h/20,0,(OFFSET('Base de dados'!$A$5,IF(O2161&lt;20,1,IF(O2161&gt;1000,10,MATCH(O2161,Cargas,1))),Coluna_fih,1,1))*(1+0.13*0.25)*(PI()*(fi_h/1000)^2/4)*SQRT(2*9.81*(O2161/100-fi_h/2/1000))*1000)),"",IF(O2161&lt;fi_h/20,0,(OFFSET('Base de dados'!$A$5,IF(O2161&lt;20,1,IF(O2161&gt;1000,10,MATCH(O2161,Cargas,1))),Coluna_fih,1,1))*(PI()*(fi_h/1000)^2/4)*SQRT(2*9.81*(O2161/100-fi_h/2/1000))*1000))</f>
        <v>6.2101815253513184</v>
      </c>
      <c r="Q2161" s="38">
        <f ca="1">IF(O2161="","",IF(Tipo_Vertedor="Retangular",IF(O2161&lt;=cota_s*100,0,IF(Tipo_Vertedor="Retangular",Cd_sr*Lef_sr*((O2161/100-cota_s)^(3/2))*1000)),IF(O2161&lt;=cota_s*100+fi_s/20,0,(OFFSET('Base de dados'!$A$4,IF(O2161&lt;20,1,IF(O2161&gt;1000,10,MATCH(O2161,Cargas,1))),Coluna_fis,1,1))*(PI()*(fi_s/1000)^2/4)*(2*9.81*(O2161/100-cota_s-fi_s/2/1000))^0.5*1000)))</f>
        <v>5.4743062929962765</v>
      </c>
      <c r="R2161" s="38">
        <f t="shared" ca="1" si="255"/>
        <v>11.684487818347595</v>
      </c>
      <c r="S2161" s="38">
        <f t="shared" ca="1" si="256"/>
        <v>675</v>
      </c>
    </row>
    <row r="2162" spans="13:19">
      <c r="M2162" s="132">
        <f t="shared" ca="1" si="253"/>
        <v>687.00006576307783</v>
      </c>
      <c r="N2162" s="38">
        <f t="shared" si="254"/>
        <v>20.259374999999999</v>
      </c>
      <c r="O2162" s="36">
        <f t="shared" si="252"/>
        <v>540.25</v>
      </c>
      <c r="P2162" s="38">
        <f ca="1">IF(ISERROR(IF(O2162&lt;fi_h/20,0,(OFFSET('Base de dados'!$A$5,IF(O2162&lt;20,1,IF(O2162&gt;1000,10,MATCH(O2162,Cargas,1))),Coluna_fih,1,1))*(1+0.13*0.25)*(PI()*(fi_h/1000)^2/4)*SQRT(2*9.81*(O2162/100-fi_h/2/1000))*1000)),"",IF(O2162&lt;fi_h/20,0,(OFFSET('Base de dados'!$A$5,IF(O2162&lt;20,1,IF(O2162&gt;1000,10,MATCH(O2162,Cargas,1))),Coluna_fih,1,1))*(PI()*(fi_h/1000)^2/4)*SQRT(2*9.81*(O2162/100-fi_h/2/1000))*1000))</f>
        <v>6.2116236005806407</v>
      </c>
      <c r="Q2162" s="38">
        <f ca="1">IF(O2162="","",IF(Tipo_Vertedor="Retangular",IF(O2162&lt;=cota_s*100,0,IF(Tipo_Vertedor="Retangular",Cd_sr*Lef_sr*((O2162/100-cota_s)^(3/2))*1000)),IF(O2162&lt;=cota_s*100+fi_s/20,0,(OFFSET('Base de dados'!$A$4,IF(O2162&lt;20,1,IF(O2162&gt;1000,10,MATCH(O2162,Cargas,1))),Coluna_fis,1,1))*(PI()*(fi_s/1000)^2/4)*(2*9.81*(O2162/100-cota_s-fi_s/2/1000))^0.5*1000)))</f>
        <v>5.475942162497172</v>
      </c>
      <c r="R2162" s="38">
        <f t="shared" ca="1" si="255"/>
        <v>11.687565763077814</v>
      </c>
      <c r="S2162" s="38">
        <f t="shared" ca="1" si="256"/>
        <v>675.3125</v>
      </c>
    </row>
    <row r="2163" spans="13:19">
      <c r="M2163" s="132">
        <f t="shared" ca="1" si="253"/>
        <v>687.3156428845474</v>
      </c>
      <c r="N2163" s="38">
        <f t="shared" si="254"/>
        <v>20.268750000000001</v>
      </c>
      <c r="O2163" s="36">
        <f t="shared" si="252"/>
        <v>540.5</v>
      </c>
      <c r="P2163" s="38">
        <f ca="1">IF(ISERROR(IF(O2163&lt;fi_h/20,0,(OFFSET('Base de dados'!$A$5,IF(O2163&lt;20,1,IF(O2163&gt;1000,10,MATCH(O2163,Cargas,1))),Coluna_fih,1,1))*(1+0.13*0.25)*(PI()*(fi_h/1000)^2/4)*SQRT(2*9.81*(O2163/100-fi_h/2/1000))*1000)),"",IF(O2163&lt;fi_h/20,0,(OFFSET('Base de dados'!$A$5,IF(O2163&lt;20,1,IF(O2163&gt;1000,10,MATCH(O2163,Cargas,1))),Coluna_fih,1,1))*(PI()*(fi_h/1000)^2/4)*SQRT(2*9.81*(O2163/100-fi_h/2/1000))*1000))</f>
        <v>6.2130653410990275</v>
      </c>
      <c r="Q2163" s="38">
        <f ca="1">IF(O2163="","",IF(Tipo_Vertedor="Retangular",IF(O2163&lt;=cota_s*100,0,IF(Tipo_Vertedor="Retangular",Cd_sr*Lef_sr*((O2163/100-cota_s)^(3/2))*1000)),IF(O2163&lt;=cota_s*100+fi_s/20,0,(OFFSET('Base de dados'!$A$4,IF(O2163&lt;20,1,IF(O2163&gt;1000,10,MATCH(O2163,Cargas,1))),Coluna_fis,1,1))*(PI()*(fi_s/1000)^2/4)*(2*9.81*(O2163/100-cota_s-fi_s/2/1000))^0.5*1000)))</f>
        <v>5.4775775434483611</v>
      </c>
      <c r="R2163" s="38">
        <f t="shared" ca="1" si="255"/>
        <v>11.690642884547389</v>
      </c>
      <c r="S2163" s="38">
        <f t="shared" ca="1" si="256"/>
        <v>675.625</v>
      </c>
    </row>
    <row r="2164" spans="13:19">
      <c r="M2164" s="132">
        <f t="shared" ca="1" si="253"/>
        <v>687.63121918342677</v>
      </c>
      <c r="N2164" s="38">
        <f t="shared" si="254"/>
        <v>20.278124999999999</v>
      </c>
      <c r="O2164" s="36">
        <f t="shared" si="252"/>
        <v>540.75</v>
      </c>
      <c r="P2164" s="38">
        <f ca="1">IF(ISERROR(IF(O2164&lt;fi_h/20,0,(OFFSET('Base de dados'!$A$5,IF(O2164&lt;20,1,IF(O2164&gt;1000,10,MATCH(O2164,Cargas,1))),Coluna_fih,1,1))*(1+0.13*0.25)*(PI()*(fi_h/1000)^2/4)*SQRT(2*9.81*(O2164/100-fi_h/2/1000))*1000)),"",IF(O2164&lt;fi_h/20,0,(OFFSET('Base de dados'!$A$5,IF(O2164&lt;20,1,IF(O2164&gt;1000,10,MATCH(O2164,Cargas,1))),Coluna_fih,1,1))*(PI()*(fi_h/1000)^2/4)*SQRT(2*9.81*(O2164/100-fi_h/2/1000))*1000))</f>
        <v>6.2145067471394331</v>
      </c>
      <c r="Q2164" s="38">
        <f ca="1">IF(O2164="","",IF(Tipo_Vertedor="Retangular",IF(O2164&lt;=cota_s*100,0,IF(Tipo_Vertedor="Retangular",Cd_sr*Lef_sr*((O2164/100-cota_s)^(3/2))*1000)),IF(O2164&lt;=cota_s*100+fi_s/20,0,(OFFSET('Base de dados'!$A$4,IF(O2164&lt;20,1,IF(O2164&gt;1000,10,MATCH(O2164,Cargas,1))),Coluna_fis,1,1))*(PI()*(fi_s/1000)^2/4)*(2*9.81*(O2164/100-cota_s-fi_s/2/1000))^0.5*1000)))</f>
        <v>5.4792124362872947</v>
      </c>
      <c r="R2164" s="38">
        <f t="shared" ca="1" si="255"/>
        <v>11.693719183426728</v>
      </c>
      <c r="S2164" s="38">
        <f t="shared" ca="1" si="256"/>
        <v>675.9375</v>
      </c>
    </row>
    <row r="2165" spans="13:19">
      <c r="M2165" s="132">
        <f t="shared" ca="1" si="253"/>
        <v>687.94679466038531</v>
      </c>
      <c r="N2165" s="38">
        <f t="shared" si="254"/>
        <v>20.287500000000001</v>
      </c>
      <c r="O2165" s="36">
        <f t="shared" si="252"/>
        <v>541</v>
      </c>
      <c r="P2165" s="38">
        <f ca="1">IF(ISERROR(IF(O2165&lt;fi_h/20,0,(OFFSET('Base de dados'!$A$5,IF(O2165&lt;20,1,IF(O2165&gt;1000,10,MATCH(O2165,Cargas,1))),Coluna_fih,1,1))*(1+0.13*0.25)*(PI()*(fi_h/1000)^2/4)*SQRT(2*9.81*(O2165/100-fi_h/2/1000))*1000)),"",IF(O2165&lt;fi_h/20,0,(OFFSET('Base de dados'!$A$5,IF(O2165&lt;20,1,IF(O2165&gt;1000,10,MATCH(O2165,Cargas,1))),Coluna_fih,1,1))*(PI()*(fi_h/1000)^2/4)*SQRT(2*9.81*(O2165/100-fi_h/2/1000))*1000))</f>
        <v>6.215947818934545</v>
      </c>
      <c r="Q2165" s="38">
        <f ca="1">IF(O2165="","",IF(Tipo_Vertedor="Retangular",IF(O2165&lt;=cota_s*100,0,IF(Tipo_Vertedor="Retangular",Cd_sr*Lef_sr*((O2165/100-cota_s)^(3/2))*1000)),IF(O2165&lt;=cota_s*100+fi_s/20,0,(OFFSET('Base de dados'!$A$4,IF(O2165&lt;20,1,IF(O2165&gt;1000,10,MATCH(O2165,Cargas,1))),Coluna_fis,1,1))*(PI()*(fi_s/1000)^2/4)*(2*9.81*(O2165/100-cota_s-fi_s/2/1000))^0.5*1000)))</f>
        <v>5.4808468414507754</v>
      </c>
      <c r="R2165" s="38">
        <f t="shared" ca="1" si="255"/>
        <v>11.69679466038532</v>
      </c>
      <c r="S2165" s="38">
        <f t="shared" ca="1" si="256"/>
        <v>676.25</v>
      </c>
    </row>
    <row r="2166" spans="13:19">
      <c r="M2166" s="132">
        <f t="shared" ca="1" si="253"/>
        <v>688.26236931609174</v>
      </c>
      <c r="N2166" s="38">
        <f t="shared" si="254"/>
        <v>20.296875</v>
      </c>
      <c r="O2166" s="36">
        <f t="shared" si="252"/>
        <v>541.25</v>
      </c>
      <c r="P2166" s="38">
        <f ca="1">IF(ISERROR(IF(O2166&lt;fi_h/20,0,(OFFSET('Base de dados'!$A$5,IF(O2166&lt;20,1,IF(O2166&gt;1000,10,MATCH(O2166,Cargas,1))),Coluna_fih,1,1))*(1+0.13*0.25)*(PI()*(fi_h/1000)^2/4)*SQRT(2*9.81*(O2166/100-fi_h/2/1000))*1000)),"",IF(O2166&lt;fi_h/20,0,(OFFSET('Base de dados'!$A$5,IF(O2166&lt;20,1,IF(O2166&gt;1000,10,MATCH(O2166,Cargas,1))),Coluna_fih,1,1))*(PI()*(fi_h/1000)^2/4)*SQRT(2*9.81*(O2166/100-fi_h/2/1000))*1000))</f>
        <v>6.2173885567167746</v>
      </c>
      <c r="Q2166" s="38">
        <f ca="1">IF(O2166="","",IF(Tipo_Vertedor="Retangular",IF(O2166&lt;=cota_s*100,0,IF(Tipo_Vertedor="Retangular",Cd_sr*Lef_sr*((O2166/100-cota_s)^(3/2))*1000)),IF(O2166&lt;=cota_s*100+fi_s/20,0,(OFFSET('Base de dados'!$A$4,IF(O2166&lt;20,1,IF(O2166&gt;1000,10,MATCH(O2166,Cargas,1))),Coluna_fis,1,1))*(PI()*(fi_s/1000)^2/4)*(2*9.81*(O2166/100-cota_s-fi_s/2/1000))^0.5*1000)))</f>
        <v>5.4824807593749485</v>
      </c>
      <c r="R2166" s="38">
        <f t="shared" ca="1" si="255"/>
        <v>11.699869316091723</v>
      </c>
      <c r="S2166" s="38">
        <f t="shared" ca="1" si="256"/>
        <v>676.5625</v>
      </c>
    </row>
    <row r="2167" spans="13:19">
      <c r="M2167" s="132">
        <f t="shared" ca="1" si="253"/>
        <v>688.57794315121362</v>
      </c>
      <c r="N2167" s="38">
        <f t="shared" si="254"/>
        <v>20.306249999999999</v>
      </c>
      <c r="O2167" s="36">
        <f t="shared" si="252"/>
        <v>541.5</v>
      </c>
      <c r="P2167" s="38">
        <f ca="1">IF(ISERROR(IF(O2167&lt;fi_h/20,0,(OFFSET('Base de dados'!$A$5,IF(O2167&lt;20,1,IF(O2167&gt;1000,10,MATCH(O2167,Cargas,1))),Coluna_fih,1,1))*(1+0.13*0.25)*(PI()*(fi_h/1000)^2/4)*SQRT(2*9.81*(O2167/100-fi_h/2/1000))*1000)),"",IF(O2167&lt;fi_h/20,0,(OFFSET('Base de dados'!$A$5,IF(O2167&lt;20,1,IF(O2167&gt;1000,10,MATCH(O2167,Cargas,1))),Coluna_fih,1,1))*(PI()*(fi_h/1000)^2/4)*SQRT(2*9.81*(O2167/100-fi_h/2/1000))*1000))</f>
        <v>6.2188289607182705</v>
      </c>
      <c r="Q2167" s="38">
        <f ca="1">IF(O2167="","",IF(Tipo_Vertedor="Retangular",IF(O2167&lt;=cota_s*100,0,IF(Tipo_Vertedor="Retangular",Cd_sr*Lef_sr*((O2167/100-cota_s)^(3/2))*1000)),IF(O2167&lt;=cota_s*100+fi_s/20,0,(OFFSET('Base de dados'!$A$4,IF(O2167&lt;20,1,IF(O2167&gt;1000,10,MATCH(O2167,Cargas,1))),Coluna_fis,1,1))*(PI()*(fi_s/1000)^2/4)*(2*9.81*(O2167/100-cota_s-fi_s/2/1000))^0.5*1000)))</f>
        <v>5.4841141904953155</v>
      </c>
      <c r="R2167" s="38">
        <f t="shared" ca="1" si="255"/>
        <v>11.702943151213585</v>
      </c>
      <c r="S2167" s="38">
        <f t="shared" ca="1" si="256"/>
        <v>676.875</v>
      </c>
    </row>
    <row r="2168" spans="13:19">
      <c r="M2168" s="132">
        <f t="shared" ca="1" si="253"/>
        <v>688.89351616641761</v>
      </c>
      <c r="N2168" s="38">
        <f t="shared" si="254"/>
        <v>20.315625000000001</v>
      </c>
      <c r="O2168" s="36">
        <f t="shared" si="252"/>
        <v>541.75</v>
      </c>
      <c r="P2168" s="38">
        <f ca="1">IF(ISERROR(IF(O2168&lt;fi_h/20,0,(OFFSET('Base de dados'!$A$5,IF(O2168&lt;20,1,IF(O2168&gt;1000,10,MATCH(O2168,Cargas,1))),Coluna_fih,1,1))*(1+0.13*0.25)*(PI()*(fi_h/1000)^2/4)*SQRT(2*9.81*(O2168/100-fi_h/2/1000))*1000)),"",IF(O2168&lt;fi_h/20,0,(OFFSET('Base de dados'!$A$5,IF(O2168&lt;20,1,IF(O2168&gt;1000,10,MATCH(O2168,Cargas,1))),Coluna_fih,1,1))*(PI()*(fi_h/1000)^2/4)*SQRT(2*9.81*(O2168/100-fi_h/2/1000))*1000))</f>
        <v>6.2202690311709068</v>
      </c>
      <c r="Q2168" s="38">
        <f ca="1">IF(O2168="","",IF(Tipo_Vertedor="Retangular",IF(O2168&lt;=cota_s*100,0,IF(Tipo_Vertedor="Retangular",Cd_sr*Lef_sr*((O2168/100-cota_s)^(3/2))*1000)),IF(O2168&lt;=cota_s*100+fi_s/20,0,(OFFSET('Base de dados'!$A$4,IF(O2168&lt;20,1,IF(O2168&gt;1000,10,MATCH(O2168,Cargas,1))),Coluna_fis,1,1))*(PI()*(fi_s/1000)^2/4)*(2*9.81*(O2168/100-cota_s-fi_s/2/1000))^0.5*1000)))</f>
        <v>5.4857471352467257</v>
      </c>
      <c r="R2168" s="38">
        <f t="shared" ca="1" si="255"/>
        <v>11.706016166417633</v>
      </c>
      <c r="S2168" s="38">
        <f t="shared" ca="1" si="256"/>
        <v>677.1875</v>
      </c>
    </row>
    <row r="2169" spans="13:19">
      <c r="M2169" s="132">
        <f t="shared" ca="1" si="253"/>
        <v>689.2090883623697</v>
      </c>
      <c r="N2169" s="38">
        <f t="shared" si="254"/>
        <v>20.324999999999999</v>
      </c>
      <c r="O2169" s="36">
        <f t="shared" si="252"/>
        <v>542</v>
      </c>
      <c r="P2169" s="38">
        <f ca="1">IF(ISERROR(IF(O2169&lt;fi_h/20,0,(OFFSET('Base de dados'!$A$5,IF(O2169&lt;20,1,IF(O2169&gt;1000,10,MATCH(O2169,Cargas,1))),Coluna_fih,1,1))*(1+0.13*0.25)*(PI()*(fi_h/1000)^2/4)*SQRT(2*9.81*(O2169/100-fi_h/2/1000))*1000)),"",IF(O2169&lt;fi_h/20,0,(OFFSET('Base de dados'!$A$5,IF(O2169&lt;20,1,IF(O2169&gt;1000,10,MATCH(O2169,Cargas,1))),Coluna_fih,1,1))*(PI()*(fi_h/1000)^2/4)*SQRT(2*9.81*(O2169/100-fi_h/2/1000))*1000))</f>
        <v>6.2217087683062955</v>
      </c>
      <c r="Q2169" s="38">
        <f ca="1">IF(O2169="","",IF(Tipo_Vertedor="Retangular",IF(O2169&lt;=cota_s*100,0,IF(Tipo_Vertedor="Retangular",Cd_sr*Lef_sr*((O2169/100-cota_s)^(3/2))*1000)),IF(O2169&lt;=cota_s*100+fi_s/20,0,(OFFSET('Base de dados'!$A$4,IF(O2169&lt;20,1,IF(O2169&gt;1000,10,MATCH(O2169,Cargas,1))),Coluna_fis,1,1))*(PI()*(fi_s/1000)^2/4)*(2*9.81*(O2169/100-cota_s-fi_s/2/1000))^0.5*1000)))</f>
        <v>5.487379594063384</v>
      </c>
      <c r="R2169" s="38">
        <f t="shared" ca="1" si="255"/>
        <v>11.70908836236968</v>
      </c>
      <c r="S2169" s="38">
        <f t="shared" ca="1" si="256"/>
        <v>677.5</v>
      </c>
    </row>
    <row r="2170" spans="13:19">
      <c r="M2170" s="132">
        <f t="shared" ca="1" si="253"/>
        <v>689.5246597397346</v>
      </c>
      <c r="N2170" s="38">
        <f t="shared" si="254"/>
        <v>20.334375000000001</v>
      </c>
      <c r="O2170" s="36">
        <f t="shared" si="252"/>
        <v>542.25</v>
      </c>
      <c r="P2170" s="38">
        <f ca="1">IF(ISERROR(IF(O2170&lt;fi_h/20,0,(OFFSET('Base de dados'!$A$5,IF(O2170&lt;20,1,IF(O2170&gt;1000,10,MATCH(O2170,Cargas,1))),Coluna_fih,1,1))*(1+0.13*0.25)*(PI()*(fi_h/1000)^2/4)*SQRT(2*9.81*(O2170/100-fi_h/2/1000))*1000)),"",IF(O2170&lt;fi_h/20,0,(OFFSET('Base de dados'!$A$5,IF(O2170&lt;20,1,IF(O2170&gt;1000,10,MATCH(O2170,Cargas,1))),Coluna_fih,1,1))*(PI()*(fi_h/1000)^2/4)*SQRT(2*9.81*(O2170/100-fi_h/2/1000))*1000))</f>
        <v>6.2231481723557742</v>
      </c>
      <c r="Q2170" s="38">
        <f ca="1">IF(O2170="","",IF(Tipo_Vertedor="Retangular",IF(O2170&lt;=cota_s*100,0,IF(Tipo_Vertedor="Retangular",Cd_sr*Lef_sr*((O2170/100-cota_s)^(3/2))*1000)),IF(O2170&lt;=cota_s*100+fi_s/20,0,(OFFSET('Base de dados'!$A$4,IF(O2170&lt;20,1,IF(O2170&gt;1000,10,MATCH(O2170,Cargas,1))),Coluna_fis,1,1))*(PI()*(fi_s/1000)^2/4)*(2*9.81*(O2170/100-cota_s-fi_s/2/1000))^0.5*1000)))</f>
        <v>5.4890115673788493</v>
      </c>
      <c r="R2170" s="38">
        <f t="shared" ca="1" si="255"/>
        <v>11.712159739734624</v>
      </c>
      <c r="S2170" s="38">
        <f t="shared" ca="1" si="256"/>
        <v>677.8125</v>
      </c>
    </row>
    <row r="2171" spans="13:19">
      <c r="M2171" s="132">
        <f t="shared" ca="1" si="253"/>
        <v>689.84023029917648</v>
      </c>
      <c r="N2171" s="38">
        <f t="shared" si="254"/>
        <v>20.34375</v>
      </c>
      <c r="O2171" s="36">
        <f t="shared" si="252"/>
        <v>542.5</v>
      </c>
      <c r="P2171" s="38">
        <f ca="1">IF(ISERROR(IF(O2171&lt;fi_h/20,0,(OFFSET('Base de dados'!$A$5,IF(O2171&lt;20,1,IF(O2171&gt;1000,10,MATCH(O2171,Cargas,1))),Coluna_fih,1,1))*(1+0.13*0.25)*(PI()*(fi_h/1000)^2/4)*SQRT(2*9.81*(O2171/100-fi_h/2/1000))*1000)),"",IF(O2171&lt;fi_h/20,0,(OFFSET('Base de dados'!$A$5,IF(O2171&lt;20,1,IF(O2171&gt;1000,10,MATCH(O2171,Cargas,1))),Coluna_fih,1,1))*(PI()*(fi_h/1000)^2/4)*SQRT(2*9.81*(O2171/100-fi_h/2/1000))*1000))</f>
        <v>6.2245872435504168</v>
      </c>
      <c r="Q2171" s="38">
        <f ca="1">IF(O2171="","",IF(Tipo_Vertedor="Retangular",IF(O2171&lt;=cota_s*100,0,IF(Tipo_Vertedor="Retangular",Cd_sr*Lef_sr*((O2171/100-cota_s)^(3/2))*1000)),IF(O2171&lt;=cota_s*100+fi_s/20,0,(OFFSET('Base de dados'!$A$4,IF(O2171&lt;20,1,IF(O2171&gt;1000,10,MATCH(O2171,Cargas,1))),Coluna_fis,1,1))*(PI()*(fi_s/1000)^2/4)*(2*9.81*(O2171/100-cota_s-fi_s/2/1000))^0.5*1000)))</f>
        <v>5.4906430556260331</v>
      </c>
      <c r="R2171" s="38">
        <f t="shared" ca="1" si="255"/>
        <v>11.715230299176451</v>
      </c>
      <c r="S2171" s="38">
        <f t="shared" ca="1" si="256"/>
        <v>678.125</v>
      </c>
    </row>
    <row r="2172" spans="13:19">
      <c r="M2172" s="132">
        <f t="shared" ca="1" si="253"/>
        <v>690.15580004135836</v>
      </c>
      <c r="N2172" s="38">
        <f t="shared" si="254"/>
        <v>20.353125000000002</v>
      </c>
      <c r="O2172" s="36">
        <f t="shared" si="252"/>
        <v>542.75</v>
      </c>
      <c r="P2172" s="38">
        <f ca="1">IF(ISERROR(IF(O2172&lt;fi_h/20,0,(OFFSET('Base de dados'!$A$5,IF(O2172&lt;20,1,IF(O2172&gt;1000,10,MATCH(O2172,Cargas,1))),Coluna_fih,1,1))*(1+0.13*0.25)*(PI()*(fi_h/1000)^2/4)*SQRT(2*9.81*(O2172/100-fi_h/2/1000))*1000)),"",IF(O2172&lt;fi_h/20,0,(OFFSET('Base de dados'!$A$5,IF(O2172&lt;20,1,IF(O2172&gt;1000,10,MATCH(O2172,Cargas,1))),Coluna_fih,1,1))*(PI()*(fi_h/1000)^2/4)*SQRT(2*9.81*(O2172/100-fi_h/2/1000))*1000))</f>
        <v>6.2260259821210315</v>
      </c>
      <c r="Q2172" s="38">
        <f ca="1">IF(O2172="","",IF(Tipo_Vertedor="Retangular",IF(O2172&lt;=cota_s*100,0,IF(Tipo_Vertedor="Retangular",Cd_sr*Lef_sr*((O2172/100-cota_s)^(3/2))*1000)),IF(O2172&lt;=cota_s*100+fi_s/20,0,(OFFSET('Base de dados'!$A$4,IF(O2172&lt;20,1,IF(O2172&gt;1000,10,MATCH(O2172,Cargas,1))),Coluna_fis,1,1))*(PI()*(fi_s/1000)^2/4)*(2*9.81*(O2172/100-cota_s-fi_s/2/1000))^0.5*1000)))</f>
        <v>5.4922740592372081</v>
      </c>
      <c r="R2172" s="38">
        <f t="shared" ca="1" si="255"/>
        <v>11.718300041358241</v>
      </c>
      <c r="S2172" s="38">
        <f t="shared" ca="1" si="256"/>
        <v>678.43750000000011</v>
      </c>
    </row>
    <row r="2173" spans="13:19">
      <c r="M2173" s="132">
        <f t="shared" ca="1" si="253"/>
        <v>690.47136896694201</v>
      </c>
      <c r="N2173" s="38">
        <f t="shared" si="254"/>
        <v>20.362499999999997</v>
      </c>
      <c r="O2173" s="36">
        <f t="shared" si="252"/>
        <v>543</v>
      </c>
      <c r="P2173" s="38">
        <f ca="1">IF(ISERROR(IF(O2173&lt;fi_h/20,0,(OFFSET('Base de dados'!$A$5,IF(O2173&lt;20,1,IF(O2173&gt;1000,10,MATCH(O2173,Cargas,1))),Coluna_fih,1,1))*(1+0.13*0.25)*(PI()*(fi_h/1000)^2/4)*SQRT(2*9.81*(O2173/100-fi_h/2/1000))*1000)),"",IF(O2173&lt;fi_h/20,0,(OFFSET('Base de dados'!$A$5,IF(O2173&lt;20,1,IF(O2173&gt;1000,10,MATCH(O2173,Cargas,1))),Coluna_fih,1,1))*(PI()*(fi_h/1000)^2/4)*SQRT(2*9.81*(O2173/100-fi_h/2/1000))*1000))</f>
        <v>6.2274643882981566</v>
      </c>
      <c r="Q2173" s="38">
        <f ca="1">IF(O2173="","",IF(Tipo_Vertedor="Retangular",IF(O2173&lt;=cota_s*100,0,IF(Tipo_Vertedor="Retangular",Cd_sr*Lef_sr*((O2173/100-cota_s)^(3/2))*1000)),IF(O2173&lt;=cota_s*100+fi_s/20,0,(OFFSET('Base de dados'!$A$4,IF(O2173&lt;20,1,IF(O2173&gt;1000,10,MATCH(O2173,Cargas,1))),Coluna_fis,1,1))*(PI()*(fi_s/1000)^2/4)*(2*9.81*(O2173/100-cota_s-fi_s/2/1000))^0.5*1000)))</f>
        <v>5.4939045786440026</v>
      </c>
      <c r="R2173" s="38">
        <f t="shared" ca="1" si="255"/>
        <v>11.721368966942158</v>
      </c>
      <c r="S2173" s="38">
        <f t="shared" ca="1" si="256"/>
        <v>678.74999999999989</v>
      </c>
    </row>
    <row r="2174" spans="13:19">
      <c r="M2174" s="132">
        <f t="shared" ca="1" si="253"/>
        <v>690.78693707658942</v>
      </c>
      <c r="N2174" s="38">
        <f t="shared" si="254"/>
        <v>20.371874999999999</v>
      </c>
      <c r="O2174" s="36">
        <f t="shared" si="252"/>
        <v>543.25</v>
      </c>
      <c r="P2174" s="38">
        <f ca="1">IF(ISERROR(IF(O2174&lt;fi_h/20,0,(OFFSET('Base de dados'!$A$5,IF(O2174&lt;20,1,IF(O2174&gt;1000,10,MATCH(O2174,Cargas,1))),Coluna_fih,1,1))*(1+0.13*0.25)*(PI()*(fi_h/1000)^2/4)*SQRT(2*9.81*(O2174/100-fi_h/2/1000))*1000)),"",IF(O2174&lt;fi_h/20,0,(OFFSET('Base de dados'!$A$5,IF(O2174&lt;20,1,IF(O2174&gt;1000,10,MATCH(O2174,Cargas,1))),Coluna_fih,1,1))*(PI()*(fi_h/1000)^2/4)*SQRT(2*9.81*(O2174/100-fi_h/2/1000))*1000))</f>
        <v>6.2289024623120648</v>
      </c>
      <c r="Q2174" s="38">
        <f ca="1">IF(O2174="","",IF(Tipo_Vertedor="Retangular",IF(O2174&lt;=cota_s*100,0,IF(Tipo_Vertedor="Retangular",Cd_sr*Lef_sr*((O2174/100-cota_s)^(3/2))*1000)),IF(O2174&lt;=cota_s*100+fi_s/20,0,(OFFSET('Base de dados'!$A$4,IF(O2174&lt;20,1,IF(O2174&gt;1000,10,MATCH(O2174,Cargas,1))),Coluna_fis,1,1))*(PI()*(fi_s/1000)^2/4)*(2*9.81*(O2174/100-cota_s-fi_s/2/1000))^0.5*1000)))</f>
        <v>5.4955346142774069</v>
      </c>
      <c r="R2174" s="38">
        <f t="shared" ca="1" si="255"/>
        <v>11.724437076589471</v>
      </c>
      <c r="S2174" s="38">
        <f t="shared" ca="1" si="256"/>
        <v>679.0625</v>
      </c>
    </row>
    <row r="2175" spans="13:19">
      <c r="M2175" s="132">
        <f t="shared" ca="1" si="253"/>
        <v>691.10250437096045</v>
      </c>
      <c r="N2175" s="38">
        <f t="shared" si="254"/>
        <v>20.381249999999998</v>
      </c>
      <c r="O2175" s="36">
        <f t="shared" si="252"/>
        <v>543.5</v>
      </c>
      <c r="P2175" s="38">
        <f ca="1">IF(ISERROR(IF(O2175&lt;fi_h/20,0,(OFFSET('Base de dados'!$A$5,IF(O2175&lt;20,1,IF(O2175&gt;1000,10,MATCH(O2175,Cargas,1))),Coluna_fih,1,1))*(1+0.13*0.25)*(PI()*(fi_h/1000)^2/4)*SQRT(2*9.81*(O2175/100-fi_h/2/1000))*1000)),"",IF(O2175&lt;fi_h/20,0,(OFFSET('Base de dados'!$A$5,IF(O2175&lt;20,1,IF(O2175&gt;1000,10,MATCH(O2175,Cargas,1))),Coluna_fih,1,1))*(PI()*(fi_h/1000)^2/4)*SQRT(2*9.81*(O2175/100-fi_h/2/1000))*1000))</f>
        <v>6.2303402043927649</v>
      </c>
      <c r="Q2175" s="38">
        <f ca="1">IF(O2175="","",IF(Tipo_Vertedor="Retangular",IF(O2175&lt;=cota_s*100,0,IF(Tipo_Vertedor="Retangular",Cd_sr*Lef_sr*((O2175/100-cota_s)^(3/2))*1000)),IF(O2175&lt;=cota_s*100+fi_s/20,0,(OFFSET('Base de dados'!$A$4,IF(O2175&lt;20,1,IF(O2175&gt;1000,10,MATCH(O2175,Cargas,1))),Coluna_fis,1,1))*(PI()*(fi_s/1000)^2/4)*(2*9.81*(O2175/100-cota_s-fi_s/2/1000))^0.5*1000)))</f>
        <v>5.4971641665677664</v>
      </c>
      <c r="R2175" s="38">
        <f t="shared" ca="1" si="255"/>
        <v>11.727504370960531</v>
      </c>
      <c r="S2175" s="38">
        <f t="shared" ca="1" si="256"/>
        <v>679.37499999999989</v>
      </c>
    </row>
    <row r="2176" spans="13:19">
      <c r="M2176" s="132">
        <f t="shared" ca="1" si="253"/>
        <v>691.4180708507148</v>
      </c>
      <c r="N2176" s="38">
        <f t="shared" si="254"/>
        <v>20.390625</v>
      </c>
      <c r="O2176" s="36">
        <f t="shared" si="252"/>
        <v>543.75</v>
      </c>
      <c r="P2176" s="38">
        <f ca="1">IF(ISERROR(IF(O2176&lt;fi_h/20,0,(OFFSET('Base de dados'!$A$5,IF(O2176&lt;20,1,IF(O2176&gt;1000,10,MATCH(O2176,Cargas,1))),Coluna_fih,1,1))*(1+0.13*0.25)*(PI()*(fi_h/1000)^2/4)*SQRT(2*9.81*(O2176/100-fi_h/2/1000))*1000)),"",IF(O2176&lt;fi_h/20,0,(OFFSET('Base de dados'!$A$5,IF(O2176&lt;20,1,IF(O2176&gt;1000,10,MATCH(O2176,Cargas,1))),Coluna_fih,1,1))*(PI()*(fi_h/1000)^2/4)*SQRT(2*9.81*(O2176/100-fi_h/2/1000))*1000))</f>
        <v>6.2317776147699986</v>
      </c>
      <c r="Q2176" s="38">
        <f ca="1">IF(O2176="","",IF(Tipo_Vertedor="Retangular",IF(O2176&lt;=cota_s*100,0,IF(Tipo_Vertedor="Retangular",Cd_sr*Lef_sr*((O2176/100-cota_s)^(3/2))*1000)),IF(O2176&lt;=cota_s*100+fi_s/20,0,(OFFSET('Base de dados'!$A$4,IF(O2176&lt;20,1,IF(O2176&gt;1000,10,MATCH(O2176,Cargas,1))),Coluna_fis,1,1))*(PI()*(fi_s/1000)^2/4)*(2*9.81*(O2176/100-cota_s-fi_s/2/1000))^0.5*1000)))</f>
        <v>5.498793235944798</v>
      </c>
      <c r="R2176" s="38">
        <f t="shared" ca="1" si="255"/>
        <v>11.730570850714797</v>
      </c>
      <c r="S2176" s="38">
        <f t="shared" ca="1" si="256"/>
        <v>679.6875</v>
      </c>
    </row>
    <row r="2177" spans="13:19">
      <c r="M2177" s="132">
        <f t="shared" ca="1" si="253"/>
        <v>691.73363651651096</v>
      </c>
      <c r="N2177" s="38">
        <f t="shared" si="254"/>
        <v>20.400000000000002</v>
      </c>
      <c r="O2177" s="36">
        <f t="shared" si="252"/>
        <v>544</v>
      </c>
      <c r="P2177" s="38">
        <f ca="1">IF(ISERROR(IF(O2177&lt;fi_h/20,0,(OFFSET('Base de dados'!$A$5,IF(O2177&lt;20,1,IF(O2177&gt;1000,10,MATCH(O2177,Cargas,1))),Coluna_fih,1,1))*(1+0.13*0.25)*(PI()*(fi_h/1000)^2/4)*SQRT(2*9.81*(O2177/100-fi_h/2/1000))*1000)),"",IF(O2177&lt;fi_h/20,0,(OFFSET('Base de dados'!$A$5,IF(O2177&lt;20,1,IF(O2177&gt;1000,10,MATCH(O2177,Cargas,1))),Coluna_fih,1,1))*(PI()*(fi_h/1000)^2/4)*SQRT(2*9.81*(O2177/100-fi_h/2/1000))*1000))</f>
        <v>6.2332146936732444</v>
      </c>
      <c r="Q2177" s="38">
        <f ca="1">IF(O2177="","",IF(Tipo_Vertedor="Retangular",IF(O2177&lt;=cota_s*100,0,IF(Tipo_Vertedor="Retangular",Cd_sr*Lef_sr*((O2177/100-cota_s)^(3/2))*1000)),IF(O2177&lt;=cota_s*100+fi_s/20,0,(OFFSET('Base de dados'!$A$4,IF(O2177&lt;20,1,IF(O2177&gt;1000,10,MATCH(O2177,Cargas,1))),Coluna_fis,1,1))*(PI()*(fi_s/1000)^2/4)*(2*9.81*(O2177/100-cota_s-fi_s/2/1000))^0.5*1000)))</f>
        <v>5.5004218228375761</v>
      </c>
      <c r="R2177" s="38">
        <f t="shared" ca="1" si="255"/>
        <v>11.733636516510821</v>
      </c>
      <c r="S2177" s="38">
        <f t="shared" ca="1" si="256"/>
        <v>680.00000000000011</v>
      </c>
    </row>
    <row r="2178" spans="13:19">
      <c r="M2178" s="132">
        <f t="shared" ca="1" si="253"/>
        <v>692.04920136900625</v>
      </c>
      <c r="N2178" s="38">
        <f t="shared" si="254"/>
        <v>20.409375000000001</v>
      </c>
      <c r="O2178" s="36">
        <f t="shared" si="252"/>
        <v>544.25</v>
      </c>
      <c r="P2178" s="38">
        <f ca="1">IF(ISERROR(IF(O2178&lt;fi_h/20,0,(OFFSET('Base de dados'!$A$5,IF(O2178&lt;20,1,IF(O2178&gt;1000,10,MATCH(O2178,Cargas,1))),Coluna_fih,1,1))*(1+0.13*0.25)*(PI()*(fi_h/1000)^2/4)*SQRT(2*9.81*(O2178/100-fi_h/2/1000))*1000)),"",IF(O2178&lt;fi_h/20,0,(OFFSET('Base de dados'!$A$5,IF(O2178&lt;20,1,IF(O2178&gt;1000,10,MATCH(O2178,Cargas,1))),Coluna_fih,1,1))*(PI()*(fi_h/1000)^2/4)*SQRT(2*9.81*(O2178/100-fi_h/2/1000))*1000))</f>
        <v>6.2346514413317129</v>
      </c>
      <c r="Q2178" s="38">
        <f ca="1">IF(O2178="","",IF(Tipo_Vertedor="Retangular",IF(O2178&lt;=cota_s*100,0,IF(Tipo_Vertedor="Retangular",Cd_sr*Lef_sr*((O2178/100-cota_s)^(3/2))*1000)),IF(O2178&lt;=cota_s*100+fi_s/20,0,(OFFSET('Base de dados'!$A$4,IF(O2178&lt;20,1,IF(O2178&gt;1000,10,MATCH(O2178,Cargas,1))),Coluna_fis,1,1))*(PI()*(fi_s/1000)^2/4)*(2*9.81*(O2178/100-cota_s-fi_s/2/1000))^0.5*1000)))</f>
        <v>5.5020499276745394</v>
      </c>
      <c r="R2178" s="38">
        <f t="shared" ca="1" si="255"/>
        <v>11.736701369006251</v>
      </c>
      <c r="S2178" s="38">
        <f t="shared" ca="1" si="256"/>
        <v>680.3125</v>
      </c>
    </row>
    <row r="2179" spans="13:19">
      <c r="M2179" s="132">
        <f t="shared" ca="1" si="253"/>
        <v>692.36476540885792</v>
      </c>
      <c r="N2179" s="38">
        <f t="shared" si="254"/>
        <v>20.418750000000003</v>
      </c>
      <c r="O2179" s="36">
        <f t="shared" si="252"/>
        <v>544.5</v>
      </c>
      <c r="P2179" s="38">
        <f ca="1">IF(ISERROR(IF(O2179&lt;fi_h/20,0,(OFFSET('Base de dados'!$A$5,IF(O2179&lt;20,1,IF(O2179&gt;1000,10,MATCH(O2179,Cargas,1))),Coluna_fih,1,1))*(1+0.13*0.25)*(PI()*(fi_h/1000)^2/4)*SQRT(2*9.81*(O2179/100-fi_h/2/1000))*1000)),"",IF(O2179&lt;fi_h/20,0,(OFFSET('Base de dados'!$A$5,IF(O2179&lt;20,1,IF(O2179&gt;1000,10,MATCH(O2179,Cargas,1))),Coluna_fih,1,1))*(PI()*(fi_h/1000)^2/4)*SQRT(2*9.81*(O2179/100-fi_h/2/1000))*1000))</f>
        <v>6.2360878579743559</v>
      </c>
      <c r="Q2179" s="38">
        <f ca="1">IF(O2179="","",IF(Tipo_Vertedor="Retangular",IF(O2179&lt;=cota_s*100,0,IF(Tipo_Vertedor="Retangular",Cd_sr*Lef_sr*((O2179/100-cota_s)^(3/2))*1000)),IF(O2179&lt;=cota_s*100+fi_s/20,0,(OFFSET('Base de dados'!$A$4,IF(O2179&lt;20,1,IF(O2179&gt;1000,10,MATCH(O2179,Cargas,1))),Coluna_fis,1,1))*(PI()*(fi_s/1000)^2/4)*(2*9.81*(O2179/100-cota_s-fi_s/2/1000))^0.5*1000)))</f>
        <v>5.5036775508834994</v>
      </c>
      <c r="R2179" s="38">
        <f t="shared" ca="1" si="255"/>
        <v>11.739765408857856</v>
      </c>
      <c r="S2179" s="38">
        <f t="shared" ca="1" si="256"/>
        <v>680.62500000000011</v>
      </c>
    </row>
    <row r="2180" spans="13:19">
      <c r="M2180" s="132">
        <f t="shared" ca="1" si="253"/>
        <v>692.68032863672136</v>
      </c>
      <c r="N2180" s="38">
        <f t="shared" si="254"/>
        <v>20.428124999999998</v>
      </c>
      <c r="O2180" s="36">
        <f t="shared" si="252"/>
        <v>544.75</v>
      </c>
      <c r="P2180" s="38">
        <f ca="1">IF(ISERROR(IF(O2180&lt;fi_h/20,0,(OFFSET('Base de dados'!$A$5,IF(O2180&lt;20,1,IF(O2180&gt;1000,10,MATCH(O2180,Cargas,1))),Coluna_fih,1,1))*(1+0.13*0.25)*(PI()*(fi_h/1000)^2/4)*SQRT(2*9.81*(O2180/100-fi_h/2/1000))*1000)),"",IF(O2180&lt;fi_h/20,0,(OFFSET('Base de dados'!$A$5,IF(O2180&lt;20,1,IF(O2180&gt;1000,10,MATCH(O2180,Cargas,1))),Coluna_fih,1,1))*(PI()*(fi_h/1000)^2/4)*SQRT(2*9.81*(O2180/100-fi_h/2/1000))*1000))</f>
        <v>6.2375239438298564</v>
      </c>
      <c r="Q2180" s="38">
        <f ca="1">IF(O2180="","",IF(Tipo_Vertedor="Retangular",IF(O2180&lt;=cota_s*100,0,IF(Tipo_Vertedor="Retangular",Cd_sr*Lef_sr*((O2180/100-cota_s)^(3/2))*1000)),IF(O2180&lt;=cota_s*100+fi_s/20,0,(OFFSET('Base de dados'!$A$4,IF(O2180&lt;20,1,IF(O2180&gt;1000,10,MATCH(O2180,Cargas,1))),Coluna_fis,1,1))*(PI()*(fi_s/1000)^2/4)*(2*9.81*(O2180/100-cota_s-fi_s/2/1000))^0.5*1000)))</f>
        <v>5.5053046928916256</v>
      </c>
      <c r="R2180" s="38">
        <f t="shared" ca="1" si="255"/>
        <v>11.742828636721482</v>
      </c>
      <c r="S2180" s="38">
        <f t="shared" ca="1" si="256"/>
        <v>680.93749999999989</v>
      </c>
    </row>
    <row r="2181" spans="13:19">
      <c r="M2181" s="132">
        <f t="shared" ca="1" si="253"/>
        <v>692.99589105325208</v>
      </c>
      <c r="N2181" s="38">
        <f t="shared" si="254"/>
        <v>20.4375</v>
      </c>
      <c r="O2181" s="36">
        <f t="shared" si="252"/>
        <v>545</v>
      </c>
      <c r="P2181" s="38">
        <f ca="1">IF(ISERROR(IF(O2181&lt;fi_h/20,0,(OFFSET('Base de dados'!$A$5,IF(O2181&lt;20,1,IF(O2181&gt;1000,10,MATCH(O2181,Cargas,1))),Coluna_fih,1,1))*(1+0.13*0.25)*(PI()*(fi_h/1000)^2/4)*SQRT(2*9.81*(O2181/100-fi_h/2/1000))*1000)),"",IF(O2181&lt;fi_h/20,0,(OFFSET('Base de dados'!$A$5,IF(O2181&lt;20,1,IF(O2181&gt;1000,10,MATCH(O2181,Cargas,1))),Coluna_fih,1,1))*(PI()*(fi_h/1000)^2/4)*SQRT(2*9.81*(O2181/100-fi_h/2/1000))*1000))</f>
        <v>6.2389596991266361</v>
      </c>
      <c r="Q2181" s="38">
        <f ca="1">IF(O2181="","",IF(Tipo_Vertedor="Retangular",IF(O2181&lt;=cota_s*100,0,IF(Tipo_Vertedor="Retangular",Cd_sr*Lef_sr*((O2181/100-cota_s)^(3/2))*1000)),IF(O2181&lt;=cota_s*100+fi_s/20,0,(OFFSET('Base de dados'!$A$4,IF(O2181&lt;20,1,IF(O2181&gt;1000,10,MATCH(O2181,Cargas,1))),Coluna_fis,1,1))*(PI()*(fi_s/1000)^2/4)*(2*9.81*(O2181/100-cota_s-fi_s/2/1000))^0.5*1000)))</f>
        <v>5.5069313541254665</v>
      </c>
      <c r="R2181" s="38">
        <f t="shared" ca="1" si="255"/>
        <v>11.745891053252102</v>
      </c>
      <c r="S2181" s="38">
        <f t="shared" ca="1" si="256"/>
        <v>681.25</v>
      </c>
    </row>
    <row r="2182" spans="13:19">
      <c r="M2182" s="132">
        <f t="shared" ca="1" si="253"/>
        <v>693.31145265910379</v>
      </c>
      <c r="N2182" s="38">
        <f t="shared" si="254"/>
        <v>20.446874999999999</v>
      </c>
      <c r="O2182" s="36">
        <f t="shared" si="252"/>
        <v>545.25</v>
      </c>
      <c r="P2182" s="38">
        <f ca="1">IF(ISERROR(IF(O2182&lt;fi_h/20,0,(OFFSET('Base de dados'!$A$5,IF(O2182&lt;20,1,IF(O2182&gt;1000,10,MATCH(O2182,Cargas,1))),Coluna_fih,1,1))*(1+0.13*0.25)*(PI()*(fi_h/1000)^2/4)*SQRT(2*9.81*(O2182/100-fi_h/2/1000))*1000)),"",IF(O2182&lt;fi_h/20,0,(OFFSET('Base de dados'!$A$5,IF(O2182&lt;20,1,IF(O2182&gt;1000,10,MATCH(O2182,Cargas,1))),Coluna_fih,1,1))*(PI()*(fi_h/1000)^2/4)*SQRT(2*9.81*(O2182/100-fi_h/2/1000))*1000))</f>
        <v>6.2403951240928563</v>
      </c>
      <c r="Q2182" s="38">
        <f ca="1">IF(O2182="","",IF(Tipo_Vertedor="Retangular",IF(O2182&lt;=cota_s*100,0,IF(Tipo_Vertedor="Retangular",Cd_sr*Lef_sr*((O2182/100-cota_s)^(3/2))*1000)),IF(O2182&lt;=cota_s*100+fi_s/20,0,(OFFSET('Base de dados'!$A$4,IF(O2182&lt;20,1,IF(O2182&gt;1000,10,MATCH(O2182,Cargas,1))),Coluna_fis,1,1))*(PI()*(fi_s/1000)^2/4)*(2*9.81*(O2182/100-cota_s-fi_s/2/1000))^0.5*1000)))</f>
        <v>5.5085575350109321</v>
      </c>
      <c r="R2182" s="38">
        <f t="shared" ca="1" si="255"/>
        <v>11.748952659103789</v>
      </c>
      <c r="S2182" s="38">
        <f t="shared" ca="1" si="256"/>
        <v>681.5625</v>
      </c>
    </row>
    <row r="2183" spans="13:19">
      <c r="M2183" s="132">
        <f t="shared" ca="1" si="253"/>
        <v>693.62701345492974</v>
      </c>
      <c r="N2183" s="38">
        <f t="shared" si="254"/>
        <v>20.456250000000001</v>
      </c>
      <c r="O2183" s="36">
        <f t="shared" si="252"/>
        <v>545.5</v>
      </c>
      <c r="P2183" s="38">
        <f ca="1">IF(ISERROR(IF(O2183&lt;fi_h/20,0,(OFFSET('Base de dados'!$A$5,IF(O2183&lt;20,1,IF(O2183&gt;1000,10,MATCH(O2183,Cargas,1))),Coluna_fih,1,1))*(1+0.13*0.25)*(PI()*(fi_h/1000)^2/4)*SQRT(2*9.81*(O2183/100-fi_h/2/1000))*1000)),"",IF(O2183&lt;fi_h/20,0,(OFFSET('Base de dados'!$A$5,IF(O2183&lt;20,1,IF(O2183&gt;1000,10,MATCH(O2183,Cargas,1))),Coluna_fih,1,1))*(PI()*(fi_h/1000)^2/4)*SQRT(2*9.81*(O2183/100-fi_h/2/1000))*1000))</f>
        <v>6.241830218956415</v>
      </c>
      <c r="Q2183" s="38">
        <f ca="1">IF(O2183="","",IF(Tipo_Vertedor="Retangular",IF(O2183&lt;=cota_s*100,0,IF(Tipo_Vertedor="Retangular",Cd_sr*Lef_sr*((O2183/100-cota_s)^(3/2))*1000)),IF(O2183&lt;=cota_s*100+fi_s/20,0,(OFFSET('Base de dados'!$A$4,IF(O2183&lt;20,1,IF(O2183&gt;1000,10,MATCH(O2183,Cargas,1))),Coluna_fis,1,1))*(PI()*(fi_s/1000)^2/4)*(2*9.81*(O2183/100-cota_s-fi_s/2/1000))^0.5*1000)))</f>
        <v>5.5101832359733098</v>
      </c>
      <c r="R2183" s="38">
        <f t="shared" ca="1" si="255"/>
        <v>11.752013454929724</v>
      </c>
      <c r="S2183" s="38">
        <f t="shared" ca="1" si="256"/>
        <v>681.875</v>
      </c>
    </row>
    <row r="2184" spans="13:19">
      <c r="M2184" s="132">
        <f t="shared" ca="1" si="253"/>
        <v>693.94257344138225</v>
      </c>
      <c r="N2184" s="38">
        <f t="shared" si="254"/>
        <v>20.465624999999999</v>
      </c>
      <c r="O2184" s="36">
        <f t="shared" si="252"/>
        <v>545.75</v>
      </c>
      <c r="P2184" s="38">
        <f ca="1">IF(ISERROR(IF(O2184&lt;fi_h/20,0,(OFFSET('Base de dados'!$A$5,IF(O2184&lt;20,1,IF(O2184&gt;1000,10,MATCH(O2184,Cargas,1))),Coluna_fih,1,1))*(1+0.13*0.25)*(PI()*(fi_h/1000)^2/4)*SQRT(2*9.81*(O2184/100-fi_h/2/1000))*1000)),"",IF(O2184&lt;fi_h/20,0,(OFFSET('Base de dados'!$A$5,IF(O2184&lt;20,1,IF(O2184&gt;1000,10,MATCH(O2184,Cargas,1))),Coluna_fih,1,1))*(PI()*(fi_h/1000)^2/4)*SQRT(2*9.81*(O2184/100-fi_h/2/1000))*1000))</f>
        <v>6.2432649839449441</v>
      </c>
      <c r="Q2184" s="38">
        <f ca="1">IF(O2184="","",IF(Tipo_Vertedor="Retangular",IF(O2184&lt;=cota_s*100,0,IF(Tipo_Vertedor="Retangular",Cd_sr*Lef_sr*((O2184/100-cota_s)^(3/2))*1000)),IF(O2184&lt;=cota_s*100+fi_s/20,0,(OFFSET('Base de dados'!$A$4,IF(O2184&lt;20,1,IF(O2184&gt;1000,10,MATCH(O2184,Cargas,1))),Coluna_fis,1,1))*(PI()*(fi_s/1000)^2/4)*(2*9.81*(O2184/100-cota_s-fi_s/2/1000))^0.5*1000)))</f>
        <v>5.5118084574372563</v>
      </c>
      <c r="R2184" s="38">
        <f t="shared" ca="1" si="255"/>
        <v>11.755073441382201</v>
      </c>
      <c r="S2184" s="38">
        <f t="shared" ca="1" si="256"/>
        <v>682.1875</v>
      </c>
    </row>
    <row r="2185" spans="13:19">
      <c r="M2185" s="132">
        <f t="shared" ca="1" si="253"/>
        <v>694.25813261911264</v>
      </c>
      <c r="N2185" s="38">
        <f t="shared" si="254"/>
        <v>20.475000000000001</v>
      </c>
      <c r="O2185" s="36">
        <f t="shared" si="252"/>
        <v>546</v>
      </c>
      <c r="P2185" s="38">
        <f ca="1">IF(ISERROR(IF(O2185&lt;fi_h/20,0,(OFFSET('Base de dados'!$A$5,IF(O2185&lt;20,1,IF(O2185&gt;1000,10,MATCH(O2185,Cargas,1))),Coluna_fih,1,1))*(1+0.13*0.25)*(PI()*(fi_h/1000)^2/4)*SQRT(2*9.81*(O2185/100-fi_h/2/1000))*1000)),"",IF(O2185&lt;fi_h/20,0,(OFFSET('Base de dados'!$A$5,IF(O2185&lt;20,1,IF(O2185&gt;1000,10,MATCH(O2185,Cargas,1))),Coluna_fih,1,1))*(PI()*(fi_h/1000)^2/4)*SQRT(2*9.81*(O2185/100-fi_h/2/1000))*1000))</f>
        <v>6.2446994192858183</v>
      </c>
      <c r="Q2185" s="38">
        <f ca="1">IF(O2185="","",IF(Tipo_Vertedor="Retangular",IF(O2185&lt;=cota_s*100,0,IF(Tipo_Vertedor="Retangular",Cd_sr*Lef_sr*((O2185/100-cota_s)^(3/2))*1000)),IF(O2185&lt;=cota_s*100+fi_s/20,0,(OFFSET('Base de dados'!$A$4,IF(O2185&lt;20,1,IF(O2185&gt;1000,10,MATCH(O2185,Cargas,1))),Coluna_fis,1,1))*(PI()*(fi_s/1000)^2/4)*(2*9.81*(O2185/100-cota_s-fi_s/2/1000))^0.5*1000)))</f>
        <v>5.5134331998268049</v>
      </c>
      <c r="R2185" s="38">
        <f t="shared" ca="1" si="255"/>
        <v>11.758132619112622</v>
      </c>
      <c r="S2185" s="38">
        <f t="shared" ca="1" si="256"/>
        <v>682.5</v>
      </c>
    </row>
    <row r="2186" spans="13:19">
      <c r="M2186" s="132">
        <f t="shared" ca="1" si="253"/>
        <v>694.57369098877155</v>
      </c>
      <c r="N2186" s="38">
        <f t="shared" si="254"/>
        <v>20.484375</v>
      </c>
      <c r="O2186" s="36">
        <f t="shared" si="252"/>
        <v>546.25</v>
      </c>
      <c r="P2186" s="38">
        <f ca="1">IF(ISERROR(IF(O2186&lt;fi_h/20,0,(OFFSET('Base de dados'!$A$5,IF(O2186&lt;20,1,IF(O2186&gt;1000,10,MATCH(O2186,Cargas,1))),Coluna_fih,1,1))*(1+0.13*0.25)*(PI()*(fi_h/1000)^2/4)*SQRT(2*9.81*(O2186/100-fi_h/2/1000))*1000)),"",IF(O2186&lt;fi_h/20,0,(OFFSET('Base de dados'!$A$5,IF(O2186&lt;20,1,IF(O2186&gt;1000,10,MATCH(O2186,Cargas,1))),Coluna_fih,1,1))*(PI()*(fi_h/1000)^2/4)*SQRT(2*9.81*(O2186/100-fi_h/2/1000))*1000))</f>
        <v>6.2461335252061509</v>
      </c>
      <c r="Q2186" s="38">
        <f ca="1">IF(O2186="","",IF(Tipo_Vertedor="Retangular",IF(O2186&lt;=cota_s*100,0,IF(Tipo_Vertedor="Retangular",Cd_sr*Lef_sr*((O2186/100-cota_s)^(3/2))*1000)),IF(O2186&lt;=cota_s*100+fi_s/20,0,(OFFSET('Base de dados'!$A$4,IF(O2186&lt;20,1,IF(O2186&gt;1000,10,MATCH(O2186,Cargas,1))),Coluna_fis,1,1))*(PI()*(fi_s/1000)^2/4)*(2*9.81*(O2186/100-cota_s-fi_s/2/1000))^0.5*1000)))</f>
        <v>5.5150574635653635</v>
      </c>
      <c r="R2186" s="38">
        <f t="shared" ca="1" si="255"/>
        <v>11.761190988771514</v>
      </c>
      <c r="S2186" s="38">
        <f t="shared" ca="1" si="256"/>
        <v>682.8125</v>
      </c>
    </row>
    <row r="2187" spans="13:19">
      <c r="M2187" s="132">
        <f t="shared" ca="1" si="253"/>
        <v>694.88924855100856</v>
      </c>
      <c r="N2187" s="38">
        <f t="shared" si="254"/>
        <v>20.493749999999999</v>
      </c>
      <c r="O2187" s="36">
        <f t="shared" si="252"/>
        <v>546.5</v>
      </c>
      <c r="P2187" s="38">
        <f ca="1">IF(ISERROR(IF(O2187&lt;fi_h/20,0,(OFFSET('Base de dados'!$A$5,IF(O2187&lt;20,1,IF(O2187&gt;1000,10,MATCH(O2187,Cargas,1))),Coluna_fih,1,1))*(1+0.13*0.25)*(PI()*(fi_h/1000)^2/4)*SQRT(2*9.81*(O2187/100-fi_h/2/1000))*1000)),"",IF(O2187&lt;fi_h/20,0,(OFFSET('Base de dados'!$A$5,IF(O2187&lt;20,1,IF(O2187&gt;1000,10,MATCH(O2187,Cargas,1))),Coluna_fih,1,1))*(PI()*(fi_h/1000)^2/4)*SQRT(2*9.81*(O2187/100-fi_h/2/1000))*1000))</f>
        <v>6.2475673019327926</v>
      </c>
      <c r="Q2187" s="38">
        <f ca="1">IF(O2187="","",IF(Tipo_Vertedor="Retangular",IF(O2187&lt;=cota_s*100,0,IF(Tipo_Vertedor="Retangular",Cd_sr*Lef_sr*((O2187/100-cota_s)^(3/2))*1000)),IF(O2187&lt;=cota_s*100+fi_s/20,0,(OFFSET('Base de dados'!$A$4,IF(O2187&lt;20,1,IF(O2187&gt;1000,10,MATCH(O2187,Cargas,1))),Coluna_fis,1,1))*(PI()*(fi_s/1000)^2/4)*(2*9.81*(O2187/100-cota_s-fi_s/2/1000))^0.5*1000)))</f>
        <v>5.5166812490757158</v>
      </c>
      <c r="R2187" s="38">
        <f t="shared" ca="1" si="255"/>
        <v>11.764248551008508</v>
      </c>
      <c r="S2187" s="38">
        <f t="shared" ca="1" si="256"/>
        <v>683.125</v>
      </c>
    </row>
    <row r="2188" spans="13:19">
      <c r="M2188" s="132">
        <f t="shared" ca="1" si="253"/>
        <v>695.20480530647239</v>
      </c>
      <c r="N2188" s="38">
        <f t="shared" si="254"/>
        <v>20.503125000000001</v>
      </c>
      <c r="O2188" s="36">
        <f t="shared" si="252"/>
        <v>546.75</v>
      </c>
      <c r="P2188" s="38">
        <f ca="1">IF(ISERROR(IF(O2188&lt;fi_h/20,0,(OFFSET('Base de dados'!$A$5,IF(O2188&lt;20,1,IF(O2188&gt;1000,10,MATCH(O2188,Cargas,1))),Coluna_fih,1,1))*(1+0.13*0.25)*(PI()*(fi_h/1000)^2/4)*SQRT(2*9.81*(O2188/100-fi_h/2/1000))*1000)),"",IF(O2188&lt;fi_h/20,0,(OFFSET('Base de dados'!$A$5,IF(O2188&lt;20,1,IF(O2188&gt;1000,10,MATCH(O2188,Cargas,1))),Coluna_fih,1,1))*(PI()*(fi_h/1000)^2/4)*SQRT(2*9.81*(O2188/100-fi_h/2/1000))*1000))</f>
        <v>6.2490007496923354</v>
      </c>
      <c r="Q2188" s="38">
        <f ca="1">IF(O2188="","",IF(Tipo_Vertedor="Retangular",IF(O2188&lt;=cota_s*100,0,IF(Tipo_Vertedor="Retangular",Cd_sr*Lef_sr*((O2188/100-cota_s)^(3/2))*1000)),IF(O2188&lt;=cota_s*100+fi_s/20,0,(OFFSET('Base de dados'!$A$4,IF(O2188&lt;20,1,IF(O2188&gt;1000,10,MATCH(O2188,Cargas,1))),Coluna_fis,1,1))*(PI()*(fi_s/1000)^2/4)*(2*9.81*(O2188/100-cota_s-fi_s/2/1000))^0.5*1000)))</f>
        <v>5.5183045567800235</v>
      </c>
      <c r="R2188" s="38">
        <f t="shared" ca="1" si="255"/>
        <v>11.767305306472359</v>
      </c>
      <c r="S2188" s="38">
        <f t="shared" ca="1" si="256"/>
        <v>683.4375</v>
      </c>
    </row>
    <row r="2189" spans="13:19">
      <c r="M2189" s="132">
        <f t="shared" ca="1" si="253"/>
        <v>695.52036125581094</v>
      </c>
      <c r="N2189" s="38">
        <f t="shared" si="254"/>
        <v>20.512499999999999</v>
      </c>
      <c r="O2189" s="36">
        <f t="shared" si="252"/>
        <v>547</v>
      </c>
      <c r="P2189" s="38">
        <f ca="1">IF(ISERROR(IF(O2189&lt;fi_h/20,0,(OFFSET('Base de dados'!$A$5,IF(O2189&lt;20,1,IF(O2189&gt;1000,10,MATCH(O2189,Cargas,1))),Coluna_fih,1,1))*(1+0.13*0.25)*(PI()*(fi_h/1000)^2/4)*SQRT(2*9.81*(O2189/100-fi_h/2/1000))*1000)),"",IF(O2189&lt;fi_h/20,0,(OFFSET('Base de dados'!$A$5,IF(O2189&lt;20,1,IF(O2189&gt;1000,10,MATCH(O2189,Cargas,1))),Coluna_fih,1,1))*(PI()*(fi_h/1000)^2/4)*SQRT(2*9.81*(O2189/100-fi_h/2/1000))*1000))</f>
        <v>6.2504338687111094</v>
      </c>
      <c r="Q2189" s="38">
        <f ca="1">IF(O2189="","",IF(Tipo_Vertedor="Retangular",IF(O2189&lt;=cota_s*100,0,IF(Tipo_Vertedor="Retangular",Cd_sr*Lef_sr*((O2189/100-cota_s)^(3/2))*1000)),IF(O2189&lt;=cota_s*100+fi_s/20,0,(OFFSET('Base de dados'!$A$4,IF(O2189&lt;20,1,IF(O2189&gt;1000,10,MATCH(O2189,Cargas,1))),Coluna_fis,1,1))*(PI()*(fi_s/1000)^2/4)*(2*9.81*(O2189/100-cota_s-fi_s/2/1000))^0.5*1000)))</f>
        <v>5.5199273870998287</v>
      </c>
      <c r="R2189" s="38">
        <f t="shared" ca="1" si="255"/>
        <v>11.770361255810938</v>
      </c>
      <c r="S2189" s="38">
        <f t="shared" ca="1" si="256"/>
        <v>683.75</v>
      </c>
    </row>
    <row r="2190" spans="13:19">
      <c r="M2190" s="132">
        <f t="shared" ca="1" si="253"/>
        <v>695.83591639967119</v>
      </c>
      <c r="N2190" s="38">
        <f t="shared" si="254"/>
        <v>20.521875000000001</v>
      </c>
      <c r="O2190" s="36">
        <f t="shared" si="252"/>
        <v>547.25</v>
      </c>
      <c r="P2190" s="38">
        <f ca="1">IF(ISERROR(IF(O2190&lt;fi_h/20,0,(OFFSET('Base de dados'!$A$5,IF(O2190&lt;20,1,IF(O2190&gt;1000,10,MATCH(O2190,Cargas,1))),Coluna_fih,1,1))*(1+0.13*0.25)*(PI()*(fi_h/1000)^2/4)*SQRT(2*9.81*(O2190/100-fi_h/2/1000))*1000)),"",IF(O2190&lt;fi_h/20,0,(OFFSET('Base de dados'!$A$5,IF(O2190&lt;20,1,IF(O2190&gt;1000,10,MATCH(O2190,Cargas,1))),Coluna_fih,1,1))*(PI()*(fi_h/1000)^2/4)*SQRT(2*9.81*(O2190/100-fi_h/2/1000))*1000))</f>
        <v>6.2518666592151915</v>
      </c>
      <c r="Q2190" s="38">
        <f ca="1">IF(O2190="","",IF(Tipo_Vertedor="Retangular",IF(O2190&lt;=cota_s*100,0,IF(Tipo_Vertedor="Retangular",Cd_sr*Lef_sr*((O2190/100-cota_s)^(3/2))*1000)),IF(O2190&lt;=cota_s*100+fi_s/20,0,(OFFSET('Base de dados'!$A$4,IF(O2190&lt;20,1,IF(O2190&gt;1000,10,MATCH(O2190,Cargas,1))),Coluna_fis,1,1))*(PI()*(fi_s/1000)^2/4)*(2*9.81*(O2190/100-cota_s-fi_s/2/1000))^0.5*1000)))</f>
        <v>5.5215497404560541</v>
      </c>
      <c r="R2190" s="38">
        <f t="shared" ca="1" si="255"/>
        <v>11.773416399671245</v>
      </c>
      <c r="S2190" s="38">
        <f t="shared" ca="1" si="256"/>
        <v>684.0625</v>
      </c>
    </row>
    <row r="2191" spans="13:19">
      <c r="M2191" s="132">
        <f t="shared" ca="1" si="253"/>
        <v>696.15147073869935</v>
      </c>
      <c r="N2191" s="38">
        <f t="shared" si="254"/>
        <v>20.53125</v>
      </c>
      <c r="O2191" s="36">
        <f t="shared" si="252"/>
        <v>547.5</v>
      </c>
      <c r="P2191" s="38">
        <f ca="1">IF(ISERROR(IF(O2191&lt;fi_h/20,0,(OFFSET('Base de dados'!$A$5,IF(O2191&lt;20,1,IF(O2191&gt;1000,10,MATCH(O2191,Cargas,1))),Coluna_fih,1,1))*(1+0.13*0.25)*(PI()*(fi_h/1000)^2/4)*SQRT(2*9.81*(O2191/100-fi_h/2/1000))*1000)),"",IF(O2191&lt;fi_h/20,0,(OFFSET('Base de dados'!$A$5,IF(O2191&lt;20,1,IF(O2191&gt;1000,10,MATCH(O2191,Cargas,1))),Coluna_fih,1,1))*(PI()*(fi_h/1000)^2/4)*SQRT(2*9.81*(O2191/100-fi_h/2/1000))*1000))</f>
        <v>6.2532991214303895</v>
      </c>
      <c r="Q2191" s="38">
        <f ca="1">IF(O2191="","",IF(Tipo_Vertedor="Retangular",IF(O2191&lt;=cota_s*100,0,IF(Tipo_Vertedor="Retangular",Cd_sr*Lef_sr*((O2191/100-cota_s)^(3/2))*1000)),IF(O2191&lt;=cota_s*100+fi_s/20,0,(OFFSET('Base de dados'!$A$4,IF(O2191&lt;20,1,IF(O2191&gt;1000,10,MATCH(O2191,Cargas,1))),Coluna_fis,1,1))*(PI()*(fi_s/1000)^2/4)*(2*9.81*(O2191/100-cota_s-fi_s/2/1000))^0.5*1000)))</f>
        <v>5.5231716172690017</v>
      </c>
      <c r="R2191" s="38">
        <f t="shared" ca="1" si="255"/>
        <v>11.776470738699391</v>
      </c>
      <c r="S2191" s="38">
        <f t="shared" ca="1" si="256"/>
        <v>684.375</v>
      </c>
    </row>
    <row r="2192" spans="13:19">
      <c r="M2192" s="132">
        <f t="shared" ca="1" si="253"/>
        <v>696.46702427354057</v>
      </c>
      <c r="N2192" s="38">
        <f t="shared" si="254"/>
        <v>20.540624999999999</v>
      </c>
      <c r="O2192" s="36">
        <f t="shared" si="252"/>
        <v>547.75</v>
      </c>
      <c r="P2192" s="38">
        <f ca="1">IF(ISERROR(IF(O2192&lt;fi_h/20,0,(OFFSET('Base de dados'!$A$5,IF(O2192&lt;20,1,IF(O2192&gt;1000,10,MATCH(O2192,Cargas,1))),Coluna_fih,1,1))*(1+0.13*0.25)*(PI()*(fi_h/1000)^2/4)*SQRT(2*9.81*(O2192/100-fi_h/2/1000))*1000)),"",IF(O2192&lt;fi_h/20,0,(OFFSET('Base de dados'!$A$5,IF(O2192&lt;20,1,IF(O2192&gt;1000,10,MATCH(O2192,Cargas,1))),Coluna_fih,1,1))*(PI()*(fi_h/1000)^2/4)*SQRT(2*9.81*(O2192/100-fi_h/2/1000))*1000))</f>
        <v>6.2547312555822634</v>
      </c>
      <c r="Q2192" s="38">
        <f ca="1">IF(O2192="","",IF(Tipo_Vertedor="Retangular",IF(O2192&lt;=cota_s*100,0,IF(Tipo_Vertedor="Retangular",Cd_sr*Lef_sr*((O2192/100-cota_s)^(3/2))*1000)),IF(O2192&lt;=cota_s*100+fi_s/20,0,(OFFSET('Base de dados'!$A$4,IF(O2192&lt;20,1,IF(O2192&gt;1000,10,MATCH(O2192,Cargas,1))),Coluna_fis,1,1))*(PI()*(fi_s/1000)^2/4)*(2*9.81*(O2192/100-cota_s-fi_s/2/1000))^0.5*1000)))</f>
        <v>5.5247930179583635</v>
      </c>
      <c r="R2192" s="38">
        <f t="shared" ca="1" si="255"/>
        <v>11.779524273540627</v>
      </c>
      <c r="S2192" s="38">
        <f t="shared" ca="1" si="256"/>
        <v>684.6875</v>
      </c>
    </row>
    <row r="2193" spans="13:19">
      <c r="M2193" s="132">
        <f t="shared" ca="1" si="253"/>
        <v>696.78257700483925</v>
      </c>
      <c r="N2193" s="38">
        <f t="shared" si="254"/>
        <v>20.55</v>
      </c>
      <c r="O2193" s="36">
        <f t="shared" si="252"/>
        <v>548</v>
      </c>
      <c r="P2193" s="38">
        <f ca="1">IF(ISERROR(IF(O2193&lt;fi_h/20,0,(OFFSET('Base de dados'!$A$5,IF(O2193&lt;20,1,IF(O2193&gt;1000,10,MATCH(O2193,Cargas,1))),Coluna_fih,1,1))*(1+0.13*0.25)*(PI()*(fi_h/1000)^2/4)*SQRT(2*9.81*(O2193/100-fi_h/2/1000))*1000)),"",IF(O2193&lt;fi_h/20,0,(OFFSET('Base de dados'!$A$5,IF(O2193&lt;20,1,IF(O2193&gt;1000,10,MATCH(O2193,Cargas,1))),Coluna_fih,1,1))*(PI()*(fi_h/1000)^2/4)*SQRT(2*9.81*(O2193/100-fi_h/2/1000))*1000))</f>
        <v>6.256163061896105</v>
      </c>
      <c r="Q2193" s="38">
        <f ca="1">IF(O2193="","",IF(Tipo_Vertedor="Retangular",IF(O2193&lt;=cota_s*100,0,IF(Tipo_Vertedor="Retangular",Cd_sr*Lef_sr*((O2193/100-cota_s)^(3/2))*1000)),IF(O2193&lt;=cota_s*100+fi_s/20,0,(OFFSET('Base de dados'!$A$4,IF(O2193&lt;20,1,IF(O2193&gt;1000,10,MATCH(O2193,Cargas,1))),Coluna_fis,1,1))*(PI()*(fi_s/1000)^2/4)*(2*9.81*(O2193/100-cota_s-fi_s/2/1000))^0.5*1000)))</f>
        <v>5.5264139429432033</v>
      </c>
      <c r="R2193" s="38">
        <f t="shared" ca="1" si="255"/>
        <v>11.782577004839307</v>
      </c>
      <c r="S2193" s="38">
        <f t="shared" ca="1" si="256"/>
        <v>685</v>
      </c>
    </row>
    <row r="2194" spans="13:19">
      <c r="M2194" s="132">
        <f t="shared" ca="1" si="253"/>
        <v>697.09812893323897</v>
      </c>
      <c r="N2194" s="38">
        <f t="shared" si="254"/>
        <v>20.559374999999999</v>
      </c>
      <c r="O2194" s="36">
        <f t="shared" si="252"/>
        <v>548.25</v>
      </c>
      <c r="P2194" s="38">
        <f ca="1">IF(ISERROR(IF(O2194&lt;fi_h/20,0,(OFFSET('Base de dados'!$A$5,IF(O2194&lt;20,1,IF(O2194&gt;1000,10,MATCH(O2194,Cargas,1))),Coluna_fih,1,1))*(1+0.13*0.25)*(PI()*(fi_h/1000)^2/4)*SQRT(2*9.81*(O2194/100-fi_h/2/1000))*1000)),"",IF(O2194&lt;fi_h/20,0,(OFFSET('Base de dados'!$A$5,IF(O2194&lt;20,1,IF(O2194&gt;1000,10,MATCH(O2194,Cargas,1))),Coluna_fih,1,1))*(PI()*(fi_h/1000)^2/4)*SQRT(2*9.81*(O2194/100-fi_h/2/1000))*1000))</f>
        <v>6.2575945405969549</v>
      </c>
      <c r="Q2194" s="38">
        <f ca="1">IF(O2194="","",IF(Tipo_Vertedor="Retangular",IF(O2194&lt;=cota_s*100,0,IF(Tipo_Vertedor="Retangular",Cd_sr*Lef_sr*((O2194/100-cota_s)^(3/2))*1000)),IF(O2194&lt;=cota_s*100+fi_s/20,0,(OFFSET('Base de dados'!$A$4,IF(O2194&lt;20,1,IF(O2194&gt;1000,10,MATCH(O2194,Cargas,1))),Coluna_fis,1,1))*(PI()*(fi_s/1000)^2/4)*(2*9.81*(O2194/100-cota_s-fi_s/2/1000))^0.5*1000)))</f>
        <v>5.5280343926419837</v>
      </c>
      <c r="R2194" s="38">
        <f t="shared" ca="1" si="255"/>
        <v>11.785628933238939</v>
      </c>
      <c r="S2194" s="38">
        <f t="shared" ca="1" si="256"/>
        <v>685.3125</v>
      </c>
    </row>
    <row r="2195" spans="13:19">
      <c r="M2195" s="132">
        <f t="shared" ca="1" si="253"/>
        <v>697.41368005938216</v>
      </c>
      <c r="N2195" s="38">
        <f t="shared" si="254"/>
        <v>20.568750000000001</v>
      </c>
      <c r="O2195" s="36">
        <f t="shared" ref="O2195:O2258" si="257">IF(ISERROR(IF(O2194+passo_altura&gt;h_max_puls*100,"",O2194+passo_altura)),"",IF(O2194+passo_altura&gt;h_max_puls*100,"",O2194+passo_altura))</f>
        <v>548.5</v>
      </c>
      <c r="P2195" s="38">
        <f ca="1">IF(ISERROR(IF(O2195&lt;fi_h/20,0,(OFFSET('Base de dados'!$A$5,IF(O2195&lt;20,1,IF(O2195&gt;1000,10,MATCH(O2195,Cargas,1))),Coluna_fih,1,1))*(1+0.13*0.25)*(PI()*(fi_h/1000)^2/4)*SQRT(2*9.81*(O2195/100-fi_h/2/1000))*1000)),"",IF(O2195&lt;fi_h/20,0,(OFFSET('Base de dados'!$A$5,IF(O2195&lt;20,1,IF(O2195&gt;1000,10,MATCH(O2195,Cargas,1))),Coluna_fih,1,1))*(PI()*(fi_h/1000)^2/4)*SQRT(2*9.81*(O2195/100-fi_h/2/1000))*1000))</f>
        <v>6.2590256919095957</v>
      </c>
      <c r="Q2195" s="38">
        <f ca="1">IF(O2195="","",IF(Tipo_Vertedor="Retangular",IF(O2195&lt;=cota_s*100,0,IF(Tipo_Vertedor="Retangular",Cd_sr*Lef_sr*((O2195/100-cota_s)^(3/2))*1000)),IF(O2195&lt;=cota_s*100+fi_s/20,0,(OFFSET('Base de dados'!$A$4,IF(O2195&lt;20,1,IF(O2195&gt;1000,10,MATCH(O2195,Cargas,1))),Coluna_fis,1,1))*(PI()*(fi_s/1000)^2/4)*(2*9.81*(O2195/100-cota_s-fi_s/2/1000))^0.5*1000)))</f>
        <v>5.5296543674725456</v>
      </c>
      <c r="R2195" s="38">
        <f t="shared" ca="1" si="255"/>
        <v>11.788680059382141</v>
      </c>
      <c r="S2195" s="38">
        <f t="shared" ca="1" si="256"/>
        <v>685.625</v>
      </c>
    </row>
    <row r="2196" spans="13:19">
      <c r="M2196" s="132">
        <f t="shared" ca="1" si="253"/>
        <v>697.7292303839107</v>
      </c>
      <c r="N2196" s="38">
        <f t="shared" si="254"/>
        <v>20.578125</v>
      </c>
      <c r="O2196" s="36">
        <f t="shared" si="257"/>
        <v>548.75</v>
      </c>
      <c r="P2196" s="38">
        <f ca="1">IF(ISERROR(IF(O2196&lt;fi_h/20,0,(OFFSET('Base de dados'!$A$5,IF(O2196&lt;20,1,IF(O2196&gt;1000,10,MATCH(O2196,Cargas,1))),Coluna_fih,1,1))*(1+0.13*0.25)*(PI()*(fi_h/1000)^2/4)*SQRT(2*9.81*(O2196/100-fi_h/2/1000))*1000)),"",IF(O2196&lt;fi_h/20,0,(OFFSET('Base de dados'!$A$5,IF(O2196&lt;20,1,IF(O2196&gt;1000,10,MATCH(O2196,Cargas,1))),Coluna_fih,1,1))*(PI()*(fi_h/1000)^2/4)*SQRT(2*9.81*(O2196/100-fi_h/2/1000))*1000))</f>
        <v>6.260456516058551</v>
      </c>
      <c r="Q2196" s="38">
        <f ca="1">IF(O2196="","",IF(Tipo_Vertedor="Retangular",IF(O2196&lt;=cota_s*100,0,IF(Tipo_Vertedor="Retangular",Cd_sr*Lef_sr*((O2196/100-cota_s)^(3/2))*1000)),IF(O2196&lt;=cota_s*100+fi_s/20,0,(OFFSET('Base de dados'!$A$4,IF(O2196&lt;20,1,IF(O2196&gt;1000,10,MATCH(O2196,Cargas,1))),Coluna_fis,1,1))*(PI()*(fi_s/1000)^2/4)*(2*9.81*(O2196/100-cota_s-fi_s/2/1000))^0.5*1000)))</f>
        <v>5.5312738678521205</v>
      </c>
      <c r="R2196" s="38">
        <f t="shared" ca="1" si="255"/>
        <v>11.791730383910672</v>
      </c>
      <c r="S2196" s="38">
        <f t="shared" ca="1" si="256"/>
        <v>685.9375</v>
      </c>
    </row>
    <row r="2197" spans="13:19">
      <c r="M2197" s="132">
        <f t="shared" ca="1" si="253"/>
        <v>698.04477990746557</v>
      </c>
      <c r="N2197" s="38">
        <f t="shared" si="254"/>
        <v>20.587500000000002</v>
      </c>
      <c r="O2197" s="36">
        <f t="shared" si="257"/>
        <v>549</v>
      </c>
      <c r="P2197" s="38">
        <f ca="1">IF(ISERROR(IF(O2197&lt;fi_h/20,0,(OFFSET('Base de dados'!$A$5,IF(O2197&lt;20,1,IF(O2197&gt;1000,10,MATCH(O2197,Cargas,1))),Coluna_fih,1,1))*(1+0.13*0.25)*(PI()*(fi_h/1000)^2/4)*SQRT(2*9.81*(O2197/100-fi_h/2/1000))*1000)),"",IF(O2197&lt;fi_h/20,0,(OFFSET('Base de dados'!$A$5,IF(O2197&lt;20,1,IF(O2197&gt;1000,10,MATCH(O2197,Cargas,1))),Coluna_fih,1,1))*(PI()*(fi_h/1000)^2/4)*SQRT(2*9.81*(O2197/100-fi_h/2/1000))*1000))</f>
        <v>6.2618870132680886</v>
      </c>
      <c r="Q2197" s="38">
        <f ca="1">IF(O2197="","",IF(Tipo_Vertedor="Retangular",IF(O2197&lt;=cota_s*100,0,IF(Tipo_Vertedor="Retangular",Cd_sr*Lef_sr*((O2197/100-cota_s)^(3/2))*1000)),IF(O2197&lt;=cota_s*100+fi_s/20,0,(OFFSET('Base de dados'!$A$4,IF(O2197&lt;20,1,IF(O2197&gt;1000,10,MATCH(O2197,Cargas,1))),Coluna_fis,1,1))*(PI()*(fi_s/1000)^2/4)*(2*9.81*(O2197/100-cota_s-fi_s/2/1000))^0.5*1000)))</f>
        <v>5.5328928941973334</v>
      </c>
      <c r="R2197" s="38">
        <f t="shared" ca="1" si="255"/>
        <v>11.794779907465422</v>
      </c>
      <c r="S2197" s="38">
        <f t="shared" ca="1" si="256"/>
        <v>686.25000000000011</v>
      </c>
    </row>
    <row r="2198" spans="13:19">
      <c r="M2198" s="132">
        <f t="shared" ca="1" si="253"/>
        <v>698.36032863068635</v>
      </c>
      <c r="N2198" s="38">
        <f t="shared" si="254"/>
        <v>20.596874999999997</v>
      </c>
      <c r="O2198" s="36">
        <f t="shared" si="257"/>
        <v>549.25</v>
      </c>
      <c r="P2198" s="38">
        <f ca="1">IF(ISERROR(IF(O2198&lt;fi_h/20,0,(OFFSET('Base de dados'!$A$5,IF(O2198&lt;20,1,IF(O2198&gt;1000,10,MATCH(O2198,Cargas,1))),Coluna_fih,1,1))*(1+0.13*0.25)*(PI()*(fi_h/1000)^2/4)*SQRT(2*9.81*(O2198/100-fi_h/2/1000))*1000)),"",IF(O2198&lt;fi_h/20,0,(OFFSET('Base de dados'!$A$5,IF(O2198&lt;20,1,IF(O2198&gt;1000,10,MATCH(O2198,Cargas,1))),Coluna_fih,1,1))*(PI()*(fi_h/1000)^2/4)*SQRT(2*9.81*(O2198/100-fi_h/2/1000))*1000))</f>
        <v>6.2633171837622204</v>
      </c>
      <c r="Q2198" s="38">
        <f ca="1">IF(O2198="","",IF(Tipo_Vertedor="Retangular",IF(O2198&lt;=cota_s*100,0,IF(Tipo_Vertedor="Retangular",Cd_sr*Lef_sr*((O2198/100-cota_s)^(3/2))*1000)),IF(O2198&lt;=cota_s*100+fi_s/20,0,(OFFSET('Base de dados'!$A$4,IF(O2198&lt;20,1,IF(O2198&gt;1000,10,MATCH(O2198,Cargas,1))),Coluna_fis,1,1))*(PI()*(fi_s/1000)^2/4)*(2*9.81*(O2198/100-cota_s-fi_s/2/1000))^0.5*1000)))</f>
        <v>5.5345114469241929</v>
      </c>
      <c r="R2198" s="38">
        <f t="shared" ca="1" si="255"/>
        <v>11.797828630686414</v>
      </c>
      <c r="S2198" s="38">
        <f t="shared" ca="1" si="256"/>
        <v>686.56249999999989</v>
      </c>
    </row>
    <row r="2199" spans="13:19">
      <c r="M2199" s="132">
        <f t="shared" ref="M2199:M2262" ca="1" si="258">IF(O2199="","",2*N2199*1000/(Passo*60)+R2199)</f>
        <v>698.67587655421278</v>
      </c>
      <c r="N2199" s="38">
        <f t="shared" ref="N2199:N2262" si="259">IF(O2199="","",b_0*(O2199/100)^c_0)</f>
        <v>20.606249999999999</v>
      </c>
      <c r="O2199" s="36">
        <f t="shared" si="257"/>
        <v>549.5</v>
      </c>
      <c r="P2199" s="38">
        <f ca="1">IF(ISERROR(IF(O2199&lt;fi_h/20,0,(OFFSET('Base de dados'!$A$5,IF(O2199&lt;20,1,IF(O2199&gt;1000,10,MATCH(O2199,Cargas,1))),Coluna_fih,1,1))*(1+0.13*0.25)*(PI()*(fi_h/1000)^2/4)*SQRT(2*9.81*(O2199/100-fi_h/2/1000))*1000)),"",IF(O2199&lt;fi_h/20,0,(OFFSET('Base de dados'!$A$5,IF(O2199&lt;20,1,IF(O2199&gt;1000,10,MATCH(O2199,Cargas,1))),Coluna_fih,1,1))*(PI()*(fi_h/1000)^2/4)*SQRT(2*9.81*(O2199/100-fi_h/2/1000))*1000))</f>
        <v>6.2647470277647042</v>
      </c>
      <c r="Q2199" s="38">
        <f ca="1">IF(O2199="","",IF(Tipo_Vertedor="Retangular",IF(O2199&lt;=cota_s*100,0,IF(Tipo_Vertedor="Retangular",Cd_sr*Lef_sr*((O2199/100-cota_s)^(3/2))*1000)),IF(O2199&lt;=cota_s*100+fi_s/20,0,(OFFSET('Base de dados'!$A$4,IF(O2199&lt;20,1,IF(O2199&gt;1000,10,MATCH(O2199,Cargas,1))),Coluna_fis,1,1))*(PI()*(fi_s/1000)^2/4)*(2*9.81*(O2199/100-cota_s-fi_s/2/1000))^0.5*1000)))</f>
        <v>5.5361295264481036</v>
      </c>
      <c r="R2199" s="38">
        <f t="shared" ref="R2199:R2262" ca="1" si="260">IF(O2199="","",Q2199+P2199)</f>
        <v>11.800876554212808</v>
      </c>
      <c r="S2199" s="38">
        <f t="shared" ref="S2199:S2262" ca="1" si="261">IF(M2199="","",2*N2199*1000/(Passo*60))</f>
        <v>686.875</v>
      </c>
    </row>
    <row r="2200" spans="13:19">
      <c r="M2200" s="132">
        <f t="shared" ca="1" si="258"/>
        <v>698.99142367868274</v>
      </c>
      <c r="N2200" s="38">
        <f t="shared" si="259"/>
        <v>20.615624999999998</v>
      </c>
      <c r="O2200" s="36">
        <f t="shared" si="257"/>
        <v>549.75</v>
      </c>
      <c r="P2200" s="38">
        <f ca="1">IF(ISERROR(IF(O2200&lt;fi_h/20,0,(OFFSET('Base de dados'!$A$5,IF(O2200&lt;20,1,IF(O2200&gt;1000,10,MATCH(O2200,Cargas,1))),Coluna_fih,1,1))*(1+0.13*0.25)*(PI()*(fi_h/1000)^2/4)*SQRT(2*9.81*(O2200/100-fi_h/2/1000))*1000)),"",IF(O2200&lt;fi_h/20,0,(OFFSET('Base de dados'!$A$5,IF(O2200&lt;20,1,IF(O2200&gt;1000,10,MATCH(O2200,Cargas,1))),Coluna_fih,1,1))*(PI()*(fi_h/1000)^2/4)*SQRT(2*9.81*(O2200/100-fi_h/2/1000))*1000))</f>
        <v>6.2661765454990395</v>
      </c>
      <c r="Q2200" s="38">
        <f ca="1">IF(O2200="","",IF(Tipo_Vertedor="Retangular",IF(O2200&lt;=cota_s*100,0,IF(Tipo_Vertedor="Retangular",Cd_sr*Lef_sr*((O2200/100-cota_s)^(3/2))*1000)),IF(O2200&lt;=cota_s*100+fi_s/20,0,(OFFSET('Base de dados'!$A$4,IF(O2200&lt;20,1,IF(O2200&gt;1000,10,MATCH(O2200,Cargas,1))),Coluna_fis,1,1))*(PI()*(fi_s/1000)^2/4)*(2*9.81*(O2200/100-cota_s-fi_s/2/1000))^0.5*1000)))</f>
        <v>5.5377471331838608</v>
      </c>
      <c r="R2200" s="38">
        <f t="shared" ca="1" si="260"/>
        <v>11.803923678682899</v>
      </c>
      <c r="S2200" s="38">
        <f t="shared" ca="1" si="261"/>
        <v>687.18749999999989</v>
      </c>
    </row>
    <row r="2201" spans="13:19">
      <c r="M2201" s="132">
        <f t="shared" ca="1" si="258"/>
        <v>699.30697000473413</v>
      </c>
      <c r="N2201" s="38">
        <f t="shared" si="259"/>
        <v>20.625</v>
      </c>
      <c r="O2201" s="36">
        <f t="shared" si="257"/>
        <v>550</v>
      </c>
      <c r="P2201" s="38">
        <f ca="1">IF(ISERROR(IF(O2201&lt;fi_h/20,0,(OFFSET('Base de dados'!$A$5,IF(O2201&lt;20,1,IF(O2201&gt;1000,10,MATCH(O2201,Cargas,1))),Coluna_fih,1,1))*(1+0.13*0.25)*(PI()*(fi_h/1000)^2/4)*SQRT(2*9.81*(O2201/100-fi_h/2/1000))*1000)),"",IF(O2201&lt;fi_h/20,0,(OFFSET('Base de dados'!$A$5,IF(O2201&lt;20,1,IF(O2201&gt;1000,10,MATCH(O2201,Cargas,1))),Coluna_fih,1,1))*(PI()*(fi_h/1000)^2/4)*SQRT(2*9.81*(O2201/100-fi_h/2/1000))*1000))</f>
        <v>6.2676057371884708</v>
      </c>
      <c r="Q2201" s="38">
        <f ca="1">IF(O2201="","",IF(Tipo_Vertedor="Retangular",IF(O2201&lt;=cota_s*100,0,IF(Tipo_Vertedor="Retangular",Cd_sr*Lef_sr*((O2201/100-cota_s)^(3/2))*1000)),IF(O2201&lt;=cota_s*100+fi_s/20,0,(OFFSET('Base de dados'!$A$4,IF(O2201&lt;20,1,IF(O2201&gt;1000,10,MATCH(O2201,Cargas,1))),Coluna_fis,1,1))*(PI()*(fi_s/1000)^2/4)*(2*9.81*(O2201/100-cota_s-fi_s/2/1000))^0.5*1000)))</f>
        <v>5.5393642675456585</v>
      </c>
      <c r="R2201" s="38">
        <f t="shared" ca="1" si="260"/>
        <v>11.806970004734129</v>
      </c>
      <c r="S2201" s="38">
        <f t="shared" ca="1" si="261"/>
        <v>687.5</v>
      </c>
    </row>
    <row r="2202" spans="13:19">
      <c r="M2202" s="132">
        <f t="shared" ca="1" si="258"/>
        <v>699.62251553300314</v>
      </c>
      <c r="N2202" s="38">
        <f t="shared" si="259"/>
        <v>20.634375000000002</v>
      </c>
      <c r="O2202" s="36">
        <f t="shared" si="257"/>
        <v>550.25</v>
      </c>
      <c r="P2202" s="38">
        <f ca="1">IF(ISERROR(IF(O2202&lt;fi_h/20,0,(OFFSET('Base de dados'!$A$5,IF(O2202&lt;20,1,IF(O2202&gt;1000,10,MATCH(O2202,Cargas,1))),Coluna_fih,1,1))*(1+0.13*0.25)*(PI()*(fi_h/1000)^2/4)*SQRT(2*9.81*(O2202/100-fi_h/2/1000))*1000)),"",IF(O2202&lt;fi_h/20,0,(OFFSET('Base de dados'!$A$5,IF(O2202&lt;20,1,IF(O2202&gt;1000,10,MATCH(O2202,Cargas,1))),Coluna_fih,1,1))*(PI()*(fi_h/1000)^2/4)*SQRT(2*9.81*(O2202/100-fi_h/2/1000))*1000))</f>
        <v>6.269034603055994</v>
      </c>
      <c r="Q2202" s="38">
        <f ca="1">IF(O2202="","",IF(Tipo_Vertedor="Retangular",IF(O2202&lt;=cota_s*100,0,IF(Tipo_Vertedor="Retangular",Cd_sr*Lef_sr*((O2202/100-cota_s)^(3/2))*1000)),IF(O2202&lt;=cota_s*100+fi_s/20,0,(OFFSET('Base de dados'!$A$4,IF(O2202&lt;20,1,IF(O2202&gt;1000,10,MATCH(O2202,Cargas,1))),Coluna_fis,1,1))*(PI()*(fi_s/1000)^2/4)*(2*9.81*(O2202/100-cota_s-fi_s/2/1000))^0.5*1000)))</f>
        <v>5.5409809299470822</v>
      </c>
      <c r="R2202" s="38">
        <f t="shared" ca="1" si="260"/>
        <v>11.810015533003076</v>
      </c>
      <c r="S2202" s="38">
        <f t="shared" ca="1" si="261"/>
        <v>687.81250000000011</v>
      </c>
    </row>
    <row r="2203" spans="13:19">
      <c r="M2203" s="132">
        <f t="shared" ca="1" si="258"/>
        <v>699.93806026412551</v>
      </c>
      <c r="N2203" s="38">
        <f t="shared" si="259"/>
        <v>20.643750000000001</v>
      </c>
      <c r="O2203" s="36">
        <f t="shared" si="257"/>
        <v>550.5</v>
      </c>
      <c r="P2203" s="38">
        <f ca="1">IF(ISERROR(IF(O2203&lt;fi_h/20,0,(OFFSET('Base de dados'!$A$5,IF(O2203&lt;20,1,IF(O2203&gt;1000,10,MATCH(O2203,Cargas,1))),Coluna_fih,1,1))*(1+0.13*0.25)*(PI()*(fi_h/1000)^2/4)*SQRT(2*9.81*(O2203/100-fi_h/2/1000))*1000)),"",IF(O2203&lt;fi_h/20,0,(OFFSET('Base de dados'!$A$5,IF(O2203&lt;20,1,IF(O2203&gt;1000,10,MATCH(O2203,Cargas,1))),Coluna_fih,1,1))*(PI()*(fi_h/1000)^2/4)*SQRT(2*9.81*(O2203/100-fi_h/2/1000))*1000))</f>
        <v>6.2704631433243421</v>
      </c>
      <c r="Q2203" s="38">
        <f ca="1">IF(O2203="","",IF(Tipo_Vertedor="Retangular",IF(O2203&lt;=cota_s*100,0,IF(Tipo_Vertedor="Retangular",Cd_sr*Lef_sr*((O2203/100-cota_s)^(3/2))*1000)),IF(O2203&lt;=cota_s*100+fi_s/20,0,(OFFSET('Base de dados'!$A$4,IF(O2203&lt;20,1,IF(O2203&gt;1000,10,MATCH(O2203,Cargas,1))),Coluna_fis,1,1))*(PI()*(fi_s/1000)^2/4)*(2*9.81*(O2203/100-cota_s-fi_s/2/1000))^0.5*1000)))</f>
        <v>5.5425971208011138</v>
      </c>
      <c r="R2203" s="38">
        <f t="shared" ca="1" si="260"/>
        <v>11.813060264125456</v>
      </c>
      <c r="S2203" s="38">
        <f t="shared" ca="1" si="261"/>
        <v>688.125</v>
      </c>
    </row>
    <row r="2204" spans="13:19">
      <c r="M2204" s="132">
        <f t="shared" ca="1" si="258"/>
        <v>700.2536041987363</v>
      </c>
      <c r="N2204" s="38">
        <f t="shared" si="259"/>
        <v>20.653125000000003</v>
      </c>
      <c r="O2204" s="36">
        <f t="shared" si="257"/>
        <v>550.75</v>
      </c>
      <c r="P2204" s="38">
        <f ca="1">IF(ISERROR(IF(O2204&lt;fi_h/20,0,(OFFSET('Base de dados'!$A$5,IF(O2204&lt;20,1,IF(O2204&gt;1000,10,MATCH(O2204,Cargas,1))),Coluna_fih,1,1))*(1+0.13*0.25)*(PI()*(fi_h/1000)^2/4)*SQRT(2*9.81*(O2204/100-fi_h/2/1000))*1000)),"",IF(O2204&lt;fi_h/20,0,(OFFSET('Base de dados'!$A$5,IF(O2204&lt;20,1,IF(O2204&gt;1000,10,MATCH(O2204,Cargas,1))),Coluna_fih,1,1))*(PI()*(fi_h/1000)^2/4)*SQRT(2*9.81*(O2204/100-fi_h/2/1000))*1000))</f>
        <v>6.2718913582160027</v>
      </c>
      <c r="Q2204" s="38">
        <f ca="1">IF(O2204="","",IF(Tipo_Vertedor="Retangular",IF(O2204&lt;=cota_s*100,0,IF(Tipo_Vertedor="Retangular",Cd_sr*Lef_sr*((O2204/100-cota_s)^(3/2))*1000)),IF(O2204&lt;=cota_s*100+fi_s/20,0,(OFFSET('Base de dados'!$A$4,IF(O2204&lt;20,1,IF(O2204&gt;1000,10,MATCH(O2204,Cargas,1))),Coluna_fis,1,1))*(PI()*(fi_s/1000)^2/4)*(2*9.81*(O2204/100-cota_s-fi_s/2/1000))^0.5*1000)))</f>
        <v>5.5442128405201379</v>
      </c>
      <c r="R2204" s="38">
        <f t="shared" ca="1" si="260"/>
        <v>11.816104198736141</v>
      </c>
      <c r="S2204" s="38">
        <f t="shared" ca="1" si="261"/>
        <v>688.43750000000011</v>
      </c>
    </row>
    <row r="2205" spans="13:19">
      <c r="M2205" s="132">
        <f t="shared" ca="1" si="258"/>
        <v>700.56914733746908</v>
      </c>
      <c r="N2205" s="38">
        <f t="shared" si="259"/>
        <v>20.662499999999998</v>
      </c>
      <c r="O2205" s="36">
        <f t="shared" si="257"/>
        <v>551</v>
      </c>
      <c r="P2205" s="38">
        <f ca="1">IF(ISERROR(IF(O2205&lt;fi_h/20,0,(OFFSET('Base de dados'!$A$5,IF(O2205&lt;20,1,IF(O2205&gt;1000,10,MATCH(O2205,Cargas,1))),Coluna_fih,1,1))*(1+0.13*0.25)*(PI()*(fi_h/1000)^2/4)*SQRT(2*9.81*(O2205/100-fi_h/2/1000))*1000)),"",IF(O2205&lt;fi_h/20,0,(OFFSET('Base de dados'!$A$5,IF(O2205&lt;20,1,IF(O2205&gt;1000,10,MATCH(O2205,Cargas,1))),Coluna_fih,1,1))*(PI()*(fi_h/1000)^2/4)*SQRT(2*9.81*(O2205/100-fi_h/2/1000))*1000))</f>
        <v>6.2733192479532045</v>
      </c>
      <c r="Q2205" s="38">
        <f ca="1">IF(O2205="","",IF(Tipo_Vertedor="Retangular",IF(O2205&lt;=cota_s*100,0,IF(Tipo_Vertedor="Retangular",Cd_sr*Lef_sr*((O2205/100-cota_s)^(3/2))*1000)),IF(O2205&lt;=cota_s*100+fi_s/20,0,(OFFSET('Base de dados'!$A$4,IF(O2205&lt;20,1,IF(O2205&gt;1000,10,MATCH(O2205,Cargas,1))),Coluna_fis,1,1))*(PI()*(fi_s/1000)^2/4)*(2*9.81*(O2205/100-cota_s-fi_s/2/1000))^0.5*1000)))</f>
        <v>5.5458280895159335</v>
      </c>
      <c r="R2205" s="38">
        <f t="shared" ca="1" si="260"/>
        <v>11.819147337469138</v>
      </c>
      <c r="S2205" s="38">
        <f t="shared" ca="1" si="261"/>
        <v>688.74999999999989</v>
      </c>
    </row>
    <row r="2206" spans="13:19">
      <c r="M2206" s="132">
        <f t="shared" ca="1" si="258"/>
        <v>700.88468968095765</v>
      </c>
      <c r="N2206" s="38">
        <f t="shared" si="259"/>
        <v>20.671875</v>
      </c>
      <c r="O2206" s="36">
        <f t="shared" si="257"/>
        <v>551.25</v>
      </c>
      <c r="P2206" s="38">
        <f ca="1">IF(ISERROR(IF(O2206&lt;fi_h/20,0,(OFFSET('Base de dados'!$A$5,IF(O2206&lt;20,1,IF(O2206&gt;1000,10,MATCH(O2206,Cargas,1))),Coluna_fih,1,1))*(1+0.13*0.25)*(PI()*(fi_h/1000)^2/4)*SQRT(2*9.81*(O2206/100-fi_h/2/1000))*1000)),"",IF(O2206&lt;fi_h/20,0,(OFFSET('Base de dados'!$A$5,IF(O2206&lt;20,1,IF(O2206&gt;1000,10,MATCH(O2206,Cargas,1))),Coluna_fih,1,1))*(PI()*(fi_h/1000)^2/4)*SQRT(2*9.81*(O2206/100-fi_h/2/1000))*1000))</f>
        <v>6.2747468127579236</v>
      </c>
      <c r="Q2206" s="38">
        <f ca="1">IF(O2206="","",IF(Tipo_Vertedor="Retangular",IF(O2206&lt;=cota_s*100,0,IF(Tipo_Vertedor="Retangular",Cd_sr*Lef_sr*((O2206/100-cota_s)^(3/2))*1000)),IF(O2206&lt;=cota_s*100+fi_s/20,0,(OFFSET('Base de dados'!$A$4,IF(O2206&lt;20,1,IF(O2206&gt;1000,10,MATCH(O2206,Cargas,1))),Coluna_fis,1,1))*(PI()*(fi_s/1000)^2/4)*(2*9.81*(O2206/100-cota_s-fi_s/2/1000))^0.5*1000)))</f>
        <v>5.5474428681996839</v>
      </c>
      <c r="R2206" s="38">
        <f t="shared" ca="1" si="260"/>
        <v>11.822189680957607</v>
      </c>
      <c r="S2206" s="38">
        <f t="shared" ca="1" si="261"/>
        <v>689.0625</v>
      </c>
    </row>
    <row r="2207" spans="13:19">
      <c r="M2207" s="132">
        <f t="shared" ca="1" si="258"/>
        <v>701.20023122983389</v>
      </c>
      <c r="N2207" s="38">
        <f t="shared" si="259"/>
        <v>20.681249999999999</v>
      </c>
      <c r="O2207" s="36">
        <f t="shared" si="257"/>
        <v>551.5</v>
      </c>
      <c r="P2207" s="38">
        <f ca="1">IF(ISERROR(IF(O2207&lt;fi_h/20,0,(OFFSET('Base de dados'!$A$5,IF(O2207&lt;20,1,IF(O2207&gt;1000,10,MATCH(O2207,Cargas,1))),Coluna_fih,1,1))*(1+0.13*0.25)*(PI()*(fi_h/1000)^2/4)*SQRT(2*9.81*(O2207/100-fi_h/2/1000))*1000)),"",IF(O2207&lt;fi_h/20,0,(OFFSET('Base de dados'!$A$5,IF(O2207&lt;20,1,IF(O2207&gt;1000,10,MATCH(O2207,Cargas,1))),Coluna_fih,1,1))*(PI()*(fi_h/1000)^2/4)*SQRT(2*9.81*(O2207/100-fi_h/2/1000))*1000))</f>
        <v>6.2761740528518875</v>
      </c>
      <c r="Q2207" s="38">
        <f ca="1">IF(O2207="","",IF(Tipo_Vertedor="Retangular",IF(O2207&lt;=cota_s*100,0,IF(Tipo_Vertedor="Retangular",Cd_sr*Lef_sr*((O2207/100-cota_s)^(3/2))*1000)),IF(O2207&lt;=cota_s*100+fi_s/20,0,(OFFSET('Base de dados'!$A$4,IF(O2207&lt;20,1,IF(O2207&gt;1000,10,MATCH(O2207,Cargas,1))),Coluna_fis,1,1))*(PI()*(fi_s/1000)^2/4)*(2*9.81*(O2207/100-cota_s-fi_s/2/1000))^0.5*1000)))</f>
        <v>5.5490571769819699</v>
      </c>
      <c r="R2207" s="38">
        <f t="shared" ca="1" si="260"/>
        <v>11.825231229833857</v>
      </c>
      <c r="S2207" s="38">
        <f t="shared" ca="1" si="261"/>
        <v>689.375</v>
      </c>
    </row>
    <row r="2208" spans="13:19">
      <c r="M2208" s="132">
        <f t="shared" ca="1" si="258"/>
        <v>701.51577198472933</v>
      </c>
      <c r="N2208" s="38">
        <f t="shared" si="259"/>
        <v>20.690625000000001</v>
      </c>
      <c r="O2208" s="36">
        <f t="shared" si="257"/>
        <v>551.75</v>
      </c>
      <c r="P2208" s="38">
        <f ca="1">IF(ISERROR(IF(O2208&lt;fi_h/20,0,(OFFSET('Base de dados'!$A$5,IF(O2208&lt;20,1,IF(O2208&gt;1000,10,MATCH(O2208,Cargas,1))),Coluna_fih,1,1))*(1+0.13*0.25)*(PI()*(fi_h/1000)^2/4)*SQRT(2*9.81*(O2208/100-fi_h/2/1000))*1000)),"",IF(O2208&lt;fi_h/20,0,(OFFSET('Base de dados'!$A$5,IF(O2208&lt;20,1,IF(O2208&gt;1000,10,MATCH(O2208,Cargas,1))),Coluna_fih,1,1))*(PI()*(fi_h/1000)^2/4)*SQRT(2*9.81*(O2208/100-fi_h/2/1000))*1000))</f>
        <v>6.2776009684565706</v>
      </c>
      <c r="Q2208" s="38">
        <f ca="1">IF(O2208="","",IF(Tipo_Vertedor="Retangular",IF(O2208&lt;=cota_s*100,0,IF(Tipo_Vertedor="Retangular",Cd_sr*Lef_sr*((O2208/100-cota_s)^(3/2))*1000)),IF(O2208&lt;=cota_s*100+fi_s/20,0,(OFFSET('Base de dados'!$A$4,IF(O2208&lt;20,1,IF(O2208&gt;1000,10,MATCH(O2208,Cargas,1))),Coluna_fis,1,1))*(PI()*(fi_s/1000)^2/4)*(2*9.81*(O2208/100-cota_s-fi_s/2/1000))^0.5*1000)))</f>
        <v>5.5506710162727781</v>
      </c>
      <c r="R2208" s="38">
        <f t="shared" ca="1" si="260"/>
        <v>11.828271984729348</v>
      </c>
      <c r="S2208" s="38">
        <f t="shared" ca="1" si="261"/>
        <v>689.6875</v>
      </c>
    </row>
    <row r="2209" spans="13:19">
      <c r="M2209" s="132">
        <f t="shared" ca="1" si="258"/>
        <v>701.8313119462747</v>
      </c>
      <c r="N2209" s="38">
        <f t="shared" si="259"/>
        <v>20.7</v>
      </c>
      <c r="O2209" s="36">
        <f t="shared" si="257"/>
        <v>552</v>
      </c>
      <c r="P2209" s="38">
        <f ca="1">IF(ISERROR(IF(O2209&lt;fi_h/20,0,(OFFSET('Base de dados'!$A$5,IF(O2209&lt;20,1,IF(O2209&gt;1000,10,MATCH(O2209,Cargas,1))),Coluna_fih,1,1))*(1+0.13*0.25)*(PI()*(fi_h/1000)^2/4)*SQRT(2*9.81*(O2209/100-fi_h/2/1000))*1000)),"",IF(O2209&lt;fi_h/20,0,(OFFSET('Base de dados'!$A$5,IF(O2209&lt;20,1,IF(O2209&gt;1000,10,MATCH(O2209,Cargas,1))),Coluna_fih,1,1))*(PI()*(fi_h/1000)^2/4)*SQRT(2*9.81*(O2209/100-fi_h/2/1000))*1000))</f>
        <v>6.2790275597931924</v>
      </c>
      <c r="Q2209" s="38">
        <f ca="1">IF(O2209="","",IF(Tipo_Vertedor="Retangular",IF(O2209&lt;=cota_s*100,0,IF(Tipo_Vertedor="Retangular",Cd_sr*Lef_sr*((O2209/100-cota_s)^(3/2))*1000)),IF(O2209&lt;=cota_s*100+fi_s/20,0,(OFFSET('Base de dados'!$A$4,IF(O2209&lt;20,1,IF(O2209&gt;1000,10,MATCH(O2209,Cargas,1))),Coluna_fis,1,1))*(PI()*(fi_s/1000)^2/4)*(2*9.81*(O2209/100-cota_s-fi_s/2/1000))^0.5*1000)))</f>
        <v>5.5522843864815004</v>
      </c>
      <c r="R2209" s="38">
        <f t="shared" ca="1" si="260"/>
        <v>11.831311946274692</v>
      </c>
      <c r="S2209" s="38">
        <f t="shared" ca="1" si="261"/>
        <v>690</v>
      </c>
    </row>
    <row r="2210" spans="13:19">
      <c r="M2210" s="132">
        <f t="shared" ca="1" si="258"/>
        <v>702.14685111509971</v>
      </c>
      <c r="N2210" s="38">
        <f t="shared" si="259"/>
        <v>20.709375000000001</v>
      </c>
      <c r="O2210" s="36">
        <f t="shared" si="257"/>
        <v>552.25</v>
      </c>
      <c r="P2210" s="38">
        <f ca="1">IF(ISERROR(IF(O2210&lt;fi_h/20,0,(OFFSET('Base de dados'!$A$5,IF(O2210&lt;20,1,IF(O2210&gt;1000,10,MATCH(O2210,Cargas,1))),Coluna_fih,1,1))*(1+0.13*0.25)*(PI()*(fi_h/1000)^2/4)*SQRT(2*9.81*(O2210/100-fi_h/2/1000))*1000)),"",IF(O2210&lt;fi_h/20,0,(OFFSET('Base de dados'!$A$5,IF(O2210&lt;20,1,IF(O2210&gt;1000,10,MATCH(O2210,Cargas,1))),Coluna_fih,1,1))*(PI()*(fi_h/1000)^2/4)*SQRT(2*9.81*(O2210/100-fi_h/2/1000))*1000))</f>
        <v>6.2804538270827228</v>
      </c>
      <c r="Q2210" s="38">
        <f ca="1">IF(O2210="","",IF(Tipo_Vertedor="Retangular",IF(O2210&lt;=cota_s*100,0,IF(Tipo_Vertedor="Retangular",Cd_sr*Lef_sr*((O2210/100-cota_s)^(3/2))*1000)),IF(O2210&lt;=cota_s*100+fi_s/20,0,(OFFSET('Base de dados'!$A$4,IF(O2210&lt;20,1,IF(O2210&gt;1000,10,MATCH(O2210,Cargas,1))),Coluna_fis,1,1))*(PI()*(fi_s/1000)^2/4)*(2*9.81*(O2210/100-cota_s-fi_s/2/1000))^0.5*1000)))</f>
        <v>5.5538972880169322</v>
      </c>
      <c r="R2210" s="38">
        <f t="shared" ca="1" si="260"/>
        <v>11.834351115099654</v>
      </c>
      <c r="S2210" s="38">
        <f t="shared" ca="1" si="261"/>
        <v>690.3125</v>
      </c>
    </row>
    <row r="2211" spans="13:19">
      <c r="M2211" s="132">
        <f t="shared" ca="1" si="258"/>
        <v>702.46238949183316</v>
      </c>
      <c r="N2211" s="38">
        <f t="shared" si="259"/>
        <v>20.71875</v>
      </c>
      <c r="O2211" s="36">
        <f t="shared" si="257"/>
        <v>552.5</v>
      </c>
      <c r="P2211" s="38">
        <f ca="1">IF(ISERROR(IF(O2211&lt;fi_h/20,0,(OFFSET('Base de dados'!$A$5,IF(O2211&lt;20,1,IF(O2211&gt;1000,10,MATCH(O2211,Cargas,1))),Coluna_fih,1,1))*(1+0.13*0.25)*(PI()*(fi_h/1000)^2/4)*SQRT(2*9.81*(O2211/100-fi_h/2/1000))*1000)),"",IF(O2211&lt;fi_h/20,0,(OFFSET('Base de dados'!$A$5,IF(O2211&lt;20,1,IF(O2211&gt;1000,10,MATCH(O2211,Cargas,1))),Coluna_fih,1,1))*(PI()*(fi_h/1000)^2/4)*SQRT(2*9.81*(O2211/100-fi_h/2/1000))*1000))</f>
        <v>6.2818797705458831</v>
      </c>
      <c r="Q2211" s="38">
        <f ca="1">IF(O2211="","",IF(Tipo_Vertedor="Retangular",IF(O2211&lt;=cota_s*100,0,IF(Tipo_Vertedor="Retangular",Cd_sr*Lef_sr*((O2211/100-cota_s)^(3/2))*1000)),IF(O2211&lt;=cota_s*100+fi_s/20,0,(OFFSET('Base de dados'!$A$4,IF(O2211&lt;20,1,IF(O2211&gt;1000,10,MATCH(O2211,Cargas,1))),Coluna_fis,1,1))*(PI()*(fi_s/1000)^2/4)*(2*9.81*(O2211/100-cota_s-fi_s/2/1000))^0.5*1000)))</f>
        <v>5.5555097212872742</v>
      </c>
      <c r="R2211" s="38">
        <f t="shared" ca="1" si="260"/>
        <v>11.837389491833157</v>
      </c>
      <c r="S2211" s="38">
        <f t="shared" ca="1" si="261"/>
        <v>690.625</v>
      </c>
    </row>
    <row r="2212" spans="13:19">
      <c r="M2212" s="132">
        <f t="shared" ca="1" si="258"/>
        <v>702.7779270771033</v>
      </c>
      <c r="N2212" s="38">
        <f t="shared" si="259"/>
        <v>20.728124999999999</v>
      </c>
      <c r="O2212" s="36">
        <f t="shared" si="257"/>
        <v>552.75</v>
      </c>
      <c r="P2212" s="38">
        <f ca="1">IF(ISERROR(IF(O2212&lt;fi_h/20,0,(OFFSET('Base de dados'!$A$5,IF(O2212&lt;20,1,IF(O2212&gt;1000,10,MATCH(O2212,Cargas,1))),Coluna_fih,1,1))*(1+0.13*0.25)*(PI()*(fi_h/1000)^2/4)*SQRT(2*9.81*(O2212/100-fi_h/2/1000))*1000)),"",IF(O2212&lt;fi_h/20,0,(OFFSET('Base de dados'!$A$5,IF(O2212&lt;20,1,IF(O2212&gt;1000,10,MATCH(O2212,Cargas,1))),Coluna_fih,1,1))*(PI()*(fi_h/1000)^2/4)*SQRT(2*9.81*(O2212/100-fi_h/2/1000))*1000))</f>
        <v>6.2833053904031413</v>
      </c>
      <c r="Q2212" s="38">
        <f ca="1">IF(O2212="","",IF(Tipo_Vertedor="Retangular",IF(O2212&lt;=cota_s*100,0,IF(Tipo_Vertedor="Retangular",Cd_sr*Lef_sr*((O2212/100-cota_s)^(3/2))*1000)),IF(O2212&lt;=cota_s*100+fi_s/20,0,(OFFSET('Base de dados'!$A$4,IF(O2212&lt;20,1,IF(O2212&gt;1000,10,MATCH(O2212,Cargas,1))),Coluna_fis,1,1))*(PI()*(fi_s/1000)^2/4)*(2*9.81*(O2212/100-cota_s-fi_s/2/1000))^0.5*1000)))</f>
        <v>5.5571216867001372</v>
      </c>
      <c r="R2212" s="38">
        <f t="shared" ca="1" si="260"/>
        <v>11.840427077103278</v>
      </c>
      <c r="S2212" s="38">
        <f t="shared" ca="1" si="261"/>
        <v>690.9375</v>
      </c>
    </row>
    <row r="2213" spans="13:19">
      <c r="M2213" s="132">
        <f t="shared" ca="1" si="258"/>
        <v>703.09346387153721</v>
      </c>
      <c r="N2213" s="38">
        <f t="shared" si="259"/>
        <v>20.737500000000001</v>
      </c>
      <c r="O2213" s="36">
        <f t="shared" si="257"/>
        <v>553</v>
      </c>
      <c r="P2213" s="38">
        <f ca="1">IF(ISERROR(IF(O2213&lt;fi_h/20,0,(OFFSET('Base de dados'!$A$5,IF(O2213&lt;20,1,IF(O2213&gt;1000,10,MATCH(O2213,Cargas,1))),Coluna_fih,1,1))*(1+0.13*0.25)*(PI()*(fi_h/1000)^2/4)*SQRT(2*9.81*(O2213/100-fi_h/2/1000))*1000)),"",IF(O2213&lt;fi_h/20,0,(OFFSET('Base de dados'!$A$5,IF(O2213&lt;20,1,IF(O2213&gt;1000,10,MATCH(O2213,Cargas,1))),Coluna_fih,1,1))*(PI()*(fi_h/1000)^2/4)*SQRT(2*9.81*(O2213/100-fi_h/2/1000))*1000))</f>
        <v>6.2847306868747177</v>
      </c>
      <c r="Q2213" s="38">
        <f ca="1">IF(O2213="","",IF(Tipo_Vertedor="Retangular",IF(O2213&lt;=cota_s*100,0,IF(Tipo_Vertedor="Retangular",Cd_sr*Lef_sr*((O2213/100-cota_s)^(3/2))*1000)),IF(O2213&lt;=cota_s*100+fi_s/20,0,(OFFSET('Base de dados'!$A$4,IF(O2213&lt;20,1,IF(O2213&gt;1000,10,MATCH(O2213,Cargas,1))),Coluna_fis,1,1))*(PI()*(fi_s/1000)^2/4)*(2*9.81*(O2213/100-cota_s-fi_s/2/1000))^0.5*1000)))</f>
        <v>5.5587331846625414</v>
      </c>
      <c r="R2213" s="38">
        <f t="shared" ca="1" si="260"/>
        <v>11.84346387153726</v>
      </c>
      <c r="S2213" s="38">
        <f t="shared" ca="1" si="261"/>
        <v>691.25</v>
      </c>
    </row>
    <row r="2214" spans="13:19">
      <c r="M2214" s="132">
        <f t="shared" ca="1" si="258"/>
        <v>703.40899987576154</v>
      </c>
      <c r="N2214" s="38">
        <f t="shared" si="259"/>
        <v>20.746874999999999</v>
      </c>
      <c r="O2214" s="36">
        <f t="shared" si="257"/>
        <v>553.25</v>
      </c>
      <c r="P2214" s="38">
        <f ca="1">IF(ISERROR(IF(O2214&lt;fi_h/20,0,(OFFSET('Base de dados'!$A$5,IF(O2214&lt;20,1,IF(O2214&gt;1000,10,MATCH(O2214,Cargas,1))),Coluna_fih,1,1))*(1+0.13*0.25)*(PI()*(fi_h/1000)^2/4)*SQRT(2*9.81*(O2214/100-fi_h/2/1000))*1000)),"",IF(O2214&lt;fi_h/20,0,(OFFSET('Base de dados'!$A$5,IF(O2214&lt;20,1,IF(O2214&gt;1000,10,MATCH(O2214,Cargas,1))),Coluna_fih,1,1))*(PI()*(fi_h/1000)^2/4)*SQRT(2*9.81*(O2214/100-fi_h/2/1000))*1000))</f>
        <v>6.2861556601805786</v>
      </c>
      <c r="Q2214" s="38">
        <f ca="1">IF(O2214="","",IF(Tipo_Vertedor="Retangular",IF(O2214&lt;=cota_s*100,0,IF(Tipo_Vertedor="Retangular",Cd_sr*Lef_sr*((O2214/100-cota_s)^(3/2))*1000)),IF(O2214&lt;=cota_s*100+fi_s/20,0,(OFFSET('Base de dados'!$A$4,IF(O2214&lt;20,1,IF(O2214&gt;1000,10,MATCH(O2214,Cargas,1))),Coluna_fis,1,1))*(PI()*(fi_s/1000)^2/4)*(2*9.81*(O2214/100-cota_s-fi_s/2/1000))^0.5*1000)))</f>
        <v>5.5603442155809137</v>
      </c>
      <c r="R2214" s="38">
        <f t="shared" ca="1" si="260"/>
        <v>11.846499875761491</v>
      </c>
      <c r="S2214" s="38">
        <f t="shared" ca="1" si="261"/>
        <v>691.5625</v>
      </c>
    </row>
    <row r="2215" spans="13:19">
      <c r="M2215" s="132">
        <f t="shared" ca="1" si="258"/>
        <v>703.72453509040156</v>
      </c>
      <c r="N2215" s="38">
        <f t="shared" si="259"/>
        <v>20.756250000000001</v>
      </c>
      <c r="O2215" s="36">
        <f t="shared" si="257"/>
        <v>553.5</v>
      </c>
      <c r="P2215" s="38">
        <f ca="1">IF(ISERROR(IF(O2215&lt;fi_h/20,0,(OFFSET('Base de dados'!$A$5,IF(O2215&lt;20,1,IF(O2215&gt;1000,10,MATCH(O2215,Cargas,1))),Coluna_fih,1,1))*(1+0.13*0.25)*(PI()*(fi_h/1000)^2/4)*SQRT(2*9.81*(O2215/100-fi_h/2/1000))*1000)),"",IF(O2215&lt;fi_h/20,0,(OFFSET('Base de dados'!$A$5,IF(O2215&lt;20,1,IF(O2215&gt;1000,10,MATCH(O2215,Cargas,1))),Coluna_fih,1,1))*(PI()*(fi_h/1000)^2/4)*SQRT(2*9.81*(O2215/100-fi_h/2/1000))*1000))</f>
        <v>6.2875803105404469</v>
      </c>
      <c r="Q2215" s="38">
        <f ca="1">IF(O2215="","",IF(Tipo_Vertedor="Retangular",IF(O2215&lt;=cota_s*100,0,IF(Tipo_Vertedor="Retangular",Cd_sr*Lef_sr*((O2215/100-cota_s)^(3/2))*1000)),IF(O2215&lt;=cota_s*100+fi_s/20,0,(OFFSET('Base de dados'!$A$4,IF(O2215&lt;20,1,IF(O2215&gt;1000,10,MATCH(O2215,Cargas,1))),Coluna_fis,1,1))*(PI()*(fi_s/1000)^2/4)*(2*9.81*(O2215/100-cota_s-fi_s/2/1000))^0.5*1000)))</f>
        <v>5.5619547798610975</v>
      </c>
      <c r="R2215" s="38">
        <f t="shared" ca="1" si="260"/>
        <v>11.849535090401545</v>
      </c>
      <c r="S2215" s="38">
        <f t="shared" ca="1" si="261"/>
        <v>691.875</v>
      </c>
    </row>
    <row r="2216" spans="13:19">
      <c r="M2216" s="132">
        <f t="shared" ca="1" si="258"/>
        <v>704.0400695160821</v>
      </c>
      <c r="N2216" s="38">
        <f t="shared" si="259"/>
        <v>20.765625</v>
      </c>
      <c r="O2216" s="36">
        <f t="shared" si="257"/>
        <v>553.75</v>
      </c>
      <c r="P2216" s="38">
        <f ca="1">IF(ISERROR(IF(O2216&lt;fi_h/20,0,(OFFSET('Base de dados'!$A$5,IF(O2216&lt;20,1,IF(O2216&gt;1000,10,MATCH(O2216,Cargas,1))),Coluna_fih,1,1))*(1+0.13*0.25)*(PI()*(fi_h/1000)^2/4)*SQRT(2*9.81*(O2216/100-fi_h/2/1000))*1000)),"",IF(O2216&lt;fi_h/20,0,(OFFSET('Base de dados'!$A$5,IF(O2216&lt;20,1,IF(O2216&gt;1000,10,MATCH(O2216,Cargas,1))),Coluna_fih,1,1))*(PI()*(fi_h/1000)^2/4)*SQRT(2*9.81*(O2216/100-fi_h/2/1000))*1000))</f>
        <v>6.2890046381737923</v>
      </c>
      <c r="Q2216" s="38">
        <f ca="1">IF(O2216="","",IF(Tipo_Vertedor="Retangular",IF(O2216&lt;=cota_s*100,0,IF(Tipo_Vertedor="Retangular",Cd_sr*Lef_sr*((O2216/100-cota_s)^(3/2))*1000)),IF(O2216&lt;=cota_s*100+fi_s/20,0,(OFFSET('Base de dados'!$A$4,IF(O2216&lt;20,1,IF(O2216&gt;1000,10,MATCH(O2216,Cargas,1))),Coluna_fis,1,1))*(PI()*(fi_s/1000)^2/4)*(2*9.81*(O2216/100-cota_s-fi_s/2/1000))^0.5*1000)))</f>
        <v>5.563564877908342</v>
      </c>
      <c r="R2216" s="38">
        <f t="shared" ca="1" si="260"/>
        <v>11.852569516082134</v>
      </c>
      <c r="S2216" s="38">
        <f t="shared" ca="1" si="261"/>
        <v>692.1875</v>
      </c>
    </row>
    <row r="2217" spans="13:19">
      <c r="M2217" s="132">
        <f t="shared" ca="1" si="258"/>
        <v>704.35560315342718</v>
      </c>
      <c r="N2217" s="38">
        <f t="shared" si="259"/>
        <v>20.774999999999999</v>
      </c>
      <c r="O2217" s="36">
        <f t="shared" si="257"/>
        <v>554</v>
      </c>
      <c r="P2217" s="38">
        <f ca="1">IF(ISERROR(IF(O2217&lt;fi_h/20,0,(OFFSET('Base de dados'!$A$5,IF(O2217&lt;20,1,IF(O2217&gt;1000,10,MATCH(O2217,Cargas,1))),Coluna_fih,1,1))*(1+0.13*0.25)*(PI()*(fi_h/1000)^2/4)*SQRT(2*9.81*(O2217/100-fi_h/2/1000))*1000)),"",IF(O2217&lt;fi_h/20,0,(OFFSET('Base de dados'!$A$5,IF(O2217&lt;20,1,IF(O2217&gt;1000,10,MATCH(O2217,Cargas,1))),Coluna_fih,1,1))*(PI()*(fi_h/1000)^2/4)*SQRT(2*9.81*(O2217/100-fi_h/2/1000))*1000))</f>
        <v>6.2904286432998386</v>
      </c>
      <c r="Q2217" s="38">
        <f ca="1">IF(O2217="","",IF(Tipo_Vertedor="Retangular",IF(O2217&lt;=cota_s*100,0,IF(Tipo_Vertedor="Retangular",Cd_sr*Lef_sr*((O2217/100-cota_s)^(3/2))*1000)),IF(O2217&lt;=cota_s*100+fi_s/20,0,(OFFSET('Base de dados'!$A$4,IF(O2217&lt;20,1,IF(O2217&gt;1000,10,MATCH(O2217,Cargas,1))),Coluna_fis,1,1))*(PI()*(fi_s/1000)^2/4)*(2*9.81*(O2217/100-cota_s-fi_s/2/1000))^0.5*1000)))</f>
        <v>5.5651745101273198</v>
      </c>
      <c r="R2217" s="38">
        <f t="shared" ca="1" si="260"/>
        <v>11.855603153427158</v>
      </c>
      <c r="S2217" s="38">
        <f t="shared" ca="1" si="261"/>
        <v>692.5</v>
      </c>
    </row>
    <row r="2218" spans="13:19">
      <c r="M2218" s="132">
        <f t="shared" ca="1" si="258"/>
        <v>704.6711360030597</v>
      </c>
      <c r="N2218" s="38">
        <f t="shared" si="259"/>
        <v>20.784375000000001</v>
      </c>
      <c r="O2218" s="36">
        <f t="shared" si="257"/>
        <v>554.25</v>
      </c>
      <c r="P2218" s="38">
        <f ca="1">IF(ISERROR(IF(O2218&lt;fi_h/20,0,(OFFSET('Base de dados'!$A$5,IF(O2218&lt;20,1,IF(O2218&gt;1000,10,MATCH(O2218,Cargas,1))),Coluna_fih,1,1))*(1+0.13*0.25)*(PI()*(fi_h/1000)^2/4)*SQRT(2*9.81*(O2218/100-fi_h/2/1000))*1000)),"",IF(O2218&lt;fi_h/20,0,(OFFSET('Base de dados'!$A$5,IF(O2218&lt;20,1,IF(O2218&gt;1000,10,MATCH(O2218,Cargas,1))),Coluna_fih,1,1))*(PI()*(fi_h/1000)^2/4)*SQRT(2*9.81*(O2218/100-fi_h/2/1000))*1000))</f>
        <v>6.2918523261375601</v>
      </c>
      <c r="Q2218" s="38">
        <f ca="1">IF(O2218="","",IF(Tipo_Vertedor="Retangular",IF(O2218&lt;=cota_s*100,0,IF(Tipo_Vertedor="Retangular",Cd_sr*Lef_sr*((O2218/100-cota_s)^(3/2))*1000)),IF(O2218&lt;=cota_s*100+fi_s/20,0,(OFFSET('Base de dados'!$A$4,IF(O2218&lt;20,1,IF(O2218&gt;1000,10,MATCH(O2218,Cargas,1))),Coluna_fis,1,1))*(PI()*(fi_s/1000)^2/4)*(2*9.81*(O2218/100-cota_s-fi_s/2/1000))^0.5*1000)))</f>
        <v>5.5667836769221095</v>
      </c>
      <c r="R2218" s="38">
        <f t="shared" ca="1" si="260"/>
        <v>11.858636003059669</v>
      </c>
      <c r="S2218" s="38">
        <f t="shared" ca="1" si="261"/>
        <v>692.8125</v>
      </c>
    </row>
    <row r="2219" spans="13:19">
      <c r="M2219" s="132">
        <f t="shared" ca="1" si="258"/>
        <v>704.98666806560186</v>
      </c>
      <c r="N2219" s="38">
        <f t="shared" si="259"/>
        <v>20.793749999999999</v>
      </c>
      <c r="O2219" s="36">
        <f t="shared" si="257"/>
        <v>554.5</v>
      </c>
      <c r="P2219" s="38">
        <f ca="1">IF(ISERROR(IF(O2219&lt;fi_h/20,0,(OFFSET('Base de dados'!$A$5,IF(O2219&lt;20,1,IF(O2219&gt;1000,10,MATCH(O2219,Cargas,1))),Coluna_fih,1,1))*(1+0.13*0.25)*(PI()*(fi_h/1000)^2/4)*SQRT(2*9.81*(O2219/100-fi_h/2/1000))*1000)),"",IF(O2219&lt;fi_h/20,0,(OFFSET('Base de dados'!$A$5,IF(O2219&lt;20,1,IF(O2219&gt;1000,10,MATCH(O2219,Cargas,1))),Coluna_fih,1,1))*(PI()*(fi_h/1000)^2/4)*SQRT(2*9.81*(O2219/100-fi_h/2/1000))*1000))</f>
        <v>6.2932756869056847</v>
      </c>
      <c r="Q2219" s="38">
        <f ca="1">IF(O2219="","",IF(Tipo_Vertedor="Retangular",IF(O2219&lt;=cota_s*100,0,IF(Tipo_Vertedor="Retangular",Cd_sr*Lef_sr*((O2219/100-cota_s)^(3/2))*1000)),IF(O2219&lt;=cota_s*100+fi_s/20,0,(OFFSET('Base de dados'!$A$4,IF(O2219&lt;20,1,IF(O2219&gt;1000,10,MATCH(O2219,Cargas,1))),Coluna_fis,1,1))*(PI()*(fi_s/1000)^2/4)*(2*9.81*(O2219/100-cota_s-fi_s/2/1000))^0.5*1000)))</f>
        <v>5.5683923786962062</v>
      </c>
      <c r="R2219" s="38">
        <f t="shared" ca="1" si="260"/>
        <v>11.86166806560189</v>
      </c>
      <c r="S2219" s="38">
        <f t="shared" ca="1" si="261"/>
        <v>693.125</v>
      </c>
    </row>
    <row r="2220" spans="13:19">
      <c r="M2220" s="132">
        <f t="shared" ca="1" si="258"/>
        <v>705.30219934167519</v>
      </c>
      <c r="N2220" s="38">
        <f t="shared" si="259"/>
        <v>20.803125000000001</v>
      </c>
      <c r="O2220" s="36">
        <f t="shared" si="257"/>
        <v>554.75</v>
      </c>
      <c r="P2220" s="38">
        <f ca="1">IF(ISERROR(IF(O2220&lt;fi_h/20,0,(OFFSET('Base de dados'!$A$5,IF(O2220&lt;20,1,IF(O2220&gt;1000,10,MATCH(O2220,Cargas,1))),Coluna_fih,1,1))*(1+0.13*0.25)*(PI()*(fi_h/1000)^2/4)*SQRT(2*9.81*(O2220/100-fi_h/2/1000))*1000)),"",IF(O2220&lt;fi_h/20,0,(OFFSET('Base de dados'!$A$5,IF(O2220&lt;20,1,IF(O2220&gt;1000,10,MATCH(O2220,Cargas,1))),Coluna_fih,1,1))*(PI()*(fi_h/1000)^2/4)*SQRT(2*9.81*(O2220/100-fi_h/2/1000))*1000))</f>
        <v>6.2946987258226885</v>
      </c>
      <c r="Q2220" s="38">
        <f ca="1">IF(O2220="","",IF(Tipo_Vertedor="Retangular",IF(O2220&lt;=cota_s*100,0,IF(Tipo_Vertedor="Retangular",Cd_sr*Lef_sr*((O2220/100-cota_s)^(3/2))*1000)),IF(O2220&lt;=cota_s*100+fi_s/20,0,(OFFSET('Base de dados'!$A$4,IF(O2220&lt;20,1,IF(O2220&gt;1000,10,MATCH(O2220,Cargas,1))),Coluna_fis,1,1))*(PI()*(fi_s/1000)^2/4)*(2*9.81*(O2220/100-cota_s-fi_s/2/1000))^0.5*1000)))</f>
        <v>5.5700006158525319</v>
      </c>
      <c r="R2220" s="38">
        <f t="shared" ca="1" si="260"/>
        <v>11.86469934167522</v>
      </c>
      <c r="S2220" s="38">
        <f t="shared" ca="1" si="261"/>
        <v>693.4375</v>
      </c>
    </row>
    <row r="2221" spans="13:19">
      <c r="M2221" s="132">
        <f t="shared" ca="1" si="258"/>
        <v>705.61772983190019</v>
      </c>
      <c r="N2221" s="38">
        <f t="shared" si="259"/>
        <v>20.8125</v>
      </c>
      <c r="O2221" s="36">
        <f t="shared" si="257"/>
        <v>555</v>
      </c>
      <c r="P2221" s="38">
        <f ca="1">IF(ISERROR(IF(O2221&lt;fi_h/20,0,(OFFSET('Base de dados'!$A$5,IF(O2221&lt;20,1,IF(O2221&gt;1000,10,MATCH(O2221,Cargas,1))),Coluna_fih,1,1))*(1+0.13*0.25)*(PI()*(fi_h/1000)^2/4)*SQRT(2*9.81*(O2221/100-fi_h/2/1000))*1000)),"",IF(O2221&lt;fi_h/20,0,(OFFSET('Base de dados'!$A$5,IF(O2221&lt;20,1,IF(O2221&gt;1000,10,MATCH(O2221,Cargas,1))),Coluna_fih,1,1))*(PI()*(fi_h/1000)^2/4)*SQRT(2*9.81*(O2221/100-fi_h/2/1000))*1000))</f>
        <v>6.2961214431068075</v>
      </c>
      <c r="Q2221" s="38">
        <f ca="1">IF(O2221="","",IF(Tipo_Vertedor="Retangular",IF(O2221&lt;=cota_s*100,0,IF(Tipo_Vertedor="Retangular",Cd_sr*Lef_sr*((O2221/100-cota_s)^(3/2))*1000)),IF(O2221&lt;=cota_s*100+fi_s/20,0,(OFFSET('Base de dados'!$A$4,IF(O2221&lt;20,1,IF(O2221&gt;1000,10,MATCH(O2221,Cargas,1))),Coluna_fis,1,1))*(PI()*(fi_s/1000)^2/4)*(2*9.81*(O2221/100-cota_s-fi_s/2/1000))^0.5*1000)))</f>
        <v>5.5716083887934156</v>
      </c>
      <c r="R2221" s="38">
        <f t="shared" ca="1" si="260"/>
        <v>11.867729831900224</v>
      </c>
      <c r="S2221" s="38">
        <f t="shared" ca="1" si="261"/>
        <v>693.75</v>
      </c>
    </row>
    <row r="2222" spans="13:19">
      <c r="M2222" s="132">
        <f t="shared" ca="1" si="258"/>
        <v>705.9332595368968</v>
      </c>
      <c r="N2222" s="38">
        <f t="shared" si="259"/>
        <v>20.821875000000002</v>
      </c>
      <c r="O2222" s="36">
        <f t="shared" si="257"/>
        <v>555.25</v>
      </c>
      <c r="P2222" s="38">
        <f ca="1">IF(ISERROR(IF(O2222&lt;fi_h/20,0,(OFFSET('Base de dados'!$A$5,IF(O2222&lt;20,1,IF(O2222&gt;1000,10,MATCH(O2222,Cargas,1))),Coluna_fih,1,1))*(1+0.13*0.25)*(PI()*(fi_h/1000)^2/4)*SQRT(2*9.81*(O2222/100-fi_h/2/1000))*1000)),"",IF(O2222&lt;fi_h/20,0,(OFFSET('Base de dados'!$A$5,IF(O2222&lt;20,1,IF(O2222&gt;1000,10,MATCH(O2222,Cargas,1))),Coluna_fih,1,1))*(PI()*(fi_h/1000)^2/4)*SQRT(2*9.81*(O2222/100-fi_h/2/1000))*1000))</f>
        <v>6.2975438389760274</v>
      </c>
      <c r="Q2222" s="38">
        <f ca="1">IF(O2222="","",IF(Tipo_Vertedor="Retangular",IF(O2222&lt;=cota_s*100,0,IF(Tipo_Vertedor="Retangular",Cd_sr*Lef_sr*((O2222/100-cota_s)^(3/2))*1000)),IF(O2222&lt;=cota_s*100+fi_s/20,0,(OFFSET('Base de dados'!$A$4,IF(O2222&lt;20,1,IF(O2222&gt;1000,10,MATCH(O2222,Cargas,1))),Coluna_fis,1,1))*(PI()*(fi_s/1000)^2/4)*(2*9.81*(O2222/100-cota_s-fi_s/2/1000))^0.5*1000)))</f>
        <v>5.5732156979206113</v>
      </c>
      <c r="R2222" s="38">
        <f t="shared" ca="1" si="260"/>
        <v>11.870759536896639</v>
      </c>
      <c r="S2222" s="38">
        <f t="shared" ca="1" si="261"/>
        <v>694.06250000000011</v>
      </c>
    </row>
    <row r="2223" spans="13:19">
      <c r="M2223" s="132">
        <f t="shared" ca="1" si="258"/>
        <v>706.24878845728324</v>
      </c>
      <c r="N2223" s="38">
        <f t="shared" si="259"/>
        <v>20.831249999999997</v>
      </c>
      <c r="O2223" s="36">
        <f t="shared" si="257"/>
        <v>555.5</v>
      </c>
      <c r="P2223" s="38">
        <f ca="1">IF(ISERROR(IF(O2223&lt;fi_h/20,0,(OFFSET('Base de dados'!$A$5,IF(O2223&lt;20,1,IF(O2223&gt;1000,10,MATCH(O2223,Cargas,1))),Coluna_fih,1,1))*(1+0.13*0.25)*(PI()*(fi_h/1000)^2/4)*SQRT(2*9.81*(O2223/100-fi_h/2/1000))*1000)),"",IF(O2223&lt;fi_h/20,0,(OFFSET('Base de dados'!$A$5,IF(O2223&lt;20,1,IF(O2223&gt;1000,10,MATCH(O2223,Cargas,1))),Coluna_fih,1,1))*(PI()*(fi_h/1000)^2/4)*SQRT(2*9.81*(O2223/100-fi_h/2/1000))*1000))</f>
        <v>6.2989659136480887</v>
      </c>
      <c r="Q2223" s="38">
        <f ca="1">IF(O2223="","",IF(Tipo_Vertedor="Retangular",IF(O2223&lt;=cota_s*100,0,IF(Tipo_Vertedor="Retangular",Cd_sr*Lef_sr*((O2223/100-cota_s)^(3/2))*1000)),IF(O2223&lt;=cota_s*100+fi_s/20,0,(OFFSET('Base de dados'!$A$4,IF(O2223&lt;20,1,IF(O2223&gt;1000,10,MATCH(O2223,Cargas,1))),Coluna_fis,1,1))*(PI()*(fi_s/1000)^2/4)*(2*9.81*(O2223/100-cota_s-fi_s/2/1000))^0.5*1000)))</f>
        <v>5.5748225436352961</v>
      </c>
      <c r="R2223" s="38">
        <f t="shared" ca="1" si="260"/>
        <v>11.873788457283386</v>
      </c>
      <c r="S2223" s="38">
        <f t="shared" ca="1" si="261"/>
        <v>694.37499999999989</v>
      </c>
    </row>
    <row r="2224" spans="13:19">
      <c r="M2224" s="132">
        <f t="shared" ca="1" si="258"/>
        <v>706.56431659367854</v>
      </c>
      <c r="N2224" s="38">
        <f t="shared" si="259"/>
        <v>20.840624999999999</v>
      </c>
      <c r="O2224" s="36">
        <f t="shared" si="257"/>
        <v>555.75</v>
      </c>
      <c r="P2224" s="38">
        <f ca="1">IF(ISERROR(IF(O2224&lt;fi_h/20,0,(OFFSET('Base de dados'!$A$5,IF(O2224&lt;20,1,IF(O2224&gt;1000,10,MATCH(O2224,Cargas,1))),Coluna_fih,1,1))*(1+0.13*0.25)*(PI()*(fi_h/1000)^2/4)*SQRT(2*9.81*(O2224/100-fi_h/2/1000))*1000)),"",IF(O2224&lt;fi_h/20,0,(OFFSET('Base de dados'!$A$5,IF(O2224&lt;20,1,IF(O2224&gt;1000,10,MATCH(O2224,Cargas,1))),Coluna_fih,1,1))*(PI()*(fi_h/1000)^2/4)*SQRT(2*9.81*(O2224/100-fi_h/2/1000))*1000))</f>
        <v>6.3003876673404848</v>
      </c>
      <c r="Q2224" s="38">
        <f ca="1">IF(O2224="","",IF(Tipo_Vertedor="Retangular",IF(O2224&lt;=cota_s*100,0,IF(Tipo_Vertedor="Retangular",Cd_sr*Lef_sr*((O2224/100-cota_s)^(3/2))*1000)),IF(O2224&lt;=cota_s*100+fi_s/20,0,(OFFSET('Base de dados'!$A$4,IF(O2224&lt;20,1,IF(O2224&gt;1000,10,MATCH(O2224,Cargas,1))),Coluna_fis,1,1))*(PI()*(fi_s/1000)^2/4)*(2*9.81*(O2224/100-cota_s-fi_s/2/1000))^0.5*1000)))</f>
        <v>5.5764289263380631</v>
      </c>
      <c r="R2224" s="38">
        <f t="shared" ca="1" si="260"/>
        <v>11.876816593678548</v>
      </c>
      <c r="S2224" s="38">
        <f t="shared" ca="1" si="261"/>
        <v>694.6875</v>
      </c>
    </row>
    <row r="2225" spans="13:19">
      <c r="M2225" s="132">
        <f t="shared" ca="1" si="258"/>
        <v>706.87984394669934</v>
      </c>
      <c r="N2225" s="38">
        <f t="shared" si="259"/>
        <v>20.849999999999998</v>
      </c>
      <c r="O2225" s="36">
        <f t="shared" si="257"/>
        <v>556</v>
      </c>
      <c r="P2225" s="38">
        <f ca="1">IF(ISERROR(IF(O2225&lt;fi_h/20,0,(OFFSET('Base de dados'!$A$5,IF(O2225&lt;20,1,IF(O2225&gt;1000,10,MATCH(O2225,Cargas,1))),Coluna_fih,1,1))*(1+0.13*0.25)*(PI()*(fi_h/1000)^2/4)*SQRT(2*9.81*(O2225/100-fi_h/2/1000))*1000)),"",IF(O2225&lt;fi_h/20,0,(OFFSET('Base de dados'!$A$5,IF(O2225&lt;20,1,IF(O2225&gt;1000,10,MATCH(O2225,Cargas,1))),Coluna_fih,1,1))*(PI()*(fi_h/1000)^2/4)*SQRT(2*9.81*(O2225/100-fi_h/2/1000))*1000))</f>
        <v>6.3018091002704653</v>
      </c>
      <c r="Q2225" s="38">
        <f ca="1">IF(O2225="","",IF(Tipo_Vertedor="Retangular",IF(O2225&lt;=cota_s*100,0,IF(Tipo_Vertedor="Retangular",Cd_sr*Lef_sr*((O2225/100-cota_s)^(3/2))*1000)),IF(O2225&lt;=cota_s*100+fi_s/20,0,(OFFSET('Base de dados'!$A$4,IF(O2225&lt;20,1,IF(O2225&gt;1000,10,MATCH(O2225,Cargas,1))),Coluna_fis,1,1))*(PI()*(fi_s/1000)^2/4)*(2*9.81*(O2225/100-cota_s-fi_s/2/1000))^0.5*1000)))</f>
        <v>5.5780348464289338</v>
      </c>
      <c r="R2225" s="38">
        <f t="shared" ca="1" si="260"/>
        <v>11.879843946699399</v>
      </c>
      <c r="S2225" s="38">
        <f t="shared" ca="1" si="261"/>
        <v>694.99999999999989</v>
      </c>
    </row>
    <row r="2226" spans="13:19">
      <c r="M2226" s="132">
        <f t="shared" ca="1" si="258"/>
        <v>707.19537051696238</v>
      </c>
      <c r="N2226" s="38">
        <f t="shared" si="259"/>
        <v>20.859375</v>
      </c>
      <c r="O2226" s="36">
        <f t="shared" si="257"/>
        <v>556.25</v>
      </c>
      <c r="P2226" s="38">
        <f ca="1">IF(ISERROR(IF(O2226&lt;fi_h/20,0,(OFFSET('Base de dados'!$A$5,IF(O2226&lt;20,1,IF(O2226&gt;1000,10,MATCH(O2226,Cargas,1))),Coluna_fih,1,1))*(1+0.13*0.25)*(PI()*(fi_h/1000)^2/4)*SQRT(2*9.81*(O2226/100-fi_h/2/1000))*1000)),"",IF(O2226&lt;fi_h/20,0,(OFFSET('Base de dados'!$A$5,IF(O2226&lt;20,1,IF(O2226&gt;1000,10,MATCH(O2226,Cargas,1))),Coluna_fih,1,1))*(PI()*(fi_h/1000)^2/4)*SQRT(2*9.81*(O2226/100-fi_h/2/1000))*1000))</f>
        <v>6.303230212655035</v>
      </c>
      <c r="Q2226" s="38">
        <f ca="1">IF(O2226="","",IF(Tipo_Vertedor="Retangular",IF(O2226&lt;=cota_s*100,0,IF(Tipo_Vertedor="Retangular",Cd_sr*Lef_sr*((O2226/100-cota_s)^(3/2))*1000)),IF(O2226&lt;=cota_s*100+fi_s/20,0,(OFFSET('Base de dados'!$A$4,IF(O2226&lt;20,1,IF(O2226&gt;1000,10,MATCH(O2226,Cargas,1))),Coluna_fis,1,1))*(PI()*(fi_s/1000)^2/4)*(2*9.81*(O2226/100-cota_s-fi_s/2/1000))^0.5*1000)))</f>
        <v>5.5796403043073513</v>
      </c>
      <c r="R2226" s="38">
        <f t="shared" ca="1" si="260"/>
        <v>11.882870516962386</v>
      </c>
      <c r="S2226" s="38">
        <f t="shared" ca="1" si="261"/>
        <v>695.3125</v>
      </c>
    </row>
    <row r="2227" spans="13:19">
      <c r="M2227" s="132">
        <f t="shared" ca="1" si="258"/>
        <v>707.51089630508329</v>
      </c>
      <c r="N2227" s="38">
        <f t="shared" si="259"/>
        <v>20.868750000000002</v>
      </c>
      <c r="O2227" s="36">
        <f t="shared" si="257"/>
        <v>556.5</v>
      </c>
      <c r="P2227" s="38">
        <f ca="1">IF(ISERROR(IF(O2227&lt;fi_h/20,0,(OFFSET('Base de dados'!$A$5,IF(O2227&lt;20,1,IF(O2227&gt;1000,10,MATCH(O2227,Cargas,1))),Coluna_fih,1,1))*(1+0.13*0.25)*(PI()*(fi_h/1000)^2/4)*SQRT(2*9.81*(O2227/100-fi_h/2/1000))*1000)),"",IF(O2227&lt;fi_h/20,0,(OFFSET('Base de dados'!$A$5,IF(O2227&lt;20,1,IF(O2227&gt;1000,10,MATCH(O2227,Cargas,1))),Coluna_fih,1,1))*(PI()*(fi_h/1000)^2/4)*SQRT(2*9.81*(O2227/100-fi_h/2/1000))*1000))</f>
        <v>6.3046510047109514</v>
      </c>
      <c r="Q2227" s="38">
        <f ca="1">IF(O2227="","",IF(Tipo_Vertedor="Retangular",IF(O2227&lt;=cota_s*100,0,IF(Tipo_Vertedor="Retangular",Cd_sr*Lef_sr*((O2227/100-cota_s)^(3/2))*1000)),IF(O2227&lt;=cota_s*100+fi_s/20,0,(OFFSET('Base de dados'!$A$4,IF(O2227&lt;20,1,IF(O2227&gt;1000,10,MATCH(O2227,Cargas,1))),Coluna_fis,1,1))*(PI()*(fi_s/1000)^2/4)*(2*9.81*(O2227/100-cota_s-fi_s/2/1000))^0.5*1000)))</f>
        <v>5.5812453003721858</v>
      </c>
      <c r="R2227" s="38">
        <f t="shared" ca="1" si="260"/>
        <v>11.885896305083136</v>
      </c>
      <c r="S2227" s="38">
        <f t="shared" ca="1" si="261"/>
        <v>695.62500000000011</v>
      </c>
    </row>
    <row r="2228" spans="13:19">
      <c r="M2228" s="132">
        <f t="shared" ca="1" si="258"/>
        <v>707.82642131167643</v>
      </c>
      <c r="N2228" s="38">
        <f t="shared" si="259"/>
        <v>20.878125000000001</v>
      </c>
      <c r="O2228" s="36">
        <f t="shared" si="257"/>
        <v>556.75</v>
      </c>
      <c r="P2228" s="38">
        <f ca="1">IF(ISERROR(IF(O2228&lt;fi_h/20,0,(OFFSET('Base de dados'!$A$5,IF(O2228&lt;20,1,IF(O2228&gt;1000,10,MATCH(O2228,Cargas,1))),Coluna_fih,1,1))*(1+0.13*0.25)*(PI()*(fi_h/1000)^2/4)*SQRT(2*9.81*(O2228/100-fi_h/2/1000))*1000)),"",IF(O2228&lt;fi_h/20,0,(OFFSET('Base de dados'!$A$5,IF(O2228&lt;20,1,IF(O2228&gt;1000,10,MATCH(O2228,Cargas,1))),Coluna_fih,1,1))*(PI()*(fi_h/1000)^2/4)*SQRT(2*9.81*(O2228/100-fi_h/2/1000))*1000))</f>
        <v>6.306071476654731</v>
      </c>
      <c r="Q2228" s="38">
        <f ca="1">IF(O2228="","",IF(Tipo_Vertedor="Retangular",IF(O2228&lt;=cota_s*100,0,IF(Tipo_Vertedor="Retangular",Cd_sr*Lef_sr*((O2228/100-cota_s)^(3/2))*1000)),IF(O2228&lt;=cota_s*100+fi_s/20,0,(OFFSET('Base de dados'!$A$4,IF(O2228&lt;20,1,IF(O2228&gt;1000,10,MATCH(O2228,Cargas,1))),Coluna_fis,1,1))*(PI()*(fi_s/1000)^2/4)*(2*9.81*(O2228/100-cota_s-fi_s/2/1000))^0.5*1000)))</f>
        <v>5.5828498350217313</v>
      </c>
      <c r="R2228" s="38">
        <f t="shared" ca="1" si="260"/>
        <v>11.888921311676462</v>
      </c>
      <c r="S2228" s="38">
        <f t="shared" ca="1" si="261"/>
        <v>695.9375</v>
      </c>
    </row>
    <row r="2229" spans="13:19">
      <c r="M2229" s="132">
        <f t="shared" ca="1" si="258"/>
        <v>708.14194553735649</v>
      </c>
      <c r="N2229" s="38">
        <f t="shared" si="259"/>
        <v>20.887500000000003</v>
      </c>
      <c r="O2229" s="36">
        <f t="shared" si="257"/>
        <v>557</v>
      </c>
      <c r="P2229" s="38">
        <f ca="1">IF(ISERROR(IF(O2229&lt;fi_h/20,0,(OFFSET('Base de dados'!$A$5,IF(O2229&lt;20,1,IF(O2229&gt;1000,10,MATCH(O2229,Cargas,1))),Coluna_fih,1,1))*(1+0.13*0.25)*(PI()*(fi_h/1000)^2/4)*SQRT(2*9.81*(O2229/100-fi_h/2/1000))*1000)),"",IF(O2229&lt;fi_h/20,0,(OFFSET('Base de dados'!$A$5,IF(O2229&lt;20,1,IF(O2229&gt;1000,10,MATCH(O2229,Cargas,1))),Coluna_fih,1,1))*(PI()*(fi_h/1000)^2/4)*SQRT(2*9.81*(O2229/100-fi_h/2/1000))*1000))</f>
        <v>6.3074916287026452</v>
      </c>
      <c r="Q2229" s="38">
        <f ca="1">IF(O2229="","",IF(Tipo_Vertedor="Retangular",IF(O2229&lt;=cota_s*100,0,IF(Tipo_Vertedor="Retangular",Cd_sr*Lef_sr*((O2229/100-cota_s)^(3/2))*1000)),IF(O2229&lt;=cota_s*100+fi_s/20,0,(OFFSET('Base de dados'!$A$4,IF(O2229&lt;20,1,IF(O2229&gt;1000,10,MATCH(O2229,Cargas,1))),Coluna_fis,1,1))*(PI()*(fi_s/1000)^2/4)*(2*9.81*(O2229/100-cota_s-fi_s/2/1000))^0.5*1000)))</f>
        <v>5.5844539086537157</v>
      </c>
      <c r="R2229" s="38">
        <f t="shared" ca="1" si="260"/>
        <v>11.89194553735636</v>
      </c>
      <c r="S2229" s="38">
        <f t="shared" ca="1" si="261"/>
        <v>696.25000000000011</v>
      </c>
    </row>
    <row r="2230" spans="13:19">
      <c r="M2230" s="132">
        <f t="shared" ca="1" si="258"/>
        <v>708.45746898273592</v>
      </c>
      <c r="N2230" s="38">
        <f t="shared" si="259"/>
        <v>20.896874999999998</v>
      </c>
      <c r="O2230" s="36">
        <f t="shared" si="257"/>
        <v>557.25</v>
      </c>
      <c r="P2230" s="38">
        <f ca="1">IF(ISERROR(IF(O2230&lt;fi_h/20,0,(OFFSET('Base de dados'!$A$5,IF(O2230&lt;20,1,IF(O2230&gt;1000,10,MATCH(O2230,Cargas,1))),Coluna_fih,1,1))*(1+0.13*0.25)*(PI()*(fi_h/1000)^2/4)*SQRT(2*9.81*(O2230/100-fi_h/2/1000))*1000)),"",IF(O2230&lt;fi_h/20,0,(OFFSET('Base de dados'!$A$5,IF(O2230&lt;20,1,IF(O2230&gt;1000,10,MATCH(O2230,Cargas,1))),Coluna_fih,1,1))*(PI()*(fi_h/1000)^2/4)*SQRT(2*9.81*(O2230/100-fi_h/2/1000))*1000))</f>
        <v>6.308911461070724</v>
      </c>
      <c r="Q2230" s="38">
        <f ca="1">IF(O2230="","",IF(Tipo_Vertedor="Retangular",IF(O2230&lt;=cota_s*100,0,IF(Tipo_Vertedor="Retangular",Cd_sr*Lef_sr*((O2230/100-cota_s)^(3/2))*1000)),IF(O2230&lt;=cota_s*100+fi_s/20,0,(OFFSET('Base de dados'!$A$4,IF(O2230&lt;20,1,IF(O2230&gt;1000,10,MATCH(O2230,Cargas,1))),Coluna_fis,1,1))*(PI()*(fi_s/1000)^2/4)*(2*9.81*(O2230/100-cota_s-fi_s/2/1000))^0.5*1000)))</f>
        <v>5.5860575216652872</v>
      </c>
      <c r="R2230" s="38">
        <f t="shared" ca="1" si="260"/>
        <v>11.89496898273601</v>
      </c>
      <c r="S2230" s="38">
        <f t="shared" ca="1" si="261"/>
        <v>696.56249999999989</v>
      </c>
    </row>
    <row r="2231" spans="13:19">
      <c r="M2231" s="132">
        <f t="shared" ca="1" si="258"/>
        <v>708.77299164842782</v>
      </c>
      <c r="N2231" s="38">
        <f t="shared" si="259"/>
        <v>20.90625</v>
      </c>
      <c r="O2231" s="36">
        <f t="shared" si="257"/>
        <v>557.5</v>
      </c>
      <c r="P2231" s="38">
        <f ca="1">IF(ISERROR(IF(O2231&lt;fi_h/20,0,(OFFSET('Base de dados'!$A$5,IF(O2231&lt;20,1,IF(O2231&gt;1000,10,MATCH(O2231,Cargas,1))),Coluna_fih,1,1))*(1+0.13*0.25)*(PI()*(fi_h/1000)^2/4)*SQRT(2*9.81*(O2231/100-fi_h/2/1000))*1000)),"",IF(O2231&lt;fi_h/20,0,(OFFSET('Base de dados'!$A$5,IF(O2231&lt;20,1,IF(O2231&gt;1000,10,MATCH(O2231,Cargas,1))),Coluna_fih,1,1))*(PI()*(fi_h/1000)^2/4)*SQRT(2*9.81*(O2231/100-fi_h/2/1000))*1000))</f>
        <v>6.3103309739747502</v>
      </c>
      <c r="Q2231" s="38">
        <f ca="1">IF(O2231="","",IF(Tipo_Vertedor="Retangular",IF(O2231&lt;=cota_s*100,0,IF(Tipo_Vertedor="Retangular",Cd_sr*Lef_sr*((O2231/100-cota_s)^(3/2))*1000)),IF(O2231&lt;=cota_s*100+fi_s/20,0,(OFFSET('Base de dados'!$A$4,IF(O2231&lt;20,1,IF(O2231&gt;1000,10,MATCH(O2231,Cargas,1))),Coluna_fis,1,1))*(PI()*(fi_s/1000)^2/4)*(2*9.81*(O2231/100-cota_s-fi_s/2/1000))^0.5*1000)))</f>
        <v>5.5876606744530317</v>
      </c>
      <c r="R2231" s="38">
        <f t="shared" ca="1" si="260"/>
        <v>11.897991648427782</v>
      </c>
      <c r="S2231" s="38">
        <f t="shared" ca="1" si="261"/>
        <v>696.875</v>
      </c>
    </row>
    <row r="2232" spans="13:19">
      <c r="M2232" s="132">
        <f t="shared" ca="1" si="258"/>
        <v>709.08851353504326</v>
      </c>
      <c r="N2232" s="38">
        <f t="shared" si="259"/>
        <v>20.915624999999999</v>
      </c>
      <c r="O2232" s="36">
        <f t="shared" si="257"/>
        <v>557.75</v>
      </c>
      <c r="P2232" s="38">
        <f ca="1">IF(ISERROR(IF(O2232&lt;fi_h/20,0,(OFFSET('Base de dados'!$A$5,IF(O2232&lt;20,1,IF(O2232&gt;1000,10,MATCH(O2232,Cargas,1))),Coluna_fih,1,1))*(1+0.13*0.25)*(PI()*(fi_h/1000)^2/4)*SQRT(2*9.81*(O2232/100-fi_h/2/1000))*1000)),"",IF(O2232&lt;fi_h/20,0,(OFFSET('Base de dados'!$A$5,IF(O2232&lt;20,1,IF(O2232&gt;1000,10,MATCH(O2232,Cargas,1))),Coluna_fih,1,1))*(PI()*(fi_h/1000)^2/4)*SQRT(2*9.81*(O2232/100-fi_h/2/1000))*1000))</f>
        <v>6.3117501676302652</v>
      </c>
      <c r="Q2232" s="38">
        <f ca="1">IF(O2232="","",IF(Tipo_Vertedor="Retangular",IF(O2232&lt;=cota_s*100,0,IF(Tipo_Vertedor="Retangular",Cd_sr*Lef_sr*((O2232/100-cota_s)^(3/2))*1000)),IF(O2232&lt;=cota_s*100+fi_s/20,0,(OFFSET('Base de dados'!$A$4,IF(O2232&lt;20,1,IF(O2232&gt;1000,10,MATCH(O2232,Cargas,1))),Coluna_fis,1,1))*(PI()*(fi_s/1000)^2/4)*(2*9.81*(O2232/100-cota_s-fi_s/2/1000))^0.5*1000)))</f>
        <v>5.5892633674129621</v>
      </c>
      <c r="R2232" s="38">
        <f t="shared" ca="1" si="260"/>
        <v>11.901013535043226</v>
      </c>
      <c r="S2232" s="38">
        <f t="shared" ca="1" si="261"/>
        <v>697.1875</v>
      </c>
    </row>
    <row r="2233" spans="13:19">
      <c r="M2233" s="132">
        <f t="shared" ca="1" si="258"/>
        <v>709.40403464319309</v>
      </c>
      <c r="N2233" s="38">
        <f t="shared" si="259"/>
        <v>20.925000000000001</v>
      </c>
      <c r="O2233" s="36">
        <f t="shared" si="257"/>
        <v>558</v>
      </c>
      <c r="P2233" s="38">
        <f ca="1">IF(ISERROR(IF(O2233&lt;fi_h/20,0,(OFFSET('Base de dados'!$A$5,IF(O2233&lt;20,1,IF(O2233&gt;1000,10,MATCH(O2233,Cargas,1))),Coluna_fih,1,1))*(1+0.13*0.25)*(PI()*(fi_h/1000)^2/4)*SQRT(2*9.81*(O2233/100-fi_h/2/1000))*1000)),"",IF(O2233&lt;fi_h/20,0,(OFFSET('Base de dados'!$A$5,IF(O2233&lt;20,1,IF(O2233&gt;1000,10,MATCH(O2233,Cargas,1))),Coluna_fih,1,1))*(PI()*(fi_h/1000)^2/4)*SQRT(2*9.81*(O2233/100-fi_h/2/1000))*1000))</f>
        <v>6.3131690422525715</v>
      </c>
      <c r="Q2233" s="38">
        <f ca="1">IF(O2233="","",IF(Tipo_Vertedor="Retangular",IF(O2233&lt;=cota_s*100,0,IF(Tipo_Vertedor="Retangular",Cd_sr*Lef_sr*((O2233/100-cota_s)^(3/2))*1000)),IF(O2233&lt;=cota_s*100+fi_s/20,0,(OFFSET('Base de dados'!$A$4,IF(O2233&lt;20,1,IF(O2233&gt;1000,10,MATCH(O2233,Cargas,1))),Coluna_fis,1,1))*(PI()*(fi_s/1000)^2/4)*(2*9.81*(O2233/100-cota_s-fi_s/2/1000))^0.5*1000)))</f>
        <v>5.5908656009405249</v>
      </c>
      <c r="R2233" s="38">
        <f t="shared" ca="1" si="260"/>
        <v>11.904034643193096</v>
      </c>
      <c r="S2233" s="38">
        <f t="shared" ca="1" si="261"/>
        <v>697.5</v>
      </c>
    </row>
    <row r="2234" spans="13:19">
      <c r="M2234" s="132">
        <f t="shared" ca="1" si="258"/>
        <v>709.71955497348733</v>
      </c>
      <c r="N2234" s="38">
        <f t="shared" si="259"/>
        <v>20.934374999999999</v>
      </c>
      <c r="O2234" s="36">
        <f t="shared" si="257"/>
        <v>558.25</v>
      </c>
      <c r="P2234" s="38">
        <f ca="1">IF(ISERROR(IF(O2234&lt;fi_h/20,0,(OFFSET('Base de dados'!$A$5,IF(O2234&lt;20,1,IF(O2234&gt;1000,10,MATCH(O2234,Cargas,1))),Coluna_fih,1,1))*(1+0.13*0.25)*(PI()*(fi_h/1000)^2/4)*SQRT(2*9.81*(O2234/100-fi_h/2/1000))*1000)),"",IF(O2234&lt;fi_h/20,0,(OFFSET('Base de dados'!$A$5,IF(O2234&lt;20,1,IF(O2234&gt;1000,10,MATCH(O2234,Cargas,1))),Coluna_fih,1,1))*(PI()*(fi_h/1000)^2/4)*SQRT(2*9.81*(O2234/100-fi_h/2/1000))*1000))</f>
        <v>6.3145875980567272</v>
      </c>
      <c r="Q2234" s="38">
        <f ca="1">IF(O2234="","",IF(Tipo_Vertedor="Retangular",IF(O2234&lt;=cota_s*100,0,IF(Tipo_Vertedor="Retangular",Cd_sr*Lef_sr*((O2234/100-cota_s)^(3/2))*1000)),IF(O2234&lt;=cota_s*100+fi_s/20,0,(OFFSET('Base de dados'!$A$4,IF(O2234&lt;20,1,IF(O2234&gt;1000,10,MATCH(O2234,Cargas,1))),Coluna_fis,1,1))*(PI()*(fi_s/1000)^2/4)*(2*9.81*(O2234/100-cota_s-fi_s/2/1000))^0.5*1000)))</f>
        <v>5.5924673754306014</v>
      </c>
      <c r="R2234" s="38">
        <f t="shared" ca="1" si="260"/>
        <v>11.907054973487329</v>
      </c>
      <c r="S2234" s="38">
        <f t="shared" ca="1" si="261"/>
        <v>697.8125</v>
      </c>
    </row>
    <row r="2235" spans="13:19">
      <c r="M2235" s="132">
        <f t="shared" ca="1" si="258"/>
        <v>710.03507452653503</v>
      </c>
      <c r="N2235" s="38">
        <f t="shared" si="259"/>
        <v>20.943750000000001</v>
      </c>
      <c r="O2235" s="36">
        <f t="shared" si="257"/>
        <v>558.5</v>
      </c>
      <c r="P2235" s="38">
        <f ca="1">IF(ISERROR(IF(O2235&lt;fi_h/20,0,(OFFSET('Base de dados'!$A$5,IF(O2235&lt;20,1,IF(O2235&gt;1000,10,MATCH(O2235,Cargas,1))),Coluna_fih,1,1))*(1+0.13*0.25)*(PI()*(fi_h/1000)^2/4)*SQRT(2*9.81*(O2235/100-fi_h/2/1000))*1000)),"",IF(O2235&lt;fi_h/20,0,(OFFSET('Base de dados'!$A$5,IF(O2235&lt;20,1,IF(O2235&gt;1000,10,MATCH(O2235,Cargas,1))),Coluna_fih,1,1))*(PI()*(fi_h/1000)^2/4)*SQRT(2*9.81*(O2235/100-fi_h/2/1000))*1000))</f>
        <v>6.316005835257549</v>
      </c>
      <c r="Q2235" s="38">
        <f ca="1">IF(O2235="","",IF(Tipo_Vertedor="Retangular",IF(O2235&lt;=cota_s*100,0,IF(Tipo_Vertedor="Retangular",Cd_sr*Lef_sr*((O2235/100-cota_s)^(3/2))*1000)),IF(O2235&lt;=cota_s*100+fi_s/20,0,(OFFSET('Base de dados'!$A$4,IF(O2235&lt;20,1,IF(O2235&gt;1000,10,MATCH(O2235,Cargas,1))),Coluna_fis,1,1))*(PI()*(fi_s/1000)^2/4)*(2*9.81*(O2235/100-cota_s-fi_s/2/1000))^0.5*1000)))</f>
        <v>5.5940686912775037</v>
      </c>
      <c r="R2235" s="38">
        <f t="shared" ca="1" si="260"/>
        <v>11.910074526535052</v>
      </c>
      <c r="S2235" s="38">
        <f t="shared" ca="1" si="261"/>
        <v>698.125</v>
      </c>
    </row>
    <row r="2236" spans="13:19">
      <c r="M2236" s="132">
        <f t="shared" ca="1" si="258"/>
        <v>710.35059330294462</v>
      </c>
      <c r="N2236" s="38">
        <f t="shared" si="259"/>
        <v>20.953125</v>
      </c>
      <c r="O2236" s="36">
        <f t="shared" si="257"/>
        <v>558.75</v>
      </c>
      <c r="P2236" s="38">
        <f ca="1">IF(ISERROR(IF(O2236&lt;fi_h/20,0,(OFFSET('Base de dados'!$A$5,IF(O2236&lt;20,1,IF(O2236&gt;1000,10,MATCH(O2236,Cargas,1))),Coluna_fih,1,1))*(1+0.13*0.25)*(PI()*(fi_h/1000)^2/4)*SQRT(2*9.81*(O2236/100-fi_h/2/1000))*1000)),"",IF(O2236&lt;fi_h/20,0,(OFFSET('Base de dados'!$A$5,IF(O2236&lt;20,1,IF(O2236&gt;1000,10,MATCH(O2236,Cargas,1))),Coluna_fih,1,1))*(PI()*(fi_h/1000)^2/4)*SQRT(2*9.81*(O2236/100-fi_h/2/1000))*1000))</f>
        <v>6.3174237540696119</v>
      </c>
      <c r="Q2236" s="38">
        <f ca="1">IF(O2236="","",IF(Tipo_Vertedor="Retangular",IF(O2236&lt;=cota_s*100,0,IF(Tipo_Vertedor="Retangular",Cd_sr*Lef_sr*((O2236/100-cota_s)^(3/2))*1000)),IF(O2236&lt;=cota_s*100+fi_s/20,0,(OFFSET('Base de dados'!$A$4,IF(O2236&lt;20,1,IF(O2236&gt;1000,10,MATCH(O2236,Cargas,1))),Coluna_fis,1,1))*(PI()*(fi_s/1000)^2/4)*(2*9.81*(O2236/100-cota_s-fi_s/2/1000))^0.5*1000)))</f>
        <v>5.5956695488749855</v>
      </c>
      <c r="R2236" s="38">
        <f t="shared" ca="1" si="260"/>
        <v>11.913093302944597</v>
      </c>
      <c r="S2236" s="38">
        <f t="shared" ca="1" si="261"/>
        <v>698.4375</v>
      </c>
    </row>
    <row r="2237" spans="13:19">
      <c r="M2237" s="132">
        <f t="shared" ca="1" si="258"/>
        <v>710.66611130332353</v>
      </c>
      <c r="N2237" s="38">
        <f t="shared" si="259"/>
        <v>20.962499999999999</v>
      </c>
      <c r="O2237" s="36">
        <f t="shared" si="257"/>
        <v>559</v>
      </c>
      <c r="P2237" s="38">
        <f ca="1">IF(ISERROR(IF(O2237&lt;fi_h/20,0,(OFFSET('Base de dados'!$A$5,IF(O2237&lt;20,1,IF(O2237&gt;1000,10,MATCH(O2237,Cargas,1))),Coluna_fih,1,1))*(1+0.13*0.25)*(PI()*(fi_h/1000)^2/4)*SQRT(2*9.81*(O2237/100-fi_h/2/1000))*1000)),"",IF(O2237&lt;fi_h/20,0,(OFFSET('Base de dados'!$A$5,IF(O2237&lt;20,1,IF(O2237&gt;1000,10,MATCH(O2237,Cargas,1))),Coluna_fih,1,1))*(PI()*(fi_h/1000)^2/4)*SQRT(2*9.81*(O2237/100-fi_h/2/1000))*1000))</f>
        <v>6.3188413547072502</v>
      </c>
      <c r="Q2237" s="38">
        <f ca="1">IF(O2237="","",IF(Tipo_Vertedor="Retangular",IF(O2237&lt;=cota_s*100,0,IF(Tipo_Vertedor="Retangular",Cd_sr*Lef_sr*((O2237/100-cota_s)^(3/2))*1000)),IF(O2237&lt;=cota_s*100+fi_s/20,0,(OFFSET('Base de dados'!$A$4,IF(O2237&lt;20,1,IF(O2237&gt;1000,10,MATCH(O2237,Cargas,1))),Coluna_fis,1,1))*(PI()*(fi_s/1000)^2/4)*(2*9.81*(O2237/100-cota_s-fi_s/2/1000))^0.5*1000)))</f>
        <v>5.5972699486162325</v>
      </c>
      <c r="R2237" s="38">
        <f t="shared" ca="1" si="260"/>
        <v>11.916111303323483</v>
      </c>
      <c r="S2237" s="38">
        <f t="shared" ca="1" si="261"/>
        <v>698.75</v>
      </c>
    </row>
    <row r="2238" spans="13:19">
      <c r="M2238" s="132">
        <f t="shared" ca="1" si="258"/>
        <v>710.98162852827841</v>
      </c>
      <c r="N2238" s="38">
        <f t="shared" si="259"/>
        <v>20.971875000000001</v>
      </c>
      <c r="O2238" s="36">
        <f t="shared" si="257"/>
        <v>559.25</v>
      </c>
      <c r="P2238" s="38">
        <f ca="1">IF(ISERROR(IF(O2238&lt;fi_h/20,0,(OFFSET('Base de dados'!$A$5,IF(O2238&lt;20,1,IF(O2238&gt;1000,10,MATCH(O2238,Cargas,1))),Coluna_fih,1,1))*(1+0.13*0.25)*(PI()*(fi_h/1000)^2/4)*SQRT(2*9.81*(O2238/100-fi_h/2/1000))*1000)),"",IF(O2238&lt;fi_h/20,0,(OFFSET('Base de dados'!$A$5,IF(O2238&lt;20,1,IF(O2238&gt;1000,10,MATCH(O2238,Cargas,1))),Coluna_fih,1,1))*(PI()*(fi_h/1000)^2/4)*SQRT(2*9.81*(O2238/100-fi_h/2/1000))*1000))</f>
        <v>6.3202586373845593</v>
      </c>
      <c r="Q2238" s="38">
        <f ca="1">IF(O2238="","",IF(Tipo_Vertedor="Retangular",IF(O2238&lt;=cota_s*100,0,IF(Tipo_Vertedor="Retangular",Cd_sr*Lef_sr*((O2238/100-cota_s)^(3/2))*1000)),IF(O2238&lt;=cota_s*100+fi_s/20,0,(OFFSET('Base de dados'!$A$4,IF(O2238&lt;20,1,IF(O2238&gt;1000,10,MATCH(O2238,Cargas,1))),Coluna_fis,1,1))*(PI()*(fi_s/1000)^2/4)*(2*9.81*(O2238/100-cota_s-fi_s/2/1000))^0.5*1000)))</f>
        <v>5.5988698908938712</v>
      </c>
      <c r="R2238" s="38">
        <f t="shared" ca="1" si="260"/>
        <v>11.919128528278431</v>
      </c>
      <c r="S2238" s="38">
        <f t="shared" ca="1" si="261"/>
        <v>699.0625</v>
      </c>
    </row>
    <row r="2239" spans="13:19">
      <c r="M2239" s="132">
        <f t="shared" ca="1" si="258"/>
        <v>711.2971449784153</v>
      </c>
      <c r="N2239" s="38">
        <f t="shared" si="259"/>
        <v>20.981249999999999</v>
      </c>
      <c r="O2239" s="36">
        <f t="shared" si="257"/>
        <v>559.5</v>
      </c>
      <c r="P2239" s="38">
        <f ca="1">IF(ISERROR(IF(O2239&lt;fi_h/20,0,(OFFSET('Base de dados'!$A$5,IF(O2239&lt;20,1,IF(O2239&gt;1000,10,MATCH(O2239,Cargas,1))),Coluna_fih,1,1))*(1+0.13*0.25)*(PI()*(fi_h/1000)^2/4)*SQRT(2*9.81*(O2239/100-fi_h/2/1000))*1000)),"",IF(O2239&lt;fi_h/20,0,(OFFSET('Base de dados'!$A$5,IF(O2239&lt;20,1,IF(O2239&gt;1000,10,MATCH(O2239,Cargas,1))),Coluna_fih,1,1))*(PI()*(fi_h/1000)^2/4)*SQRT(2*9.81*(O2239/100-fi_h/2/1000))*1000))</f>
        <v>6.3216756023153948</v>
      </c>
      <c r="Q2239" s="38">
        <f ca="1">IF(O2239="","",IF(Tipo_Vertedor="Retangular",IF(O2239&lt;=cota_s*100,0,IF(Tipo_Vertedor="Retangular",Cd_sr*Lef_sr*((O2239/100-cota_s)^(3/2))*1000)),IF(O2239&lt;=cota_s*100+fi_s/20,0,(OFFSET('Base de dados'!$A$4,IF(O2239&lt;20,1,IF(O2239&gt;1000,10,MATCH(O2239,Cargas,1))),Coluna_fis,1,1))*(PI()*(fi_s/1000)^2/4)*(2*9.81*(O2239/100-cota_s-fi_s/2/1000))^0.5*1000)))</f>
        <v>5.6004693760999631</v>
      </c>
      <c r="R2239" s="38">
        <f t="shared" ca="1" si="260"/>
        <v>11.922144978415357</v>
      </c>
      <c r="S2239" s="38">
        <f t="shared" ca="1" si="261"/>
        <v>699.375</v>
      </c>
    </row>
    <row r="2240" spans="13:19">
      <c r="M2240" s="132">
        <f t="shared" ca="1" si="258"/>
        <v>711.61266065433938</v>
      </c>
      <c r="N2240" s="38">
        <f t="shared" si="259"/>
        <v>20.990625000000001</v>
      </c>
      <c r="O2240" s="36">
        <f t="shared" si="257"/>
        <v>559.75</v>
      </c>
      <c r="P2240" s="38">
        <f ca="1">IF(ISERROR(IF(O2240&lt;fi_h/20,0,(OFFSET('Base de dados'!$A$5,IF(O2240&lt;20,1,IF(O2240&gt;1000,10,MATCH(O2240,Cargas,1))),Coluna_fih,1,1))*(1+0.13*0.25)*(PI()*(fi_h/1000)^2/4)*SQRT(2*9.81*(O2240/100-fi_h/2/1000))*1000)),"",IF(O2240&lt;fi_h/20,0,(OFFSET('Base de dados'!$A$5,IF(O2240&lt;20,1,IF(O2240&gt;1000,10,MATCH(O2240,Cargas,1))),Coluna_fih,1,1))*(PI()*(fi_h/1000)^2/4)*SQRT(2*9.81*(O2240/100-fi_h/2/1000))*1000))</f>
        <v>6.3230922497133708</v>
      </c>
      <c r="Q2240" s="38">
        <f ca="1">IF(O2240="","",IF(Tipo_Vertedor="Retangular",IF(O2240&lt;=cota_s*100,0,IF(Tipo_Vertedor="Retangular",Cd_sr*Lef_sr*((O2240/100-cota_s)^(3/2))*1000)),IF(O2240&lt;=cota_s*100+fi_s/20,0,(OFFSET('Base de dados'!$A$4,IF(O2240&lt;20,1,IF(O2240&gt;1000,10,MATCH(O2240,Cargas,1))),Coluna_fis,1,1))*(PI()*(fi_s/1000)^2/4)*(2*9.81*(O2240/100-cota_s-fi_s/2/1000))^0.5*1000)))</f>
        <v>5.6020684046260172</v>
      </c>
      <c r="R2240" s="38">
        <f t="shared" ca="1" si="260"/>
        <v>11.925160654339388</v>
      </c>
      <c r="S2240" s="38">
        <f t="shared" ca="1" si="261"/>
        <v>699.6875</v>
      </c>
    </row>
    <row r="2241" spans="13:19">
      <c r="M2241" s="132">
        <f t="shared" ca="1" si="258"/>
        <v>711.92817555665488</v>
      </c>
      <c r="N2241" s="38">
        <f t="shared" si="259"/>
        <v>21</v>
      </c>
      <c r="O2241" s="36">
        <f t="shared" si="257"/>
        <v>560</v>
      </c>
      <c r="P2241" s="38">
        <f ca="1">IF(ISERROR(IF(O2241&lt;fi_h/20,0,(OFFSET('Base de dados'!$A$5,IF(O2241&lt;20,1,IF(O2241&gt;1000,10,MATCH(O2241,Cargas,1))),Coluna_fih,1,1))*(1+0.13*0.25)*(PI()*(fi_h/1000)^2/4)*SQRT(2*9.81*(O2241/100-fi_h/2/1000))*1000)),"",IF(O2241&lt;fi_h/20,0,(OFFSET('Base de dados'!$A$5,IF(O2241&lt;20,1,IF(O2241&gt;1000,10,MATCH(O2241,Cargas,1))),Coluna_fih,1,1))*(PI()*(fi_h/1000)^2/4)*SQRT(2*9.81*(O2241/100-fi_h/2/1000))*1000))</f>
        <v>6.3245085797918614</v>
      </c>
      <c r="Q2241" s="38">
        <f ca="1">IF(O2241="","",IF(Tipo_Vertedor="Retangular",IF(O2241&lt;=cota_s*100,0,IF(Tipo_Vertedor="Retangular",Cd_sr*Lef_sr*((O2241/100-cota_s)^(3/2))*1000)),IF(O2241&lt;=cota_s*100+fi_s/20,0,(OFFSET('Base de dados'!$A$4,IF(O2241&lt;20,1,IF(O2241&gt;1000,10,MATCH(O2241,Cargas,1))),Coluna_fis,1,1))*(PI()*(fi_s/1000)^2/4)*(2*9.81*(O2241/100-cota_s-fi_s/2/1000))^0.5*1000)))</f>
        <v>5.6036669768629768</v>
      </c>
      <c r="R2241" s="38">
        <f t="shared" ca="1" si="260"/>
        <v>11.928175556654839</v>
      </c>
      <c r="S2241" s="38">
        <f t="shared" ca="1" si="261"/>
        <v>700</v>
      </c>
    </row>
    <row r="2242" spans="13:19">
      <c r="M2242" s="132">
        <f t="shared" ca="1" si="258"/>
        <v>712.24368968596525</v>
      </c>
      <c r="N2242" s="38">
        <f t="shared" si="259"/>
        <v>21.009374999999999</v>
      </c>
      <c r="O2242" s="36">
        <f t="shared" si="257"/>
        <v>560.25</v>
      </c>
      <c r="P2242" s="38">
        <f ca="1">IF(ISERROR(IF(O2242&lt;fi_h/20,0,(OFFSET('Base de dados'!$A$5,IF(O2242&lt;20,1,IF(O2242&gt;1000,10,MATCH(O2242,Cargas,1))),Coluna_fih,1,1))*(1+0.13*0.25)*(PI()*(fi_h/1000)^2/4)*SQRT(2*9.81*(O2242/100-fi_h/2/1000))*1000)),"",IF(O2242&lt;fi_h/20,0,(OFFSET('Base de dados'!$A$5,IF(O2242&lt;20,1,IF(O2242&gt;1000,10,MATCH(O2242,Cargas,1))),Coluna_fih,1,1))*(PI()*(fi_h/1000)^2/4)*SQRT(2*9.81*(O2242/100-fi_h/2/1000))*1000))</f>
        <v>6.3259245927640047</v>
      </c>
      <c r="Q2242" s="38">
        <f ca="1">IF(O2242="","",IF(Tipo_Vertedor="Retangular",IF(O2242&lt;=cota_s*100,0,IF(Tipo_Vertedor="Retangular",Cd_sr*Lef_sr*((O2242/100-cota_s)^(3/2))*1000)),IF(O2242&lt;=cota_s*100+fi_s/20,0,(OFFSET('Base de dados'!$A$4,IF(O2242&lt;20,1,IF(O2242&gt;1000,10,MATCH(O2242,Cargas,1))),Coluna_fis,1,1))*(PI()*(fi_s/1000)^2/4)*(2*9.81*(O2242/100-cota_s-fi_s/2/1000))^0.5*1000)))</f>
        <v>5.6052650932012336</v>
      </c>
      <c r="R2242" s="38">
        <f t="shared" ca="1" si="260"/>
        <v>11.931189685965238</v>
      </c>
      <c r="S2242" s="38">
        <f t="shared" ca="1" si="261"/>
        <v>700.3125</v>
      </c>
    </row>
    <row r="2243" spans="13:19">
      <c r="M2243" s="132">
        <f t="shared" ca="1" si="258"/>
        <v>712.55920304287326</v>
      </c>
      <c r="N2243" s="38">
        <f t="shared" si="259"/>
        <v>21.018750000000001</v>
      </c>
      <c r="O2243" s="36">
        <f t="shared" si="257"/>
        <v>560.5</v>
      </c>
      <c r="P2243" s="38">
        <f ca="1">IF(ISERROR(IF(O2243&lt;fi_h/20,0,(OFFSET('Base de dados'!$A$5,IF(O2243&lt;20,1,IF(O2243&gt;1000,10,MATCH(O2243,Cargas,1))),Coluna_fih,1,1))*(1+0.13*0.25)*(PI()*(fi_h/1000)^2/4)*SQRT(2*9.81*(O2243/100-fi_h/2/1000))*1000)),"",IF(O2243&lt;fi_h/20,0,(OFFSET('Base de dados'!$A$5,IF(O2243&lt;20,1,IF(O2243&gt;1000,10,MATCH(O2243,Cargas,1))),Coluna_fih,1,1))*(PI()*(fi_h/1000)^2/4)*SQRT(2*9.81*(O2243/100-fi_h/2/1000))*1000))</f>
        <v>6.3273402888427004</v>
      </c>
      <c r="Q2243" s="38">
        <f ca="1">IF(O2243="","",IF(Tipo_Vertedor="Retangular",IF(O2243&lt;=cota_s*100,0,IF(Tipo_Vertedor="Retangular",Cd_sr*Lef_sr*((O2243/100-cota_s)^(3/2))*1000)),IF(O2243&lt;=cota_s*100+fi_s/20,0,(OFFSET('Base de dados'!$A$4,IF(O2243&lt;20,1,IF(O2243&gt;1000,10,MATCH(O2243,Cargas,1))),Coluna_fis,1,1))*(PI()*(fi_s/1000)^2/4)*(2*9.81*(O2243/100-cota_s-fi_s/2/1000))^0.5*1000)))</f>
        <v>5.6068627540306188</v>
      </c>
      <c r="R2243" s="38">
        <f t="shared" ca="1" si="260"/>
        <v>11.934203042873319</v>
      </c>
      <c r="S2243" s="38">
        <f t="shared" ca="1" si="261"/>
        <v>700.625</v>
      </c>
    </row>
    <row r="2244" spans="13:19">
      <c r="M2244" s="132">
        <f t="shared" ca="1" si="258"/>
        <v>712.874715627981</v>
      </c>
      <c r="N2244" s="38">
        <f t="shared" si="259"/>
        <v>21.028124999999999</v>
      </c>
      <c r="O2244" s="36">
        <f t="shared" si="257"/>
        <v>560.75</v>
      </c>
      <c r="P2244" s="38">
        <f ca="1">IF(ISERROR(IF(O2244&lt;fi_h/20,0,(OFFSET('Base de dados'!$A$5,IF(O2244&lt;20,1,IF(O2244&gt;1000,10,MATCH(O2244,Cargas,1))),Coluna_fih,1,1))*(1+0.13*0.25)*(PI()*(fi_h/1000)^2/4)*SQRT(2*9.81*(O2244/100-fi_h/2/1000))*1000)),"",IF(O2244&lt;fi_h/20,0,(OFFSET('Base de dados'!$A$5,IF(O2244&lt;20,1,IF(O2244&gt;1000,10,MATCH(O2244,Cargas,1))),Coluna_fih,1,1))*(PI()*(fi_h/1000)^2/4)*SQRT(2*9.81*(O2244/100-fi_h/2/1000))*1000))</f>
        <v>6.3287556682406043</v>
      </c>
      <c r="Q2244" s="38">
        <f ca="1">IF(O2244="","",IF(Tipo_Vertedor="Retangular",IF(O2244&lt;=cota_s*100,0,IF(Tipo_Vertedor="Retangular",Cd_sr*Lef_sr*((O2244/100-cota_s)^(3/2))*1000)),IF(O2244&lt;=cota_s*100+fi_s/20,0,(OFFSET('Base de dados'!$A$4,IF(O2244&lt;20,1,IF(O2244&gt;1000,10,MATCH(O2244,Cargas,1))),Coluna_fis,1,1))*(PI()*(fi_s/1000)^2/4)*(2*9.81*(O2244/100-cota_s-fi_s/2/1000))^0.5*1000)))</f>
        <v>5.6084599597404088</v>
      </c>
      <c r="R2244" s="38">
        <f t="shared" ca="1" si="260"/>
        <v>11.937215627981013</v>
      </c>
      <c r="S2244" s="38">
        <f t="shared" ca="1" si="261"/>
        <v>700.9375</v>
      </c>
    </row>
    <row r="2245" spans="13:19">
      <c r="M2245" s="132">
        <f t="shared" ca="1" si="258"/>
        <v>713.19022744188942</v>
      </c>
      <c r="N2245" s="38">
        <f t="shared" si="259"/>
        <v>21.037500000000001</v>
      </c>
      <c r="O2245" s="36">
        <f t="shared" si="257"/>
        <v>561</v>
      </c>
      <c r="P2245" s="38">
        <f ca="1">IF(ISERROR(IF(O2245&lt;fi_h/20,0,(OFFSET('Base de dados'!$A$5,IF(O2245&lt;20,1,IF(O2245&gt;1000,10,MATCH(O2245,Cargas,1))),Coluna_fih,1,1))*(1+0.13*0.25)*(PI()*(fi_h/1000)^2/4)*SQRT(2*9.81*(O2245/100-fi_h/2/1000))*1000)),"",IF(O2245&lt;fi_h/20,0,(OFFSET('Base de dados'!$A$5,IF(O2245&lt;20,1,IF(O2245&gt;1000,10,MATCH(O2245,Cargas,1))),Coluna_fih,1,1))*(PI()*(fi_h/1000)^2/4)*SQRT(2*9.81*(O2245/100-fi_h/2/1000))*1000))</f>
        <v>6.3301707311701447</v>
      </c>
      <c r="Q2245" s="38">
        <f ca="1">IF(O2245="","",IF(Tipo_Vertedor="Retangular",IF(O2245&lt;=cota_s*100,0,IF(Tipo_Vertedor="Retangular",Cd_sr*Lef_sr*((O2245/100-cota_s)^(3/2))*1000)),IF(O2245&lt;=cota_s*100+fi_s/20,0,(OFFSET('Base de dados'!$A$4,IF(O2245&lt;20,1,IF(O2245&gt;1000,10,MATCH(O2245,Cargas,1))),Coluna_fis,1,1))*(PI()*(fi_s/1000)^2/4)*(2*9.81*(O2245/100-cota_s-fi_s/2/1000))^0.5*1000)))</f>
        <v>5.610056710719328</v>
      </c>
      <c r="R2245" s="38">
        <f t="shared" ca="1" si="260"/>
        <v>11.940227441889473</v>
      </c>
      <c r="S2245" s="38">
        <f t="shared" ca="1" si="261"/>
        <v>701.25</v>
      </c>
    </row>
    <row r="2246" spans="13:19">
      <c r="M2246" s="132">
        <f t="shared" ca="1" si="258"/>
        <v>713.505738485199</v>
      </c>
      <c r="N2246" s="38">
        <f t="shared" si="259"/>
        <v>21.046875</v>
      </c>
      <c r="O2246" s="36">
        <f t="shared" si="257"/>
        <v>561.25</v>
      </c>
      <c r="P2246" s="38">
        <f ca="1">IF(ISERROR(IF(O2246&lt;fi_h/20,0,(OFFSET('Base de dados'!$A$5,IF(O2246&lt;20,1,IF(O2246&gt;1000,10,MATCH(O2246,Cargas,1))),Coluna_fih,1,1))*(1+0.13*0.25)*(PI()*(fi_h/1000)^2/4)*SQRT(2*9.81*(O2246/100-fi_h/2/1000))*1000)),"",IF(O2246&lt;fi_h/20,0,(OFFSET('Base de dados'!$A$5,IF(O2246&lt;20,1,IF(O2246&gt;1000,10,MATCH(O2246,Cargas,1))),Coluna_fih,1,1))*(PI()*(fi_h/1000)^2/4)*SQRT(2*9.81*(O2246/100-fi_h/2/1000))*1000))</f>
        <v>6.3315854778435021</v>
      </c>
      <c r="Q2246" s="38">
        <f ca="1">IF(O2246="","",IF(Tipo_Vertedor="Retangular",IF(O2246&lt;=cota_s*100,0,IF(Tipo_Vertedor="Retangular",Cd_sr*Lef_sr*((O2246/100-cota_s)^(3/2))*1000)),IF(O2246&lt;=cota_s*100+fi_s/20,0,(OFFSET('Base de dados'!$A$4,IF(O2246&lt;20,1,IF(O2246&gt;1000,10,MATCH(O2246,Cargas,1))),Coluna_fis,1,1))*(PI()*(fi_s/1000)^2/4)*(2*9.81*(O2246/100-cota_s-fi_s/2/1000))^0.5*1000)))</f>
        <v>5.6116530073555451</v>
      </c>
      <c r="R2246" s="38">
        <f t="shared" ca="1" si="260"/>
        <v>11.943238485199046</v>
      </c>
      <c r="S2246" s="38">
        <f t="shared" ca="1" si="261"/>
        <v>701.5625</v>
      </c>
    </row>
    <row r="2247" spans="13:19">
      <c r="M2247" s="132">
        <f t="shared" ca="1" si="258"/>
        <v>713.82124875850946</v>
      </c>
      <c r="N2247" s="38">
        <f t="shared" si="259"/>
        <v>21.056250000000002</v>
      </c>
      <c r="O2247" s="36">
        <f t="shared" si="257"/>
        <v>561.5</v>
      </c>
      <c r="P2247" s="38">
        <f ca="1">IF(ISERROR(IF(O2247&lt;fi_h/20,0,(OFFSET('Base de dados'!$A$5,IF(O2247&lt;20,1,IF(O2247&gt;1000,10,MATCH(O2247,Cargas,1))),Coluna_fih,1,1))*(1+0.13*0.25)*(PI()*(fi_h/1000)^2/4)*SQRT(2*9.81*(O2247/100-fi_h/2/1000))*1000)),"",IF(O2247&lt;fi_h/20,0,(OFFSET('Base de dados'!$A$5,IF(O2247&lt;20,1,IF(O2247&gt;1000,10,MATCH(O2247,Cargas,1))),Coluna_fih,1,1))*(PI()*(fi_h/1000)^2/4)*SQRT(2*9.81*(O2247/100-fi_h/2/1000))*1000))</f>
        <v>6.3329999084726287</v>
      </c>
      <c r="Q2247" s="38">
        <f ca="1">IF(O2247="","",IF(Tipo_Vertedor="Retangular",IF(O2247&lt;=cota_s*100,0,IF(Tipo_Vertedor="Retangular",Cd_sr*Lef_sr*((O2247/100-cota_s)^(3/2))*1000)),IF(O2247&lt;=cota_s*100+fi_s/20,0,(OFFSET('Base de dados'!$A$4,IF(O2247&lt;20,1,IF(O2247&gt;1000,10,MATCH(O2247,Cargas,1))),Coluna_fis,1,1))*(PI()*(fi_s/1000)^2/4)*(2*9.81*(O2247/100-cota_s-fi_s/2/1000))^0.5*1000)))</f>
        <v>5.6132488500366806</v>
      </c>
      <c r="R2247" s="38">
        <f t="shared" ca="1" si="260"/>
        <v>11.946248758509309</v>
      </c>
      <c r="S2247" s="38">
        <f t="shared" ca="1" si="261"/>
        <v>701.87500000000011</v>
      </c>
    </row>
    <row r="2248" spans="13:19">
      <c r="M2248" s="132">
        <f t="shared" ca="1" si="258"/>
        <v>714.13675826241888</v>
      </c>
      <c r="N2248" s="38">
        <f t="shared" si="259"/>
        <v>21.065624999999997</v>
      </c>
      <c r="O2248" s="36">
        <f t="shared" si="257"/>
        <v>561.75</v>
      </c>
      <c r="P2248" s="38">
        <f ca="1">IF(ISERROR(IF(O2248&lt;fi_h/20,0,(OFFSET('Base de dados'!$A$5,IF(O2248&lt;20,1,IF(O2248&gt;1000,10,MATCH(O2248,Cargas,1))),Coluna_fih,1,1))*(1+0.13*0.25)*(PI()*(fi_h/1000)^2/4)*SQRT(2*9.81*(O2248/100-fi_h/2/1000))*1000)),"",IF(O2248&lt;fi_h/20,0,(OFFSET('Base de dados'!$A$5,IF(O2248&lt;20,1,IF(O2248&gt;1000,10,MATCH(O2248,Cargas,1))),Coluna_fih,1,1))*(PI()*(fi_h/1000)^2/4)*SQRT(2*9.81*(O2248/100-fi_h/2/1000))*1000))</f>
        <v>6.3344140232692308</v>
      </c>
      <c r="Q2248" s="38">
        <f ca="1">IF(O2248="","",IF(Tipo_Vertedor="Retangular",IF(O2248&lt;=cota_s*100,0,IF(Tipo_Vertedor="Retangular",Cd_sr*Lef_sr*((O2248/100-cota_s)^(3/2))*1000)),IF(O2248&lt;=cota_s*100+fi_s/20,0,(OFFSET('Base de dados'!$A$4,IF(O2248&lt;20,1,IF(O2248&gt;1000,10,MATCH(O2248,Cargas,1))),Coluna_fis,1,1))*(PI()*(fi_s/1000)^2/4)*(2*9.81*(O2248/100-cota_s-fi_s/2/1000))^0.5*1000)))</f>
        <v>5.6148442391497992</v>
      </c>
      <c r="R2248" s="38">
        <f t="shared" ca="1" si="260"/>
        <v>11.949258262419029</v>
      </c>
      <c r="S2248" s="38">
        <f t="shared" ca="1" si="261"/>
        <v>702.18749999999989</v>
      </c>
    </row>
    <row r="2249" spans="13:19">
      <c r="M2249" s="132">
        <f t="shared" ca="1" si="258"/>
        <v>714.45226699752618</v>
      </c>
      <c r="N2249" s="38">
        <f t="shared" si="259"/>
        <v>21.074999999999999</v>
      </c>
      <c r="O2249" s="36">
        <f t="shared" si="257"/>
        <v>562</v>
      </c>
      <c r="P2249" s="38">
        <f ca="1">IF(ISERROR(IF(O2249&lt;fi_h/20,0,(OFFSET('Base de dados'!$A$5,IF(O2249&lt;20,1,IF(O2249&gt;1000,10,MATCH(O2249,Cargas,1))),Coluna_fih,1,1))*(1+0.13*0.25)*(PI()*(fi_h/1000)^2/4)*SQRT(2*9.81*(O2249/100-fi_h/2/1000))*1000)),"",IF(O2249&lt;fi_h/20,0,(OFFSET('Base de dados'!$A$5,IF(O2249&lt;20,1,IF(O2249&gt;1000,10,MATCH(O2249,Cargas,1))),Coluna_fih,1,1))*(PI()*(fi_h/1000)^2/4)*SQRT(2*9.81*(O2249/100-fi_h/2/1000))*1000))</f>
        <v>6.3358278224447888</v>
      </c>
      <c r="Q2249" s="38">
        <f ca="1">IF(O2249="","",IF(Tipo_Vertedor="Retangular",IF(O2249&lt;=cota_s*100,0,IF(Tipo_Vertedor="Retangular",Cd_sr*Lef_sr*((O2249/100-cota_s)^(3/2))*1000)),IF(O2249&lt;=cota_s*100+fi_s/20,0,(OFFSET('Base de dados'!$A$4,IF(O2249&lt;20,1,IF(O2249&gt;1000,10,MATCH(O2249,Cargas,1))),Coluna_fis,1,1))*(PI()*(fi_s/1000)^2/4)*(2*9.81*(O2249/100-cota_s-fi_s/2/1000))^0.5*1000)))</f>
        <v>5.6164391750814211</v>
      </c>
      <c r="R2249" s="38">
        <f t="shared" ca="1" si="260"/>
        <v>11.952266997526209</v>
      </c>
      <c r="S2249" s="38">
        <f t="shared" ca="1" si="261"/>
        <v>702.5</v>
      </c>
    </row>
    <row r="2250" spans="13:19">
      <c r="M2250" s="132">
        <f t="shared" ca="1" si="258"/>
        <v>714.76777496442799</v>
      </c>
      <c r="N2250" s="38">
        <f t="shared" si="259"/>
        <v>21.084374999999998</v>
      </c>
      <c r="O2250" s="36">
        <f t="shared" si="257"/>
        <v>562.25</v>
      </c>
      <c r="P2250" s="38">
        <f ca="1">IF(ISERROR(IF(O2250&lt;fi_h/20,0,(OFFSET('Base de dados'!$A$5,IF(O2250&lt;20,1,IF(O2250&gt;1000,10,MATCH(O2250,Cargas,1))),Coluna_fih,1,1))*(1+0.13*0.25)*(PI()*(fi_h/1000)^2/4)*SQRT(2*9.81*(O2250/100-fi_h/2/1000))*1000)),"",IF(O2250&lt;fi_h/20,0,(OFFSET('Base de dados'!$A$5,IF(O2250&lt;20,1,IF(O2250&gt;1000,10,MATCH(O2250,Cargas,1))),Coluna_fih,1,1))*(PI()*(fi_h/1000)^2/4)*SQRT(2*9.81*(O2250/100-fi_h/2/1000))*1000))</f>
        <v>6.3372413062105366</v>
      </c>
      <c r="Q2250" s="38">
        <f ca="1">IF(O2250="","",IF(Tipo_Vertedor="Retangular",IF(O2250&lt;=cota_s*100,0,IF(Tipo_Vertedor="Retangular",Cd_sr*Lef_sr*((O2250/100-cota_s)^(3/2))*1000)),IF(O2250&lt;=cota_s*100+fi_s/20,0,(OFFSET('Base de dados'!$A$4,IF(O2250&lt;20,1,IF(O2250&gt;1000,10,MATCH(O2250,Cargas,1))),Coluna_fis,1,1))*(PI()*(fi_s/1000)^2/4)*(2*9.81*(O2250/100-cota_s-fi_s/2/1000))^0.5*1000)))</f>
        <v>5.6180336582175121</v>
      </c>
      <c r="R2250" s="38">
        <f t="shared" ca="1" si="260"/>
        <v>11.95527496442805</v>
      </c>
      <c r="S2250" s="38">
        <f t="shared" ca="1" si="261"/>
        <v>702.81249999999989</v>
      </c>
    </row>
    <row r="2251" spans="13:19">
      <c r="M2251" s="132">
        <f t="shared" ca="1" si="258"/>
        <v>715.08328216372092</v>
      </c>
      <c r="N2251" s="38">
        <f t="shared" si="259"/>
        <v>21.09375</v>
      </c>
      <c r="O2251" s="36">
        <f t="shared" si="257"/>
        <v>562.5</v>
      </c>
      <c r="P2251" s="38">
        <f ca="1">IF(ISERROR(IF(O2251&lt;fi_h/20,0,(OFFSET('Base de dados'!$A$5,IF(O2251&lt;20,1,IF(O2251&gt;1000,10,MATCH(O2251,Cargas,1))),Coluna_fih,1,1))*(1+0.13*0.25)*(PI()*(fi_h/1000)^2/4)*SQRT(2*9.81*(O2251/100-fi_h/2/1000))*1000)),"",IF(O2251&lt;fi_h/20,0,(OFFSET('Base de dados'!$A$5,IF(O2251&lt;20,1,IF(O2251&gt;1000,10,MATCH(O2251,Cargas,1))),Coluna_fih,1,1))*(PI()*(fi_h/1000)^2/4)*SQRT(2*9.81*(O2251/100-fi_h/2/1000))*1000))</f>
        <v>6.338654474777484</v>
      </c>
      <c r="Q2251" s="38">
        <f ca="1">IF(O2251="","",IF(Tipo_Vertedor="Retangular",IF(O2251&lt;=cota_s*100,0,IF(Tipo_Vertedor="Retangular",Cd_sr*Lef_sr*((O2251/100-cota_s)^(3/2))*1000)),IF(O2251&lt;=cota_s*100+fi_s/20,0,(OFFSET('Base de dados'!$A$4,IF(O2251&lt;20,1,IF(O2251&gt;1000,10,MATCH(O2251,Cargas,1))),Coluna_fis,1,1))*(PI()*(fi_s/1000)^2/4)*(2*9.81*(O2251/100-cota_s-fi_s/2/1000))^0.5*1000)))</f>
        <v>5.6196276889434964</v>
      </c>
      <c r="R2251" s="38">
        <f t="shared" ca="1" si="260"/>
        <v>11.95828216372098</v>
      </c>
      <c r="S2251" s="38">
        <f t="shared" ca="1" si="261"/>
        <v>703.125</v>
      </c>
    </row>
    <row r="2252" spans="13:19">
      <c r="M2252" s="132">
        <f t="shared" ca="1" si="258"/>
        <v>715.39878859600071</v>
      </c>
      <c r="N2252" s="38">
        <f t="shared" si="259"/>
        <v>21.103125000000002</v>
      </c>
      <c r="O2252" s="36">
        <f t="shared" si="257"/>
        <v>562.75</v>
      </c>
      <c r="P2252" s="38">
        <f ca="1">IF(ISERROR(IF(O2252&lt;fi_h/20,0,(OFFSET('Base de dados'!$A$5,IF(O2252&lt;20,1,IF(O2252&gt;1000,10,MATCH(O2252,Cargas,1))),Coluna_fih,1,1))*(1+0.13*0.25)*(PI()*(fi_h/1000)^2/4)*SQRT(2*9.81*(O2252/100-fi_h/2/1000))*1000)),"",IF(O2252&lt;fi_h/20,0,(OFFSET('Base de dados'!$A$5,IF(O2252&lt;20,1,IF(O2252&gt;1000,10,MATCH(O2252,Cargas,1))),Coluna_fih,1,1))*(PI()*(fi_h/1000)^2/4)*SQRT(2*9.81*(O2252/100-fi_h/2/1000))*1000))</f>
        <v>6.3400673283563949</v>
      </c>
      <c r="Q2252" s="38">
        <f ca="1">IF(O2252="","",IF(Tipo_Vertedor="Retangular",IF(O2252&lt;=cota_s*100,0,IF(Tipo_Vertedor="Retangular",Cd_sr*Lef_sr*((O2252/100-cota_s)^(3/2))*1000)),IF(O2252&lt;=cota_s*100+fi_s/20,0,(OFFSET('Base de dados'!$A$4,IF(O2252&lt;20,1,IF(O2252&gt;1000,10,MATCH(O2252,Cargas,1))),Coluna_fis,1,1))*(PI()*(fi_s/1000)^2/4)*(2*9.81*(O2252/100-cota_s-fi_s/2/1000))^0.5*1000)))</f>
        <v>5.6212212676442483</v>
      </c>
      <c r="R2252" s="38">
        <f t="shared" ca="1" si="260"/>
        <v>11.961288596000642</v>
      </c>
      <c r="S2252" s="38">
        <f t="shared" ca="1" si="261"/>
        <v>703.43750000000011</v>
      </c>
    </row>
    <row r="2253" spans="13:19">
      <c r="M2253" s="132">
        <f t="shared" ca="1" si="258"/>
        <v>715.71429426186194</v>
      </c>
      <c r="N2253" s="38">
        <f t="shared" si="259"/>
        <v>21.112500000000001</v>
      </c>
      <c r="O2253" s="36">
        <f t="shared" si="257"/>
        <v>563</v>
      </c>
      <c r="P2253" s="38">
        <f ca="1">IF(ISERROR(IF(O2253&lt;fi_h/20,0,(OFFSET('Base de dados'!$A$5,IF(O2253&lt;20,1,IF(O2253&gt;1000,10,MATCH(O2253,Cargas,1))),Coluna_fih,1,1))*(1+0.13*0.25)*(PI()*(fi_h/1000)^2/4)*SQRT(2*9.81*(O2253/100-fi_h/2/1000))*1000)),"",IF(O2253&lt;fi_h/20,0,(OFFSET('Base de dados'!$A$5,IF(O2253&lt;20,1,IF(O2253&gt;1000,10,MATCH(O2253,Cargas,1))),Coluna_fih,1,1))*(PI()*(fi_h/1000)^2/4)*SQRT(2*9.81*(O2253/100-fi_h/2/1000))*1000))</f>
        <v>6.3414798671578048</v>
      </c>
      <c r="Q2253" s="38">
        <f ca="1">IF(O2253="","",IF(Tipo_Vertedor="Retangular",IF(O2253&lt;=cota_s*100,0,IF(Tipo_Vertedor="Retangular",Cd_sr*Lef_sr*((O2253/100-cota_s)^(3/2))*1000)),IF(O2253&lt;=cota_s*100+fi_s/20,0,(OFFSET('Base de dados'!$A$4,IF(O2253&lt;20,1,IF(O2253&gt;1000,10,MATCH(O2253,Cargas,1))),Coluna_fis,1,1))*(PI()*(fi_s/1000)^2/4)*(2*9.81*(O2253/100-cota_s-fi_s/2/1000))^0.5*1000)))</f>
        <v>5.6228143947040934</v>
      </c>
      <c r="R2253" s="38">
        <f t="shared" ca="1" si="260"/>
        <v>11.964294261861898</v>
      </c>
      <c r="S2253" s="38">
        <f t="shared" ca="1" si="261"/>
        <v>703.75</v>
      </c>
    </row>
    <row r="2254" spans="13:19">
      <c r="M2254" s="132">
        <f t="shared" ca="1" si="258"/>
        <v>716.02979916189895</v>
      </c>
      <c r="N2254" s="38">
        <f t="shared" si="259"/>
        <v>21.121875000000003</v>
      </c>
      <c r="O2254" s="36">
        <f t="shared" si="257"/>
        <v>563.25</v>
      </c>
      <c r="P2254" s="38">
        <f ca="1">IF(ISERROR(IF(O2254&lt;fi_h/20,0,(OFFSET('Base de dados'!$A$5,IF(O2254&lt;20,1,IF(O2254&gt;1000,10,MATCH(O2254,Cargas,1))),Coluna_fih,1,1))*(1+0.13*0.25)*(PI()*(fi_h/1000)^2/4)*SQRT(2*9.81*(O2254/100-fi_h/2/1000))*1000)),"",IF(O2254&lt;fi_h/20,0,(OFFSET('Base de dados'!$A$5,IF(O2254&lt;20,1,IF(O2254&gt;1000,10,MATCH(O2254,Cargas,1))),Coluna_fih,1,1))*(PI()*(fi_h/1000)^2/4)*SQRT(2*9.81*(O2254/100-fi_h/2/1000))*1000))</f>
        <v>6.342892091392013</v>
      </c>
      <c r="Q2254" s="38">
        <f ca="1">IF(O2254="","",IF(Tipo_Vertedor="Retangular",IF(O2254&lt;=cota_s*100,0,IF(Tipo_Vertedor="Retangular",Cd_sr*Lef_sr*((O2254/100-cota_s)^(3/2))*1000)),IF(O2254&lt;=cota_s*100+fi_s/20,0,(OFFSET('Base de dados'!$A$4,IF(O2254&lt;20,1,IF(O2254&gt;1000,10,MATCH(O2254,Cargas,1))),Coluna_fis,1,1))*(PI()*(fi_s/1000)^2/4)*(2*9.81*(O2254/100-cota_s-fi_s/2/1000))^0.5*1000)))</f>
        <v>5.6244070705068232</v>
      </c>
      <c r="R2254" s="38">
        <f t="shared" ca="1" si="260"/>
        <v>11.967299161898836</v>
      </c>
      <c r="S2254" s="38">
        <f t="shared" ca="1" si="261"/>
        <v>704.06250000000011</v>
      </c>
    </row>
    <row r="2255" spans="13:19">
      <c r="M2255" s="132">
        <f t="shared" ca="1" si="258"/>
        <v>716.34530329670463</v>
      </c>
      <c r="N2255" s="38">
        <f t="shared" si="259"/>
        <v>21.131249999999998</v>
      </c>
      <c r="O2255" s="36">
        <f t="shared" si="257"/>
        <v>563.5</v>
      </c>
      <c r="P2255" s="38">
        <f ca="1">IF(ISERROR(IF(O2255&lt;fi_h/20,0,(OFFSET('Base de dados'!$A$5,IF(O2255&lt;20,1,IF(O2255&gt;1000,10,MATCH(O2255,Cargas,1))),Coluna_fih,1,1))*(1+0.13*0.25)*(PI()*(fi_h/1000)^2/4)*SQRT(2*9.81*(O2255/100-fi_h/2/1000))*1000)),"",IF(O2255&lt;fi_h/20,0,(OFFSET('Base de dados'!$A$5,IF(O2255&lt;20,1,IF(O2255&gt;1000,10,MATCH(O2255,Cargas,1))),Coluna_fih,1,1))*(PI()*(fi_h/1000)^2/4)*SQRT(2*9.81*(O2255/100-fi_h/2/1000))*1000))</f>
        <v>6.3443040012690837</v>
      </c>
      <c r="Q2255" s="38">
        <f ca="1">IF(O2255="","",IF(Tipo_Vertedor="Retangular",IF(O2255&lt;=cota_s*100,0,IF(Tipo_Vertedor="Retangular",Cd_sr*Lef_sr*((O2255/100-cota_s)^(3/2))*1000)),IF(O2255&lt;=cota_s*100+fi_s/20,0,(OFFSET('Base de dados'!$A$4,IF(O2255&lt;20,1,IF(O2255&gt;1000,10,MATCH(O2255,Cargas,1))),Coluna_fis,1,1))*(PI()*(fi_s/1000)^2/4)*(2*9.81*(O2255/100-cota_s-fi_s/2/1000))^0.5*1000)))</f>
        <v>5.6259992954356761</v>
      </c>
      <c r="R2255" s="38">
        <f t="shared" ca="1" si="260"/>
        <v>11.97030329670476</v>
      </c>
      <c r="S2255" s="38">
        <f t="shared" ca="1" si="261"/>
        <v>704.37499999999989</v>
      </c>
    </row>
    <row r="2256" spans="13:19">
      <c r="M2256" s="132">
        <f t="shared" ca="1" si="258"/>
        <v>716.66080666687219</v>
      </c>
      <c r="N2256" s="38">
        <f t="shared" si="259"/>
        <v>21.140625</v>
      </c>
      <c r="O2256" s="36">
        <f t="shared" si="257"/>
        <v>563.75</v>
      </c>
      <c r="P2256" s="38">
        <f ca="1">IF(ISERROR(IF(O2256&lt;fi_h/20,0,(OFFSET('Base de dados'!$A$5,IF(O2256&lt;20,1,IF(O2256&gt;1000,10,MATCH(O2256,Cargas,1))),Coluna_fih,1,1))*(1+0.13*0.25)*(PI()*(fi_h/1000)^2/4)*SQRT(2*9.81*(O2256/100-fi_h/2/1000))*1000)),"",IF(O2256&lt;fi_h/20,0,(OFFSET('Base de dados'!$A$5,IF(O2256&lt;20,1,IF(O2256&gt;1000,10,MATCH(O2256,Cargas,1))),Coluna_fih,1,1))*(PI()*(fi_h/1000)^2/4)*SQRT(2*9.81*(O2256/100-fi_h/2/1000))*1000))</f>
        <v>6.3457155969988523</v>
      </c>
      <c r="Q2256" s="38">
        <f ca="1">IF(O2256="","",IF(Tipo_Vertedor="Retangular",IF(O2256&lt;=cota_s*100,0,IF(Tipo_Vertedor="Retangular",Cd_sr*Lef_sr*((O2256/100-cota_s)^(3/2))*1000)),IF(O2256&lt;=cota_s*100+fi_s/20,0,(OFFSET('Base de dados'!$A$4,IF(O2256&lt;20,1,IF(O2256&gt;1000,10,MATCH(O2256,Cargas,1))),Coluna_fis,1,1))*(PI()*(fi_s/1000)^2/4)*(2*9.81*(O2256/100-cota_s-fi_s/2/1000))^0.5*1000)))</f>
        <v>5.6275910698733513</v>
      </c>
      <c r="R2256" s="38">
        <f t="shared" ca="1" si="260"/>
        <v>11.973306666872205</v>
      </c>
      <c r="S2256" s="38">
        <f t="shared" ca="1" si="261"/>
        <v>704.6875</v>
      </c>
    </row>
    <row r="2257" spans="13:19">
      <c r="M2257" s="132">
        <f t="shared" ca="1" si="258"/>
        <v>716.97630927299292</v>
      </c>
      <c r="N2257" s="38">
        <f t="shared" si="259"/>
        <v>21.15</v>
      </c>
      <c r="O2257" s="36">
        <f t="shared" si="257"/>
        <v>564</v>
      </c>
      <c r="P2257" s="38">
        <f ca="1">IF(ISERROR(IF(O2257&lt;fi_h/20,0,(OFFSET('Base de dados'!$A$5,IF(O2257&lt;20,1,IF(O2257&gt;1000,10,MATCH(O2257,Cargas,1))),Coluna_fih,1,1))*(1+0.13*0.25)*(PI()*(fi_h/1000)^2/4)*SQRT(2*9.81*(O2257/100-fi_h/2/1000))*1000)),"",IF(O2257&lt;fi_h/20,0,(OFFSET('Base de dados'!$A$5,IF(O2257&lt;20,1,IF(O2257&gt;1000,10,MATCH(O2257,Cargas,1))),Coluna_fih,1,1))*(PI()*(fi_h/1000)^2/4)*SQRT(2*9.81*(O2257/100-fi_h/2/1000))*1000))</f>
        <v>6.3471268787909123</v>
      </c>
      <c r="Q2257" s="38">
        <f ca="1">IF(O2257="","",IF(Tipo_Vertedor="Retangular",IF(O2257&lt;=cota_s*100,0,IF(Tipo_Vertedor="Retangular",Cd_sr*Lef_sr*((O2257/100-cota_s)^(3/2))*1000)),IF(O2257&lt;=cota_s*100+fi_s/20,0,(OFFSET('Base de dados'!$A$4,IF(O2257&lt;20,1,IF(O2257&gt;1000,10,MATCH(O2257,Cargas,1))),Coluna_fis,1,1))*(PI()*(fi_s/1000)^2/4)*(2*9.81*(O2257/100-cota_s-fi_s/2/1000))^0.5*1000)))</f>
        <v>5.6291823942020107</v>
      </c>
      <c r="R2257" s="38">
        <f t="shared" ca="1" si="260"/>
        <v>11.976309272992923</v>
      </c>
      <c r="S2257" s="38">
        <f t="shared" ca="1" si="261"/>
        <v>705</v>
      </c>
    </row>
    <row r="2258" spans="13:19">
      <c r="M2258" s="132">
        <f t="shared" ca="1" si="258"/>
        <v>717.29181111565788</v>
      </c>
      <c r="N2258" s="38">
        <f t="shared" si="259"/>
        <v>21.159375000000001</v>
      </c>
      <c r="O2258" s="36">
        <f t="shared" si="257"/>
        <v>564.25</v>
      </c>
      <c r="P2258" s="38">
        <f ca="1">IF(ISERROR(IF(O2258&lt;fi_h/20,0,(OFFSET('Base de dados'!$A$5,IF(O2258&lt;20,1,IF(O2258&gt;1000,10,MATCH(O2258,Cargas,1))),Coluna_fih,1,1))*(1+0.13*0.25)*(PI()*(fi_h/1000)^2/4)*SQRT(2*9.81*(O2258/100-fi_h/2/1000))*1000)),"",IF(O2258&lt;fi_h/20,0,(OFFSET('Base de dados'!$A$5,IF(O2258&lt;20,1,IF(O2258&gt;1000,10,MATCH(O2258,Cargas,1))),Coluna_fih,1,1))*(PI()*(fi_h/1000)^2/4)*SQRT(2*9.81*(O2258/100-fi_h/2/1000))*1000))</f>
        <v>6.3485378468546321</v>
      </c>
      <c r="Q2258" s="38">
        <f ca="1">IF(O2258="","",IF(Tipo_Vertedor="Retangular",IF(O2258&lt;=cota_s*100,0,IF(Tipo_Vertedor="Retangular",Cd_sr*Lef_sr*((O2258/100-cota_s)^(3/2))*1000)),IF(O2258&lt;=cota_s*100+fi_s/20,0,(OFFSET('Base de dados'!$A$4,IF(O2258&lt;20,1,IF(O2258&gt;1000,10,MATCH(O2258,Cargas,1))),Coluna_fis,1,1))*(PI()*(fi_s/1000)^2/4)*(2*9.81*(O2258/100-cota_s-fi_s/2/1000))^0.5*1000)))</f>
        <v>5.630773268803269</v>
      </c>
      <c r="R2258" s="38">
        <f t="shared" ca="1" si="260"/>
        <v>11.9793111156579</v>
      </c>
      <c r="S2258" s="38">
        <f t="shared" ca="1" si="261"/>
        <v>705.3125</v>
      </c>
    </row>
    <row r="2259" spans="13:19">
      <c r="M2259" s="132">
        <f t="shared" ca="1" si="258"/>
        <v>717.60731219545733</v>
      </c>
      <c r="N2259" s="38">
        <f t="shared" si="259"/>
        <v>21.168749999999999</v>
      </c>
      <c r="O2259" s="36">
        <f t="shared" ref="O2259:O2322" si="262">IF(ISERROR(IF(O2258+passo_altura&gt;h_max_puls*100,"",O2258+passo_altura)),"",IF(O2258+passo_altura&gt;h_max_puls*100,"",O2258+passo_altura))</f>
        <v>564.5</v>
      </c>
      <c r="P2259" s="38">
        <f ca="1">IF(ISERROR(IF(O2259&lt;fi_h/20,0,(OFFSET('Base de dados'!$A$5,IF(O2259&lt;20,1,IF(O2259&gt;1000,10,MATCH(O2259,Cargas,1))),Coluna_fih,1,1))*(1+0.13*0.25)*(PI()*(fi_h/1000)^2/4)*SQRT(2*9.81*(O2259/100-fi_h/2/1000))*1000)),"",IF(O2259&lt;fi_h/20,0,(OFFSET('Base de dados'!$A$5,IF(O2259&lt;20,1,IF(O2259&gt;1000,10,MATCH(O2259,Cargas,1))),Coluna_fih,1,1))*(PI()*(fi_h/1000)^2/4)*SQRT(2*9.81*(O2259/100-fi_h/2/1000))*1000))</f>
        <v>6.3499485013991421</v>
      </c>
      <c r="Q2259" s="38">
        <f ca="1">IF(O2259="","",IF(Tipo_Vertedor="Retangular",IF(O2259&lt;=cota_s*100,0,IF(Tipo_Vertedor="Retangular",Cd_sr*Lef_sr*((O2259/100-cota_s)^(3/2))*1000)),IF(O2259&lt;=cota_s*100+fi_s/20,0,(OFFSET('Base de dados'!$A$4,IF(O2259&lt;20,1,IF(O2259&gt;1000,10,MATCH(O2259,Cargas,1))),Coluna_fis,1,1))*(PI()*(fi_s/1000)^2/4)*(2*9.81*(O2259/100-cota_s-fi_s/2/1000))^0.5*1000)))</f>
        <v>5.632363694058208</v>
      </c>
      <c r="R2259" s="38">
        <f t="shared" ca="1" si="260"/>
        <v>11.98231219545735</v>
      </c>
      <c r="S2259" s="38">
        <f t="shared" ca="1" si="261"/>
        <v>705.625</v>
      </c>
    </row>
    <row r="2260" spans="13:19">
      <c r="M2260" s="132">
        <f t="shared" ca="1" si="258"/>
        <v>717.92281251298073</v>
      </c>
      <c r="N2260" s="38">
        <f t="shared" si="259"/>
        <v>21.178125000000001</v>
      </c>
      <c r="O2260" s="36">
        <f t="shared" si="262"/>
        <v>564.75</v>
      </c>
      <c r="P2260" s="38">
        <f ca="1">IF(ISERROR(IF(O2260&lt;fi_h/20,0,(OFFSET('Base de dados'!$A$5,IF(O2260&lt;20,1,IF(O2260&gt;1000,10,MATCH(O2260,Cargas,1))),Coluna_fih,1,1))*(1+0.13*0.25)*(PI()*(fi_h/1000)^2/4)*SQRT(2*9.81*(O2260/100-fi_h/2/1000))*1000)),"",IF(O2260&lt;fi_h/20,0,(OFFSET('Base de dados'!$A$5,IF(O2260&lt;20,1,IF(O2260&gt;1000,10,MATCH(O2260,Cargas,1))),Coluna_fih,1,1))*(PI()*(fi_h/1000)^2/4)*SQRT(2*9.81*(O2260/100-fi_h/2/1000))*1000))</f>
        <v>6.3513588426333456</v>
      </c>
      <c r="Q2260" s="38">
        <f ca="1">IF(O2260="","",IF(Tipo_Vertedor="Retangular",IF(O2260&lt;=cota_s*100,0,IF(Tipo_Vertedor="Retangular",Cd_sr*Lef_sr*((O2260/100-cota_s)^(3/2))*1000)),IF(O2260&lt;=cota_s*100+fi_s/20,0,(OFFSET('Base de dados'!$A$4,IF(O2260&lt;20,1,IF(O2260&gt;1000,10,MATCH(O2260,Cargas,1))),Coluna_fis,1,1))*(PI()*(fi_s/1000)^2/4)*(2*9.81*(O2260/100-cota_s-fi_s/2/1000))^0.5*1000)))</f>
        <v>5.6339536703473687</v>
      </c>
      <c r="R2260" s="38">
        <f t="shared" ca="1" si="260"/>
        <v>11.985312512980714</v>
      </c>
      <c r="S2260" s="38">
        <f t="shared" ca="1" si="261"/>
        <v>705.9375</v>
      </c>
    </row>
    <row r="2261" spans="13:19">
      <c r="M2261" s="132">
        <f t="shared" ca="1" si="258"/>
        <v>718.23831206881664</v>
      </c>
      <c r="N2261" s="38">
        <f t="shared" si="259"/>
        <v>21.1875</v>
      </c>
      <c r="O2261" s="36">
        <f t="shared" si="262"/>
        <v>565</v>
      </c>
      <c r="P2261" s="38">
        <f ca="1">IF(ISERROR(IF(O2261&lt;fi_h/20,0,(OFFSET('Base de dados'!$A$5,IF(O2261&lt;20,1,IF(O2261&gt;1000,10,MATCH(O2261,Cargas,1))),Coluna_fih,1,1))*(1+0.13*0.25)*(PI()*(fi_h/1000)^2/4)*SQRT(2*9.81*(O2261/100-fi_h/2/1000))*1000)),"",IF(O2261&lt;fi_h/20,0,(OFFSET('Base de dados'!$A$5,IF(O2261&lt;20,1,IF(O2261&gt;1000,10,MATCH(O2261,Cargas,1))),Coluna_fih,1,1))*(PI()*(fi_h/1000)^2/4)*SQRT(2*9.81*(O2261/100-fi_h/2/1000))*1000))</f>
        <v>6.3527688707659093</v>
      </c>
      <c r="Q2261" s="38">
        <f ca="1">IF(O2261="","",IF(Tipo_Vertedor="Retangular",IF(O2261&lt;=cota_s*100,0,IF(Tipo_Vertedor="Retangular",Cd_sr*Lef_sr*((O2261/100-cota_s)^(3/2))*1000)),IF(O2261&lt;=cota_s*100+fi_s/20,0,(OFFSET('Base de dados'!$A$4,IF(O2261&lt;20,1,IF(O2261&gt;1000,10,MATCH(O2261,Cargas,1))),Coluna_fis,1,1))*(PI()*(fi_s/1000)^2/4)*(2*9.81*(O2261/100-cota_s-fi_s/2/1000))^0.5*1000)))</f>
        <v>5.6355431980507591</v>
      </c>
      <c r="R2261" s="38">
        <f t="shared" ca="1" si="260"/>
        <v>11.988312068816668</v>
      </c>
      <c r="S2261" s="38">
        <f t="shared" ca="1" si="261"/>
        <v>706.25</v>
      </c>
    </row>
    <row r="2262" spans="13:19">
      <c r="M2262" s="132">
        <f t="shared" ca="1" si="258"/>
        <v>718.55381086355317</v>
      </c>
      <c r="N2262" s="38">
        <f t="shared" si="259"/>
        <v>21.196874999999999</v>
      </c>
      <c r="O2262" s="36">
        <f t="shared" si="262"/>
        <v>565.25</v>
      </c>
      <c r="P2262" s="38">
        <f ca="1">IF(ISERROR(IF(O2262&lt;fi_h/20,0,(OFFSET('Base de dados'!$A$5,IF(O2262&lt;20,1,IF(O2262&gt;1000,10,MATCH(O2262,Cargas,1))),Coluna_fih,1,1))*(1+0.13*0.25)*(PI()*(fi_h/1000)^2/4)*SQRT(2*9.81*(O2262/100-fi_h/2/1000))*1000)),"",IF(O2262&lt;fi_h/20,0,(OFFSET('Base de dados'!$A$5,IF(O2262&lt;20,1,IF(O2262&gt;1000,10,MATCH(O2262,Cargas,1))),Coluna_fih,1,1))*(PI()*(fi_h/1000)^2/4)*SQRT(2*9.81*(O2262/100-fi_h/2/1000))*1000))</f>
        <v>6.3541785860052711</v>
      </c>
      <c r="Q2262" s="38">
        <f ca="1">IF(O2262="","",IF(Tipo_Vertedor="Retangular",IF(O2262&lt;=cota_s*100,0,IF(Tipo_Vertedor="Retangular",Cd_sr*Lef_sr*((O2262/100-cota_s)^(3/2))*1000)),IF(O2262&lt;=cota_s*100+fi_s/20,0,(OFFSET('Base de dados'!$A$4,IF(O2262&lt;20,1,IF(O2262&gt;1000,10,MATCH(O2262,Cargas,1))),Coluna_fis,1,1))*(PI()*(fi_s/1000)^2/4)*(2*9.81*(O2262/100-cota_s-fi_s/2/1000))^0.5*1000)))</f>
        <v>5.6371322775478445</v>
      </c>
      <c r="R2262" s="38">
        <f t="shared" ca="1" si="260"/>
        <v>11.991310863553116</v>
      </c>
      <c r="S2262" s="38">
        <f t="shared" ca="1" si="261"/>
        <v>706.5625</v>
      </c>
    </row>
    <row r="2263" spans="13:19">
      <c r="M2263" s="132">
        <f t="shared" ref="M2263:M2326" ca="1" si="263">IF(O2263="","",2*N2263*1000/(Passo*60)+R2263)</f>
        <v>718.86930889777716</v>
      </c>
      <c r="N2263" s="38">
        <f t="shared" ref="N2263:N2326" si="264">IF(O2263="","",b_0*(O2263/100)^c_0)</f>
        <v>21.206250000000001</v>
      </c>
      <c r="O2263" s="36">
        <f t="shared" si="262"/>
        <v>565.5</v>
      </c>
      <c r="P2263" s="38">
        <f ca="1">IF(ISERROR(IF(O2263&lt;fi_h/20,0,(OFFSET('Base de dados'!$A$5,IF(O2263&lt;20,1,IF(O2263&gt;1000,10,MATCH(O2263,Cargas,1))),Coluna_fih,1,1))*(1+0.13*0.25)*(PI()*(fi_h/1000)^2/4)*SQRT(2*9.81*(O2263/100-fi_h/2/1000))*1000)),"",IF(O2263&lt;fi_h/20,0,(OFFSET('Base de dados'!$A$5,IF(O2263&lt;20,1,IF(O2263&gt;1000,10,MATCH(O2263,Cargas,1))),Coluna_fih,1,1))*(PI()*(fi_h/1000)^2/4)*SQRT(2*9.81*(O2263/100-fi_h/2/1000))*1000))</f>
        <v>6.3555879885596367</v>
      </c>
      <c r="Q2263" s="38">
        <f ca="1">IF(O2263="","",IF(Tipo_Vertedor="Retangular",IF(O2263&lt;=cota_s*100,0,IF(Tipo_Vertedor="Retangular",Cd_sr*Lef_sr*((O2263/100-cota_s)^(3/2))*1000)),IF(O2263&lt;=cota_s*100+fi_s/20,0,(OFFSET('Base de dados'!$A$4,IF(O2263&lt;20,1,IF(O2263&gt;1000,10,MATCH(O2263,Cargas,1))),Coluna_fis,1,1))*(PI()*(fi_s/1000)^2/4)*(2*9.81*(O2263/100-cota_s-fi_s/2/1000))^0.5*1000)))</f>
        <v>5.638720909217561</v>
      </c>
      <c r="R2263" s="38">
        <f t="shared" ref="R2263:R2326" ca="1" si="265">IF(O2263="","",Q2263+P2263)</f>
        <v>11.994308897777199</v>
      </c>
      <c r="S2263" s="38">
        <f t="shared" ref="S2263:S2326" ca="1" si="266">IF(M2263="","",2*N2263*1000/(Passo*60))</f>
        <v>706.875</v>
      </c>
    </row>
    <row r="2264" spans="13:19">
      <c r="M2264" s="132">
        <f t="shared" ca="1" si="263"/>
        <v>719.18480617207524</v>
      </c>
      <c r="N2264" s="38">
        <f t="shared" si="264"/>
        <v>21.215624999999999</v>
      </c>
      <c r="O2264" s="36">
        <f t="shared" si="262"/>
        <v>565.75</v>
      </c>
      <c r="P2264" s="38">
        <f ca="1">IF(ISERROR(IF(O2264&lt;fi_h/20,0,(OFFSET('Base de dados'!$A$5,IF(O2264&lt;20,1,IF(O2264&gt;1000,10,MATCH(O2264,Cargas,1))),Coluna_fih,1,1))*(1+0.13*0.25)*(PI()*(fi_h/1000)^2/4)*SQRT(2*9.81*(O2264/100-fi_h/2/1000))*1000)),"",IF(O2264&lt;fi_h/20,0,(OFFSET('Base de dados'!$A$5,IF(O2264&lt;20,1,IF(O2264&gt;1000,10,MATCH(O2264,Cargas,1))),Coluna_fih,1,1))*(PI()*(fi_h/1000)^2/4)*SQRT(2*9.81*(O2264/100-fi_h/2/1000))*1000))</f>
        <v>6.3569970786369794</v>
      </c>
      <c r="Q2264" s="38">
        <f ca="1">IF(O2264="","",IF(Tipo_Vertedor="Retangular",IF(O2264&lt;=cota_s*100,0,IF(Tipo_Vertedor="Retangular",Cd_sr*Lef_sr*((O2264/100-cota_s)^(3/2))*1000)),IF(O2264&lt;=cota_s*100+fi_s/20,0,(OFFSET('Base de dados'!$A$4,IF(O2264&lt;20,1,IF(O2264&gt;1000,10,MATCH(O2264,Cargas,1))),Coluna_fis,1,1))*(PI()*(fi_s/1000)^2/4)*(2*9.81*(O2264/100-cota_s-fi_s/2/1000))^0.5*1000)))</f>
        <v>5.6403090934383115</v>
      </c>
      <c r="R2264" s="38">
        <f t="shared" ca="1" si="265"/>
        <v>11.997306172075291</v>
      </c>
      <c r="S2264" s="38">
        <f t="shared" ca="1" si="266"/>
        <v>707.1875</v>
      </c>
    </row>
    <row r="2265" spans="13:19">
      <c r="M2265" s="132">
        <f t="shared" ca="1" si="263"/>
        <v>719.50030268703301</v>
      </c>
      <c r="N2265" s="38">
        <f t="shared" si="264"/>
        <v>21.225000000000001</v>
      </c>
      <c r="O2265" s="36">
        <f t="shared" si="262"/>
        <v>566</v>
      </c>
      <c r="P2265" s="38">
        <f ca="1">IF(ISERROR(IF(O2265&lt;fi_h/20,0,(OFFSET('Base de dados'!$A$5,IF(O2265&lt;20,1,IF(O2265&gt;1000,10,MATCH(O2265,Cargas,1))),Coluna_fih,1,1))*(1+0.13*0.25)*(PI()*(fi_h/1000)^2/4)*SQRT(2*9.81*(O2265/100-fi_h/2/1000))*1000)),"",IF(O2265&lt;fi_h/20,0,(OFFSET('Base de dados'!$A$5,IF(O2265&lt;20,1,IF(O2265&gt;1000,10,MATCH(O2265,Cargas,1))),Coluna_fih,1,1))*(PI()*(fi_h/1000)^2/4)*SQRT(2*9.81*(O2265/100-fi_h/2/1000))*1000))</f>
        <v>6.3584058564450467</v>
      </c>
      <c r="Q2265" s="38">
        <f ca="1">IF(O2265="","",IF(Tipo_Vertedor="Retangular",IF(O2265&lt;=cota_s*100,0,IF(Tipo_Vertedor="Retangular",Cd_sr*Lef_sr*((O2265/100-cota_s)^(3/2))*1000)),IF(O2265&lt;=cota_s*100+fi_s/20,0,(OFFSET('Base de dados'!$A$4,IF(O2265&lt;20,1,IF(O2265&gt;1000,10,MATCH(O2265,Cargas,1))),Coluna_fis,1,1))*(PI()*(fi_s/1000)^2/4)*(2*9.81*(O2265/100-cota_s-fi_s/2/1000))^0.5*1000)))</f>
        <v>5.6418968305879611</v>
      </c>
      <c r="R2265" s="38">
        <f t="shared" ca="1" si="265"/>
        <v>12.000302687033008</v>
      </c>
      <c r="S2265" s="38">
        <f t="shared" ca="1" si="266"/>
        <v>707.5</v>
      </c>
    </row>
    <row r="2266" spans="13:19">
      <c r="M2266" s="132">
        <f t="shared" ca="1" si="263"/>
        <v>719.81579844323517</v>
      </c>
      <c r="N2266" s="38">
        <f t="shared" si="264"/>
        <v>21.234375</v>
      </c>
      <c r="O2266" s="36">
        <f t="shared" si="262"/>
        <v>566.25</v>
      </c>
      <c r="P2266" s="38">
        <f ca="1">IF(ISERROR(IF(O2266&lt;fi_h/20,0,(OFFSET('Base de dados'!$A$5,IF(O2266&lt;20,1,IF(O2266&gt;1000,10,MATCH(O2266,Cargas,1))),Coluna_fih,1,1))*(1+0.13*0.25)*(PI()*(fi_h/1000)^2/4)*SQRT(2*9.81*(O2266/100-fi_h/2/1000))*1000)),"",IF(O2266&lt;fi_h/20,0,(OFFSET('Base de dados'!$A$5,IF(O2266&lt;20,1,IF(O2266&gt;1000,10,MATCH(O2266,Cargas,1))),Coluna_fih,1,1))*(PI()*(fi_h/1000)^2/4)*SQRT(2*9.81*(O2266/100-fi_h/2/1000))*1000))</f>
        <v>6.3598143221913519</v>
      </c>
      <c r="Q2266" s="38">
        <f ca="1">IF(O2266="","",IF(Tipo_Vertedor="Retangular",IF(O2266&lt;=cota_s*100,0,IF(Tipo_Vertedor="Retangular",Cd_sr*Lef_sr*((O2266/100-cota_s)^(3/2))*1000)),IF(O2266&lt;=cota_s*100+fi_s/20,0,(OFFSET('Base de dados'!$A$4,IF(O2266&lt;20,1,IF(O2266&gt;1000,10,MATCH(O2266,Cargas,1))),Coluna_fis,1,1))*(PI()*(fi_s/1000)^2/4)*(2*9.81*(O2266/100-cota_s-fi_s/2/1000))^0.5*1000)))</f>
        <v>5.6434841210438478</v>
      </c>
      <c r="R2266" s="38">
        <f t="shared" ca="1" si="265"/>
        <v>12.003298443235199</v>
      </c>
      <c r="S2266" s="38">
        <f t="shared" ca="1" si="266"/>
        <v>707.8125</v>
      </c>
    </row>
    <row r="2267" spans="13:19">
      <c r="M2267" s="132">
        <f t="shared" ca="1" si="263"/>
        <v>720.13129344126594</v>
      </c>
      <c r="N2267" s="38">
        <f t="shared" si="264"/>
        <v>21.243749999999999</v>
      </c>
      <c r="O2267" s="36">
        <f t="shared" si="262"/>
        <v>566.5</v>
      </c>
      <c r="P2267" s="38">
        <f ca="1">IF(ISERROR(IF(O2267&lt;fi_h/20,0,(OFFSET('Base de dados'!$A$5,IF(O2267&lt;20,1,IF(O2267&gt;1000,10,MATCH(O2267,Cargas,1))),Coluna_fih,1,1))*(1+0.13*0.25)*(PI()*(fi_h/1000)^2/4)*SQRT(2*9.81*(O2267/100-fi_h/2/1000))*1000)),"",IF(O2267&lt;fi_h/20,0,(OFFSET('Base de dados'!$A$5,IF(O2267&lt;20,1,IF(O2267&gt;1000,10,MATCH(O2267,Cargas,1))),Coluna_fih,1,1))*(PI()*(fi_h/1000)^2/4)*SQRT(2*9.81*(O2267/100-fi_h/2/1000))*1000))</f>
        <v>6.3612224760831806</v>
      </c>
      <c r="Q2267" s="38">
        <f ca="1">IF(O2267="","",IF(Tipo_Vertedor="Retangular",IF(O2267&lt;=cota_s*100,0,IF(Tipo_Vertedor="Retangular",Cd_sr*Lef_sr*((O2267/100-cota_s)^(3/2))*1000)),IF(O2267&lt;=cota_s*100+fi_s/20,0,(OFFSET('Base de dados'!$A$4,IF(O2267&lt;20,1,IF(O2267&gt;1000,10,MATCH(O2267,Cargas,1))),Coluna_fis,1,1))*(PI()*(fi_s/1000)^2/4)*(2*9.81*(O2267/100-cota_s-fi_s/2/1000))^0.5*1000)))</f>
        <v>5.6450709651827786</v>
      </c>
      <c r="R2267" s="38">
        <f t="shared" ca="1" si="265"/>
        <v>12.00629344126596</v>
      </c>
      <c r="S2267" s="38">
        <f t="shared" ca="1" si="266"/>
        <v>708.125</v>
      </c>
    </row>
    <row r="2268" spans="13:19">
      <c r="M2268" s="132">
        <f t="shared" ca="1" si="263"/>
        <v>720.44678768170866</v>
      </c>
      <c r="N2268" s="38">
        <f t="shared" si="264"/>
        <v>21.253125000000001</v>
      </c>
      <c r="O2268" s="36">
        <f t="shared" si="262"/>
        <v>566.75</v>
      </c>
      <c r="P2268" s="38">
        <f ca="1">IF(ISERROR(IF(O2268&lt;fi_h/20,0,(OFFSET('Base de dados'!$A$5,IF(O2268&lt;20,1,IF(O2268&gt;1000,10,MATCH(O2268,Cargas,1))),Coluna_fih,1,1))*(1+0.13*0.25)*(PI()*(fi_h/1000)^2/4)*SQRT(2*9.81*(O2268/100-fi_h/2/1000))*1000)),"",IF(O2268&lt;fi_h/20,0,(OFFSET('Base de dados'!$A$5,IF(O2268&lt;20,1,IF(O2268&gt;1000,10,MATCH(O2268,Cargas,1))),Coluna_fih,1,1))*(PI()*(fi_h/1000)^2/4)*SQRT(2*9.81*(O2268/100-fi_h/2/1000))*1000))</f>
        <v>6.3626303183275859</v>
      </c>
      <c r="Q2268" s="38">
        <f ca="1">IF(O2268="","",IF(Tipo_Vertedor="Retangular",IF(O2268&lt;=cota_s*100,0,IF(Tipo_Vertedor="Retangular",Cd_sr*Lef_sr*((O2268/100-cota_s)^(3/2))*1000)),IF(O2268&lt;=cota_s*100+fi_s/20,0,(OFFSET('Base de dados'!$A$4,IF(O2268&lt;20,1,IF(O2268&gt;1000,10,MATCH(O2268,Cargas,1))),Coluna_fis,1,1))*(PI()*(fi_s/1000)^2/4)*(2*9.81*(O2268/100-cota_s-fi_s/2/1000))^0.5*1000)))</f>
        <v>5.6466573633810295</v>
      </c>
      <c r="R2268" s="38">
        <f t="shared" ca="1" si="265"/>
        <v>12.009287681708615</v>
      </c>
      <c r="S2268" s="38">
        <f t="shared" ca="1" si="266"/>
        <v>708.4375</v>
      </c>
    </row>
    <row r="2269" spans="13:19">
      <c r="M2269" s="132">
        <f t="shared" ca="1" si="263"/>
        <v>720.76228116514574</v>
      </c>
      <c r="N2269" s="38">
        <f t="shared" si="264"/>
        <v>21.262499999999999</v>
      </c>
      <c r="O2269" s="36">
        <f t="shared" si="262"/>
        <v>567</v>
      </c>
      <c r="P2269" s="38">
        <f ca="1">IF(ISERROR(IF(O2269&lt;fi_h/20,0,(OFFSET('Base de dados'!$A$5,IF(O2269&lt;20,1,IF(O2269&gt;1000,10,MATCH(O2269,Cargas,1))),Coluna_fih,1,1))*(1+0.13*0.25)*(PI()*(fi_h/1000)^2/4)*SQRT(2*9.81*(O2269/100-fi_h/2/1000))*1000)),"",IF(O2269&lt;fi_h/20,0,(OFFSET('Base de dados'!$A$5,IF(O2269&lt;20,1,IF(O2269&gt;1000,10,MATCH(O2269,Cargas,1))),Coluna_fih,1,1))*(PI()*(fi_h/1000)^2/4)*SQRT(2*9.81*(O2269/100-fi_h/2/1000))*1000))</f>
        <v>6.3640378491313969</v>
      </c>
      <c r="Q2269" s="38">
        <f ca="1">IF(O2269="","",IF(Tipo_Vertedor="Retangular",IF(O2269&lt;=cota_s*100,0,IF(Tipo_Vertedor="Retangular",Cd_sr*Lef_sr*((O2269/100-cota_s)^(3/2))*1000)),IF(O2269&lt;=cota_s*100+fi_s/20,0,(OFFSET('Base de dados'!$A$4,IF(O2269&lt;20,1,IF(O2269&gt;1000,10,MATCH(O2269,Cargas,1))),Coluna_fis,1,1))*(PI()*(fi_s/1000)^2/4)*(2*9.81*(O2269/100-cota_s-fi_s/2/1000))^0.5*1000)))</f>
        <v>5.6482433160143488</v>
      </c>
      <c r="R2269" s="38">
        <f t="shared" ca="1" si="265"/>
        <v>12.012281165145746</v>
      </c>
      <c r="S2269" s="38">
        <f t="shared" ca="1" si="266"/>
        <v>708.75</v>
      </c>
    </row>
    <row r="2270" spans="13:19">
      <c r="M2270" s="132">
        <f t="shared" ca="1" si="263"/>
        <v>721.07777389215914</v>
      </c>
      <c r="N2270" s="38">
        <f t="shared" si="264"/>
        <v>21.271875000000001</v>
      </c>
      <c r="O2270" s="36">
        <f t="shared" si="262"/>
        <v>567.25</v>
      </c>
      <c r="P2270" s="38">
        <f ca="1">IF(ISERROR(IF(O2270&lt;fi_h/20,0,(OFFSET('Base de dados'!$A$5,IF(O2270&lt;20,1,IF(O2270&gt;1000,10,MATCH(O2270,Cargas,1))),Coluna_fih,1,1))*(1+0.13*0.25)*(PI()*(fi_h/1000)^2/4)*SQRT(2*9.81*(O2270/100-fi_h/2/1000))*1000)),"",IF(O2270&lt;fi_h/20,0,(OFFSET('Base de dados'!$A$5,IF(O2270&lt;20,1,IF(O2270&gt;1000,10,MATCH(O2270,Cargas,1))),Coluna_fih,1,1))*(PI()*(fi_h/1000)^2/4)*SQRT(2*9.81*(O2270/100-fi_h/2/1000))*1000))</f>
        <v>6.3654450687012103</v>
      </c>
      <c r="Q2270" s="38">
        <f ca="1">IF(O2270="","",IF(Tipo_Vertedor="Retangular",IF(O2270&lt;=cota_s*100,0,IF(Tipo_Vertedor="Retangular",Cd_sr*Lef_sr*((O2270/100-cota_s)^(3/2))*1000)),IF(O2270&lt;=cota_s*100+fi_s/20,0,(OFFSET('Base de dados'!$A$4,IF(O2270&lt;20,1,IF(O2270&gt;1000,10,MATCH(O2270,Cargas,1))),Coluna_fis,1,1))*(PI()*(fi_s/1000)^2/4)*(2*9.81*(O2270/100-cota_s-fi_s/2/1000))^0.5*1000)))</f>
        <v>5.6498288234579599</v>
      </c>
      <c r="R2270" s="38">
        <f t="shared" ca="1" si="265"/>
        <v>12.01527389215917</v>
      </c>
      <c r="S2270" s="38">
        <f t="shared" ca="1" si="266"/>
        <v>709.0625</v>
      </c>
    </row>
    <row r="2271" spans="13:19">
      <c r="M2271" s="132">
        <f t="shared" ca="1" si="263"/>
        <v>721.39326586332993</v>
      </c>
      <c r="N2271" s="38">
        <f t="shared" si="264"/>
        <v>21.28125</v>
      </c>
      <c r="O2271" s="36">
        <f t="shared" si="262"/>
        <v>567.5</v>
      </c>
      <c r="P2271" s="38">
        <f ca="1">IF(ISERROR(IF(O2271&lt;fi_h/20,0,(OFFSET('Base de dados'!$A$5,IF(O2271&lt;20,1,IF(O2271&gt;1000,10,MATCH(O2271,Cargas,1))),Coluna_fih,1,1))*(1+0.13*0.25)*(PI()*(fi_h/1000)^2/4)*SQRT(2*9.81*(O2271/100-fi_h/2/1000))*1000)),"",IF(O2271&lt;fi_h/20,0,(OFFSET('Base de dados'!$A$5,IF(O2271&lt;20,1,IF(O2271&gt;1000,10,MATCH(O2271,Cargas,1))),Coluna_fih,1,1))*(PI()*(fi_h/1000)^2/4)*SQRT(2*9.81*(O2271/100-fi_h/2/1000))*1000))</f>
        <v>6.3668519772433934</v>
      </c>
      <c r="Q2271" s="38">
        <f ca="1">IF(O2271="","",IF(Tipo_Vertedor="Retangular",IF(O2271&lt;=cota_s*100,0,IF(Tipo_Vertedor="Retangular",Cd_sr*Lef_sr*((O2271/100-cota_s)^(3/2))*1000)),IF(O2271&lt;=cota_s*100+fi_s/20,0,(OFFSET('Base de dados'!$A$4,IF(O2271&lt;20,1,IF(O2271&gt;1000,10,MATCH(O2271,Cargas,1))),Coluna_fis,1,1))*(PI()*(fi_s/1000)^2/4)*(2*9.81*(O2271/100-cota_s-fi_s/2/1000))^0.5*1000)))</f>
        <v>5.6514138860865533</v>
      </c>
      <c r="R2271" s="38">
        <f t="shared" ca="1" si="265"/>
        <v>12.018265863329948</v>
      </c>
      <c r="S2271" s="38">
        <f t="shared" ca="1" si="266"/>
        <v>709.375</v>
      </c>
    </row>
    <row r="2272" spans="13:19">
      <c r="M2272" s="132">
        <f t="shared" ca="1" si="263"/>
        <v>721.70875707923847</v>
      </c>
      <c r="N2272" s="38">
        <f t="shared" si="264"/>
        <v>21.290625000000002</v>
      </c>
      <c r="O2272" s="36">
        <f t="shared" si="262"/>
        <v>567.75</v>
      </c>
      <c r="P2272" s="38">
        <f ca="1">IF(ISERROR(IF(O2272&lt;fi_h/20,0,(OFFSET('Base de dados'!$A$5,IF(O2272&lt;20,1,IF(O2272&gt;1000,10,MATCH(O2272,Cargas,1))),Coluna_fih,1,1))*(1+0.13*0.25)*(PI()*(fi_h/1000)^2/4)*SQRT(2*9.81*(O2272/100-fi_h/2/1000))*1000)),"",IF(O2272&lt;fi_h/20,0,(OFFSET('Base de dados'!$A$5,IF(O2272&lt;20,1,IF(O2272&gt;1000,10,MATCH(O2272,Cargas,1))),Coluna_fih,1,1))*(PI()*(fi_h/1000)^2/4)*SQRT(2*9.81*(O2272/100-fi_h/2/1000))*1000))</f>
        <v>6.3682585749640923</v>
      </c>
      <c r="Q2272" s="38">
        <f ca="1">IF(O2272="","",IF(Tipo_Vertedor="Retangular",IF(O2272&lt;=cota_s*100,0,IF(Tipo_Vertedor="Retangular",Cd_sr*Lef_sr*((O2272/100-cota_s)^(3/2))*1000)),IF(O2272&lt;=cota_s*100+fi_s/20,0,(OFFSET('Base de dados'!$A$4,IF(O2272&lt;20,1,IF(O2272&gt;1000,10,MATCH(O2272,Cargas,1))),Coluna_fis,1,1))*(PI()*(fi_s/1000)^2/4)*(2*9.81*(O2272/100-cota_s-fi_s/2/1000))^0.5*1000)))</f>
        <v>5.6529985042743034</v>
      </c>
      <c r="R2272" s="38">
        <f t="shared" ca="1" si="265"/>
        <v>12.021257079238396</v>
      </c>
      <c r="S2272" s="38">
        <f t="shared" ca="1" si="266"/>
        <v>709.68750000000011</v>
      </c>
    </row>
    <row r="2273" spans="13:19">
      <c r="M2273" s="132">
        <f t="shared" ca="1" si="263"/>
        <v>722.02424754046399</v>
      </c>
      <c r="N2273" s="38">
        <f t="shared" si="264"/>
        <v>21.299999999999997</v>
      </c>
      <c r="O2273" s="36">
        <f t="shared" si="262"/>
        <v>568</v>
      </c>
      <c r="P2273" s="38">
        <f ca="1">IF(ISERROR(IF(O2273&lt;fi_h/20,0,(OFFSET('Base de dados'!$A$5,IF(O2273&lt;20,1,IF(O2273&gt;1000,10,MATCH(O2273,Cargas,1))),Coluna_fih,1,1))*(1+0.13*0.25)*(PI()*(fi_h/1000)^2/4)*SQRT(2*9.81*(O2273/100-fi_h/2/1000))*1000)),"",IF(O2273&lt;fi_h/20,0,(OFFSET('Base de dados'!$A$5,IF(O2273&lt;20,1,IF(O2273&gt;1000,10,MATCH(O2273,Cargas,1))),Coluna_fih,1,1))*(PI()*(fi_h/1000)^2/4)*SQRT(2*9.81*(O2273/100-fi_h/2/1000))*1000))</f>
        <v>6.369664862069218</v>
      </c>
      <c r="Q2273" s="38">
        <f ca="1">IF(O2273="","",IF(Tipo_Vertedor="Retangular",IF(O2273&lt;=cota_s*100,0,IF(Tipo_Vertedor="Retangular",Cd_sr*Lef_sr*((O2273/100-cota_s)^(3/2))*1000)),IF(O2273&lt;=cota_s*100+fi_s/20,0,(OFFSET('Base de dados'!$A$4,IF(O2273&lt;20,1,IF(O2273&gt;1000,10,MATCH(O2273,Cargas,1))),Coluna_fis,1,1))*(PI()*(fi_s/1000)^2/4)*(2*9.81*(O2273/100-cota_s-fi_s/2/1000))^0.5*1000)))</f>
        <v>5.6545826783948501</v>
      </c>
      <c r="R2273" s="38">
        <f t="shared" ca="1" si="265"/>
        <v>12.024247540464067</v>
      </c>
      <c r="S2273" s="38">
        <f t="shared" ca="1" si="266"/>
        <v>709.99999999999989</v>
      </c>
    </row>
    <row r="2274" spans="13:19">
      <c r="M2274" s="132">
        <f t="shared" ca="1" si="263"/>
        <v>722.33973724758573</v>
      </c>
      <c r="N2274" s="38">
        <f t="shared" si="264"/>
        <v>21.309374999999999</v>
      </c>
      <c r="O2274" s="36">
        <f t="shared" si="262"/>
        <v>568.25</v>
      </c>
      <c r="P2274" s="38">
        <f ca="1">IF(ISERROR(IF(O2274&lt;fi_h/20,0,(OFFSET('Base de dados'!$A$5,IF(O2274&lt;20,1,IF(O2274&gt;1000,10,MATCH(O2274,Cargas,1))),Coluna_fih,1,1))*(1+0.13*0.25)*(PI()*(fi_h/1000)^2/4)*SQRT(2*9.81*(O2274/100-fi_h/2/1000))*1000)),"",IF(O2274&lt;fi_h/20,0,(OFFSET('Base de dados'!$A$5,IF(O2274&lt;20,1,IF(O2274&gt;1000,10,MATCH(O2274,Cargas,1))),Coluna_fih,1,1))*(PI()*(fi_h/1000)^2/4)*SQRT(2*9.81*(O2274/100-fi_h/2/1000))*1000))</f>
        <v>6.3710708387644575</v>
      </c>
      <c r="Q2274" s="38">
        <f ca="1">IF(O2274="","",IF(Tipo_Vertedor="Retangular",IF(O2274&lt;=cota_s*100,0,IF(Tipo_Vertedor="Retangular",Cd_sr*Lef_sr*((O2274/100-cota_s)^(3/2))*1000)),IF(O2274&lt;=cota_s*100+fi_s/20,0,(OFFSET('Base de dados'!$A$4,IF(O2274&lt;20,1,IF(O2274&gt;1000,10,MATCH(O2274,Cargas,1))),Coluna_fis,1,1))*(PI()*(fi_s/1000)^2/4)*(2*9.81*(O2274/100-cota_s-fi_s/2/1000))^0.5*1000)))</f>
        <v>5.6561664088213197</v>
      </c>
      <c r="R2274" s="38">
        <f t="shared" ca="1" si="265"/>
        <v>12.027237247585777</v>
      </c>
      <c r="S2274" s="38">
        <f t="shared" ca="1" si="266"/>
        <v>710.3125</v>
      </c>
    </row>
    <row r="2275" spans="13:19">
      <c r="M2275" s="132">
        <f t="shared" ca="1" si="263"/>
        <v>722.65522620118145</v>
      </c>
      <c r="N2275" s="38">
        <f t="shared" si="264"/>
        <v>21.318749999999998</v>
      </c>
      <c r="O2275" s="36">
        <f t="shared" si="262"/>
        <v>568.5</v>
      </c>
      <c r="P2275" s="38">
        <f ca="1">IF(ISERROR(IF(O2275&lt;fi_h/20,0,(OFFSET('Base de dados'!$A$5,IF(O2275&lt;20,1,IF(O2275&gt;1000,10,MATCH(O2275,Cargas,1))),Coluna_fih,1,1))*(1+0.13*0.25)*(PI()*(fi_h/1000)^2/4)*SQRT(2*9.81*(O2275/100-fi_h/2/1000))*1000)),"",IF(O2275&lt;fi_h/20,0,(OFFSET('Base de dados'!$A$5,IF(O2275&lt;20,1,IF(O2275&gt;1000,10,MATCH(O2275,Cargas,1))),Coluna_fih,1,1))*(PI()*(fi_h/1000)^2/4)*SQRT(2*9.81*(O2275/100-fi_h/2/1000))*1000))</f>
        <v>6.3724765052552712</v>
      </c>
      <c r="Q2275" s="38">
        <f ca="1">IF(O2275="","",IF(Tipo_Vertedor="Retangular",IF(O2275&lt;=cota_s*100,0,IF(Tipo_Vertedor="Retangular",Cd_sr*Lef_sr*((O2275/100-cota_s)^(3/2))*1000)),IF(O2275&lt;=cota_s*100+fi_s/20,0,(OFFSET('Base de dados'!$A$4,IF(O2275&lt;20,1,IF(O2275&gt;1000,10,MATCH(O2275,Cargas,1))),Coluna_fis,1,1))*(PI()*(fi_s/1000)^2/4)*(2*9.81*(O2275/100-cota_s-fi_s/2/1000))^0.5*1000)))</f>
        <v>5.6577496959263076</v>
      </c>
      <c r="R2275" s="38">
        <f t="shared" ca="1" si="265"/>
        <v>12.030226201181579</v>
      </c>
      <c r="S2275" s="38">
        <f t="shared" ca="1" si="266"/>
        <v>710.62499999999989</v>
      </c>
    </row>
    <row r="2276" spans="13:19">
      <c r="M2276" s="132">
        <f t="shared" ca="1" si="263"/>
        <v>722.97071440182879</v>
      </c>
      <c r="N2276" s="38">
        <f t="shared" si="264"/>
        <v>21.328125</v>
      </c>
      <c r="O2276" s="36">
        <f t="shared" si="262"/>
        <v>568.75</v>
      </c>
      <c r="P2276" s="38">
        <f ca="1">IF(ISERROR(IF(O2276&lt;fi_h/20,0,(OFFSET('Base de dados'!$A$5,IF(O2276&lt;20,1,IF(O2276&gt;1000,10,MATCH(O2276,Cargas,1))),Coluna_fih,1,1))*(1+0.13*0.25)*(PI()*(fi_h/1000)^2/4)*SQRT(2*9.81*(O2276/100-fi_h/2/1000))*1000)),"",IF(O2276&lt;fi_h/20,0,(OFFSET('Base de dados'!$A$5,IF(O2276&lt;20,1,IF(O2276&gt;1000,10,MATCH(O2276,Cargas,1))),Coluna_fih,1,1))*(PI()*(fi_h/1000)^2/4)*SQRT(2*9.81*(O2276/100-fi_h/2/1000))*1000))</f>
        <v>6.3738818617468898</v>
      </c>
      <c r="Q2276" s="38">
        <f ca="1">IF(O2276="","",IF(Tipo_Vertedor="Retangular",IF(O2276&lt;=cota_s*100,0,IF(Tipo_Vertedor="Retangular",Cd_sr*Lef_sr*((O2276/100-cota_s)^(3/2))*1000)),IF(O2276&lt;=cota_s*100+fi_s/20,0,(OFFSET('Base de dados'!$A$4,IF(O2276&lt;20,1,IF(O2276&gt;1000,10,MATCH(O2276,Cargas,1))),Coluna_fis,1,1))*(PI()*(fi_s/1000)^2/4)*(2*9.81*(O2276/100-cota_s-fi_s/2/1000))^0.5*1000)))</f>
        <v>5.6593325400818957</v>
      </c>
      <c r="R2276" s="38">
        <f t="shared" ca="1" si="265"/>
        <v>12.033214401828786</v>
      </c>
      <c r="S2276" s="38">
        <f t="shared" ca="1" si="266"/>
        <v>710.9375</v>
      </c>
    </row>
    <row r="2277" spans="13:19">
      <c r="M2277" s="132">
        <f t="shared" ca="1" si="263"/>
        <v>723.28620185010413</v>
      </c>
      <c r="N2277" s="38">
        <f t="shared" si="264"/>
        <v>21.337500000000002</v>
      </c>
      <c r="O2277" s="36">
        <f t="shared" si="262"/>
        <v>569</v>
      </c>
      <c r="P2277" s="38">
        <f ca="1">IF(ISERROR(IF(O2277&lt;fi_h/20,0,(OFFSET('Base de dados'!$A$5,IF(O2277&lt;20,1,IF(O2277&gt;1000,10,MATCH(O2277,Cargas,1))),Coluna_fih,1,1))*(1+0.13*0.25)*(PI()*(fi_h/1000)^2/4)*SQRT(2*9.81*(O2277/100-fi_h/2/1000))*1000)),"",IF(O2277&lt;fi_h/20,0,(OFFSET('Base de dados'!$A$5,IF(O2277&lt;20,1,IF(O2277&gt;1000,10,MATCH(O2277,Cargas,1))),Coluna_fih,1,1))*(PI()*(fi_h/1000)^2/4)*SQRT(2*9.81*(O2277/100-fi_h/2/1000))*1000))</f>
        <v>6.3752869084443233</v>
      </c>
      <c r="Q2277" s="38">
        <f ca="1">IF(O2277="","",IF(Tipo_Vertedor="Retangular",IF(O2277&lt;=cota_s*100,0,IF(Tipo_Vertedor="Retangular",Cd_sr*Lef_sr*((O2277/100-cota_s)^(3/2))*1000)),IF(O2277&lt;=cota_s*100+fi_s/20,0,(OFFSET('Base de dados'!$A$4,IF(O2277&lt;20,1,IF(O2277&gt;1000,10,MATCH(O2277,Cargas,1))),Coluna_fis,1,1))*(PI()*(fi_s/1000)^2/4)*(2*9.81*(O2277/100-cota_s-fi_s/2/1000))^0.5*1000)))</f>
        <v>5.6609149416596409</v>
      </c>
      <c r="R2277" s="38">
        <f t="shared" ca="1" si="265"/>
        <v>12.036201850103964</v>
      </c>
      <c r="S2277" s="38">
        <f t="shared" ca="1" si="266"/>
        <v>711.25000000000011</v>
      </c>
    </row>
    <row r="2278" spans="13:19">
      <c r="M2278" s="132">
        <f t="shared" ca="1" si="263"/>
        <v>723.60168854658298</v>
      </c>
      <c r="N2278" s="38">
        <f t="shared" si="264"/>
        <v>21.346875000000001</v>
      </c>
      <c r="O2278" s="36">
        <f t="shared" si="262"/>
        <v>569.25</v>
      </c>
      <c r="P2278" s="38">
        <f ca="1">IF(ISERROR(IF(O2278&lt;fi_h/20,0,(OFFSET('Base de dados'!$A$5,IF(O2278&lt;20,1,IF(O2278&gt;1000,10,MATCH(O2278,Cargas,1))),Coluna_fih,1,1))*(1+0.13*0.25)*(PI()*(fi_h/1000)^2/4)*SQRT(2*9.81*(O2278/100-fi_h/2/1000))*1000)),"",IF(O2278&lt;fi_h/20,0,(OFFSET('Base de dados'!$A$5,IF(O2278&lt;20,1,IF(O2278&gt;1000,10,MATCH(O2278,Cargas,1))),Coluna_fih,1,1))*(PI()*(fi_h/1000)^2/4)*SQRT(2*9.81*(O2278/100-fi_h/2/1000))*1000))</f>
        <v>6.3766916455523504</v>
      </c>
      <c r="Q2278" s="38">
        <f ca="1">IF(O2278="","",IF(Tipo_Vertedor="Retangular",IF(O2278&lt;=cota_s*100,0,IF(Tipo_Vertedor="Retangular",Cd_sr*Lef_sr*((O2278/100-cota_s)^(3/2))*1000)),IF(O2278&lt;=cota_s*100+fi_s/20,0,(OFFSET('Base de dados'!$A$4,IF(O2278&lt;20,1,IF(O2278&gt;1000,10,MATCH(O2278,Cargas,1))),Coluna_fis,1,1))*(PI()*(fi_s/1000)^2/4)*(2*9.81*(O2278/100-cota_s-fi_s/2/1000))^0.5*1000)))</f>
        <v>5.6624969010305826</v>
      </c>
      <c r="R2278" s="38">
        <f t="shared" ca="1" si="265"/>
        <v>12.039188546582933</v>
      </c>
      <c r="S2278" s="38">
        <f t="shared" ca="1" si="266"/>
        <v>711.5625</v>
      </c>
    </row>
    <row r="2279" spans="13:19">
      <c r="M2279" s="132">
        <f t="shared" ca="1" si="263"/>
        <v>723.91717449184091</v>
      </c>
      <c r="N2279" s="38">
        <f t="shared" si="264"/>
        <v>21.356250000000003</v>
      </c>
      <c r="O2279" s="36">
        <f t="shared" si="262"/>
        <v>569.5</v>
      </c>
      <c r="P2279" s="38">
        <f ca="1">IF(ISERROR(IF(O2279&lt;fi_h/20,0,(OFFSET('Base de dados'!$A$5,IF(O2279&lt;20,1,IF(O2279&gt;1000,10,MATCH(O2279,Cargas,1))),Coluna_fih,1,1))*(1+0.13*0.25)*(PI()*(fi_h/1000)^2/4)*SQRT(2*9.81*(O2279/100-fi_h/2/1000))*1000)),"",IF(O2279&lt;fi_h/20,0,(OFFSET('Base de dados'!$A$5,IF(O2279&lt;20,1,IF(O2279&gt;1000,10,MATCH(O2279,Cargas,1))),Coluna_fih,1,1))*(PI()*(fi_h/1000)^2/4)*SQRT(2*9.81*(O2279/100-fi_h/2/1000))*1000))</f>
        <v>6.3780960732755299</v>
      </c>
      <c r="Q2279" s="38">
        <f ca="1">IF(O2279="","",IF(Tipo_Vertedor="Retangular",IF(O2279&lt;=cota_s*100,0,IF(Tipo_Vertedor="Retangular",Cd_sr*Lef_sr*((O2279/100-cota_s)^(3/2))*1000)),IF(O2279&lt;=cota_s*100+fi_s/20,0,(OFFSET('Base de dados'!$A$4,IF(O2279&lt;20,1,IF(O2279&gt;1000,10,MATCH(O2279,Cargas,1))),Coluna_fis,1,1))*(PI()*(fi_s/1000)^2/4)*(2*9.81*(O2279/100-cota_s-fi_s/2/1000))^0.5*1000)))</f>
        <v>5.664078418565242</v>
      </c>
      <c r="R2279" s="38">
        <f t="shared" ca="1" si="265"/>
        <v>12.042174491840772</v>
      </c>
      <c r="S2279" s="38">
        <f t="shared" ca="1" si="266"/>
        <v>711.87500000000011</v>
      </c>
    </row>
    <row r="2280" spans="13:19">
      <c r="M2280" s="132">
        <f t="shared" ca="1" si="263"/>
        <v>724.23265968645171</v>
      </c>
      <c r="N2280" s="38">
        <f t="shared" si="264"/>
        <v>21.365624999999998</v>
      </c>
      <c r="O2280" s="36">
        <f t="shared" si="262"/>
        <v>569.75</v>
      </c>
      <c r="P2280" s="38">
        <f ca="1">IF(ISERROR(IF(O2280&lt;fi_h/20,0,(OFFSET('Base de dados'!$A$5,IF(O2280&lt;20,1,IF(O2280&gt;1000,10,MATCH(O2280,Cargas,1))),Coluna_fih,1,1))*(1+0.13*0.25)*(PI()*(fi_h/1000)^2/4)*SQRT(2*9.81*(O2280/100-fi_h/2/1000))*1000)),"",IF(O2280&lt;fi_h/20,0,(OFFSET('Base de dados'!$A$5,IF(O2280&lt;20,1,IF(O2280&gt;1000,10,MATCH(O2280,Cargas,1))),Coluna_fih,1,1))*(PI()*(fi_h/1000)^2/4)*SQRT(2*9.81*(O2280/100-fi_h/2/1000))*1000))</f>
        <v>6.3795001918181891</v>
      </c>
      <c r="Q2280" s="38">
        <f ca="1">IF(O2280="","",IF(Tipo_Vertedor="Retangular",IF(O2280&lt;=cota_s*100,0,IF(Tipo_Vertedor="Retangular",Cd_sr*Lef_sr*((O2280/100-cota_s)^(3/2))*1000)),IF(O2280&lt;=cota_s*100+fi_s/20,0,(OFFSET('Base de dados'!$A$4,IF(O2280&lt;20,1,IF(O2280&gt;1000,10,MATCH(O2280,Cargas,1))),Coluna_fis,1,1))*(PI()*(fi_s/1000)^2/4)*(2*9.81*(O2280/100-cota_s-fi_s/2/1000))^0.5*1000)))</f>
        <v>5.6656594946336218</v>
      </c>
      <c r="R2280" s="38">
        <f t="shared" ca="1" si="265"/>
        <v>12.045159686451811</v>
      </c>
      <c r="S2280" s="38">
        <f t="shared" ca="1" si="266"/>
        <v>712.18749999999989</v>
      </c>
    </row>
    <row r="2281" spans="13:19">
      <c r="M2281" s="132">
        <f t="shared" ca="1" si="263"/>
        <v>724.54814413098961</v>
      </c>
      <c r="N2281" s="38">
        <f t="shared" si="264"/>
        <v>21.375</v>
      </c>
      <c r="O2281" s="36">
        <f t="shared" si="262"/>
        <v>570</v>
      </c>
      <c r="P2281" s="38">
        <f ca="1">IF(ISERROR(IF(O2281&lt;fi_h/20,0,(OFFSET('Base de dados'!$A$5,IF(O2281&lt;20,1,IF(O2281&gt;1000,10,MATCH(O2281,Cargas,1))),Coluna_fih,1,1))*(1+0.13*0.25)*(PI()*(fi_h/1000)^2/4)*SQRT(2*9.81*(O2281/100-fi_h/2/1000))*1000)),"",IF(O2281&lt;fi_h/20,0,(OFFSET('Base de dados'!$A$5,IF(O2281&lt;20,1,IF(O2281&gt;1000,10,MATCH(O2281,Cargas,1))),Coluna_fih,1,1))*(PI()*(fi_h/1000)^2/4)*SQRT(2*9.81*(O2281/100-fi_h/2/1000))*1000))</f>
        <v>6.380904001384434</v>
      </c>
      <c r="Q2281" s="38">
        <f ca="1">IF(O2281="","",IF(Tipo_Vertedor="Retangular",IF(O2281&lt;=cota_s*100,0,IF(Tipo_Vertedor="Retangular",Cd_sr*Lef_sr*((O2281/100-cota_s)^(3/2))*1000)),IF(O2281&lt;=cota_s*100+fi_s/20,0,(OFFSET('Base de dados'!$A$4,IF(O2281&lt;20,1,IF(O2281&gt;1000,10,MATCH(O2281,Cargas,1))),Coluna_fis,1,1))*(PI()*(fi_s/1000)^2/4)*(2*9.81*(O2281/100-cota_s-fi_s/2/1000))^0.5*1000)))</f>
        <v>5.6672401296052106</v>
      </c>
      <c r="R2281" s="38">
        <f t="shared" ca="1" si="265"/>
        <v>12.048144130989645</v>
      </c>
      <c r="S2281" s="38">
        <f t="shared" ca="1" si="266"/>
        <v>712.5</v>
      </c>
    </row>
    <row r="2282" spans="13:19">
      <c r="M2282" s="132">
        <f t="shared" ca="1" si="263"/>
        <v>724.86362782602714</v>
      </c>
      <c r="N2282" s="38">
        <f t="shared" si="264"/>
        <v>21.384374999999999</v>
      </c>
      <c r="O2282" s="36">
        <f t="shared" si="262"/>
        <v>570.25</v>
      </c>
      <c r="P2282" s="38">
        <f ca="1">IF(ISERROR(IF(O2282&lt;fi_h/20,0,(OFFSET('Base de dados'!$A$5,IF(O2282&lt;20,1,IF(O2282&gt;1000,10,MATCH(O2282,Cargas,1))),Coluna_fih,1,1))*(1+0.13*0.25)*(PI()*(fi_h/1000)^2/4)*SQRT(2*9.81*(O2282/100-fi_h/2/1000))*1000)),"",IF(O2282&lt;fi_h/20,0,(OFFSET('Base de dados'!$A$5,IF(O2282&lt;20,1,IF(O2282&gt;1000,10,MATCH(O2282,Cargas,1))),Coluna_fih,1,1))*(PI()*(fi_h/1000)^2/4)*SQRT(2*9.81*(O2282/100-fi_h/2/1000))*1000))</f>
        <v>6.3823075021781461</v>
      </c>
      <c r="Q2282" s="38">
        <f ca="1">IF(O2282="","",IF(Tipo_Vertedor="Retangular",IF(O2282&lt;=cota_s*100,0,IF(Tipo_Vertedor="Retangular",Cd_sr*Lef_sr*((O2282/100-cota_s)^(3/2))*1000)),IF(O2282&lt;=cota_s*100+fi_s/20,0,(OFFSET('Base de dados'!$A$4,IF(O2282&lt;20,1,IF(O2282&gt;1000,10,MATCH(O2282,Cargas,1))),Coluna_fis,1,1))*(PI()*(fi_s/1000)^2/4)*(2*9.81*(O2282/100-cota_s-fi_s/2/1000))^0.5*1000)))</f>
        <v>5.6688203238489798</v>
      </c>
      <c r="R2282" s="38">
        <f t="shared" ca="1" si="265"/>
        <v>12.051127826027127</v>
      </c>
      <c r="S2282" s="38">
        <f t="shared" ca="1" si="266"/>
        <v>712.8125</v>
      </c>
    </row>
    <row r="2283" spans="13:19">
      <c r="M2283" s="132">
        <f t="shared" ca="1" si="263"/>
        <v>725.17911077213637</v>
      </c>
      <c r="N2283" s="38">
        <f t="shared" si="264"/>
        <v>21.393750000000001</v>
      </c>
      <c r="O2283" s="36">
        <f t="shared" si="262"/>
        <v>570.5</v>
      </c>
      <c r="P2283" s="38">
        <f ca="1">IF(ISERROR(IF(O2283&lt;fi_h/20,0,(OFFSET('Base de dados'!$A$5,IF(O2283&lt;20,1,IF(O2283&gt;1000,10,MATCH(O2283,Cargas,1))),Coluna_fih,1,1))*(1+0.13*0.25)*(PI()*(fi_h/1000)^2/4)*SQRT(2*9.81*(O2283/100-fi_h/2/1000))*1000)),"",IF(O2283&lt;fi_h/20,0,(OFFSET('Base de dados'!$A$5,IF(O2283&lt;20,1,IF(O2283&gt;1000,10,MATCH(O2283,Cargas,1))),Coluna_fih,1,1))*(PI()*(fi_h/1000)^2/4)*SQRT(2*9.81*(O2283/100-fi_h/2/1000))*1000))</f>
        <v>6.3837106944029838</v>
      </c>
      <c r="Q2283" s="38">
        <f ca="1">IF(O2283="","",IF(Tipo_Vertedor="Retangular",IF(O2283&lt;=cota_s*100,0,IF(Tipo_Vertedor="Retangular",Cd_sr*Lef_sr*((O2283/100-cota_s)^(3/2))*1000)),IF(O2283&lt;=cota_s*100+fi_s/20,0,(OFFSET('Base de dados'!$A$4,IF(O2283&lt;20,1,IF(O2283&gt;1000,10,MATCH(O2283,Cargas,1))),Coluna_fis,1,1))*(PI()*(fi_s/1000)^2/4)*(2*9.81*(O2283/100-cota_s-fi_s/2/1000))^0.5*1000)))</f>
        <v>5.6704000777333903</v>
      </c>
      <c r="R2283" s="38">
        <f t="shared" ca="1" si="265"/>
        <v>12.054110772136374</v>
      </c>
      <c r="S2283" s="38">
        <f t="shared" ca="1" si="266"/>
        <v>713.125</v>
      </c>
    </row>
    <row r="2284" spans="13:19">
      <c r="M2284" s="132">
        <f t="shared" ca="1" si="263"/>
        <v>725.4945929698888</v>
      </c>
      <c r="N2284" s="38">
        <f t="shared" si="264"/>
        <v>21.403124999999999</v>
      </c>
      <c r="O2284" s="36">
        <f t="shared" si="262"/>
        <v>570.75</v>
      </c>
      <c r="P2284" s="38">
        <f ca="1">IF(ISERROR(IF(O2284&lt;fi_h/20,0,(OFFSET('Base de dados'!$A$5,IF(O2284&lt;20,1,IF(O2284&gt;1000,10,MATCH(O2284,Cargas,1))),Coluna_fih,1,1))*(1+0.13*0.25)*(PI()*(fi_h/1000)^2/4)*SQRT(2*9.81*(O2284/100-fi_h/2/1000))*1000)),"",IF(O2284&lt;fi_h/20,0,(OFFSET('Base de dados'!$A$5,IF(O2284&lt;20,1,IF(O2284&gt;1000,10,MATCH(O2284,Cargas,1))),Coluna_fih,1,1))*(PI()*(fi_h/1000)^2/4)*SQRT(2*9.81*(O2284/100-fi_h/2/1000))*1000))</f>
        <v>6.3851135782623798</v>
      </c>
      <c r="Q2284" s="38">
        <f ca="1">IF(O2284="","",IF(Tipo_Vertedor="Retangular",IF(O2284&lt;=cota_s*100,0,IF(Tipo_Vertedor="Retangular",Cd_sr*Lef_sr*((O2284/100-cota_s)^(3/2))*1000)),IF(O2284&lt;=cota_s*100+fi_s/20,0,(OFFSET('Base de dados'!$A$4,IF(O2284&lt;20,1,IF(O2284&gt;1000,10,MATCH(O2284,Cargas,1))),Coluna_fis,1,1))*(PI()*(fi_s/1000)^2/4)*(2*9.81*(O2284/100-cota_s-fi_s/2/1000))^0.5*1000)))</f>
        <v>5.6719793916263841</v>
      </c>
      <c r="R2284" s="38">
        <f t="shared" ca="1" si="265"/>
        <v>12.057092969888764</v>
      </c>
      <c r="S2284" s="38">
        <f t="shared" ca="1" si="266"/>
        <v>713.4375</v>
      </c>
    </row>
    <row r="2285" spans="13:19">
      <c r="M2285" s="132">
        <f t="shared" ca="1" si="263"/>
        <v>725.81007441985491</v>
      </c>
      <c r="N2285" s="38">
        <f t="shared" si="264"/>
        <v>21.412500000000001</v>
      </c>
      <c r="O2285" s="36">
        <f t="shared" si="262"/>
        <v>571</v>
      </c>
      <c r="P2285" s="38">
        <f ca="1">IF(ISERROR(IF(O2285&lt;fi_h/20,0,(OFFSET('Base de dados'!$A$5,IF(O2285&lt;20,1,IF(O2285&gt;1000,10,MATCH(O2285,Cargas,1))),Coluna_fih,1,1))*(1+0.13*0.25)*(PI()*(fi_h/1000)^2/4)*SQRT(2*9.81*(O2285/100-fi_h/2/1000))*1000)),"",IF(O2285&lt;fi_h/20,0,(OFFSET('Base de dados'!$A$5,IF(O2285&lt;20,1,IF(O2285&gt;1000,10,MATCH(O2285,Cargas,1))),Coluna_fih,1,1))*(PI()*(fi_h/1000)^2/4)*SQRT(2*9.81*(O2285/100-fi_h/2/1000))*1000))</f>
        <v>6.3865161539595414</v>
      </c>
      <c r="Q2285" s="38">
        <f ca="1">IF(O2285="","",IF(Tipo_Vertedor="Retangular",IF(O2285&lt;=cota_s*100,0,IF(Tipo_Vertedor="Retangular",Cd_sr*Lef_sr*((O2285/100-cota_s)^(3/2))*1000)),IF(O2285&lt;=cota_s*100+fi_s/20,0,(OFFSET('Base de dados'!$A$4,IF(O2285&lt;20,1,IF(O2285&gt;1000,10,MATCH(O2285,Cargas,1))),Coluna_fis,1,1))*(PI()*(fi_s/1000)^2/4)*(2*9.81*(O2285/100-cota_s-fi_s/2/1000))^0.5*1000)))</f>
        <v>5.6735582658953962</v>
      </c>
      <c r="R2285" s="38">
        <f t="shared" ca="1" si="265"/>
        <v>12.060074419854939</v>
      </c>
      <c r="S2285" s="38">
        <f t="shared" ca="1" si="266"/>
        <v>713.75</v>
      </c>
    </row>
    <row r="2286" spans="13:19">
      <c r="M2286" s="132">
        <f t="shared" ca="1" si="263"/>
        <v>726.12555512260485</v>
      </c>
      <c r="N2286" s="38">
        <f t="shared" si="264"/>
        <v>21.421875</v>
      </c>
      <c r="O2286" s="36">
        <f t="shared" si="262"/>
        <v>571.25</v>
      </c>
      <c r="P2286" s="38">
        <f ca="1">IF(ISERROR(IF(O2286&lt;fi_h/20,0,(OFFSET('Base de dados'!$A$5,IF(O2286&lt;20,1,IF(O2286&gt;1000,10,MATCH(O2286,Cargas,1))),Coluna_fih,1,1))*(1+0.13*0.25)*(PI()*(fi_h/1000)^2/4)*SQRT(2*9.81*(O2286/100-fi_h/2/1000))*1000)),"",IF(O2286&lt;fi_h/20,0,(OFFSET('Base de dados'!$A$5,IF(O2286&lt;20,1,IF(O2286&gt;1000,10,MATCH(O2286,Cargas,1))),Coluna_fih,1,1))*(PI()*(fi_h/1000)^2/4)*SQRT(2*9.81*(O2286/100-fi_h/2/1000))*1000))</f>
        <v>6.3879184216974583</v>
      </c>
      <c r="Q2286" s="38">
        <f ca="1">IF(O2286="","",IF(Tipo_Vertedor="Retangular",IF(O2286&lt;=cota_s*100,0,IF(Tipo_Vertedor="Retangular",Cd_sr*Lef_sr*((O2286/100-cota_s)^(3/2))*1000)),IF(O2286&lt;=cota_s*100+fi_s/20,0,(OFFSET('Base de dados'!$A$4,IF(O2286&lt;20,1,IF(O2286&gt;1000,10,MATCH(O2286,Cargas,1))),Coluna_fis,1,1))*(PI()*(fi_s/1000)^2/4)*(2*9.81*(O2286/100-cota_s-fi_s/2/1000))^0.5*1000)))</f>
        <v>5.6751367009073501</v>
      </c>
      <c r="R2286" s="38">
        <f t="shared" ca="1" si="265"/>
        <v>12.063055122604808</v>
      </c>
      <c r="S2286" s="38">
        <f t="shared" ca="1" si="266"/>
        <v>714.0625</v>
      </c>
    </row>
    <row r="2287" spans="13:19">
      <c r="M2287" s="132">
        <f t="shared" ca="1" si="263"/>
        <v>726.4410350787075</v>
      </c>
      <c r="N2287" s="38">
        <f t="shared" si="264"/>
        <v>21.431249999999999</v>
      </c>
      <c r="O2287" s="36">
        <f t="shared" si="262"/>
        <v>571.5</v>
      </c>
      <c r="P2287" s="38">
        <f ca="1">IF(ISERROR(IF(O2287&lt;fi_h/20,0,(OFFSET('Base de dados'!$A$5,IF(O2287&lt;20,1,IF(O2287&gt;1000,10,MATCH(O2287,Cargas,1))),Coluna_fih,1,1))*(1+0.13*0.25)*(PI()*(fi_h/1000)^2/4)*SQRT(2*9.81*(O2287/100-fi_h/2/1000))*1000)),"",IF(O2287&lt;fi_h/20,0,(OFFSET('Base de dados'!$A$5,IF(O2287&lt;20,1,IF(O2287&gt;1000,10,MATCH(O2287,Cargas,1))),Coluna_fih,1,1))*(PI()*(fi_h/1000)^2/4)*SQRT(2*9.81*(O2287/100-fi_h/2/1000))*1000))</f>
        <v>6.3893203816788935</v>
      </c>
      <c r="Q2287" s="38">
        <f ca="1">IF(O2287="","",IF(Tipo_Vertedor="Retangular",IF(O2287&lt;=cota_s*100,0,IF(Tipo_Vertedor="Retangular",Cd_sr*Lef_sr*((O2287/100-cota_s)^(3/2))*1000)),IF(O2287&lt;=cota_s*100+fi_s/20,0,(OFFSET('Base de dados'!$A$4,IF(O2287&lt;20,1,IF(O2287&gt;1000,10,MATCH(O2287,Cargas,1))),Coluna_fis,1,1))*(PI()*(fi_s/1000)^2/4)*(2*9.81*(O2287/100-cota_s-fi_s/2/1000))^0.5*1000)))</f>
        <v>5.6767146970286557</v>
      </c>
      <c r="R2287" s="38">
        <f t="shared" ca="1" si="265"/>
        <v>12.06603507870755</v>
      </c>
      <c r="S2287" s="38">
        <f t="shared" ca="1" si="266"/>
        <v>714.375</v>
      </c>
    </row>
    <row r="2288" spans="13:19">
      <c r="M2288" s="132">
        <f t="shared" ca="1" si="263"/>
        <v>726.75651428873164</v>
      </c>
      <c r="N2288" s="38">
        <f t="shared" si="264"/>
        <v>21.440625000000001</v>
      </c>
      <c r="O2288" s="36">
        <f t="shared" si="262"/>
        <v>571.75</v>
      </c>
      <c r="P2288" s="38">
        <f ca="1">IF(ISERROR(IF(O2288&lt;fi_h/20,0,(OFFSET('Base de dados'!$A$5,IF(O2288&lt;20,1,IF(O2288&gt;1000,10,MATCH(O2288,Cargas,1))),Coluna_fih,1,1))*(1+0.13*0.25)*(PI()*(fi_h/1000)^2/4)*SQRT(2*9.81*(O2288/100-fi_h/2/1000))*1000)),"",IF(O2288&lt;fi_h/20,0,(OFFSET('Base de dados'!$A$5,IF(O2288&lt;20,1,IF(O2288&gt;1000,10,MATCH(O2288,Cargas,1))),Coluna_fih,1,1))*(PI()*(fi_h/1000)^2/4)*SQRT(2*9.81*(O2288/100-fi_h/2/1000))*1000))</f>
        <v>6.3907220341063891</v>
      </c>
      <c r="Q2288" s="38">
        <f ca="1">IF(O2288="","",IF(Tipo_Vertedor="Retangular",IF(O2288&lt;=cota_s*100,0,IF(Tipo_Vertedor="Retangular",Cd_sr*Lef_sr*((O2288/100-cota_s)^(3/2))*1000)),IF(O2288&lt;=cota_s*100+fi_s/20,0,(OFFSET('Base de dados'!$A$4,IF(O2288&lt;20,1,IF(O2288&gt;1000,10,MATCH(O2288,Cargas,1))),Coluna_fis,1,1))*(PI()*(fi_s/1000)^2/4)*(2*9.81*(O2288/100-cota_s-fi_s/2/1000))^0.5*1000)))</f>
        <v>5.6782922546252159</v>
      </c>
      <c r="R2288" s="38">
        <f t="shared" ca="1" si="265"/>
        <v>12.069014288731605</v>
      </c>
      <c r="S2288" s="38">
        <f t="shared" ca="1" si="266"/>
        <v>714.6875</v>
      </c>
    </row>
    <row r="2289" spans="13:19">
      <c r="M2289" s="132">
        <f t="shared" ca="1" si="263"/>
        <v>727.07199275324467</v>
      </c>
      <c r="N2289" s="38">
        <f t="shared" si="264"/>
        <v>21.45</v>
      </c>
      <c r="O2289" s="36">
        <f t="shared" si="262"/>
        <v>572</v>
      </c>
      <c r="P2289" s="38">
        <f ca="1">IF(ISERROR(IF(O2289&lt;fi_h/20,0,(OFFSET('Base de dados'!$A$5,IF(O2289&lt;20,1,IF(O2289&gt;1000,10,MATCH(O2289,Cargas,1))),Coluna_fih,1,1))*(1+0.13*0.25)*(PI()*(fi_h/1000)^2/4)*SQRT(2*9.81*(O2289/100-fi_h/2/1000))*1000)),"",IF(O2289&lt;fi_h/20,0,(OFFSET('Base de dados'!$A$5,IF(O2289&lt;20,1,IF(O2289&gt;1000,10,MATCH(O2289,Cargas,1))),Coluna_fih,1,1))*(PI()*(fi_h/1000)^2/4)*SQRT(2*9.81*(O2289/100-fi_h/2/1000))*1000))</f>
        <v>6.3921233791822631</v>
      </c>
      <c r="Q2289" s="38">
        <f ca="1">IF(O2289="","",IF(Tipo_Vertedor="Retangular",IF(O2289&lt;=cota_s*100,0,IF(Tipo_Vertedor="Retangular",Cd_sr*Lef_sr*((O2289/100-cota_s)^(3/2))*1000)),IF(O2289&lt;=cota_s*100+fi_s/20,0,(OFFSET('Base de dados'!$A$4,IF(O2289&lt;20,1,IF(O2289&gt;1000,10,MATCH(O2289,Cargas,1))),Coluna_fis,1,1))*(PI()*(fi_s/1000)^2/4)*(2*9.81*(O2289/100-cota_s-fi_s/2/1000))^0.5*1000)))</f>
        <v>5.6798693740624246</v>
      </c>
      <c r="R2289" s="38">
        <f t="shared" ca="1" si="265"/>
        <v>12.071992753244688</v>
      </c>
      <c r="S2289" s="38">
        <f t="shared" ca="1" si="266"/>
        <v>715</v>
      </c>
    </row>
    <row r="2290" spans="13:19">
      <c r="M2290" s="132">
        <f t="shared" ca="1" si="263"/>
        <v>727.38747047281379</v>
      </c>
      <c r="N2290" s="38">
        <f t="shared" si="264"/>
        <v>21.459375000000001</v>
      </c>
      <c r="O2290" s="36">
        <f t="shared" si="262"/>
        <v>572.25</v>
      </c>
      <c r="P2290" s="38">
        <f ca="1">IF(ISERROR(IF(O2290&lt;fi_h/20,0,(OFFSET('Base de dados'!$A$5,IF(O2290&lt;20,1,IF(O2290&gt;1000,10,MATCH(O2290,Cargas,1))),Coluna_fih,1,1))*(1+0.13*0.25)*(PI()*(fi_h/1000)^2/4)*SQRT(2*9.81*(O2290/100-fi_h/2/1000))*1000)),"",IF(O2290&lt;fi_h/20,0,(OFFSET('Base de dados'!$A$5,IF(O2290&lt;20,1,IF(O2290&gt;1000,10,MATCH(O2290,Cargas,1))),Coluna_fih,1,1))*(PI()*(fi_h/1000)^2/4)*SQRT(2*9.81*(O2290/100-fi_h/2/1000))*1000))</f>
        <v>6.3935244171086154</v>
      </c>
      <c r="Q2290" s="38">
        <f ca="1">IF(O2290="","",IF(Tipo_Vertedor="Retangular",IF(O2290&lt;=cota_s*100,0,IF(Tipo_Vertedor="Retangular",Cd_sr*Lef_sr*((O2290/100-cota_s)^(3/2))*1000)),IF(O2290&lt;=cota_s*100+fi_s/20,0,(OFFSET('Base de dados'!$A$4,IF(O2290&lt;20,1,IF(O2290&gt;1000,10,MATCH(O2290,Cargas,1))),Coluna_fis,1,1))*(PI()*(fi_s/1000)^2/4)*(2*9.81*(O2290/100-cota_s-fi_s/2/1000))^0.5*1000)))</f>
        <v>5.6814460557051722</v>
      </c>
      <c r="R2290" s="38">
        <f t="shared" ca="1" si="265"/>
        <v>12.074970472813789</v>
      </c>
      <c r="S2290" s="38">
        <f t="shared" ca="1" si="266"/>
        <v>715.3125</v>
      </c>
    </row>
    <row r="2291" spans="13:19">
      <c r="M2291" s="132">
        <f t="shared" ca="1" si="263"/>
        <v>727.70294744800515</v>
      </c>
      <c r="N2291" s="38">
        <f t="shared" si="264"/>
        <v>21.46875</v>
      </c>
      <c r="O2291" s="36">
        <f t="shared" si="262"/>
        <v>572.5</v>
      </c>
      <c r="P2291" s="38">
        <f ca="1">IF(ISERROR(IF(O2291&lt;fi_h/20,0,(OFFSET('Base de dados'!$A$5,IF(O2291&lt;20,1,IF(O2291&gt;1000,10,MATCH(O2291,Cargas,1))),Coluna_fih,1,1))*(1+0.13*0.25)*(PI()*(fi_h/1000)^2/4)*SQRT(2*9.81*(O2291/100-fi_h/2/1000))*1000)),"",IF(O2291&lt;fi_h/20,0,(OFFSET('Base de dados'!$A$5,IF(O2291&lt;20,1,IF(O2291&gt;1000,10,MATCH(O2291,Cargas,1))),Coluna_fih,1,1))*(PI()*(fi_h/1000)^2/4)*SQRT(2*9.81*(O2291/100-fi_h/2/1000))*1000))</f>
        <v>6.394925148087319</v>
      </c>
      <c r="Q2291" s="38">
        <f ca="1">IF(O2291="","",IF(Tipo_Vertedor="Retangular",IF(O2291&lt;=cota_s*100,0,IF(Tipo_Vertedor="Retangular",Cd_sr*Lef_sr*((O2291/100-cota_s)^(3/2))*1000)),IF(O2291&lt;=cota_s*100+fi_s/20,0,(OFFSET('Base de dados'!$A$4,IF(O2291&lt;20,1,IF(O2291&gt;1000,10,MATCH(O2291,Cargas,1))),Coluna_fis,1,1))*(PI()*(fi_s/1000)^2/4)*(2*9.81*(O2291/100-cota_s-fi_s/2/1000))^0.5*1000)))</f>
        <v>5.6830222999178375</v>
      </c>
      <c r="R2291" s="38">
        <f t="shared" ca="1" si="265"/>
        <v>12.077947448005157</v>
      </c>
      <c r="S2291" s="38">
        <f t="shared" ca="1" si="266"/>
        <v>715.625</v>
      </c>
    </row>
    <row r="2292" spans="13:19">
      <c r="M2292" s="132">
        <f t="shared" ca="1" si="263"/>
        <v>728.01842367938434</v>
      </c>
      <c r="N2292" s="38">
        <f t="shared" si="264"/>
        <v>21.478124999999999</v>
      </c>
      <c r="O2292" s="36">
        <f t="shared" si="262"/>
        <v>572.75</v>
      </c>
      <c r="P2292" s="38">
        <f ca="1">IF(ISERROR(IF(O2292&lt;fi_h/20,0,(OFFSET('Base de dados'!$A$5,IF(O2292&lt;20,1,IF(O2292&gt;1000,10,MATCH(O2292,Cargas,1))),Coluna_fih,1,1))*(1+0.13*0.25)*(PI()*(fi_h/1000)^2/4)*SQRT(2*9.81*(O2292/100-fi_h/2/1000))*1000)),"",IF(O2292&lt;fi_h/20,0,(OFFSET('Base de dados'!$A$5,IF(O2292&lt;20,1,IF(O2292&gt;1000,10,MATCH(O2292,Cargas,1))),Coluna_fih,1,1))*(PI()*(fi_h/1000)^2/4)*SQRT(2*9.81*(O2292/100-fi_h/2/1000))*1000))</f>
        <v>6.3963255723200341</v>
      </c>
      <c r="Q2292" s="38">
        <f ca="1">IF(O2292="","",IF(Tipo_Vertedor="Retangular",IF(O2292&lt;=cota_s*100,0,IF(Tipo_Vertedor="Retangular",Cd_sr*Lef_sr*((O2292/100-cota_s)^(3/2))*1000)),IF(O2292&lt;=cota_s*100+fi_s/20,0,(OFFSET('Base de dados'!$A$4,IF(O2292&lt;20,1,IF(O2292&gt;1000,10,MATCH(O2292,Cargas,1))),Coluna_fis,1,1))*(PI()*(fi_s/1000)^2/4)*(2*9.81*(O2292/100-cota_s-fi_s/2/1000))^0.5*1000)))</f>
        <v>5.684598107064299</v>
      </c>
      <c r="R2292" s="38">
        <f t="shared" ca="1" si="265"/>
        <v>12.080923679384334</v>
      </c>
      <c r="S2292" s="38">
        <f t="shared" ca="1" si="266"/>
        <v>715.9375</v>
      </c>
    </row>
    <row r="2293" spans="13:19">
      <c r="M2293" s="132">
        <f t="shared" ca="1" si="263"/>
        <v>728.33389916751617</v>
      </c>
      <c r="N2293" s="38">
        <f t="shared" si="264"/>
        <v>21.487500000000001</v>
      </c>
      <c r="O2293" s="36">
        <f t="shared" si="262"/>
        <v>573</v>
      </c>
      <c r="P2293" s="38">
        <f ca="1">IF(ISERROR(IF(O2293&lt;fi_h/20,0,(OFFSET('Base de dados'!$A$5,IF(O2293&lt;20,1,IF(O2293&gt;1000,10,MATCH(O2293,Cargas,1))),Coluna_fih,1,1))*(1+0.13*0.25)*(PI()*(fi_h/1000)^2/4)*SQRT(2*9.81*(O2293/100-fi_h/2/1000))*1000)),"",IF(O2293&lt;fi_h/20,0,(OFFSET('Base de dados'!$A$5,IF(O2293&lt;20,1,IF(O2293&gt;1000,10,MATCH(O2293,Cargas,1))),Coluna_fih,1,1))*(PI()*(fi_h/1000)^2/4)*SQRT(2*9.81*(O2293/100-fi_h/2/1000))*1000))</f>
        <v>6.3977256900081922</v>
      </c>
      <c r="Q2293" s="38">
        <f ca="1">IF(O2293="","",IF(Tipo_Vertedor="Retangular",IF(O2293&lt;=cota_s*100,0,IF(Tipo_Vertedor="Retangular",Cd_sr*Lef_sr*((O2293/100-cota_s)^(3/2))*1000)),IF(O2293&lt;=cota_s*100+fi_s/20,0,(OFFSET('Base de dados'!$A$4,IF(O2293&lt;20,1,IF(O2293&gt;1000,10,MATCH(O2293,Cargas,1))),Coluna_fis,1,1))*(PI()*(fi_s/1000)^2/4)*(2*9.81*(O2293/100-cota_s-fi_s/2/1000))^0.5*1000)))</f>
        <v>5.6861734775079276</v>
      </c>
      <c r="R2293" s="38">
        <f t="shared" ca="1" si="265"/>
        <v>12.083899167516119</v>
      </c>
      <c r="S2293" s="38">
        <f t="shared" ca="1" si="266"/>
        <v>716.25</v>
      </c>
    </row>
    <row r="2294" spans="13:19">
      <c r="M2294" s="132">
        <f t="shared" ca="1" si="263"/>
        <v>728.64937391296462</v>
      </c>
      <c r="N2294" s="38">
        <f t="shared" si="264"/>
        <v>21.496874999999999</v>
      </c>
      <c r="O2294" s="36">
        <f t="shared" si="262"/>
        <v>573.25</v>
      </c>
      <c r="P2294" s="38">
        <f ca="1">IF(ISERROR(IF(O2294&lt;fi_h/20,0,(OFFSET('Base de dados'!$A$5,IF(O2294&lt;20,1,IF(O2294&gt;1000,10,MATCH(O2294,Cargas,1))),Coluna_fih,1,1))*(1+0.13*0.25)*(PI()*(fi_h/1000)^2/4)*SQRT(2*9.81*(O2294/100-fi_h/2/1000))*1000)),"",IF(O2294&lt;fi_h/20,0,(OFFSET('Base de dados'!$A$5,IF(O2294&lt;20,1,IF(O2294&gt;1000,10,MATCH(O2294,Cargas,1))),Coluna_fih,1,1))*(PI()*(fi_h/1000)^2/4)*SQRT(2*9.81*(O2294/100-fi_h/2/1000))*1000))</f>
        <v>6.399125501353006</v>
      </c>
      <c r="Q2294" s="38">
        <f ca="1">IF(O2294="","",IF(Tipo_Vertedor="Retangular",IF(O2294&lt;=cota_s*100,0,IF(Tipo_Vertedor="Retangular",Cd_sr*Lef_sr*((O2294/100-cota_s)^(3/2))*1000)),IF(O2294&lt;=cota_s*100+fi_s/20,0,(OFFSET('Base de dados'!$A$4,IF(O2294&lt;20,1,IF(O2294&gt;1000,10,MATCH(O2294,Cargas,1))),Coluna_fis,1,1))*(PI()*(fi_s/1000)^2/4)*(2*9.81*(O2294/100-cota_s-fi_s/2/1000))^0.5*1000)))</f>
        <v>5.6877484116115893</v>
      </c>
      <c r="R2294" s="38">
        <f t="shared" ca="1" si="265"/>
        <v>12.086873912964595</v>
      </c>
      <c r="S2294" s="38">
        <f t="shared" ca="1" si="266"/>
        <v>716.5625</v>
      </c>
    </row>
    <row r="2295" spans="13:19">
      <c r="M2295" s="132">
        <f t="shared" ca="1" si="263"/>
        <v>728.96484791629314</v>
      </c>
      <c r="N2295" s="38">
        <f t="shared" si="264"/>
        <v>21.506250000000001</v>
      </c>
      <c r="O2295" s="36">
        <f t="shared" si="262"/>
        <v>573.5</v>
      </c>
      <c r="P2295" s="38">
        <f ca="1">IF(ISERROR(IF(O2295&lt;fi_h/20,0,(OFFSET('Base de dados'!$A$5,IF(O2295&lt;20,1,IF(O2295&gt;1000,10,MATCH(O2295,Cargas,1))),Coluna_fih,1,1))*(1+0.13*0.25)*(PI()*(fi_h/1000)^2/4)*SQRT(2*9.81*(O2295/100-fi_h/2/1000))*1000)),"",IF(O2295&lt;fi_h/20,0,(OFFSET('Base de dados'!$A$5,IF(O2295&lt;20,1,IF(O2295&gt;1000,10,MATCH(O2295,Cargas,1))),Coluna_fih,1,1))*(PI()*(fi_h/1000)^2/4)*SQRT(2*9.81*(O2295/100-fi_h/2/1000))*1000))</f>
        <v>6.4005250065554717</v>
      </c>
      <c r="Q2295" s="38">
        <f ca="1">IF(O2295="","",IF(Tipo_Vertedor="Retangular",IF(O2295&lt;=cota_s*100,0,IF(Tipo_Vertedor="Retangular",Cd_sr*Lef_sr*((O2295/100-cota_s)^(3/2))*1000)),IF(O2295&lt;=cota_s*100+fi_s/20,0,(OFFSET('Base de dados'!$A$4,IF(O2295&lt;20,1,IF(O2295&gt;1000,10,MATCH(O2295,Cargas,1))),Coluna_fis,1,1))*(PI()*(fi_s/1000)^2/4)*(2*9.81*(O2295/100-cota_s-fi_s/2/1000))^0.5*1000)))</f>
        <v>5.6893229097376548</v>
      </c>
      <c r="R2295" s="38">
        <f t="shared" ca="1" si="265"/>
        <v>12.089847916293127</v>
      </c>
      <c r="S2295" s="38">
        <f t="shared" ca="1" si="266"/>
        <v>716.875</v>
      </c>
    </row>
    <row r="2296" spans="13:19">
      <c r="M2296" s="132">
        <f t="shared" ca="1" si="263"/>
        <v>729.28032117806436</v>
      </c>
      <c r="N2296" s="38">
        <f t="shared" si="264"/>
        <v>21.515625</v>
      </c>
      <c r="O2296" s="36">
        <f t="shared" si="262"/>
        <v>573.75</v>
      </c>
      <c r="P2296" s="38">
        <f ca="1">IF(ISERROR(IF(O2296&lt;fi_h/20,0,(OFFSET('Base de dados'!$A$5,IF(O2296&lt;20,1,IF(O2296&gt;1000,10,MATCH(O2296,Cargas,1))),Coluna_fih,1,1))*(1+0.13*0.25)*(PI()*(fi_h/1000)^2/4)*SQRT(2*9.81*(O2296/100-fi_h/2/1000))*1000)),"",IF(O2296&lt;fi_h/20,0,(OFFSET('Base de dados'!$A$5,IF(O2296&lt;20,1,IF(O2296&gt;1000,10,MATCH(O2296,Cargas,1))),Coluna_fih,1,1))*(PI()*(fi_h/1000)^2/4)*SQRT(2*9.81*(O2296/100-fi_h/2/1000))*1000))</f>
        <v>6.4019242058163659</v>
      </c>
      <c r="Q2296" s="38">
        <f ca="1">IF(O2296="","",IF(Tipo_Vertedor="Retangular",IF(O2296&lt;=cota_s*100,0,IF(Tipo_Vertedor="Retangular",Cd_sr*Lef_sr*((O2296/100-cota_s)^(3/2))*1000)),IF(O2296&lt;=cota_s*100+fi_s/20,0,(OFFSET('Base de dados'!$A$4,IF(O2296&lt;20,1,IF(O2296&gt;1000,10,MATCH(O2296,Cargas,1))),Coluna_fis,1,1))*(PI()*(fi_s/1000)^2/4)*(2*9.81*(O2296/100-cota_s-fi_s/2/1000))^0.5*1000)))</f>
        <v>5.6908969722479865</v>
      </c>
      <c r="R2296" s="38">
        <f t="shared" ca="1" si="265"/>
        <v>12.092821178064352</v>
      </c>
      <c r="S2296" s="38">
        <f t="shared" ca="1" si="266"/>
        <v>717.1875</v>
      </c>
    </row>
    <row r="2297" spans="13:19">
      <c r="M2297" s="132">
        <f t="shared" ca="1" si="263"/>
        <v>729.59579369884034</v>
      </c>
      <c r="N2297" s="38">
        <f t="shared" si="264"/>
        <v>21.525000000000002</v>
      </c>
      <c r="O2297" s="36">
        <f t="shared" si="262"/>
        <v>574</v>
      </c>
      <c r="P2297" s="38">
        <f ca="1">IF(ISERROR(IF(O2297&lt;fi_h/20,0,(OFFSET('Base de dados'!$A$5,IF(O2297&lt;20,1,IF(O2297&gt;1000,10,MATCH(O2297,Cargas,1))),Coluna_fih,1,1))*(1+0.13*0.25)*(PI()*(fi_h/1000)^2/4)*SQRT(2*9.81*(O2297/100-fi_h/2/1000))*1000)),"",IF(O2297&lt;fi_h/20,0,(OFFSET('Base de dados'!$A$5,IF(O2297&lt;20,1,IF(O2297&gt;1000,10,MATCH(O2297,Cargas,1))),Coluna_fih,1,1))*(PI()*(fi_h/1000)^2/4)*SQRT(2*9.81*(O2297/100-fi_h/2/1000))*1000))</f>
        <v>6.4033230993362409</v>
      </c>
      <c r="Q2297" s="38">
        <f ca="1">IF(O2297="","",IF(Tipo_Vertedor="Retangular",IF(O2297&lt;=cota_s*100,0,IF(Tipo_Vertedor="Retangular",Cd_sr*Lef_sr*((O2297/100-cota_s)^(3/2))*1000)),IF(O2297&lt;=cota_s*100+fi_s/20,0,(OFFSET('Base de dados'!$A$4,IF(O2297&lt;20,1,IF(O2297&gt;1000,10,MATCH(O2297,Cargas,1))),Coluna_fis,1,1))*(PI()*(fi_s/1000)^2/4)*(2*9.81*(O2297/100-cota_s-fi_s/2/1000))^0.5*1000)))</f>
        <v>5.6924705995039524</v>
      </c>
      <c r="R2297" s="38">
        <f t="shared" ca="1" si="265"/>
        <v>12.095793698840193</v>
      </c>
      <c r="S2297" s="38">
        <f t="shared" ca="1" si="266"/>
        <v>717.50000000000011</v>
      </c>
    </row>
    <row r="2298" spans="13:19">
      <c r="M2298" s="132">
        <f t="shared" ca="1" si="263"/>
        <v>729.91126547918179</v>
      </c>
      <c r="N2298" s="38">
        <f t="shared" si="264"/>
        <v>21.534374999999997</v>
      </c>
      <c r="O2298" s="36">
        <f t="shared" si="262"/>
        <v>574.25</v>
      </c>
      <c r="P2298" s="38">
        <f ca="1">IF(ISERROR(IF(O2298&lt;fi_h/20,0,(OFFSET('Base de dados'!$A$5,IF(O2298&lt;20,1,IF(O2298&gt;1000,10,MATCH(O2298,Cargas,1))),Coluna_fih,1,1))*(1+0.13*0.25)*(PI()*(fi_h/1000)^2/4)*SQRT(2*9.81*(O2298/100-fi_h/2/1000))*1000)),"",IF(O2298&lt;fi_h/20,0,(OFFSET('Base de dados'!$A$5,IF(O2298&lt;20,1,IF(O2298&gt;1000,10,MATCH(O2298,Cargas,1))),Coluna_fih,1,1))*(PI()*(fi_h/1000)^2/4)*SQRT(2*9.81*(O2298/100-fi_h/2/1000))*1000))</f>
        <v>6.4047216873154342</v>
      </c>
      <c r="Q2298" s="38">
        <f ca="1">IF(O2298="","",IF(Tipo_Vertedor="Retangular",IF(O2298&lt;=cota_s*100,0,IF(Tipo_Vertedor="Retangular",Cd_sr*Lef_sr*((O2298/100-cota_s)^(3/2))*1000)),IF(O2298&lt;=cota_s*100+fi_s/20,0,(OFFSET('Base de dados'!$A$4,IF(O2298&lt;20,1,IF(O2298&gt;1000,10,MATCH(O2298,Cargas,1))),Coluna_fis,1,1))*(PI()*(fi_s/1000)^2/4)*(2*9.81*(O2298/100-cota_s-fi_s/2/1000))^0.5*1000)))</f>
        <v>5.6940437918664148</v>
      </c>
      <c r="R2298" s="38">
        <f t="shared" ca="1" si="265"/>
        <v>12.09876547918185</v>
      </c>
      <c r="S2298" s="38">
        <f t="shared" ca="1" si="266"/>
        <v>717.81249999999989</v>
      </c>
    </row>
    <row r="2299" spans="13:19">
      <c r="M2299" s="132">
        <f t="shared" ca="1" si="263"/>
        <v>730.22673651964976</v>
      </c>
      <c r="N2299" s="38">
        <f t="shared" si="264"/>
        <v>21.543749999999999</v>
      </c>
      <c r="O2299" s="36">
        <f t="shared" si="262"/>
        <v>574.5</v>
      </c>
      <c r="P2299" s="38">
        <f ca="1">IF(ISERROR(IF(O2299&lt;fi_h/20,0,(OFFSET('Base de dados'!$A$5,IF(O2299&lt;20,1,IF(O2299&gt;1000,10,MATCH(O2299,Cargas,1))),Coluna_fih,1,1))*(1+0.13*0.25)*(PI()*(fi_h/1000)^2/4)*SQRT(2*9.81*(O2299/100-fi_h/2/1000))*1000)),"",IF(O2299&lt;fi_h/20,0,(OFFSET('Base de dados'!$A$5,IF(O2299&lt;20,1,IF(O2299&gt;1000,10,MATCH(O2299,Cargas,1))),Coluna_fih,1,1))*(PI()*(fi_h/1000)^2/4)*SQRT(2*9.81*(O2299/100-fi_h/2/1000))*1000))</f>
        <v>6.4061199699540623</v>
      </c>
      <c r="Q2299" s="38">
        <f ca="1">IF(O2299="","",IF(Tipo_Vertedor="Retangular",IF(O2299&lt;=cota_s*100,0,IF(Tipo_Vertedor="Retangular",Cd_sr*Lef_sr*((O2299/100-cota_s)^(3/2))*1000)),IF(O2299&lt;=cota_s*100+fi_s/20,0,(OFFSET('Base de dados'!$A$4,IF(O2299&lt;20,1,IF(O2299&gt;1000,10,MATCH(O2299,Cargas,1))),Coluna_fis,1,1))*(PI()*(fi_s/1000)^2/4)*(2*9.81*(O2299/100-cota_s-fi_s/2/1000))^0.5*1000)))</f>
        <v>5.6956165496957425</v>
      </c>
      <c r="R2299" s="38">
        <f t="shared" ca="1" si="265"/>
        <v>12.101736519649805</v>
      </c>
      <c r="S2299" s="38">
        <f t="shared" ca="1" si="266"/>
        <v>718.125</v>
      </c>
    </row>
    <row r="2300" spans="13:19">
      <c r="M2300" s="132">
        <f t="shared" ca="1" si="263"/>
        <v>730.5422068208037</v>
      </c>
      <c r="N2300" s="38">
        <f t="shared" si="264"/>
        <v>21.553124999999998</v>
      </c>
      <c r="O2300" s="36">
        <f t="shared" si="262"/>
        <v>574.75</v>
      </c>
      <c r="P2300" s="38">
        <f ca="1">IF(ISERROR(IF(O2300&lt;fi_h/20,0,(OFFSET('Base de dados'!$A$5,IF(O2300&lt;20,1,IF(O2300&gt;1000,10,MATCH(O2300,Cargas,1))),Coluna_fih,1,1))*(1+0.13*0.25)*(PI()*(fi_h/1000)^2/4)*SQRT(2*9.81*(O2300/100-fi_h/2/1000))*1000)),"",IF(O2300&lt;fi_h/20,0,(OFFSET('Base de dados'!$A$5,IF(O2300&lt;20,1,IF(O2300&gt;1000,10,MATCH(O2300,Cargas,1))),Coluna_fih,1,1))*(PI()*(fi_h/1000)^2/4)*SQRT(2*9.81*(O2300/100-fi_h/2/1000))*1000))</f>
        <v>6.4075179474520247</v>
      </c>
      <c r="Q2300" s="38">
        <f ca="1">IF(O2300="","",IF(Tipo_Vertedor="Retangular",IF(O2300&lt;=cota_s*100,0,IF(Tipo_Vertedor="Retangular",Cd_sr*Lef_sr*((O2300/100-cota_s)^(3/2))*1000)),IF(O2300&lt;=cota_s*100+fi_s/20,0,(OFFSET('Base de dados'!$A$4,IF(O2300&lt;20,1,IF(O2300&gt;1000,10,MATCH(O2300,Cargas,1))),Coluna_fis,1,1))*(PI()*(fi_s/1000)^2/4)*(2*9.81*(O2300/100-cota_s-fi_s/2/1000))^0.5*1000)))</f>
        <v>5.6971888733518057</v>
      </c>
      <c r="R2300" s="38">
        <f t="shared" ca="1" si="265"/>
        <v>12.10470682080383</v>
      </c>
      <c r="S2300" s="38">
        <f t="shared" ca="1" si="266"/>
        <v>718.43749999999989</v>
      </c>
    </row>
    <row r="2301" spans="13:19">
      <c r="M2301" s="132">
        <f t="shared" ca="1" si="263"/>
        <v>730.85767638320294</v>
      </c>
      <c r="N2301" s="38">
        <f t="shared" si="264"/>
        <v>21.5625</v>
      </c>
      <c r="O2301" s="36">
        <f t="shared" si="262"/>
        <v>575</v>
      </c>
      <c r="P2301" s="38">
        <f ca="1">IF(ISERROR(IF(O2301&lt;fi_h/20,0,(OFFSET('Base de dados'!$A$5,IF(O2301&lt;20,1,IF(O2301&gt;1000,10,MATCH(O2301,Cargas,1))),Coluna_fih,1,1))*(1+0.13*0.25)*(PI()*(fi_h/1000)^2/4)*SQRT(2*9.81*(O2301/100-fi_h/2/1000))*1000)),"",IF(O2301&lt;fi_h/20,0,(OFFSET('Base de dados'!$A$5,IF(O2301&lt;20,1,IF(O2301&gt;1000,10,MATCH(O2301,Cargas,1))),Coluna_fih,1,1))*(PI()*(fi_h/1000)^2/4)*SQRT(2*9.81*(O2301/100-fi_h/2/1000))*1000))</f>
        <v>6.4089156200090036</v>
      </c>
      <c r="Q2301" s="38">
        <f ca="1">IF(O2301="","",IF(Tipo_Vertedor="Retangular",IF(O2301&lt;=cota_s*100,0,IF(Tipo_Vertedor="Retangular",Cd_sr*Lef_sr*((O2301/100-cota_s)^(3/2))*1000)),IF(O2301&lt;=cota_s*100+fi_s/20,0,(OFFSET('Base de dados'!$A$4,IF(O2301&lt;20,1,IF(O2301&gt;1000,10,MATCH(O2301,Cargas,1))),Coluna_fis,1,1))*(PI()*(fi_s/1000)^2/4)*(2*9.81*(O2301/100-cota_s-fi_s/2/1000))^0.5*1000)))</f>
        <v>5.6987607631939765</v>
      </c>
      <c r="R2301" s="38">
        <f t="shared" ca="1" si="265"/>
        <v>12.10767638320298</v>
      </c>
      <c r="S2301" s="38">
        <f t="shared" ca="1" si="266"/>
        <v>718.75</v>
      </c>
    </row>
    <row r="2302" spans="13:19">
      <c r="M2302" s="132">
        <f t="shared" ca="1" si="263"/>
        <v>731.1731452074057</v>
      </c>
      <c r="N2302" s="38">
        <f t="shared" si="264"/>
        <v>21.571875000000002</v>
      </c>
      <c r="O2302" s="36">
        <f t="shared" si="262"/>
        <v>575.25</v>
      </c>
      <c r="P2302" s="38">
        <f ca="1">IF(ISERROR(IF(O2302&lt;fi_h/20,0,(OFFSET('Base de dados'!$A$5,IF(O2302&lt;20,1,IF(O2302&gt;1000,10,MATCH(O2302,Cargas,1))),Coluna_fih,1,1))*(1+0.13*0.25)*(PI()*(fi_h/1000)^2/4)*SQRT(2*9.81*(O2302/100-fi_h/2/1000))*1000)),"",IF(O2302&lt;fi_h/20,0,(OFFSET('Base de dados'!$A$5,IF(O2302&lt;20,1,IF(O2302&gt;1000,10,MATCH(O2302,Cargas,1))),Coluna_fih,1,1))*(PI()*(fi_h/1000)^2/4)*SQRT(2*9.81*(O2302/100-fi_h/2/1000))*1000))</f>
        <v>6.4103129878244607</v>
      </c>
      <c r="Q2302" s="38">
        <f ca="1">IF(O2302="","",IF(Tipo_Vertedor="Retangular",IF(O2302&lt;=cota_s*100,0,IF(Tipo_Vertedor="Retangular",Cd_sr*Lef_sr*((O2302/100-cota_s)^(3/2))*1000)),IF(O2302&lt;=cota_s*100+fi_s/20,0,(OFFSET('Base de dados'!$A$4,IF(O2302&lt;20,1,IF(O2302&gt;1000,10,MATCH(O2302,Cargas,1))),Coluna_fis,1,1))*(PI()*(fi_s/1000)^2/4)*(2*9.81*(O2302/100-cota_s-fi_s/2/1000))^0.5*1000)))</f>
        <v>5.7003322195811332</v>
      </c>
      <c r="R2302" s="38">
        <f t="shared" ca="1" si="265"/>
        <v>12.110645207405593</v>
      </c>
      <c r="S2302" s="38">
        <f t="shared" ca="1" si="266"/>
        <v>719.06250000000011</v>
      </c>
    </row>
    <row r="2303" spans="13:19">
      <c r="M2303" s="132">
        <f t="shared" ca="1" si="263"/>
        <v>731.48861329396925</v>
      </c>
      <c r="N2303" s="38">
        <f t="shared" si="264"/>
        <v>21.581250000000001</v>
      </c>
      <c r="O2303" s="36">
        <f t="shared" si="262"/>
        <v>575.5</v>
      </c>
      <c r="P2303" s="38">
        <f ca="1">IF(ISERROR(IF(O2303&lt;fi_h/20,0,(OFFSET('Base de dados'!$A$5,IF(O2303&lt;20,1,IF(O2303&gt;1000,10,MATCH(O2303,Cargas,1))),Coluna_fih,1,1))*(1+0.13*0.25)*(PI()*(fi_h/1000)^2/4)*SQRT(2*9.81*(O2303/100-fi_h/2/1000))*1000)),"",IF(O2303&lt;fi_h/20,0,(OFFSET('Base de dados'!$A$5,IF(O2303&lt;20,1,IF(O2303&gt;1000,10,MATCH(O2303,Cargas,1))),Coluna_fih,1,1))*(PI()*(fi_h/1000)^2/4)*SQRT(2*9.81*(O2303/100-fi_h/2/1000))*1000))</f>
        <v>6.4117100510976428</v>
      </c>
      <c r="Q2303" s="38">
        <f ca="1">IF(O2303="","",IF(Tipo_Vertedor="Retangular",IF(O2303&lt;=cota_s*100,0,IF(Tipo_Vertedor="Retangular",Cd_sr*Lef_sr*((O2303/100-cota_s)^(3/2))*1000)),IF(O2303&lt;=cota_s*100+fi_s/20,0,(OFFSET('Base de dados'!$A$4,IF(O2303&lt;20,1,IF(O2303&gt;1000,10,MATCH(O2303,Cargas,1))),Coluna_fis,1,1))*(PI()*(fi_s/1000)^2/4)*(2*9.81*(O2303/100-cota_s-fi_s/2/1000))^0.5*1000)))</f>
        <v>5.7019032428716585</v>
      </c>
      <c r="R2303" s="38">
        <f t="shared" ca="1" si="265"/>
        <v>12.113613293969301</v>
      </c>
      <c r="S2303" s="38">
        <f t="shared" ca="1" si="266"/>
        <v>719.375</v>
      </c>
    </row>
    <row r="2304" spans="13:19">
      <c r="M2304" s="132">
        <f t="shared" ca="1" si="263"/>
        <v>731.80408064345113</v>
      </c>
      <c r="N2304" s="38">
        <f t="shared" si="264"/>
        <v>21.590625000000003</v>
      </c>
      <c r="O2304" s="36">
        <f t="shared" si="262"/>
        <v>575.75</v>
      </c>
      <c r="P2304" s="38">
        <f ca="1">IF(ISERROR(IF(O2304&lt;fi_h/20,0,(OFFSET('Base de dados'!$A$5,IF(O2304&lt;20,1,IF(O2304&gt;1000,10,MATCH(O2304,Cargas,1))),Coluna_fih,1,1))*(1+0.13*0.25)*(PI()*(fi_h/1000)^2/4)*SQRT(2*9.81*(O2304/100-fi_h/2/1000))*1000)),"",IF(O2304&lt;fi_h/20,0,(OFFSET('Base de dados'!$A$5,IF(O2304&lt;20,1,IF(O2304&gt;1000,10,MATCH(O2304,Cargas,1))),Coluna_fih,1,1))*(PI()*(fi_h/1000)^2/4)*SQRT(2*9.81*(O2304/100-fi_h/2/1000))*1000))</f>
        <v>6.4131068100275792</v>
      </c>
      <c r="Q2304" s="38">
        <f ca="1">IF(O2304="","",IF(Tipo_Vertedor="Retangular",IF(O2304&lt;=cota_s*100,0,IF(Tipo_Vertedor="Retangular",Cd_sr*Lef_sr*((O2304/100-cota_s)^(3/2))*1000)),IF(O2304&lt;=cota_s*100+fi_s/20,0,(OFFSET('Base de dados'!$A$4,IF(O2304&lt;20,1,IF(O2304&gt;1000,10,MATCH(O2304,Cargas,1))),Coluna_fis,1,1))*(PI()*(fi_s/1000)^2/4)*(2*9.81*(O2304/100-cota_s-fi_s/2/1000))^0.5*1000)))</f>
        <v>5.7034738334234438</v>
      </c>
      <c r="R2304" s="38">
        <f t="shared" ca="1" si="265"/>
        <v>12.116580643451023</v>
      </c>
      <c r="S2304" s="38">
        <f t="shared" ca="1" si="266"/>
        <v>719.68750000000011</v>
      </c>
    </row>
    <row r="2305" spans="13:19">
      <c r="M2305" s="132">
        <f t="shared" ca="1" si="263"/>
        <v>732.1195472564068</v>
      </c>
      <c r="N2305" s="38">
        <f t="shared" si="264"/>
        <v>21.599999999999998</v>
      </c>
      <c r="O2305" s="36">
        <f t="shared" si="262"/>
        <v>576</v>
      </c>
      <c r="P2305" s="38">
        <f ca="1">IF(ISERROR(IF(O2305&lt;fi_h/20,0,(OFFSET('Base de dados'!$A$5,IF(O2305&lt;20,1,IF(O2305&gt;1000,10,MATCH(O2305,Cargas,1))),Coluna_fih,1,1))*(1+0.13*0.25)*(PI()*(fi_h/1000)^2/4)*SQRT(2*9.81*(O2305/100-fi_h/2/1000))*1000)),"",IF(O2305&lt;fi_h/20,0,(OFFSET('Base de dados'!$A$5,IF(O2305&lt;20,1,IF(O2305&gt;1000,10,MATCH(O2305,Cargas,1))),Coluna_fih,1,1))*(PI()*(fi_h/1000)^2/4)*SQRT(2*9.81*(O2305/100-fi_h/2/1000))*1000))</f>
        <v>6.4145032648130824</v>
      </c>
      <c r="Q2305" s="38">
        <f ca="1">IF(O2305="","",IF(Tipo_Vertedor="Retangular",IF(O2305&lt;=cota_s*100,0,IF(Tipo_Vertedor="Retangular",Cd_sr*Lef_sr*((O2305/100-cota_s)^(3/2))*1000)),IF(O2305&lt;=cota_s*100+fi_s/20,0,(OFFSET('Base de dados'!$A$4,IF(O2305&lt;20,1,IF(O2305&gt;1000,10,MATCH(O2305,Cargas,1))),Coluna_fis,1,1))*(PI()*(fi_s/1000)^2/4)*(2*9.81*(O2305/100-cota_s-fi_s/2/1000))^0.5*1000)))</f>
        <v>5.7050439915938842</v>
      </c>
      <c r="R2305" s="38">
        <f t="shared" ca="1" si="265"/>
        <v>12.119547256406968</v>
      </c>
      <c r="S2305" s="38">
        <f t="shared" ca="1" si="266"/>
        <v>719.99999999999989</v>
      </c>
    </row>
    <row r="2306" spans="13:19">
      <c r="M2306" s="132">
        <f t="shared" ca="1" si="263"/>
        <v>732.43501313339266</v>
      </c>
      <c r="N2306" s="38">
        <f t="shared" si="264"/>
        <v>21.609375</v>
      </c>
      <c r="O2306" s="36">
        <f t="shared" si="262"/>
        <v>576.25</v>
      </c>
      <c r="P2306" s="38">
        <f ca="1">IF(ISERROR(IF(O2306&lt;fi_h/20,0,(OFFSET('Base de dados'!$A$5,IF(O2306&lt;20,1,IF(O2306&gt;1000,10,MATCH(O2306,Cargas,1))),Coluna_fih,1,1))*(1+0.13*0.25)*(PI()*(fi_h/1000)^2/4)*SQRT(2*9.81*(O2306/100-fi_h/2/1000))*1000)),"",IF(O2306&lt;fi_h/20,0,(OFFSET('Base de dados'!$A$5,IF(O2306&lt;20,1,IF(O2306&gt;1000,10,MATCH(O2306,Cargas,1))),Coluna_fih,1,1))*(PI()*(fi_h/1000)^2/4)*SQRT(2*9.81*(O2306/100-fi_h/2/1000))*1000))</f>
        <v>6.4158994156527474</v>
      </c>
      <c r="Q2306" s="38">
        <f ca="1">IF(O2306="","",IF(Tipo_Vertedor="Retangular",IF(O2306&lt;=cota_s*100,0,IF(Tipo_Vertedor="Retangular",Cd_sr*Lef_sr*((O2306/100-cota_s)^(3/2))*1000)),IF(O2306&lt;=cota_s*100+fi_s/20,0,(OFFSET('Base de dados'!$A$4,IF(O2306&lt;20,1,IF(O2306&gt;1000,10,MATCH(O2306,Cargas,1))),Coluna_fis,1,1))*(PI()*(fi_s/1000)^2/4)*(2*9.81*(O2306/100-cota_s-fi_s/2/1000))^0.5*1000)))</f>
        <v>5.7066137177398888</v>
      </c>
      <c r="R2306" s="38">
        <f t="shared" ca="1" si="265"/>
        <v>12.122513133392637</v>
      </c>
      <c r="S2306" s="38">
        <f t="shared" ca="1" si="266"/>
        <v>720.3125</v>
      </c>
    </row>
    <row r="2307" spans="13:19">
      <c r="M2307" s="132">
        <f t="shared" ca="1" si="263"/>
        <v>732.7504782749628</v>
      </c>
      <c r="N2307" s="38">
        <f t="shared" si="264"/>
        <v>21.618749999999999</v>
      </c>
      <c r="O2307" s="36">
        <f t="shared" si="262"/>
        <v>576.5</v>
      </c>
      <c r="P2307" s="38">
        <f ca="1">IF(ISERROR(IF(O2307&lt;fi_h/20,0,(OFFSET('Base de dados'!$A$5,IF(O2307&lt;20,1,IF(O2307&gt;1000,10,MATCH(O2307,Cargas,1))),Coluna_fih,1,1))*(1+0.13*0.25)*(PI()*(fi_h/1000)^2/4)*SQRT(2*9.81*(O2307/100-fi_h/2/1000))*1000)),"",IF(O2307&lt;fi_h/20,0,(OFFSET('Base de dados'!$A$5,IF(O2307&lt;20,1,IF(O2307&gt;1000,10,MATCH(O2307,Cargas,1))),Coluna_fih,1,1))*(PI()*(fi_h/1000)^2/4)*SQRT(2*9.81*(O2307/100-fi_h/2/1000))*1000))</f>
        <v>6.417295262744954</v>
      </c>
      <c r="Q2307" s="38">
        <f ca="1">IF(O2307="","",IF(Tipo_Vertedor="Retangular",IF(O2307&lt;=cota_s*100,0,IF(Tipo_Vertedor="Retangular",Cd_sr*Lef_sr*((O2307/100-cota_s)^(3/2))*1000)),IF(O2307&lt;=cota_s*100+fi_s/20,0,(OFFSET('Base de dados'!$A$4,IF(O2307&lt;20,1,IF(O2307&gt;1000,10,MATCH(O2307,Cargas,1))),Coluna_fis,1,1))*(PI()*(fi_s/1000)^2/4)*(2*9.81*(O2307/100-cota_s-fi_s/2/1000))^0.5*1000)))</f>
        <v>5.7081830122178667</v>
      </c>
      <c r="R2307" s="38">
        <f t="shared" ca="1" si="265"/>
        <v>12.12547827496282</v>
      </c>
      <c r="S2307" s="38">
        <f t="shared" ca="1" si="266"/>
        <v>720.625</v>
      </c>
    </row>
    <row r="2308" spans="13:19">
      <c r="M2308" s="132">
        <f t="shared" ca="1" si="263"/>
        <v>733.06594268167157</v>
      </c>
      <c r="N2308" s="38">
        <f t="shared" si="264"/>
        <v>21.628125000000001</v>
      </c>
      <c r="O2308" s="36">
        <f t="shared" si="262"/>
        <v>576.75</v>
      </c>
      <c r="P2308" s="38">
        <f ca="1">IF(ISERROR(IF(O2308&lt;fi_h/20,0,(OFFSET('Base de dados'!$A$5,IF(O2308&lt;20,1,IF(O2308&gt;1000,10,MATCH(O2308,Cargas,1))),Coluna_fih,1,1))*(1+0.13*0.25)*(PI()*(fi_h/1000)^2/4)*SQRT(2*9.81*(O2308/100-fi_h/2/1000))*1000)),"",IF(O2308&lt;fi_h/20,0,(OFFSET('Base de dados'!$A$5,IF(O2308&lt;20,1,IF(O2308&gt;1000,10,MATCH(O2308,Cargas,1))),Coluna_fih,1,1))*(PI()*(fi_h/1000)^2/4)*SQRT(2*9.81*(O2308/100-fi_h/2/1000))*1000))</f>
        <v>6.4186908062878683</v>
      </c>
      <c r="Q2308" s="38">
        <f ca="1">IF(O2308="","",IF(Tipo_Vertedor="Retangular",IF(O2308&lt;=cota_s*100,0,IF(Tipo_Vertedor="Retangular",Cd_sr*Lef_sr*((O2308/100-cota_s)^(3/2))*1000)),IF(O2308&lt;=cota_s*100+fi_s/20,0,(OFFSET('Base de dados'!$A$4,IF(O2308&lt;20,1,IF(O2308&gt;1000,10,MATCH(O2308,Cargas,1))),Coluna_fis,1,1))*(PI()*(fi_s/1000)^2/4)*(2*9.81*(O2308/100-cota_s-fi_s/2/1000))^0.5*1000)))</f>
        <v>5.7097518753837484</v>
      </c>
      <c r="R2308" s="38">
        <f t="shared" ca="1" si="265"/>
        <v>12.128442681671617</v>
      </c>
      <c r="S2308" s="38">
        <f t="shared" ca="1" si="266"/>
        <v>720.9375</v>
      </c>
    </row>
    <row r="2309" spans="13:19">
      <c r="M2309" s="132">
        <f t="shared" ca="1" si="263"/>
        <v>733.3814063540724</v>
      </c>
      <c r="N2309" s="38">
        <f t="shared" si="264"/>
        <v>21.637499999999999</v>
      </c>
      <c r="O2309" s="36">
        <f t="shared" si="262"/>
        <v>577</v>
      </c>
      <c r="P2309" s="38">
        <f ca="1">IF(ISERROR(IF(O2309&lt;fi_h/20,0,(OFFSET('Base de dados'!$A$5,IF(O2309&lt;20,1,IF(O2309&gt;1000,10,MATCH(O2309,Cargas,1))),Coluna_fih,1,1))*(1+0.13*0.25)*(PI()*(fi_h/1000)^2/4)*SQRT(2*9.81*(O2309/100-fi_h/2/1000))*1000)),"",IF(O2309&lt;fi_h/20,0,(OFFSET('Base de dados'!$A$5,IF(O2309&lt;20,1,IF(O2309&gt;1000,10,MATCH(O2309,Cargas,1))),Coluna_fih,1,1))*(PI()*(fi_h/1000)^2/4)*SQRT(2*9.81*(O2309/100-fi_h/2/1000))*1000))</f>
        <v>6.4200860464794385</v>
      </c>
      <c r="Q2309" s="38">
        <f ca="1">IF(O2309="","",IF(Tipo_Vertedor="Retangular",IF(O2309&lt;=cota_s*100,0,IF(Tipo_Vertedor="Retangular",Cd_sr*Lef_sr*((O2309/100-cota_s)^(3/2))*1000)),IF(O2309&lt;=cota_s*100+fi_s/20,0,(OFFSET('Base de dados'!$A$4,IF(O2309&lt;20,1,IF(O2309&gt;1000,10,MATCH(O2309,Cargas,1))),Coluna_fis,1,1))*(PI()*(fi_s/1000)^2/4)*(2*9.81*(O2309/100-cota_s-fi_s/2/1000))^0.5*1000)))</f>
        <v>5.7113203075929642</v>
      </c>
      <c r="R2309" s="38">
        <f t="shared" ca="1" si="265"/>
        <v>12.131406354072404</v>
      </c>
      <c r="S2309" s="38">
        <f t="shared" ca="1" si="266"/>
        <v>721.25</v>
      </c>
    </row>
    <row r="2310" spans="13:19">
      <c r="M2310" s="132">
        <f t="shared" ca="1" si="263"/>
        <v>733.69686929271791</v>
      </c>
      <c r="N2310" s="38">
        <f t="shared" si="264"/>
        <v>21.646875000000001</v>
      </c>
      <c r="O2310" s="36">
        <f t="shared" si="262"/>
        <v>577.25</v>
      </c>
      <c r="P2310" s="38">
        <f ca="1">IF(ISERROR(IF(O2310&lt;fi_h/20,0,(OFFSET('Base de dados'!$A$5,IF(O2310&lt;20,1,IF(O2310&gt;1000,10,MATCH(O2310,Cargas,1))),Coluna_fih,1,1))*(1+0.13*0.25)*(PI()*(fi_h/1000)^2/4)*SQRT(2*9.81*(O2310/100-fi_h/2/1000))*1000)),"",IF(O2310&lt;fi_h/20,0,(OFFSET('Base de dados'!$A$5,IF(O2310&lt;20,1,IF(O2310&gt;1000,10,MATCH(O2310,Cargas,1))),Coluna_fih,1,1))*(PI()*(fi_h/1000)^2/4)*SQRT(2*9.81*(O2310/100-fi_h/2/1000))*1000))</f>
        <v>6.4214809835173972</v>
      </c>
      <c r="Q2310" s="38">
        <f ca="1">IF(O2310="","",IF(Tipo_Vertedor="Retangular",IF(O2310&lt;=cota_s*100,0,IF(Tipo_Vertedor="Retangular",Cd_sr*Lef_sr*((O2310/100-cota_s)^(3/2))*1000)),IF(O2310&lt;=cota_s*100+fi_s/20,0,(OFFSET('Base de dados'!$A$4,IF(O2310&lt;20,1,IF(O2310&gt;1000,10,MATCH(O2310,Cargas,1))),Coluna_fis,1,1))*(PI()*(fi_s/1000)^2/4)*(2*9.81*(O2310/100-cota_s-fi_s/2/1000))^0.5*1000)))</f>
        <v>5.7128883092004665</v>
      </c>
      <c r="R2310" s="38">
        <f t="shared" ca="1" si="265"/>
        <v>12.134369292717864</v>
      </c>
      <c r="S2310" s="38">
        <f t="shared" ca="1" si="266"/>
        <v>721.5625</v>
      </c>
    </row>
    <row r="2311" spans="13:19">
      <c r="M2311" s="132">
        <f t="shared" ca="1" si="263"/>
        <v>734.01233149815994</v>
      </c>
      <c r="N2311" s="38">
        <f t="shared" si="264"/>
        <v>21.65625</v>
      </c>
      <c r="O2311" s="36">
        <f t="shared" si="262"/>
        <v>577.5</v>
      </c>
      <c r="P2311" s="38">
        <f ca="1">IF(ISERROR(IF(O2311&lt;fi_h/20,0,(OFFSET('Base de dados'!$A$5,IF(O2311&lt;20,1,IF(O2311&gt;1000,10,MATCH(O2311,Cargas,1))),Coluna_fih,1,1))*(1+0.13*0.25)*(PI()*(fi_h/1000)^2/4)*SQRT(2*9.81*(O2311/100-fi_h/2/1000))*1000)),"",IF(O2311&lt;fi_h/20,0,(OFFSET('Base de dados'!$A$5,IF(O2311&lt;20,1,IF(O2311&gt;1000,10,MATCH(O2311,Cargas,1))),Coluna_fih,1,1))*(PI()*(fi_h/1000)^2/4)*SQRT(2*9.81*(O2311/100-fi_h/2/1000))*1000))</f>
        <v>6.4228756175992654</v>
      </c>
      <c r="Q2311" s="38">
        <f ca="1">IF(O2311="","",IF(Tipo_Vertedor="Retangular",IF(O2311&lt;=cota_s*100,0,IF(Tipo_Vertedor="Retangular",Cd_sr*Lef_sr*((O2311/100-cota_s)^(3/2))*1000)),IF(O2311&lt;=cota_s*100+fi_s/20,0,(OFFSET('Base de dados'!$A$4,IF(O2311&lt;20,1,IF(O2311&gt;1000,10,MATCH(O2311,Cargas,1))),Coluna_fis,1,1))*(PI()*(fi_s/1000)^2/4)*(2*9.81*(O2311/100-cota_s-fi_s/2/1000))^0.5*1000)))</f>
        <v>5.714455880560716</v>
      </c>
      <c r="R2311" s="38">
        <f t="shared" ca="1" si="265"/>
        <v>12.13733149815998</v>
      </c>
      <c r="S2311" s="38">
        <f t="shared" ca="1" si="266"/>
        <v>721.875</v>
      </c>
    </row>
    <row r="2312" spans="13:19">
      <c r="M2312" s="132">
        <f t="shared" ca="1" si="263"/>
        <v>734.32779297094999</v>
      </c>
      <c r="N2312" s="38">
        <f t="shared" si="264"/>
        <v>21.665624999999999</v>
      </c>
      <c r="O2312" s="36">
        <f t="shared" si="262"/>
        <v>577.75</v>
      </c>
      <c r="P2312" s="38">
        <f ca="1">IF(ISERROR(IF(O2312&lt;fi_h/20,0,(OFFSET('Base de dados'!$A$5,IF(O2312&lt;20,1,IF(O2312&gt;1000,10,MATCH(O2312,Cargas,1))),Coluna_fih,1,1))*(1+0.13*0.25)*(PI()*(fi_h/1000)^2/4)*SQRT(2*9.81*(O2312/100-fi_h/2/1000))*1000)),"",IF(O2312&lt;fi_h/20,0,(OFFSET('Base de dados'!$A$5,IF(O2312&lt;20,1,IF(O2312&gt;1000,10,MATCH(O2312,Cargas,1))),Coluna_fih,1,1))*(PI()*(fi_h/1000)^2/4)*SQRT(2*9.81*(O2312/100-fi_h/2/1000))*1000))</f>
        <v>6.4242699489223458</v>
      </c>
      <c r="Q2312" s="38">
        <f ca="1">IF(O2312="","",IF(Tipo_Vertedor="Retangular",IF(O2312&lt;=cota_s*100,0,IF(Tipo_Vertedor="Retangular",Cd_sr*Lef_sr*((O2312/100-cota_s)^(3/2))*1000)),IF(O2312&lt;=cota_s*100+fi_s/20,0,(OFFSET('Base de dados'!$A$4,IF(O2312&lt;20,1,IF(O2312&gt;1000,10,MATCH(O2312,Cargas,1))),Coluna_fis,1,1))*(PI()*(fi_s/1000)^2/4)*(2*9.81*(O2312/100-cota_s-fi_s/2/1000))^0.5*1000)))</f>
        <v>5.7160230220276862</v>
      </c>
      <c r="R2312" s="38">
        <f t="shared" ca="1" si="265"/>
        <v>12.140292970950032</v>
      </c>
      <c r="S2312" s="38">
        <f t="shared" ca="1" si="266"/>
        <v>722.1875</v>
      </c>
    </row>
    <row r="2313" spans="13:19">
      <c r="M2313" s="132">
        <f t="shared" ca="1" si="263"/>
        <v>734.64325371163864</v>
      </c>
      <c r="N2313" s="38">
        <f t="shared" si="264"/>
        <v>21.675000000000001</v>
      </c>
      <c r="O2313" s="36">
        <f t="shared" si="262"/>
        <v>578</v>
      </c>
      <c r="P2313" s="38">
        <f ca="1">IF(ISERROR(IF(O2313&lt;fi_h/20,0,(OFFSET('Base de dados'!$A$5,IF(O2313&lt;20,1,IF(O2313&gt;1000,10,MATCH(O2313,Cargas,1))),Coluna_fih,1,1))*(1+0.13*0.25)*(PI()*(fi_h/1000)^2/4)*SQRT(2*9.81*(O2313/100-fi_h/2/1000))*1000)),"",IF(O2313&lt;fi_h/20,0,(OFFSET('Base de dados'!$A$5,IF(O2313&lt;20,1,IF(O2313&gt;1000,10,MATCH(O2313,Cargas,1))),Coluna_fih,1,1))*(PI()*(fi_h/1000)^2/4)*SQRT(2*9.81*(O2313/100-fi_h/2/1000))*1000))</f>
        <v>6.4256639776837297</v>
      </c>
      <c r="Q2313" s="38">
        <f ca="1">IF(O2313="","",IF(Tipo_Vertedor="Retangular",IF(O2313&lt;=cota_s*100,0,IF(Tipo_Vertedor="Retangular",Cd_sr*Lef_sr*((O2313/100-cota_s)^(3/2))*1000)),IF(O2313&lt;=cota_s*100+fi_s/20,0,(OFFSET('Base de dados'!$A$4,IF(O2313&lt;20,1,IF(O2313&gt;1000,10,MATCH(O2313,Cargas,1))),Coluna_fis,1,1))*(PI()*(fi_s/1000)^2/4)*(2*9.81*(O2313/100-cota_s-fi_s/2/1000))^0.5*1000)))</f>
        <v>5.7175897339548678</v>
      </c>
      <c r="R2313" s="38">
        <f t="shared" ca="1" si="265"/>
        <v>12.143253711638597</v>
      </c>
      <c r="S2313" s="38">
        <f t="shared" ca="1" si="266"/>
        <v>722.5</v>
      </c>
    </row>
    <row r="2314" spans="13:19">
      <c r="M2314" s="132">
        <f t="shared" ca="1" si="263"/>
        <v>734.95871372077556</v>
      </c>
      <c r="N2314" s="38">
        <f t="shared" si="264"/>
        <v>21.684374999999999</v>
      </c>
      <c r="O2314" s="36">
        <f t="shared" si="262"/>
        <v>578.25</v>
      </c>
      <c r="P2314" s="38">
        <f ca="1">IF(ISERROR(IF(O2314&lt;fi_h/20,0,(OFFSET('Base de dados'!$A$5,IF(O2314&lt;20,1,IF(O2314&gt;1000,10,MATCH(O2314,Cargas,1))),Coluna_fih,1,1))*(1+0.13*0.25)*(PI()*(fi_h/1000)^2/4)*SQRT(2*9.81*(O2314/100-fi_h/2/1000))*1000)),"",IF(O2314&lt;fi_h/20,0,(OFFSET('Base de dados'!$A$5,IF(O2314&lt;20,1,IF(O2314&gt;1000,10,MATCH(O2314,Cargas,1))),Coluna_fih,1,1))*(PI()*(fi_h/1000)^2/4)*SQRT(2*9.81*(O2314/100-fi_h/2/1000))*1000))</f>
        <v>6.4270577040802941</v>
      </c>
      <c r="Q2314" s="38">
        <f ca="1">IF(O2314="","",IF(Tipo_Vertedor="Retangular",IF(O2314&lt;=cota_s*100,0,IF(Tipo_Vertedor="Retangular",Cd_sr*Lef_sr*((O2314/100-cota_s)^(3/2))*1000)),IF(O2314&lt;=cota_s*100+fi_s/20,0,(OFFSET('Base de dados'!$A$4,IF(O2314&lt;20,1,IF(O2314&gt;1000,10,MATCH(O2314,Cargas,1))),Coluna_fis,1,1))*(PI()*(fi_s/1000)^2/4)*(2*9.81*(O2314/100-cota_s-fi_s/2/1000))^0.5*1000)))</f>
        <v>5.7191560166952664</v>
      </c>
      <c r="R2314" s="38">
        <f t="shared" ca="1" si="265"/>
        <v>12.14621372077556</v>
      </c>
      <c r="S2314" s="38">
        <f t="shared" ca="1" si="266"/>
        <v>722.8125</v>
      </c>
    </row>
    <row r="2315" spans="13:19">
      <c r="M2315" s="132">
        <f t="shared" ca="1" si="263"/>
        <v>735.2741729989101</v>
      </c>
      <c r="N2315" s="38">
        <f t="shared" si="264"/>
        <v>21.693750000000001</v>
      </c>
      <c r="O2315" s="36">
        <f t="shared" si="262"/>
        <v>578.5</v>
      </c>
      <c r="P2315" s="38">
        <f ca="1">IF(ISERROR(IF(O2315&lt;fi_h/20,0,(OFFSET('Base de dados'!$A$5,IF(O2315&lt;20,1,IF(O2315&gt;1000,10,MATCH(O2315,Cargas,1))),Coluna_fih,1,1))*(1+0.13*0.25)*(PI()*(fi_h/1000)^2/4)*SQRT(2*9.81*(O2315/100-fi_h/2/1000))*1000)),"",IF(O2315&lt;fi_h/20,0,(OFFSET('Base de dados'!$A$5,IF(O2315&lt;20,1,IF(O2315&gt;1000,10,MATCH(O2315,Cargas,1))),Coluna_fih,1,1))*(PI()*(fi_h/1000)^2/4)*SQRT(2*9.81*(O2315/100-fi_h/2/1000))*1000))</f>
        <v>6.428451128308704</v>
      </c>
      <c r="Q2315" s="38">
        <f ca="1">IF(O2315="","",IF(Tipo_Vertedor="Retangular",IF(O2315&lt;=cota_s*100,0,IF(Tipo_Vertedor="Retangular",Cd_sr*Lef_sr*((O2315/100-cota_s)^(3/2))*1000)),IF(O2315&lt;=cota_s*100+fi_s/20,0,(OFFSET('Base de dados'!$A$4,IF(O2315&lt;20,1,IF(O2315&gt;1000,10,MATCH(O2315,Cargas,1))),Coluna_fis,1,1))*(PI()*(fi_s/1000)^2/4)*(2*9.81*(O2315/100-cota_s-fi_s/2/1000))^0.5*1000)))</f>
        <v>5.7207218706014062</v>
      </c>
      <c r="R2315" s="38">
        <f t="shared" ca="1" si="265"/>
        <v>12.14917299891011</v>
      </c>
      <c r="S2315" s="38">
        <f t="shared" ca="1" si="266"/>
        <v>723.125</v>
      </c>
    </row>
    <row r="2316" spans="13:19">
      <c r="M2316" s="132">
        <f t="shared" ca="1" si="263"/>
        <v>735.58963154659068</v>
      </c>
      <c r="N2316" s="38">
        <f t="shared" si="264"/>
        <v>21.703125</v>
      </c>
      <c r="O2316" s="36">
        <f t="shared" si="262"/>
        <v>578.75</v>
      </c>
      <c r="P2316" s="38">
        <f ca="1">IF(ISERROR(IF(O2316&lt;fi_h/20,0,(OFFSET('Base de dados'!$A$5,IF(O2316&lt;20,1,IF(O2316&gt;1000,10,MATCH(O2316,Cargas,1))),Coluna_fih,1,1))*(1+0.13*0.25)*(PI()*(fi_h/1000)^2/4)*SQRT(2*9.81*(O2316/100-fi_h/2/1000))*1000)),"",IF(O2316&lt;fi_h/20,0,(OFFSET('Base de dados'!$A$5,IF(O2316&lt;20,1,IF(O2316&gt;1000,10,MATCH(O2316,Cargas,1))),Coluna_fih,1,1))*(PI()*(fi_h/1000)^2/4)*SQRT(2*9.81*(O2316/100-fi_h/2/1000))*1000))</f>
        <v>6.4298442505654068</v>
      </c>
      <c r="Q2316" s="38">
        <f ca="1">IF(O2316="","",IF(Tipo_Vertedor="Retangular",IF(O2316&lt;=cota_s*100,0,IF(Tipo_Vertedor="Retangular",Cd_sr*Lef_sr*((O2316/100-cota_s)^(3/2))*1000)),IF(O2316&lt;=cota_s*100+fi_s/20,0,(OFFSET('Base de dados'!$A$4,IF(O2316&lt;20,1,IF(O2316&gt;1000,10,MATCH(O2316,Cargas,1))),Coluna_fis,1,1))*(PI()*(fi_s/1000)^2/4)*(2*9.81*(O2316/100-cota_s-fi_s/2/1000))^0.5*1000)))</f>
        <v>5.7222872960253248</v>
      </c>
      <c r="R2316" s="38">
        <f t="shared" ca="1" si="265"/>
        <v>12.152131546590731</v>
      </c>
      <c r="S2316" s="38">
        <f t="shared" ca="1" si="266"/>
        <v>723.4375</v>
      </c>
    </row>
    <row r="2317" spans="13:19">
      <c r="M2317" s="132">
        <f t="shared" ca="1" si="263"/>
        <v>735.90508936436527</v>
      </c>
      <c r="N2317" s="38">
        <f t="shared" si="264"/>
        <v>21.712499999999999</v>
      </c>
      <c r="O2317" s="36">
        <f t="shared" si="262"/>
        <v>579</v>
      </c>
      <c r="P2317" s="38">
        <f ca="1">IF(ISERROR(IF(O2317&lt;fi_h/20,0,(OFFSET('Base de dados'!$A$5,IF(O2317&lt;20,1,IF(O2317&gt;1000,10,MATCH(O2317,Cargas,1))),Coluna_fih,1,1))*(1+0.13*0.25)*(PI()*(fi_h/1000)^2/4)*SQRT(2*9.81*(O2317/100-fi_h/2/1000))*1000)),"",IF(O2317&lt;fi_h/20,0,(OFFSET('Base de dados'!$A$5,IF(O2317&lt;20,1,IF(O2317&gt;1000,10,MATCH(O2317,Cargas,1))),Coluna_fih,1,1))*(PI()*(fi_h/1000)^2/4)*SQRT(2*9.81*(O2317/100-fi_h/2/1000))*1000))</f>
        <v>6.4312370710466418</v>
      </c>
      <c r="Q2317" s="38">
        <f ca="1">IF(O2317="","",IF(Tipo_Vertedor="Retangular",IF(O2317&lt;=cota_s*100,0,IF(Tipo_Vertedor="Retangular",Cd_sr*Lef_sr*((O2317/100-cota_s)^(3/2))*1000)),IF(O2317&lt;=cota_s*100+fi_s/20,0,(OFFSET('Base de dados'!$A$4,IF(O2317&lt;20,1,IF(O2317&gt;1000,10,MATCH(O2317,Cargas,1))),Coluna_fis,1,1))*(PI()*(fi_s/1000)^2/4)*(2*9.81*(O2317/100-cota_s-fi_s/2/1000))^0.5*1000)))</f>
        <v>5.7238522933185827</v>
      </c>
      <c r="R2317" s="38">
        <f t="shared" ca="1" si="265"/>
        <v>12.155089364365224</v>
      </c>
      <c r="S2317" s="38">
        <f t="shared" ca="1" si="266"/>
        <v>723.75</v>
      </c>
    </row>
    <row r="2318" spans="13:19">
      <c r="M2318" s="132">
        <f t="shared" ca="1" si="263"/>
        <v>736.2205464527807</v>
      </c>
      <c r="N2318" s="38">
        <f t="shared" si="264"/>
        <v>21.721875000000001</v>
      </c>
      <c r="O2318" s="36">
        <f t="shared" si="262"/>
        <v>579.25</v>
      </c>
      <c r="P2318" s="38">
        <f ca="1">IF(ISERROR(IF(O2318&lt;fi_h/20,0,(OFFSET('Base de dados'!$A$5,IF(O2318&lt;20,1,IF(O2318&gt;1000,10,MATCH(O2318,Cargas,1))),Coluna_fih,1,1))*(1+0.13*0.25)*(PI()*(fi_h/1000)^2/4)*SQRT(2*9.81*(O2318/100-fi_h/2/1000))*1000)),"",IF(O2318&lt;fi_h/20,0,(OFFSET('Base de dados'!$A$5,IF(O2318&lt;20,1,IF(O2318&gt;1000,10,MATCH(O2318,Cargas,1))),Coluna_fih,1,1))*(PI()*(fi_h/1000)^2/4)*SQRT(2*9.81*(O2318/100-fi_h/2/1000))*1000))</f>
        <v>6.4326295899484354</v>
      </c>
      <c r="Q2318" s="38">
        <f ca="1">IF(O2318="","",IF(Tipo_Vertedor="Retangular",IF(O2318&lt;=cota_s*100,0,IF(Tipo_Vertedor="Retangular",Cd_sr*Lef_sr*((O2318/100-cota_s)^(3/2))*1000)),IF(O2318&lt;=cota_s*100+fi_s/20,0,(OFFSET('Base de dados'!$A$4,IF(O2318&lt;20,1,IF(O2318&gt;1000,10,MATCH(O2318,Cargas,1))),Coluna_fis,1,1))*(PI()*(fi_s/1000)^2/4)*(2*9.81*(O2318/100-cota_s-fi_s/2/1000))^0.5*1000)))</f>
        <v>5.7254168628322581</v>
      </c>
      <c r="R2318" s="38">
        <f t="shared" ca="1" si="265"/>
        <v>12.158046452780694</v>
      </c>
      <c r="S2318" s="38">
        <f t="shared" ca="1" si="266"/>
        <v>724.0625</v>
      </c>
    </row>
    <row r="2319" spans="13:19">
      <c r="M2319" s="132">
        <f t="shared" ca="1" si="263"/>
        <v>736.53600281238357</v>
      </c>
      <c r="N2319" s="38">
        <f t="shared" si="264"/>
        <v>21.731249999999999</v>
      </c>
      <c r="O2319" s="36">
        <f t="shared" si="262"/>
        <v>579.5</v>
      </c>
      <c r="P2319" s="38">
        <f ca="1">IF(ISERROR(IF(O2319&lt;fi_h/20,0,(OFFSET('Base de dados'!$A$5,IF(O2319&lt;20,1,IF(O2319&gt;1000,10,MATCH(O2319,Cargas,1))),Coluna_fih,1,1))*(1+0.13*0.25)*(PI()*(fi_h/1000)^2/4)*SQRT(2*9.81*(O2319/100-fi_h/2/1000))*1000)),"",IF(O2319&lt;fi_h/20,0,(OFFSET('Base de dados'!$A$5,IF(O2319&lt;20,1,IF(O2319&gt;1000,10,MATCH(O2319,Cargas,1))),Coluna_fih,1,1))*(PI()*(fi_h/1000)^2/4)*SQRT(2*9.81*(O2319/100-fi_h/2/1000))*1000))</f>
        <v>6.434021807466598</v>
      </c>
      <c r="Q2319" s="38">
        <f ca="1">IF(O2319="","",IF(Tipo_Vertedor="Retangular",IF(O2319&lt;=cota_s*100,0,IF(Tipo_Vertedor="Retangular",Cd_sr*Lef_sr*((O2319/100-cota_s)^(3/2))*1000)),IF(O2319&lt;=cota_s*100+fi_s/20,0,(OFFSET('Base de dados'!$A$4,IF(O2319&lt;20,1,IF(O2319&gt;1000,10,MATCH(O2319,Cargas,1))),Coluna_fis,1,1))*(PI()*(fi_s/1000)^2/4)*(2*9.81*(O2319/100-cota_s-fi_s/2/1000))^0.5*1000)))</f>
        <v>5.7269810049169489</v>
      </c>
      <c r="R2319" s="38">
        <f t="shared" ca="1" si="265"/>
        <v>12.161002812383547</v>
      </c>
      <c r="S2319" s="38">
        <f t="shared" ca="1" si="266"/>
        <v>724.375</v>
      </c>
    </row>
    <row r="2320" spans="13:19">
      <c r="M2320" s="132">
        <f t="shared" ca="1" si="263"/>
        <v>736.85145844371948</v>
      </c>
      <c r="N2320" s="38">
        <f t="shared" si="264"/>
        <v>21.740625000000001</v>
      </c>
      <c r="O2320" s="36">
        <f t="shared" si="262"/>
        <v>579.75</v>
      </c>
      <c r="P2320" s="38">
        <f ca="1">IF(ISERROR(IF(O2320&lt;fi_h/20,0,(OFFSET('Base de dados'!$A$5,IF(O2320&lt;20,1,IF(O2320&gt;1000,10,MATCH(O2320,Cargas,1))),Coluna_fih,1,1))*(1+0.13*0.25)*(PI()*(fi_h/1000)^2/4)*SQRT(2*9.81*(O2320/100-fi_h/2/1000))*1000)),"",IF(O2320&lt;fi_h/20,0,(OFFSET('Base de dados'!$A$5,IF(O2320&lt;20,1,IF(O2320&gt;1000,10,MATCH(O2320,Cargas,1))),Coluna_fih,1,1))*(PI()*(fi_h/1000)^2/4)*SQRT(2*9.81*(O2320/100-fi_h/2/1000))*1000))</f>
        <v>6.4354137237967324</v>
      </c>
      <c r="Q2320" s="38">
        <f ca="1">IF(O2320="","",IF(Tipo_Vertedor="Retangular",IF(O2320&lt;=cota_s*100,0,IF(Tipo_Vertedor="Retangular",Cd_sr*Lef_sr*((O2320/100-cota_s)^(3/2))*1000)),IF(O2320&lt;=cota_s*100+fi_s/20,0,(OFFSET('Base de dados'!$A$4,IF(O2320&lt;20,1,IF(O2320&gt;1000,10,MATCH(O2320,Cargas,1))),Coluna_fis,1,1))*(PI()*(fi_s/1000)^2/4)*(2*9.81*(O2320/100-cota_s-fi_s/2/1000))^0.5*1000)))</f>
        <v>5.7285447199227759</v>
      </c>
      <c r="R2320" s="38">
        <f t="shared" ca="1" si="265"/>
        <v>12.163958443719508</v>
      </c>
      <c r="S2320" s="38">
        <f t="shared" ca="1" si="266"/>
        <v>724.6875</v>
      </c>
    </row>
    <row r="2321" spans="13:19">
      <c r="M2321" s="132">
        <f t="shared" ca="1" si="263"/>
        <v>737.16691334733366</v>
      </c>
      <c r="N2321" s="38">
        <f t="shared" si="264"/>
        <v>21.75</v>
      </c>
      <c r="O2321" s="36">
        <f t="shared" si="262"/>
        <v>580</v>
      </c>
      <c r="P2321" s="38">
        <f ca="1">IF(ISERROR(IF(O2321&lt;fi_h/20,0,(OFFSET('Base de dados'!$A$5,IF(O2321&lt;20,1,IF(O2321&gt;1000,10,MATCH(O2321,Cargas,1))),Coluna_fih,1,1))*(1+0.13*0.25)*(PI()*(fi_h/1000)^2/4)*SQRT(2*9.81*(O2321/100-fi_h/2/1000))*1000)),"",IF(O2321&lt;fi_h/20,0,(OFFSET('Base de dados'!$A$5,IF(O2321&lt;20,1,IF(O2321&gt;1000,10,MATCH(O2321,Cargas,1))),Coluna_fih,1,1))*(PI()*(fi_h/1000)^2/4)*SQRT(2*9.81*(O2321/100-fi_h/2/1000))*1000))</f>
        <v>6.436805339134227</v>
      </c>
      <c r="Q2321" s="38">
        <f ca="1">IF(O2321="","",IF(Tipo_Vertedor="Retangular",IF(O2321&lt;=cota_s*100,0,IF(Tipo_Vertedor="Retangular",Cd_sr*Lef_sr*((O2321/100-cota_s)^(3/2))*1000)),IF(O2321&lt;=cota_s*100+fi_s/20,0,(OFFSET('Base de dados'!$A$4,IF(O2321&lt;20,1,IF(O2321&gt;1000,10,MATCH(O2321,Cargas,1))),Coluna_fis,1,1))*(PI()*(fi_s/1000)^2/4)*(2*9.81*(O2321/100-cota_s-fi_s/2/1000))^0.5*1000)))</f>
        <v>5.730108008199382</v>
      </c>
      <c r="R2321" s="38">
        <f t="shared" ca="1" si="265"/>
        <v>12.166913347333608</v>
      </c>
      <c r="S2321" s="38">
        <f t="shared" ca="1" si="266"/>
        <v>725</v>
      </c>
    </row>
    <row r="2322" spans="13:19">
      <c r="M2322" s="132">
        <f t="shared" ca="1" si="263"/>
        <v>737.48236752377034</v>
      </c>
      <c r="N2322" s="38">
        <f t="shared" si="264"/>
        <v>21.759375000000002</v>
      </c>
      <c r="O2322" s="36">
        <f t="shared" si="262"/>
        <v>580.25</v>
      </c>
      <c r="P2322" s="38">
        <f ca="1">IF(ISERROR(IF(O2322&lt;fi_h/20,0,(OFFSET('Base de dados'!$A$5,IF(O2322&lt;20,1,IF(O2322&gt;1000,10,MATCH(O2322,Cargas,1))),Coluna_fih,1,1))*(1+0.13*0.25)*(PI()*(fi_h/1000)^2/4)*SQRT(2*9.81*(O2322/100-fi_h/2/1000))*1000)),"",IF(O2322&lt;fi_h/20,0,(OFFSET('Base de dados'!$A$5,IF(O2322&lt;20,1,IF(O2322&gt;1000,10,MATCH(O2322,Cargas,1))),Coluna_fih,1,1))*(PI()*(fi_h/1000)^2/4)*SQRT(2*9.81*(O2322/100-fi_h/2/1000))*1000))</f>
        <v>6.4381966536742619</v>
      </c>
      <c r="Q2322" s="38">
        <f ca="1">IF(O2322="","",IF(Tipo_Vertedor="Retangular",IF(O2322&lt;=cota_s*100,0,IF(Tipo_Vertedor="Retangular",Cd_sr*Lef_sr*((O2322/100-cota_s)^(3/2))*1000)),IF(O2322&lt;=cota_s*100+fi_s/20,0,(OFFSET('Base de dados'!$A$4,IF(O2322&lt;20,1,IF(O2322&gt;1000,10,MATCH(O2322,Cargas,1))),Coluna_fis,1,1))*(PI()*(fi_s/1000)^2/4)*(2*9.81*(O2322/100-cota_s-fi_s/2/1000))^0.5*1000)))</f>
        <v>5.7316708700959333</v>
      </c>
      <c r="R2322" s="38">
        <f t="shared" ca="1" si="265"/>
        <v>12.169867523770195</v>
      </c>
      <c r="S2322" s="38">
        <f t="shared" ca="1" si="266"/>
        <v>725.31250000000011</v>
      </c>
    </row>
    <row r="2323" spans="13:19">
      <c r="M2323" s="132">
        <f t="shared" ca="1" si="263"/>
        <v>737.79782097357281</v>
      </c>
      <c r="N2323" s="38">
        <f t="shared" si="264"/>
        <v>21.768749999999997</v>
      </c>
      <c r="O2323" s="36">
        <f t="shared" ref="O2323:O2386" si="267">IF(ISERROR(IF(O2322+passo_altura&gt;h_max_puls*100,"",O2322+passo_altura)),"",IF(O2322+passo_altura&gt;h_max_puls*100,"",O2322+passo_altura))</f>
        <v>580.5</v>
      </c>
      <c r="P2323" s="38">
        <f ca="1">IF(ISERROR(IF(O2323&lt;fi_h/20,0,(OFFSET('Base de dados'!$A$5,IF(O2323&lt;20,1,IF(O2323&gt;1000,10,MATCH(O2323,Cargas,1))),Coluna_fih,1,1))*(1+0.13*0.25)*(PI()*(fi_h/1000)^2/4)*SQRT(2*9.81*(O2323/100-fi_h/2/1000))*1000)),"",IF(O2323&lt;fi_h/20,0,(OFFSET('Base de dados'!$A$5,IF(O2323&lt;20,1,IF(O2323&gt;1000,10,MATCH(O2323,Cargas,1))),Coluna_fih,1,1))*(PI()*(fi_h/1000)^2/4)*SQRT(2*9.81*(O2323/100-fi_h/2/1000))*1000))</f>
        <v>6.4395876676118045</v>
      </c>
      <c r="Q2323" s="38">
        <f ca="1">IF(O2323="","",IF(Tipo_Vertedor="Retangular",IF(O2323&lt;=cota_s*100,0,IF(Tipo_Vertedor="Retangular",Cd_sr*Lef_sr*((O2323/100-cota_s)^(3/2))*1000)),IF(O2323&lt;=cota_s*100+fi_s/20,0,(OFFSET('Base de dados'!$A$4,IF(O2323&lt;20,1,IF(O2323&gt;1000,10,MATCH(O2323,Cargas,1))),Coluna_fis,1,1))*(PI()*(fi_s/1000)^2/4)*(2*9.81*(O2323/100-cota_s-fi_s/2/1000))^0.5*1000)))</f>
        <v>5.7332333059611171</v>
      </c>
      <c r="R2323" s="38">
        <f t="shared" ca="1" si="265"/>
        <v>12.172820973572922</v>
      </c>
      <c r="S2323" s="38">
        <f t="shared" ca="1" si="266"/>
        <v>725.62499999999989</v>
      </c>
    </row>
    <row r="2324" spans="13:19">
      <c r="M2324" s="132">
        <f t="shared" ca="1" si="263"/>
        <v>738.11327369728474</v>
      </c>
      <c r="N2324" s="38">
        <f t="shared" si="264"/>
        <v>21.778124999999999</v>
      </c>
      <c r="O2324" s="36">
        <f t="shared" si="267"/>
        <v>580.75</v>
      </c>
      <c r="P2324" s="38">
        <f ca="1">IF(ISERROR(IF(O2324&lt;fi_h/20,0,(OFFSET('Base de dados'!$A$5,IF(O2324&lt;20,1,IF(O2324&gt;1000,10,MATCH(O2324,Cargas,1))),Coluna_fih,1,1))*(1+0.13*0.25)*(PI()*(fi_h/1000)^2/4)*SQRT(2*9.81*(O2324/100-fi_h/2/1000))*1000)),"",IF(O2324&lt;fi_h/20,0,(OFFSET('Base de dados'!$A$5,IF(O2324&lt;20,1,IF(O2324&gt;1000,10,MATCH(O2324,Cargas,1))),Coluna_fih,1,1))*(PI()*(fi_h/1000)^2/4)*SQRT(2*9.81*(O2324/100-fi_h/2/1000))*1000))</f>
        <v>6.4409783811416119</v>
      </c>
      <c r="Q2324" s="38">
        <f ca="1">IF(O2324="","",IF(Tipo_Vertedor="Retangular",IF(O2324&lt;=cota_s*100,0,IF(Tipo_Vertedor="Retangular",Cd_sr*Lef_sr*((O2324/100-cota_s)^(3/2))*1000)),IF(O2324&lt;=cota_s*100+fi_s/20,0,(OFFSET('Base de dados'!$A$4,IF(O2324&lt;20,1,IF(O2324&gt;1000,10,MATCH(O2324,Cargas,1))),Coluna_fis,1,1))*(PI()*(fi_s/1000)^2/4)*(2*9.81*(O2324/100-cota_s-fi_s/2/1000))^0.5*1000)))</f>
        <v>5.7347953161431509</v>
      </c>
      <c r="R2324" s="38">
        <f t="shared" ca="1" si="265"/>
        <v>12.175773697284763</v>
      </c>
      <c r="S2324" s="38">
        <f t="shared" ca="1" si="266"/>
        <v>725.9375</v>
      </c>
    </row>
    <row r="2325" spans="13:19">
      <c r="M2325" s="132">
        <f t="shared" ca="1" si="263"/>
        <v>738.42872569544784</v>
      </c>
      <c r="N2325" s="38">
        <f t="shared" si="264"/>
        <v>21.787499999999998</v>
      </c>
      <c r="O2325" s="36">
        <f t="shared" si="267"/>
        <v>581</v>
      </c>
      <c r="P2325" s="38">
        <f ca="1">IF(ISERROR(IF(O2325&lt;fi_h/20,0,(OFFSET('Base de dados'!$A$5,IF(O2325&lt;20,1,IF(O2325&gt;1000,10,MATCH(O2325,Cargas,1))),Coluna_fih,1,1))*(1+0.13*0.25)*(PI()*(fi_h/1000)^2/4)*SQRT(2*9.81*(O2325/100-fi_h/2/1000))*1000)),"",IF(O2325&lt;fi_h/20,0,(OFFSET('Base de dados'!$A$5,IF(O2325&lt;20,1,IF(O2325&gt;1000,10,MATCH(O2325,Cargas,1))),Coluna_fih,1,1))*(PI()*(fi_h/1000)^2/4)*SQRT(2*9.81*(O2325/100-fi_h/2/1000))*1000))</f>
        <v>6.4423687944582309</v>
      </c>
      <c r="Q2325" s="38">
        <f ca="1">IF(O2325="","",IF(Tipo_Vertedor="Retangular",IF(O2325&lt;=cota_s*100,0,IF(Tipo_Vertedor="Retangular",Cd_sr*Lef_sr*((O2325/100-cota_s)^(3/2))*1000)),IF(O2325&lt;=cota_s*100+fi_s/20,0,(OFFSET('Base de dados'!$A$4,IF(O2325&lt;20,1,IF(O2325&gt;1000,10,MATCH(O2325,Cargas,1))),Coluna_fis,1,1))*(PI()*(fi_s/1000)^2/4)*(2*9.81*(O2325/100-cota_s-fi_s/2/1000))^0.5*1000)))</f>
        <v>5.7363569009897732</v>
      </c>
      <c r="R2325" s="38">
        <f t="shared" ca="1" si="265"/>
        <v>12.178725695448005</v>
      </c>
      <c r="S2325" s="38">
        <f t="shared" ca="1" si="266"/>
        <v>726.24999999999989</v>
      </c>
    </row>
    <row r="2326" spans="13:19">
      <c r="M2326" s="132">
        <f t="shared" ca="1" si="263"/>
        <v>738.74417696860428</v>
      </c>
      <c r="N2326" s="38">
        <f t="shared" si="264"/>
        <v>21.796875</v>
      </c>
      <c r="O2326" s="36">
        <f t="shared" si="267"/>
        <v>581.25</v>
      </c>
      <c r="P2326" s="38">
        <f ca="1">IF(ISERROR(IF(O2326&lt;fi_h/20,0,(OFFSET('Base de dados'!$A$5,IF(O2326&lt;20,1,IF(O2326&gt;1000,10,MATCH(O2326,Cargas,1))),Coluna_fih,1,1))*(1+0.13*0.25)*(PI()*(fi_h/1000)^2/4)*SQRT(2*9.81*(O2326/100-fi_h/2/1000))*1000)),"",IF(O2326&lt;fi_h/20,0,(OFFSET('Base de dados'!$A$5,IF(O2326&lt;20,1,IF(O2326&gt;1000,10,MATCH(O2326,Cargas,1))),Coluna_fih,1,1))*(PI()*(fi_h/1000)^2/4)*SQRT(2*9.81*(O2326/100-fi_h/2/1000))*1000))</f>
        <v>6.4437589077559982</v>
      </c>
      <c r="Q2326" s="38">
        <f ca="1">IF(O2326="","",IF(Tipo_Vertedor="Retangular",IF(O2326&lt;=cota_s*100,0,IF(Tipo_Vertedor="Retangular",Cd_sr*Lef_sr*((O2326/100-cota_s)^(3/2))*1000)),IF(O2326&lt;=cota_s*100+fi_s/20,0,(OFFSET('Base de dados'!$A$4,IF(O2326&lt;20,1,IF(O2326&gt;1000,10,MATCH(O2326,Cargas,1))),Coluna_fis,1,1))*(PI()*(fi_s/1000)^2/4)*(2*9.81*(O2326/100-cota_s-fi_s/2/1000))^0.5*1000)))</f>
        <v>5.7379180608482523</v>
      </c>
      <c r="R2326" s="38">
        <f t="shared" ca="1" si="265"/>
        <v>12.181676968604251</v>
      </c>
      <c r="S2326" s="38">
        <f t="shared" ca="1" si="266"/>
        <v>726.5625</v>
      </c>
    </row>
    <row r="2327" spans="13:19">
      <c r="M2327" s="132">
        <f t="shared" ref="M2327:M2390" ca="1" si="268">IF(O2327="","",2*N2327*1000/(Passo*60)+R2327)</f>
        <v>739.05962751729453</v>
      </c>
      <c r="N2327" s="38">
        <f t="shared" ref="N2327:N2390" si="269">IF(O2327="","",b_0*(O2327/100)^c_0)</f>
        <v>21.806250000000002</v>
      </c>
      <c r="O2327" s="36">
        <f t="shared" si="267"/>
        <v>581.5</v>
      </c>
      <c r="P2327" s="38">
        <f ca="1">IF(ISERROR(IF(O2327&lt;fi_h/20,0,(OFFSET('Base de dados'!$A$5,IF(O2327&lt;20,1,IF(O2327&gt;1000,10,MATCH(O2327,Cargas,1))),Coluna_fih,1,1))*(1+0.13*0.25)*(PI()*(fi_h/1000)^2/4)*SQRT(2*9.81*(O2327/100-fi_h/2/1000))*1000)),"",IF(O2327&lt;fi_h/20,0,(OFFSET('Base de dados'!$A$5,IF(O2327&lt;20,1,IF(O2327&gt;1000,10,MATCH(O2327,Cargas,1))),Coluna_fih,1,1))*(PI()*(fi_h/1000)^2/4)*SQRT(2*9.81*(O2327/100-fi_h/2/1000))*1000))</f>
        <v>6.4451487212290415</v>
      </c>
      <c r="Q2327" s="38">
        <f ca="1">IF(O2327="","",IF(Tipo_Vertedor="Retangular",IF(O2327&lt;=cota_s*100,0,IF(Tipo_Vertedor="Retangular",Cd_sr*Lef_sr*((O2327/100-cota_s)^(3/2))*1000)),IF(O2327&lt;=cota_s*100+fi_s/20,0,(OFFSET('Base de dados'!$A$4,IF(O2327&lt;20,1,IF(O2327&gt;1000,10,MATCH(O2327,Cargas,1))),Coluna_fis,1,1))*(PI()*(fi_s/1000)^2/4)*(2*9.81*(O2327/100-cota_s-fi_s/2/1000))^0.5*1000)))</f>
        <v>5.7394787960653835</v>
      </c>
      <c r="R2327" s="38">
        <f t="shared" ref="R2327:R2390" ca="1" si="270">IF(O2327="","",Q2327+P2327)</f>
        <v>12.184627517294425</v>
      </c>
      <c r="S2327" s="38">
        <f t="shared" ref="S2327:S2390" ca="1" si="271">IF(M2327="","",2*N2327*1000/(Passo*60))</f>
        <v>726.87500000000011</v>
      </c>
    </row>
    <row r="2328" spans="13:19">
      <c r="M2328" s="132">
        <f t="shared" ca="1" si="268"/>
        <v>739.37507734205872</v>
      </c>
      <c r="N2328" s="38">
        <f t="shared" si="269"/>
        <v>21.815625000000001</v>
      </c>
      <c r="O2328" s="36">
        <f t="shared" si="267"/>
        <v>581.75</v>
      </c>
      <c r="P2328" s="38">
        <f ca="1">IF(ISERROR(IF(O2328&lt;fi_h/20,0,(OFFSET('Base de dados'!$A$5,IF(O2328&lt;20,1,IF(O2328&gt;1000,10,MATCH(O2328,Cargas,1))),Coluna_fih,1,1))*(1+0.13*0.25)*(PI()*(fi_h/1000)^2/4)*SQRT(2*9.81*(O2328/100-fi_h/2/1000))*1000)),"",IF(O2328&lt;fi_h/20,0,(OFFSET('Base de dados'!$A$5,IF(O2328&lt;20,1,IF(O2328&gt;1000,10,MATCH(O2328,Cargas,1))),Coluna_fih,1,1))*(PI()*(fi_h/1000)^2/4)*SQRT(2*9.81*(O2328/100-fi_h/2/1000))*1000))</f>
        <v>6.4465382350712792</v>
      </c>
      <c r="Q2328" s="38">
        <f ca="1">IF(O2328="","",IF(Tipo_Vertedor="Retangular",IF(O2328&lt;=cota_s*100,0,IF(Tipo_Vertedor="Retangular",Cd_sr*Lef_sr*((O2328/100-cota_s)^(3/2))*1000)),IF(O2328&lt;=cota_s*100+fi_s/20,0,(OFFSET('Base de dados'!$A$4,IF(O2328&lt;20,1,IF(O2328&gt;1000,10,MATCH(O2328,Cargas,1))),Coluna_fis,1,1))*(PI()*(fi_s/1000)^2/4)*(2*9.81*(O2328/100-cota_s-fi_s/2/1000))^0.5*1000)))</f>
        <v>5.7410391069874898</v>
      </c>
      <c r="R2328" s="38">
        <f t="shared" ca="1" si="270"/>
        <v>12.18757734205877</v>
      </c>
      <c r="S2328" s="38">
        <f t="shared" ca="1" si="271"/>
        <v>727.1875</v>
      </c>
    </row>
    <row r="2329" spans="13:19">
      <c r="M2329" s="132">
        <f t="shared" ca="1" si="268"/>
        <v>739.69052644343697</v>
      </c>
      <c r="N2329" s="38">
        <f t="shared" si="269"/>
        <v>21.825000000000003</v>
      </c>
      <c r="O2329" s="36">
        <f t="shared" si="267"/>
        <v>582</v>
      </c>
      <c r="P2329" s="38">
        <f ca="1">IF(ISERROR(IF(O2329&lt;fi_h/20,0,(OFFSET('Base de dados'!$A$5,IF(O2329&lt;20,1,IF(O2329&gt;1000,10,MATCH(O2329,Cargas,1))),Coluna_fih,1,1))*(1+0.13*0.25)*(PI()*(fi_h/1000)^2/4)*SQRT(2*9.81*(O2329/100-fi_h/2/1000))*1000)),"",IF(O2329&lt;fi_h/20,0,(OFFSET('Base de dados'!$A$5,IF(O2329&lt;20,1,IF(O2329&gt;1000,10,MATCH(O2329,Cargas,1))),Coluna_fih,1,1))*(PI()*(fi_h/1000)^2/4)*SQRT(2*9.81*(O2329/100-fi_h/2/1000))*1000))</f>
        <v>6.4479274494764205</v>
      </c>
      <c r="Q2329" s="38">
        <f ca="1">IF(O2329="","",IF(Tipo_Vertedor="Retangular",IF(O2329&lt;=cota_s*100,0,IF(Tipo_Vertedor="Retangular",Cd_sr*Lef_sr*((O2329/100-cota_s)^(3/2))*1000)),IF(O2329&lt;=cota_s*100+fi_s/20,0,(OFFSET('Base de dados'!$A$4,IF(O2329&lt;20,1,IF(O2329&gt;1000,10,MATCH(O2329,Cargas,1))),Coluna_fis,1,1))*(PI()*(fi_s/1000)^2/4)*(2*9.81*(O2329/100-cota_s-fi_s/2/1000))^0.5*1000)))</f>
        <v>5.7425989939604269</v>
      </c>
      <c r="R2329" s="38">
        <f t="shared" ca="1" si="270"/>
        <v>12.190526443436848</v>
      </c>
      <c r="S2329" s="38">
        <f t="shared" ca="1" si="271"/>
        <v>727.50000000000011</v>
      </c>
    </row>
    <row r="2330" spans="13:19">
      <c r="M2330" s="132">
        <f t="shared" ca="1" si="268"/>
        <v>740.00597482196747</v>
      </c>
      <c r="N2330" s="38">
        <f t="shared" si="269"/>
        <v>21.834374999999998</v>
      </c>
      <c r="O2330" s="36">
        <f t="shared" si="267"/>
        <v>582.25</v>
      </c>
      <c r="P2330" s="38">
        <f ca="1">IF(ISERROR(IF(O2330&lt;fi_h/20,0,(OFFSET('Base de dados'!$A$5,IF(O2330&lt;20,1,IF(O2330&gt;1000,10,MATCH(O2330,Cargas,1))),Coluna_fih,1,1))*(1+0.13*0.25)*(PI()*(fi_h/1000)^2/4)*SQRT(2*9.81*(O2330/100-fi_h/2/1000))*1000)),"",IF(O2330&lt;fi_h/20,0,(OFFSET('Base de dados'!$A$5,IF(O2330&lt;20,1,IF(O2330&gt;1000,10,MATCH(O2330,Cargas,1))),Coluna_fih,1,1))*(PI()*(fi_h/1000)^2/4)*SQRT(2*9.81*(O2330/100-fi_h/2/1000))*1000))</f>
        <v>6.4493163646379656</v>
      </c>
      <c r="Q2330" s="38">
        <f ca="1">IF(O2330="","",IF(Tipo_Vertedor="Retangular",IF(O2330&lt;=cota_s*100,0,IF(Tipo_Vertedor="Retangular",Cd_sr*Lef_sr*((O2330/100-cota_s)^(3/2))*1000)),IF(O2330&lt;=cota_s*100+fi_s/20,0,(OFFSET('Base de dados'!$A$4,IF(O2330&lt;20,1,IF(O2330&gt;1000,10,MATCH(O2330,Cargas,1))),Coluna_fis,1,1))*(PI()*(fi_s/1000)^2/4)*(2*9.81*(O2330/100-cota_s-fi_s/2/1000))^0.5*1000)))</f>
        <v>5.7441584573295748</v>
      </c>
      <c r="R2330" s="38">
        <f t="shared" ca="1" si="270"/>
        <v>12.193474821967541</v>
      </c>
      <c r="S2330" s="38">
        <f t="shared" ca="1" si="271"/>
        <v>727.81249999999989</v>
      </c>
    </row>
    <row r="2331" spans="13:19">
      <c r="M2331" s="132">
        <f t="shared" ca="1" si="268"/>
        <v>740.32142247818911</v>
      </c>
      <c r="N2331" s="38">
        <f t="shared" si="269"/>
        <v>21.84375</v>
      </c>
      <c r="O2331" s="36">
        <f t="shared" si="267"/>
        <v>582.5</v>
      </c>
      <c r="P2331" s="38">
        <f ca="1">IF(ISERROR(IF(O2331&lt;fi_h/20,0,(OFFSET('Base de dados'!$A$5,IF(O2331&lt;20,1,IF(O2331&gt;1000,10,MATCH(O2331,Cargas,1))),Coluna_fih,1,1))*(1+0.13*0.25)*(PI()*(fi_h/1000)^2/4)*SQRT(2*9.81*(O2331/100-fi_h/2/1000))*1000)),"",IF(O2331&lt;fi_h/20,0,(OFFSET('Base de dados'!$A$5,IF(O2331&lt;20,1,IF(O2331&gt;1000,10,MATCH(O2331,Cargas,1))),Coluna_fih,1,1))*(PI()*(fi_h/1000)^2/4)*SQRT(2*9.81*(O2331/100-fi_h/2/1000))*1000))</f>
        <v>6.4507049807492089</v>
      </c>
      <c r="Q2331" s="38">
        <f ca="1">IF(O2331="","",IF(Tipo_Vertedor="Retangular",IF(O2331&lt;=cota_s*100,0,IF(Tipo_Vertedor="Retangular",Cd_sr*Lef_sr*((O2331/100-cota_s)^(3/2))*1000)),IF(O2331&lt;=cota_s*100+fi_s/20,0,(OFFSET('Base de dados'!$A$4,IF(O2331&lt;20,1,IF(O2331&gt;1000,10,MATCH(O2331,Cargas,1))),Coluna_fis,1,1))*(PI()*(fi_s/1000)^2/4)*(2*9.81*(O2331/100-cota_s-fi_s/2/1000))^0.5*1000)))</f>
        <v>5.7457174974398502</v>
      </c>
      <c r="R2331" s="38">
        <f t="shared" ca="1" si="270"/>
        <v>12.19642247818906</v>
      </c>
      <c r="S2331" s="38">
        <f t="shared" ca="1" si="271"/>
        <v>728.125</v>
      </c>
    </row>
    <row r="2332" spans="13:19">
      <c r="M2332" s="132">
        <f t="shared" ca="1" si="268"/>
        <v>740.63686941263893</v>
      </c>
      <c r="N2332" s="38">
        <f t="shared" si="269"/>
        <v>21.853124999999999</v>
      </c>
      <c r="O2332" s="36">
        <f t="shared" si="267"/>
        <v>582.75</v>
      </c>
      <c r="P2332" s="38">
        <f ca="1">IF(ISERROR(IF(O2332&lt;fi_h/20,0,(OFFSET('Base de dados'!$A$5,IF(O2332&lt;20,1,IF(O2332&gt;1000,10,MATCH(O2332,Cargas,1))),Coluna_fih,1,1))*(1+0.13*0.25)*(PI()*(fi_h/1000)^2/4)*SQRT(2*9.81*(O2332/100-fi_h/2/1000))*1000)),"",IF(O2332&lt;fi_h/20,0,(OFFSET('Base de dados'!$A$5,IF(O2332&lt;20,1,IF(O2332&gt;1000,10,MATCH(O2332,Cargas,1))),Coluna_fih,1,1))*(PI()*(fi_h/1000)^2/4)*SQRT(2*9.81*(O2332/100-fi_h/2/1000))*1000))</f>
        <v>6.4520932980032324</v>
      </c>
      <c r="Q2332" s="38">
        <f ca="1">IF(O2332="","",IF(Tipo_Vertedor="Retangular",IF(O2332&lt;=cota_s*100,0,IF(Tipo_Vertedor="Retangular",Cd_sr*Lef_sr*((O2332/100-cota_s)^(3/2))*1000)),IF(O2332&lt;=cota_s*100+fi_s/20,0,(OFFSET('Base de dados'!$A$4,IF(O2332&lt;20,1,IF(O2332&gt;1000,10,MATCH(O2332,Cargas,1))),Coluna_fis,1,1))*(PI()*(fi_s/1000)^2/4)*(2*9.81*(O2332/100-cota_s-fi_s/2/1000))^0.5*1000)))</f>
        <v>5.7472761146356994</v>
      </c>
      <c r="R2332" s="38">
        <f t="shared" ca="1" si="270"/>
        <v>12.199369412638932</v>
      </c>
      <c r="S2332" s="38">
        <f t="shared" ca="1" si="271"/>
        <v>728.4375</v>
      </c>
    </row>
    <row r="2333" spans="13:19">
      <c r="M2333" s="132">
        <f t="shared" ca="1" si="268"/>
        <v>740.952315625854</v>
      </c>
      <c r="N2333" s="38">
        <f t="shared" si="269"/>
        <v>21.862500000000001</v>
      </c>
      <c r="O2333" s="36">
        <f t="shared" si="267"/>
        <v>583</v>
      </c>
      <c r="P2333" s="38">
        <f ca="1">IF(ISERROR(IF(O2333&lt;fi_h/20,0,(OFFSET('Base de dados'!$A$5,IF(O2333&lt;20,1,IF(O2333&gt;1000,10,MATCH(O2333,Cargas,1))),Coluna_fih,1,1))*(1+0.13*0.25)*(PI()*(fi_h/1000)^2/4)*SQRT(2*9.81*(O2333/100-fi_h/2/1000))*1000)),"",IF(O2333&lt;fi_h/20,0,(OFFSET('Base de dados'!$A$5,IF(O2333&lt;20,1,IF(O2333&gt;1000,10,MATCH(O2333,Cargas,1))),Coluna_fih,1,1))*(PI()*(fi_h/1000)^2/4)*SQRT(2*9.81*(O2333/100-fi_h/2/1000))*1000))</f>
        <v>6.4534813165929137</v>
      </c>
      <c r="Q2333" s="38">
        <f ca="1">IF(O2333="","",IF(Tipo_Vertedor="Retangular",IF(O2333&lt;=cota_s*100,0,IF(Tipo_Vertedor="Retangular",Cd_sr*Lef_sr*((O2333/100-cota_s)^(3/2))*1000)),IF(O2333&lt;=cota_s*100+fi_s/20,0,(OFFSET('Base de dados'!$A$4,IF(O2333&lt;20,1,IF(O2333&gt;1000,10,MATCH(O2333,Cargas,1))),Coluna_fis,1,1))*(PI()*(fi_s/1000)^2/4)*(2*9.81*(O2333/100-cota_s-fi_s/2/1000))^0.5*1000)))</f>
        <v>5.7488343092611043</v>
      </c>
      <c r="R2333" s="38">
        <f t="shared" ca="1" si="270"/>
        <v>12.202315625854018</v>
      </c>
      <c r="S2333" s="38">
        <f t="shared" ca="1" si="271"/>
        <v>728.75</v>
      </c>
    </row>
    <row r="2334" spans="13:19">
      <c r="M2334" s="132">
        <f t="shared" ca="1" si="268"/>
        <v>741.26776111837046</v>
      </c>
      <c r="N2334" s="38">
        <f t="shared" si="269"/>
        <v>21.871874999999999</v>
      </c>
      <c r="O2334" s="36">
        <f t="shared" si="267"/>
        <v>583.25</v>
      </c>
      <c r="P2334" s="38">
        <f ca="1">IF(ISERROR(IF(O2334&lt;fi_h/20,0,(OFFSET('Base de dados'!$A$5,IF(O2334&lt;20,1,IF(O2334&gt;1000,10,MATCH(O2334,Cargas,1))),Coluna_fih,1,1))*(1+0.13*0.25)*(PI()*(fi_h/1000)^2/4)*SQRT(2*9.81*(O2334/100-fi_h/2/1000))*1000)),"",IF(O2334&lt;fi_h/20,0,(OFFSET('Base de dados'!$A$5,IF(O2334&lt;20,1,IF(O2334&gt;1000,10,MATCH(O2334,Cargas,1))),Coluna_fih,1,1))*(PI()*(fi_h/1000)^2/4)*SQRT(2*9.81*(O2334/100-fi_h/2/1000))*1000))</f>
        <v>6.4548690367109209</v>
      </c>
      <c r="Q2334" s="38">
        <f ca="1">IF(O2334="","",IF(Tipo_Vertedor="Retangular",IF(O2334&lt;=cota_s*100,0,IF(Tipo_Vertedor="Retangular",Cd_sr*Lef_sr*((O2334/100-cota_s)^(3/2))*1000)),IF(O2334&lt;=cota_s*100+fi_s/20,0,(OFFSET('Base de dados'!$A$4,IF(O2334&lt;20,1,IF(O2334&gt;1000,10,MATCH(O2334,Cargas,1))),Coluna_fis,1,1))*(PI()*(fi_s/1000)^2/4)*(2*9.81*(O2334/100-cota_s-fi_s/2/1000))^0.5*1000)))</f>
        <v>5.7503920816595775</v>
      </c>
      <c r="R2334" s="38">
        <f t="shared" ca="1" si="270"/>
        <v>12.205261118370498</v>
      </c>
      <c r="S2334" s="38">
        <f t="shared" ca="1" si="271"/>
        <v>729.0625</v>
      </c>
    </row>
    <row r="2335" spans="13:19">
      <c r="M2335" s="132">
        <f t="shared" ca="1" si="268"/>
        <v>741.58320589072389</v>
      </c>
      <c r="N2335" s="38">
        <f t="shared" si="269"/>
        <v>21.881250000000001</v>
      </c>
      <c r="O2335" s="36">
        <f t="shared" si="267"/>
        <v>583.5</v>
      </c>
      <c r="P2335" s="38">
        <f ca="1">IF(ISERROR(IF(O2335&lt;fi_h/20,0,(OFFSET('Base de dados'!$A$5,IF(O2335&lt;20,1,IF(O2335&gt;1000,10,MATCH(O2335,Cargas,1))),Coluna_fih,1,1))*(1+0.13*0.25)*(PI()*(fi_h/1000)^2/4)*SQRT(2*9.81*(O2335/100-fi_h/2/1000))*1000)),"",IF(O2335&lt;fi_h/20,0,(OFFSET('Base de dados'!$A$5,IF(O2335&lt;20,1,IF(O2335&gt;1000,10,MATCH(O2335,Cargas,1))),Coluna_fih,1,1))*(PI()*(fi_h/1000)^2/4)*SQRT(2*9.81*(O2335/100-fi_h/2/1000))*1000))</f>
        <v>6.456256458549718</v>
      </c>
      <c r="Q2335" s="38">
        <f ca="1">IF(O2335="","",IF(Tipo_Vertedor="Retangular",IF(O2335&lt;=cota_s*100,0,IF(Tipo_Vertedor="Retangular",Cd_sr*Lef_sr*((O2335/100-cota_s)^(3/2))*1000)),IF(O2335&lt;=cota_s*100+fi_s/20,0,(OFFSET('Base de dados'!$A$4,IF(O2335&lt;20,1,IF(O2335&gt;1000,10,MATCH(O2335,Cargas,1))),Coluna_fis,1,1))*(PI()*(fi_s/1000)^2/4)*(2*9.81*(O2335/100-cota_s-fi_s/2/1000))^0.5*1000)))</f>
        <v>5.75194943217417</v>
      </c>
      <c r="R2335" s="38">
        <f t="shared" ca="1" si="270"/>
        <v>12.208205890723889</v>
      </c>
      <c r="S2335" s="38">
        <f t="shared" ca="1" si="271"/>
        <v>729.375</v>
      </c>
    </row>
    <row r="2336" spans="13:19">
      <c r="M2336" s="132">
        <f t="shared" ca="1" si="268"/>
        <v>741.89864994344907</v>
      </c>
      <c r="N2336" s="38">
        <f t="shared" si="269"/>
        <v>21.890625</v>
      </c>
      <c r="O2336" s="36">
        <f t="shared" si="267"/>
        <v>583.75</v>
      </c>
      <c r="P2336" s="38">
        <f ca="1">IF(ISERROR(IF(O2336&lt;fi_h/20,0,(OFFSET('Base de dados'!$A$5,IF(O2336&lt;20,1,IF(O2336&gt;1000,10,MATCH(O2336,Cargas,1))),Coluna_fih,1,1))*(1+0.13*0.25)*(PI()*(fi_h/1000)^2/4)*SQRT(2*9.81*(O2336/100-fi_h/2/1000))*1000)),"",IF(O2336&lt;fi_h/20,0,(OFFSET('Base de dados'!$A$5,IF(O2336&lt;20,1,IF(O2336&gt;1000,10,MATCH(O2336,Cargas,1))),Coluna_fih,1,1))*(PI()*(fi_h/1000)^2/4)*SQRT(2*9.81*(O2336/100-fi_h/2/1000))*1000))</f>
        <v>6.4576435823015599</v>
      </c>
      <c r="Q2336" s="38">
        <f ca="1">IF(O2336="","",IF(Tipo_Vertedor="Retangular",IF(O2336&lt;=cota_s*100,0,IF(Tipo_Vertedor="Retangular",Cd_sr*Lef_sr*((O2336/100-cota_s)^(3/2))*1000)),IF(O2336&lt;=cota_s*100+fi_s/20,0,(OFFSET('Base de dados'!$A$4,IF(O2336&lt;20,1,IF(O2336&gt;1000,10,MATCH(O2336,Cargas,1))),Coluna_fis,1,1))*(PI()*(fi_s/1000)^2/4)*(2*9.81*(O2336/100-cota_s-fi_s/2/1000))^0.5*1000)))</f>
        <v>5.7535063611474637</v>
      </c>
      <c r="R2336" s="38">
        <f t="shared" ca="1" si="270"/>
        <v>12.211149943449023</v>
      </c>
      <c r="S2336" s="38">
        <f t="shared" ca="1" si="271"/>
        <v>729.6875</v>
      </c>
    </row>
    <row r="2337" spans="13:19">
      <c r="M2337" s="132">
        <f t="shared" ca="1" si="268"/>
        <v>742.21409327708011</v>
      </c>
      <c r="N2337" s="38">
        <f t="shared" si="269"/>
        <v>21.9</v>
      </c>
      <c r="O2337" s="36">
        <f t="shared" si="267"/>
        <v>584</v>
      </c>
      <c r="P2337" s="38">
        <f ca="1">IF(ISERROR(IF(O2337&lt;fi_h/20,0,(OFFSET('Base de dados'!$A$5,IF(O2337&lt;20,1,IF(O2337&gt;1000,10,MATCH(O2337,Cargas,1))),Coluna_fih,1,1))*(1+0.13*0.25)*(PI()*(fi_h/1000)^2/4)*SQRT(2*9.81*(O2337/100-fi_h/2/1000))*1000)),"",IF(O2337&lt;fi_h/20,0,(OFFSET('Base de dados'!$A$5,IF(O2337&lt;20,1,IF(O2337&gt;1000,10,MATCH(O2337,Cargas,1))),Coluna_fih,1,1))*(PI()*(fi_h/1000)^2/4)*SQRT(2*9.81*(O2337/100-fi_h/2/1000))*1000))</f>
        <v>6.4590304081584948</v>
      </c>
      <c r="Q2337" s="38">
        <f ca="1">IF(O2337="","",IF(Tipo_Vertedor="Retangular",IF(O2337&lt;=cota_s*100,0,IF(Tipo_Vertedor="Retangular",Cd_sr*Lef_sr*((O2337/100-cota_s)^(3/2))*1000)),IF(O2337&lt;=cota_s*100+fi_s/20,0,(OFFSET('Base de dados'!$A$4,IF(O2337&lt;20,1,IF(O2337&gt;1000,10,MATCH(O2337,Cargas,1))),Coluna_fis,1,1))*(PI()*(fi_s/1000)^2/4)*(2*9.81*(O2337/100-cota_s-fi_s/2/1000))^0.5*1000)))</f>
        <v>5.7550628689215815</v>
      </c>
      <c r="R2337" s="38">
        <f t="shared" ca="1" si="270"/>
        <v>12.214093277080076</v>
      </c>
      <c r="S2337" s="38">
        <f t="shared" ca="1" si="271"/>
        <v>730</v>
      </c>
    </row>
    <row r="2338" spans="13:19">
      <c r="M2338" s="132">
        <f t="shared" ca="1" si="268"/>
        <v>742.52953589215053</v>
      </c>
      <c r="N2338" s="38">
        <f t="shared" si="269"/>
        <v>21.909375000000001</v>
      </c>
      <c r="O2338" s="36">
        <f t="shared" si="267"/>
        <v>584.25</v>
      </c>
      <c r="P2338" s="38">
        <f ca="1">IF(ISERROR(IF(O2338&lt;fi_h/20,0,(OFFSET('Base de dados'!$A$5,IF(O2338&lt;20,1,IF(O2338&gt;1000,10,MATCH(O2338,Cargas,1))),Coluna_fih,1,1))*(1+0.13*0.25)*(PI()*(fi_h/1000)^2/4)*SQRT(2*9.81*(O2338/100-fi_h/2/1000))*1000)),"",IF(O2338&lt;fi_h/20,0,(OFFSET('Base de dados'!$A$5,IF(O2338&lt;20,1,IF(O2338&gt;1000,10,MATCH(O2338,Cargas,1))),Coluna_fih,1,1))*(PI()*(fi_h/1000)^2/4)*SQRT(2*9.81*(O2338/100-fi_h/2/1000))*1000))</f>
        <v>6.4604169363123676</v>
      </c>
      <c r="Q2338" s="38">
        <f ca="1">IF(O2338="","",IF(Tipo_Vertedor="Retangular",IF(O2338&lt;=cota_s*100,0,IF(Tipo_Vertedor="Retangular",Cd_sr*Lef_sr*((O2338/100-cota_s)^(3/2))*1000)),IF(O2338&lt;=cota_s*100+fi_s/20,0,(OFFSET('Base de dados'!$A$4,IF(O2338&lt;20,1,IF(O2338&gt;1000,10,MATCH(O2338,Cargas,1))),Coluna_fis,1,1))*(PI()*(fi_s/1000)^2/4)*(2*9.81*(O2338/100-cota_s-fi_s/2/1000))^0.5*1000)))</f>
        <v>5.7566189558381815</v>
      </c>
      <c r="R2338" s="38">
        <f t="shared" ca="1" si="270"/>
        <v>12.217035892150548</v>
      </c>
      <c r="S2338" s="38">
        <f t="shared" ca="1" si="271"/>
        <v>730.3125</v>
      </c>
    </row>
    <row r="2339" spans="13:19">
      <c r="M2339" s="132">
        <f t="shared" ca="1" si="268"/>
        <v>742.84497778919331</v>
      </c>
      <c r="N2339" s="38">
        <f t="shared" si="269"/>
        <v>21.918749999999999</v>
      </c>
      <c r="O2339" s="36">
        <f t="shared" si="267"/>
        <v>584.5</v>
      </c>
      <c r="P2339" s="38">
        <f ca="1">IF(ISERROR(IF(O2339&lt;fi_h/20,0,(OFFSET('Base de dados'!$A$5,IF(O2339&lt;20,1,IF(O2339&gt;1000,10,MATCH(O2339,Cargas,1))),Coluna_fih,1,1))*(1+0.13*0.25)*(PI()*(fi_h/1000)^2/4)*SQRT(2*9.81*(O2339/100-fi_h/2/1000))*1000)),"",IF(O2339&lt;fi_h/20,0,(OFFSET('Base de dados'!$A$5,IF(O2339&lt;20,1,IF(O2339&gt;1000,10,MATCH(O2339,Cargas,1))),Coluna_fih,1,1))*(PI()*(fi_h/1000)^2/4)*SQRT(2*9.81*(O2339/100-fi_h/2/1000))*1000))</f>
        <v>6.4618031669548124</v>
      </c>
      <c r="Q2339" s="38">
        <f ca="1">IF(O2339="","",IF(Tipo_Vertedor="Retangular",IF(O2339&lt;=cota_s*100,0,IF(Tipo_Vertedor="Retangular",Cd_sr*Lef_sr*((O2339/100-cota_s)^(3/2))*1000)),IF(O2339&lt;=cota_s*100+fi_s/20,0,(OFFSET('Base de dados'!$A$4,IF(O2339&lt;20,1,IF(O2339&gt;1000,10,MATCH(O2339,Cargas,1))),Coluna_fis,1,1))*(PI()*(fi_s/1000)^2/4)*(2*9.81*(O2339/100-cota_s-fi_s/2/1000))^0.5*1000)))</f>
        <v>5.758174622238462</v>
      </c>
      <c r="R2339" s="38">
        <f t="shared" ca="1" si="270"/>
        <v>12.219977789193274</v>
      </c>
      <c r="S2339" s="38">
        <f t="shared" ca="1" si="271"/>
        <v>730.625</v>
      </c>
    </row>
    <row r="2340" spans="13:19">
      <c r="M2340" s="132">
        <f t="shared" ca="1" si="268"/>
        <v>743.16041896874037</v>
      </c>
      <c r="N2340" s="38">
        <f t="shared" si="269"/>
        <v>21.928125000000001</v>
      </c>
      <c r="O2340" s="36">
        <f t="shared" si="267"/>
        <v>584.75</v>
      </c>
      <c r="P2340" s="38">
        <f ca="1">IF(ISERROR(IF(O2340&lt;fi_h/20,0,(OFFSET('Base de dados'!$A$5,IF(O2340&lt;20,1,IF(O2340&gt;1000,10,MATCH(O2340,Cargas,1))),Coluna_fih,1,1))*(1+0.13*0.25)*(PI()*(fi_h/1000)^2/4)*SQRT(2*9.81*(O2340/100-fi_h/2/1000))*1000)),"",IF(O2340&lt;fi_h/20,0,(OFFSET('Base de dados'!$A$5,IF(O2340&lt;20,1,IF(O2340&gt;1000,10,MATCH(O2340,Cargas,1))),Coluna_fih,1,1))*(PI()*(fi_h/1000)^2/4)*SQRT(2*9.81*(O2340/100-fi_h/2/1000))*1000))</f>
        <v>6.4631891002772637</v>
      </c>
      <c r="Q2340" s="38">
        <f ca="1">IF(O2340="","",IF(Tipo_Vertedor="Retangular",IF(O2340&lt;=cota_s*100,0,IF(Tipo_Vertedor="Retangular",Cd_sr*Lef_sr*((O2340/100-cota_s)^(3/2))*1000)),IF(O2340&lt;=cota_s*100+fi_s/20,0,(OFFSET('Base de dados'!$A$4,IF(O2340&lt;20,1,IF(O2340&gt;1000,10,MATCH(O2340,Cargas,1))),Coluna_fis,1,1))*(PI()*(fi_s/1000)^2/4)*(2*9.81*(O2340/100-cota_s-fi_s/2/1000))^0.5*1000)))</f>
        <v>5.7597298684631593</v>
      </c>
      <c r="R2340" s="38">
        <f t="shared" ca="1" si="270"/>
        <v>12.222918968740423</v>
      </c>
      <c r="S2340" s="38">
        <f t="shared" ca="1" si="271"/>
        <v>730.9375</v>
      </c>
    </row>
    <row r="2341" spans="13:19">
      <c r="M2341" s="132">
        <f t="shared" ca="1" si="268"/>
        <v>743.47585943132344</v>
      </c>
      <c r="N2341" s="38">
        <f t="shared" si="269"/>
        <v>21.9375</v>
      </c>
      <c r="O2341" s="36">
        <f t="shared" si="267"/>
        <v>585</v>
      </c>
      <c r="P2341" s="38">
        <f ca="1">IF(ISERROR(IF(O2341&lt;fi_h/20,0,(OFFSET('Base de dados'!$A$5,IF(O2341&lt;20,1,IF(O2341&gt;1000,10,MATCH(O2341,Cargas,1))),Coluna_fih,1,1))*(1+0.13*0.25)*(PI()*(fi_h/1000)^2/4)*SQRT(2*9.81*(O2341/100-fi_h/2/1000))*1000)),"",IF(O2341&lt;fi_h/20,0,(OFFSET('Base de dados'!$A$5,IF(O2341&lt;20,1,IF(O2341&gt;1000,10,MATCH(O2341,Cargas,1))),Coluna_fih,1,1))*(PI()*(fi_h/1000)^2/4)*SQRT(2*9.81*(O2341/100-fi_h/2/1000))*1000))</f>
        <v>6.4645747364709454</v>
      </c>
      <c r="Q2341" s="38">
        <f ca="1">IF(O2341="","",IF(Tipo_Vertedor="Retangular",IF(O2341&lt;=cota_s*100,0,IF(Tipo_Vertedor="Retangular",Cd_sr*Lef_sr*((O2341/100-cota_s)^(3/2))*1000)),IF(O2341&lt;=cota_s*100+fi_s/20,0,(OFFSET('Base de dados'!$A$4,IF(O2341&lt;20,1,IF(O2341&gt;1000,10,MATCH(O2341,Cargas,1))),Coluna_fis,1,1))*(PI()*(fi_s/1000)^2/4)*(2*9.81*(O2341/100-cota_s-fi_s/2/1000))^0.5*1000)))</f>
        <v>5.7612846948525469</v>
      </c>
      <c r="R2341" s="38">
        <f t="shared" ca="1" si="270"/>
        <v>12.225859431323492</v>
      </c>
      <c r="S2341" s="38">
        <f t="shared" ca="1" si="271"/>
        <v>731.25</v>
      </c>
    </row>
    <row r="2342" spans="13:19">
      <c r="M2342" s="132">
        <f t="shared" ca="1" si="268"/>
        <v>743.79129917747332</v>
      </c>
      <c r="N2342" s="38">
        <f t="shared" si="269"/>
        <v>21.946874999999999</v>
      </c>
      <c r="O2342" s="36">
        <f t="shared" si="267"/>
        <v>585.25</v>
      </c>
      <c r="P2342" s="38">
        <f ca="1">IF(ISERROR(IF(O2342&lt;fi_h/20,0,(OFFSET('Base de dados'!$A$5,IF(O2342&lt;20,1,IF(O2342&gt;1000,10,MATCH(O2342,Cargas,1))),Coluna_fih,1,1))*(1+0.13*0.25)*(PI()*(fi_h/1000)^2/4)*SQRT(2*9.81*(O2342/100-fi_h/2/1000))*1000)),"",IF(O2342&lt;fi_h/20,0,(OFFSET('Base de dados'!$A$5,IF(O2342&lt;20,1,IF(O2342&gt;1000,10,MATCH(O2342,Cargas,1))),Coluna_fih,1,1))*(PI()*(fi_h/1000)^2/4)*SQRT(2*9.81*(O2342/100-fi_h/2/1000))*1000))</f>
        <v>6.4659600757268816</v>
      </c>
      <c r="Q2342" s="38">
        <f ca="1">IF(O2342="","",IF(Tipo_Vertedor="Retangular",IF(O2342&lt;=cota_s*100,0,IF(Tipo_Vertedor="Retangular",Cd_sr*Lef_sr*((O2342/100-cota_s)^(3/2))*1000)),IF(O2342&lt;=cota_s*100+fi_s/20,0,(OFFSET('Base de dados'!$A$4,IF(O2342&lt;20,1,IF(O2342&gt;1000,10,MATCH(O2342,Cargas,1))),Coluna_fis,1,1))*(PI()*(fi_s/1000)^2/4)*(2*9.81*(O2342/100-cota_s-fi_s/2/1000))^0.5*1000)))</f>
        <v>5.7628391017464455</v>
      </c>
      <c r="R2342" s="38">
        <f t="shared" ca="1" si="270"/>
        <v>12.228799177473327</v>
      </c>
      <c r="S2342" s="38">
        <f t="shared" ca="1" si="271"/>
        <v>731.5625</v>
      </c>
    </row>
    <row r="2343" spans="13:19">
      <c r="M2343" s="132">
        <f t="shared" ca="1" si="268"/>
        <v>744.10673820772013</v>
      </c>
      <c r="N2343" s="38">
        <f t="shared" si="269"/>
        <v>21.956250000000001</v>
      </c>
      <c r="O2343" s="36">
        <f t="shared" si="267"/>
        <v>585.5</v>
      </c>
      <c r="P2343" s="38">
        <f ca="1">IF(ISERROR(IF(O2343&lt;fi_h/20,0,(OFFSET('Base de dados'!$A$5,IF(O2343&lt;20,1,IF(O2343&gt;1000,10,MATCH(O2343,Cargas,1))),Coluna_fih,1,1))*(1+0.13*0.25)*(PI()*(fi_h/1000)^2/4)*SQRT(2*9.81*(O2343/100-fi_h/2/1000))*1000)),"",IF(O2343&lt;fi_h/20,0,(OFFSET('Base de dados'!$A$5,IF(O2343&lt;20,1,IF(O2343&gt;1000,10,MATCH(O2343,Cargas,1))),Coluna_fih,1,1))*(PI()*(fi_h/1000)^2/4)*SQRT(2*9.81*(O2343/100-fi_h/2/1000))*1000))</f>
        <v>6.4673451182358859</v>
      </c>
      <c r="Q2343" s="38">
        <f ca="1">IF(O2343="","",IF(Tipo_Vertedor="Retangular",IF(O2343&lt;=cota_s*100,0,IF(Tipo_Vertedor="Retangular",Cd_sr*Lef_sr*((O2343/100-cota_s)^(3/2))*1000)),IF(O2343&lt;=cota_s*100+fi_s/20,0,(OFFSET('Base de dados'!$A$4,IF(O2343&lt;20,1,IF(O2343&gt;1000,10,MATCH(O2343,Cargas,1))),Coluna_fis,1,1))*(PI()*(fi_s/1000)^2/4)*(2*9.81*(O2343/100-cota_s-fi_s/2/1000))^0.5*1000)))</f>
        <v>5.7643930894842139</v>
      </c>
      <c r="R2343" s="38">
        <f t="shared" ca="1" si="270"/>
        <v>12.231738207720099</v>
      </c>
      <c r="S2343" s="38">
        <f t="shared" ca="1" si="271"/>
        <v>731.875</v>
      </c>
    </row>
    <row r="2344" spans="13:19">
      <c r="M2344" s="132">
        <f t="shared" ca="1" si="268"/>
        <v>744.4221765225933</v>
      </c>
      <c r="N2344" s="38">
        <f t="shared" si="269"/>
        <v>21.965624999999999</v>
      </c>
      <c r="O2344" s="36">
        <f t="shared" si="267"/>
        <v>585.75</v>
      </c>
      <c r="P2344" s="38">
        <f ca="1">IF(ISERROR(IF(O2344&lt;fi_h/20,0,(OFFSET('Base de dados'!$A$5,IF(O2344&lt;20,1,IF(O2344&gt;1000,10,MATCH(O2344,Cargas,1))),Coluna_fih,1,1))*(1+0.13*0.25)*(PI()*(fi_h/1000)^2/4)*SQRT(2*9.81*(O2344/100-fi_h/2/1000))*1000)),"",IF(O2344&lt;fi_h/20,0,(OFFSET('Base de dados'!$A$5,IF(O2344&lt;20,1,IF(O2344&gt;1000,10,MATCH(O2344,Cargas,1))),Coluna_fih,1,1))*(PI()*(fi_h/1000)^2/4)*SQRT(2*9.81*(O2344/100-fi_h/2/1000))*1000))</f>
        <v>6.4687298641885738</v>
      </c>
      <c r="Q2344" s="38">
        <f ca="1">IF(O2344="","",IF(Tipo_Vertedor="Retangular",IF(O2344&lt;=cota_s*100,0,IF(Tipo_Vertedor="Retangular",Cd_sr*Lef_sr*((O2344/100-cota_s)^(3/2))*1000)),IF(O2344&lt;=cota_s*100+fi_s/20,0,(OFFSET('Base de dados'!$A$4,IF(O2344&lt;20,1,IF(O2344&gt;1000,10,MATCH(O2344,Cargas,1))),Coluna_fis,1,1))*(PI()*(fi_s/1000)^2/4)*(2*9.81*(O2344/100-cota_s-fi_s/2/1000))^0.5*1000)))</f>
        <v>5.7659466584047516</v>
      </c>
      <c r="R2344" s="38">
        <f t="shared" ca="1" si="270"/>
        <v>12.234676522593325</v>
      </c>
      <c r="S2344" s="38">
        <f t="shared" ca="1" si="271"/>
        <v>732.1875</v>
      </c>
    </row>
    <row r="2345" spans="13:19">
      <c r="M2345" s="132">
        <f t="shared" ca="1" si="268"/>
        <v>744.73761412262184</v>
      </c>
      <c r="N2345" s="38">
        <f t="shared" si="269"/>
        <v>21.975000000000001</v>
      </c>
      <c r="O2345" s="36">
        <f t="shared" si="267"/>
        <v>586</v>
      </c>
      <c r="P2345" s="38">
        <f ca="1">IF(ISERROR(IF(O2345&lt;fi_h/20,0,(OFFSET('Base de dados'!$A$5,IF(O2345&lt;20,1,IF(O2345&gt;1000,10,MATCH(O2345,Cargas,1))),Coluna_fih,1,1))*(1+0.13*0.25)*(PI()*(fi_h/1000)^2/4)*SQRT(2*9.81*(O2345/100-fi_h/2/1000))*1000)),"",IF(O2345&lt;fi_h/20,0,(OFFSET('Base de dados'!$A$5,IF(O2345&lt;20,1,IF(O2345&gt;1000,10,MATCH(O2345,Cargas,1))),Coluna_fih,1,1))*(PI()*(fi_h/1000)^2/4)*SQRT(2*9.81*(O2345/100-fi_h/2/1000))*1000))</f>
        <v>6.470114313775353</v>
      </c>
      <c r="Q2345" s="38">
        <f ca="1">IF(O2345="","",IF(Tipo_Vertedor="Retangular",IF(O2345&lt;=cota_s*100,0,IF(Tipo_Vertedor="Retangular",Cd_sr*Lef_sr*((O2345/100-cota_s)^(3/2))*1000)),IF(O2345&lt;=cota_s*100+fi_s/20,0,(OFFSET('Base de dados'!$A$4,IF(O2345&lt;20,1,IF(O2345&gt;1000,10,MATCH(O2345,Cargas,1))),Coluna_fis,1,1))*(PI()*(fi_s/1000)^2/4)*(2*9.81*(O2345/100-cota_s-fi_s/2/1000))^0.5*1000)))</f>
        <v>5.7674998088465088</v>
      </c>
      <c r="R2345" s="38">
        <f t="shared" ca="1" si="270"/>
        <v>12.237614122621862</v>
      </c>
      <c r="S2345" s="38">
        <f t="shared" ca="1" si="271"/>
        <v>732.5</v>
      </c>
    </row>
    <row r="2346" spans="13:19">
      <c r="M2346" s="132">
        <f t="shared" ca="1" si="268"/>
        <v>745.05305100833391</v>
      </c>
      <c r="N2346" s="38">
        <f t="shared" si="269"/>
        <v>21.984375</v>
      </c>
      <c r="O2346" s="36">
        <f t="shared" si="267"/>
        <v>586.25</v>
      </c>
      <c r="P2346" s="38">
        <f ca="1">IF(ISERROR(IF(O2346&lt;fi_h/20,0,(OFFSET('Base de dados'!$A$5,IF(O2346&lt;20,1,IF(O2346&gt;1000,10,MATCH(O2346,Cargas,1))),Coluna_fih,1,1))*(1+0.13*0.25)*(PI()*(fi_h/1000)^2/4)*SQRT(2*9.81*(O2346/100-fi_h/2/1000))*1000)),"",IF(O2346&lt;fi_h/20,0,(OFFSET('Base de dados'!$A$5,IF(O2346&lt;20,1,IF(O2346&gt;1000,10,MATCH(O2346,Cargas,1))),Coluna_fih,1,1))*(PI()*(fi_h/1000)^2/4)*SQRT(2*9.81*(O2346/100-fi_h/2/1000))*1000))</f>
        <v>6.4714984671864277</v>
      </c>
      <c r="Q2346" s="38">
        <f ca="1">IF(O2346="","",IF(Tipo_Vertedor="Retangular",IF(O2346&lt;=cota_s*100,0,IF(Tipo_Vertedor="Retangular",Cd_sr*Lef_sr*((O2346/100-cota_s)^(3/2))*1000)),IF(O2346&lt;=cota_s*100+fi_s/20,0,(OFFSET('Base de dados'!$A$4,IF(O2346&lt;20,1,IF(O2346&gt;1000,10,MATCH(O2346,Cargas,1))),Coluna_fis,1,1))*(PI()*(fi_s/1000)^2/4)*(2*9.81*(O2346/100-cota_s-fi_s/2/1000))^0.5*1000)))</f>
        <v>5.7690525411474693</v>
      </c>
      <c r="R2346" s="38">
        <f t="shared" ca="1" si="270"/>
        <v>12.240551008333897</v>
      </c>
      <c r="S2346" s="38">
        <f t="shared" ca="1" si="271"/>
        <v>732.8125</v>
      </c>
    </row>
    <row r="2347" spans="13:19">
      <c r="M2347" s="132">
        <f t="shared" ca="1" si="268"/>
        <v>745.36848718025703</v>
      </c>
      <c r="N2347" s="38">
        <f t="shared" si="269"/>
        <v>21.993750000000002</v>
      </c>
      <c r="O2347" s="36">
        <f t="shared" si="267"/>
        <v>586.5</v>
      </c>
      <c r="P2347" s="38">
        <f ca="1">IF(ISERROR(IF(O2347&lt;fi_h/20,0,(OFFSET('Base de dados'!$A$5,IF(O2347&lt;20,1,IF(O2347&gt;1000,10,MATCH(O2347,Cargas,1))),Coluna_fih,1,1))*(1+0.13*0.25)*(PI()*(fi_h/1000)^2/4)*SQRT(2*9.81*(O2347/100-fi_h/2/1000))*1000)),"",IF(O2347&lt;fi_h/20,0,(OFFSET('Base de dados'!$A$5,IF(O2347&lt;20,1,IF(O2347&gt;1000,10,MATCH(O2347,Cargas,1))),Coluna_fih,1,1))*(PI()*(fi_h/1000)^2/4)*SQRT(2*9.81*(O2347/100-fi_h/2/1000))*1000))</f>
        <v>6.4728823246117999</v>
      </c>
      <c r="Q2347" s="38">
        <f ca="1">IF(O2347="","",IF(Tipo_Vertedor="Retangular",IF(O2347&lt;=cota_s*100,0,IF(Tipo_Vertedor="Retangular",Cd_sr*Lef_sr*((O2347/100-cota_s)^(3/2))*1000)),IF(O2347&lt;=cota_s*100+fi_s/20,0,(OFFSET('Base de dados'!$A$4,IF(O2347&lt;20,1,IF(O2347&gt;1000,10,MATCH(O2347,Cargas,1))),Coluna_fis,1,1))*(PI()*(fi_s/1000)^2/4)*(2*9.81*(O2347/100-cota_s-fi_s/2/1000))^0.5*1000)))</f>
        <v>5.770604855645173</v>
      </c>
      <c r="R2347" s="38">
        <f t="shared" ca="1" si="270"/>
        <v>12.243487180256974</v>
      </c>
      <c r="S2347" s="38">
        <f t="shared" ca="1" si="271"/>
        <v>733.12500000000011</v>
      </c>
    </row>
    <row r="2348" spans="13:19">
      <c r="M2348" s="132">
        <f t="shared" ca="1" si="268"/>
        <v>745.68392263891781</v>
      </c>
      <c r="N2348" s="38">
        <f t="shared" si="269"/>
        <v>22.003124999999997</v>
      </c>
      <c r="O2348" s="36">
        <f t="shared" si="267"/>
        <v>586.75</v>
      </c>
      <c r="P2348" s="38">
        <f ca="1">IF(ISERROR(IF(O2348&lt;fi_h/20,0,(OFFSET('Base de dados'!$A$5,IF(O2348&lt;20,1,IF(O2348&gt;1000,10,MATCH(O2348,Cargas,1))),Coluna_fih,1,1))*(1+0.13*0.25)*(PI()*(fi_h/1000)^2/4)*SQRT(2*9.81*(O2348/100-fi_h/2/1000))*1000)),"",IF(O2348&lt;fi_h/20,0,(OFFSET('Base de dados'!$A$5,IF(O2348&lt;20,1,IF(O2348&gt;1000,10,MATCH(O2348,Cargas,1))),Coluna_fih,1,1))*(PI()*(fi_h/1000)^2/4)*SQRT(2*9.81*(O2348/100-fi_h/2/1000))*1000))</f>
        <v>6.4742658862412679</v>
      </c>
      <c r="Q2348" s="38">
        <f ca="1">IF(O2348="","",IF(Tipo_Vertedor="Retangular",IF(O2348&lt;=cota_s*100,0,IF(Tipo_Vertedor="Retangular",Cd_sr*Lef_sr*((O2348/100-cota_s)^(3/2))*1000)),IF(O2348&lt;=cota_s*100+fi_s/20,0,(OFFSET('Base de dados'!$A$4,IF(O2348&lt;20,1,IF(O2348&gt;1000,10,MATCH(O2348,Cargas,1))),Coluna_fis,1,1))*(PI()*(fi_s/1000)^2/4)*(2*9.81*(O2348/100-cota_s-fi_s/2/1000))^0.5*1000)))</f>
        <v>5.7721567526767004</v>
      </c>
      <c r="R2348" s="38">
        <f t="shared" ca="1" si="270"/>
        <v>12.246422638917968</v>
      </c>
      <c r="S2348" s="38">
        <f t="shared" ca="1" si="271"/>
        <v>733.43749999999989</v>
      </c>
    </row>
    <row r="2349" spans="13:19">
      <c r="M2349" s="132">
        <f t="shared" ca="1" si="268"/>
        <v>745.99935738484305</v>
      </c>
      <c r="N2349" s="38">
        <f t="shared" si="269"/>
        <v>22.012499999999999</v>
      </c>
      <c r="O2349" s="36">
        <f t="shared" si="267"/>
        <v>587</v>
      </c>
      <c r="P2349" s="38">
        <f ca="1">IF(ISERROR(IF(O2349&lt;fi_h/20,0,(OFFSET('Base de dados'!$A$5,IF(O2349&lt;20,1,IF(O2349&gt;1000,10,MATCH(O2349,Cargas,1))),Coluna_fih,1,1))*(1+0.13*0.25)*(PI()*(fi_h/1000)^2/4)*SQRT(2*9.81*(O2349/100-fi_h/2/1000))*1000)),"",IF(O2349&lt;fi_h/20,0,(OFFSET('Base de dados'!$A$5,IF(O2349&lt;20,1,IF(O2349&gt;1000,10,MATCH(O2349,Cargas,1))),Coluna_fih,1,1))*(PI()*(fi_h/1000)^2/4)*SQRT(2*9.81*(O2349/100-fi_h/2/1000))*1000))</f>
        <v>6.4756491522644284</v>
      </c>
      <c r="Q2349" s="38">
        <f ca="1">IF(O2349="","",IF(Tipo_Vertedor="Retangular",IF(O2349&lt;=cota_s*100,0,IF(Tipo_Vertedor="Retangular",Cd_sr*Lef_sr*((O2349/100-cota_s)^(3/2))*1000)),IF(O2349&lt;=cota_s*100+fi_s/20,0,(OFFSET('Base de dados'!$A$4,IF(O2349&lt;20,1,IF(O2349&gt;1000,10,MATCH(O2349,Cargas,1))),Coluna_fis,1,1))*(PI()*(fi_s/1000)^2/4)*(2*9.81*(O2349/100-cota_s-fi_s/2/1000))^0.5*1000)))</f>
        <v>5.7737082325786782</v>
      </c>
      <c r="R2349" s="38">
        <f t="shared" ca="1" si="270"/>
        <v>12.249357384843107</v>
      </c>
      <c r="S2349" s="38">
        <f t="shared" ca="1" si="271"/>
        <v>733.75</v>
      </c>
    </row>
    <row r="2350" spans="13:19">
      <c r="M2350" s="132">
        <f t="shared" ca="1" si="268"/>
        <v>746.31479141855789</v>
      </c>
      <c r="N2350" s="38">
        <f t="shared" si="269"/>
        <v>22.021874999999998</v>
      </c>
      <c r="O2350" s="36">
        <f t="shared" si="267"/>
        <v>587.25</v>
      </c>
      <c r="P2350" s="38">
        <f ca="1">IF(ISERROR(IF(O2350&lt;fi_h/20,0,(OFFSET('Base de dados'!$A$5,IF(O2350&lt;20,1,IF(O2350&gt;1000,10,MATCH(O2350,Cargas,1))),Coluna_fih,1,1))*(1+0.13*0.25)*(PI()*(fi_h/1000)^2/4)*SQRT(2*9.81*(O2350/100-fi_h/2/1000))*1000)),"",IF(O2350&lt;fi_h/20,0,(OFFSET('Base de dados'!$A$5,IF(O2350&lt;20,1,IF(O2350&gt;1000,10,MATCH(O2350,Cargas,1))),Coluna_fih,1,1))*(PI()*(fi_h/1000)^2/4)*SQRT(2*9.81*(O2350/100-fi_h/2/1000))*1000))</f>
        <v>6.4770321228706722</v>
      </c>
      <c r="Q2350" s="38">
        <f ca="1">IF(O2350="","",IF(Tipo_Vertedor="Retangular",IF(O2350&lt;=cota_s*100,0,IF(Tipo_Vertedor="Retangular",Cd_sr*Lef_sr*((O2350/100-cota_s)^(3/2))*1000)),IF(O2350&lt;=cota_s*100+fi_s/20,0,(OFFSET('Base de dados'!$A$4,IF(O2350&lt;20,1,IF(O2350&gt;1000,10,MATCH(O2350,Cargas,1))),Coluna_fis,1,1))*(PI()*(fi_s/1000)^2/4)*(2*9.81*(O2350/100-cota_s-fi_s/2/1000))^0.5*1000)))</f>
        <v>5.7752592956872846</v>
      </c>
      <c r="R2350" s="38">
        <f t="shared" ca="1" si="270"/>
        <v>12.252291418557956</v>
      </c>
      <c r="S2350" s="38">
        <f t="shared" ca="1" si="271"/>
        <v>734.06249999999989</v>
      </c>
    </row>
    <row r="2351" spans="13:19">
      <c r="M2351" s="132">
        <f t="shared" ca="1" si="268"/>
        <v>746.63022474058744</v>
      </c>
      <c r="N2351" s="38">
        <f t="shared" si="269"/>
        <v>22.03125</v>
      </c>
      <c r="O2351" s="36">
        <f t="shared" si="267"/>
        <v>587.5</v>
      </c>
      <c r="P2351" s="38">
        <f ca="1">IF(ISERROR(IF(O2351&lt;fi_h/20,0,(OFFSET('Base de dados'!$A$5,IF(O2351&lt;20,1,IF(O2351&gt;1000,10,MATCH(O2351,Cargas,1))),Coluna_fih,1,1))*(1+0.13*0.25)*(PI()*(fi_h/1000)^2/4)*SQRT(2*9.81*(O2351/100-fi_h/2/1000))*1000)),"",IF(O2351&lt;fi_h/20,0,(OFFSET('Base de dados'!$A$5,IF(O2351&lt;20,1,IF(O2351&gt;1000,10,MATCH(O2351,Cargas,1))),Coluna_fih,1,1))*(PI()*(fi_h/1000)^2/4)*SQRT(2*9.81*(O2351/100-fi_h/2/1000))*1000))</f>
        <v>6.4784147982491946</v>
      </c>
      <c r="Q2351" s="38">
        <f ca="1">IF(O2351="","",IF(Tipo_Vertedor="Retangular",IF(O2351&lt;=cota_s*100,0,IF(Tipo_Vertedor="Retangular",Cd_sr*Lef_sr*((O2351/100-cota_s)^(3/2))*1000)),IF(O2351&lt;=cota_s*100+fi_s/20,0,(OFFSET('Base de dados'!$A$4,IF(O2351&lt;20,1,IF(O2351&gt;1000,10,MATCH(O2351,Cargas,1))),Coluna_fis,1,1))*(PI()*(fi_s/1000)^2/4)*(2*9.81*(O2351/100-cota_s-fi_s/2/1000))^0.5*1000)))</f>
        <v>5.7768099423382422</v>
      </c>
      <c r="R2351" s="38">
        <f t="shared" ca="1" si="270"/>
        <v>12.255224740587437</v>
      </c>
      <c r="S2351" s="38">
        <f t="shared" ca="1" si="271"/>
        <v>734.375</v>
      </c>
    </row>
    <row r="2352" spans="13:19">
      <c r="M2352" s="132">
        <f t="shared" ca="1" si="268"/>
        <v>746.94565735145591</v>
      </c>
      <c r="N2352" s="38">
        <f t="shared" si="269"/>
        <v>22.040625000000002</v>
      </c>
      <c r="O2352" s="36">
        <f t="shared" si="267"/>
        <v>587.75</v>
      </c>
      <c r="P2352" s="38">
        <f ca="1">IF(ISERROR(IF(O2352&lt;fi_h/20,0,(OFFSET('Base de dados'!$A$5,IF(O2352&lt;20,1,IF(O2352&gt;1000,10,MATCH(O2352,Cargas,1))),Coluna_fih,1,1))*(1+0.13*0.25)*(PI()*(fi_h/1000)^2/4)*SQRT(2*9.81*(O2352/100-fi_h/2/1000))*1000)),"",IF(O2352&lt;fi_h/20,0,(OFFSET('Base de dados'!$A$5,IF(O2352&lt;20,1,IF(O2352&gt;1000,10,MATCH(O2352,Cargas,1))),Coluna_fih,1,1))*(PI()*(fi_h/1000)^2/4)*SQRT(2*9.81*(O2352/100-fi_h/2/1000))*1000))</f>
        <v>6.4797971785889823</v>
      </c>
      <c r="Q2352" s="38">
        <f ca="1">IF(O2352="","",IF(Tipo_Vertedor="Retangular",IF(O2352&lt;=cota_s*100,0,IF(Tipo_Vertedor="Retangular",Cd_sr*Lef_sr*((O2352/100-cota_s)^(3/2))*1000)),IF(O2352&lt;=cota_s*100+fi_s/20,0,(OFFSET('Base de dados'!$A$4,IF(O2352&lt;20,1,IF(O2352&gt;1000,10,MATCH(O2352,Cargas,1))),Coluna_fis,1,1))*(PI()*(fi_s/1000)^2/4)*(2*9.81*(O2352/100-cota_s-fi_s/2/1000))^0.5*1000)))</f>
        <v>5.7783601728668268</v>
      </c>
      <c r="R2352" s="38">
        <f t="shared" ca="1" si="270"/>
        <v>12.258157351455809</v>
      </c>
      <c r="S2352" s="38">
        <f t="shared" ca="1" si="271"/>
        <v>734.68750000000011</v>
      </c>
    </row>
    <row r="2353" spans="13:19">
      <c r="M2353" s="132">
        <f t="shared" ca="1" si="268"/>
        <v>747.26108925168671</v>
      </c>
      <c r="N2353" s="38">
        <f t="shared" si="269"/>
        <v>22.05</v>
      </c>
      <c r="O2353" s="36">
        <f t="shared" si="267"/>
        <v>588</v>
      </c>
      <c r="P2353" s="38">
        <f ca="1">IF(ISERROR(IF(O2353&lt;fi_h/20,0,(OFFSET('Base de dados'!$A$5,IF(O2353&lt;20,1,IF(O2353&gt;1000,10,MATCH(O2353,Cargas,1))),Coluna_fih,1,1))*(1+0.13*0.25)*(PI()*(fi_h/1000)^2/4)*SQRT(2*9.81*(O2353/100-fi_h/2/1000))*1000)),"",IF(O2353&lt;fi_h/20,0,(OFFSET('Base de dados'!$A$5,IF(O2353&lt;20,1,IF(O2353&gt;1000,10,MATCH(O2353,Cargas,1))),Coluna_fih,1,1))*(PI()*(fi_h/1000)^2/4)*SQRT(2*9.81*(O2353/100-fi_h/2/1000))*1000))</f>
        <v>6.4811792640788228</v>
      </c>
      <c r="Q2353" s="38">
        <f ca="1">IF(O2353="","",IF(Tipo_Vertedor="Retangular",IF(O2353&lt;=cota_s*100,0,IF(Tipo_Vertedor="Retangular",Cd_sr*Lef_sr*((O2353/100-cota_s)^(3/2))*1000)),IF(O2353&lt;=cota_s*100+fi_s/20,0,(OFFSET('Base de dados'!$A$4,IF(O2353&lt;20,1,IF(O2353&gt;1000,10,MATCH(O2353,Cargas,1))),Coluna_fis,1,1))*(PI()*(fi_s/1000)^2/4)*(2*9.81*(O2353/100-cota_s-fi_s/2/1000))^0.5*1000)))</f>
        <v>5.7799099876078603</v>
      </c>
      <c r="R2353" s="38">
        <f t="shared" ca="1" si="270"/>
        <v>12.261089251686684</v>
      </c>
      <c r="S2353" s="38">
        <f t="shared" ca="1" si="271"/>
        <v>735</v>
      </c>
    </row>
    <row r="2354" spans="13:19">
      <c r="M2354" s="132">
        <f t="shared" ca="1" si="268"/>
        <v>747.57652044180315</v>
      </c>
      <c r="N2354" s="38">
        <f t="shared" si="269"/>
        <v>22.059375000000003</v>
      </c>
      <c r="O2354" s="36">
        <f t="shared" si="267"/>
        <v>588.25</v>
      </c>
      <c r="P2354" s="38">
        <f ca="1">IF(ISERROR(IF(O2354&lt;fi_h/20,0,(OFFSET('Base de dados'!$A$5,IF(O2354&lt;20,1,IF(O2354&gt;1000,10,MATCH(O2354,Cargas,1))),Coluna_fih,1,1))*(1+0.13*0.25)*(PI()*(fi_h/1000)^2/4)*SQRT(2*9.81*(O2354/100-fi_h/2/1000))*1000)),"",IF(O2354&lt;fi_h/20,0,(OFFSET('Base de dados'!$A$5,IF(O2354&lt;20,1,IF(O2354&gt;1000,10,MATCH(O2354,Cargas,1))),Coluna_fih,1,1))*(PI()*(fi_h/1000)^2/4)*SQRT(2*9.81*(O2354/100-fi_h/2/1000))*1000))</f>
        <v>6.4825610549073032</v>
      </c>
      <c r="Q2354" s="38">
        <f ca="1">IF(O2354="","",IF(Tipo_Vertedor="Retangular",IF(O2354&lt;=cota_s*100,0,IF(Tipo_Vertedor="Retangular",Cd_sr*Lef_sr*((O2354/100-cota_s)^(3/2))*1000)),IF(O2354&lt;=cota_s*100+fi_s/20,0,(OFFSET('Base de dados'!$A$4,IF(O2354&lt;20,1,IF(O2354&gt;1000,10,MATCH(O2354,Cargas,1))),Coluna_fis,1,1))*(PI()*(fi_s/1000)^2/4)*(2*9.81*(O2354/100-cota_s-fi_s/2/1000))^0.5*1000)))</f>
        <v>5.7814593868957243</v>
      </c>
      <c r="R2354" s="38">
        <f t="shared" ca="1" si="270"/>
        <v>12.264020441803027</v>
      </c>
      <c r="S2354" s="38">
        <f t="shared" ca="1" si="271"/>
        <v>735.31250000000011</v>
      </c>
    </row>
    <row r="2355" spans="13:19">
      <c r="M2355" s="132">
        <f t="shared" ca="1" si="268"/>
        <v>747.89195092232706</v>
      </c>
      <c r="N2355" s="38">
        <f t="shared" si="269"/>
        <v>22.068749999999998</v>
      </c>
      <c r="O2355" s="36">
        <f t="shared" si="267"/>
        <v>588.5</v>
      </c>
      <c r="P2355" s="38">
        <f ca="1">IF(ISERROR(IF(O2355&lt;fi_h/20,0,(OFFSET('Base de dados'!$A$5,IF(O2355&lt;20,1,IF(O2355&gt;1000,10,MATCH(O2355,Cargas,1))),Coluna_fih,1,1))*(1+0.13*0.25)*(PI()*(fi_h/1000)^2/4)*SQRT(2*9.81*(O2355/100-fi_h/2/1000))*1000)),"",IF(O2355&lt;fi_h/20,0,(OFFSET('Base de dados'!$A$5,IF(O2355&lt;20,1,IF(O2355&gt;1000,10,MATCH(O2355,Cargas,1))),Coluna_fih,1,1))*(PI()*(fi_h/1000)^2/4)*SQRT(2*9.81*(O2355/100-fi_h/2/1000))*1000))</f>
        <v>6.4839425512628086</v>
      </c>
      <c r="Q2355" s="38">
        <f ca="1">IF(O2355="","",IF(Tipo_Vertedor="Retangular",IF(O2355&lt;=cota_s*100,0,IF(Tipo_Vertedor="Retangular",Cd_sr*Lef_sr*((O2355/100-cota_s)^(3/2))*1000)),IF(O2355&lt;=cota_s*100+fi_s/20,0,(OFFSET('Base de dados'!$A$4,IF(O2355&lt;20,1,IF(O2355&gt;1000,10,MATCH(O2355,Cargas,1))),Coluna_fis,1,1))*(PI()*(fi_s/1000)^2/4)*(2*9.81*(O2355/100-cota_s-fi_s/2/1000))^0.5*1000)))</f>
        <v>5.7830083710643425</v>
      </c>
      <c r="R2355" s="38">
        <f t="shared" ca="1" si="270"/>
        <v>12.266950922327151</v>
      </c>
      <c r="S2355" s="38">
        <f t="shared" ca="1" si="271"/>
        <v>735.62499999999989</v>
      </c>
    </row>
    <row r="2356" spans="13:19">
      <c r="M2356" s="132">
        <f t="shared" ca="1" si="268"/>
        <v>748.20738069378069</v>
      </c>
      <c r="N2356" s="38">
        <f t="shared" si="269"/>
        <v>22.078125</v>
      </c>
      <c r="O2356" s="36">
        <f t="shared" si="267"/>
        <v>588.75</v>
      </c>
      <c r="P2356" s="38">
        <f ca="1">IF(ISERROR(IF(O2356&lt;fi_h/20,0,(OFFSET('Base de dados'!$A$5,IF(O2356&lt;20,1,IF(O2356&gt;1000,10,MATCH(O2356,Cargas,1))),Coluna_fih,1,1))*(1+0.13*0.25)*(PI()*(fi_h/1000)^2/4)*SQRT(2*9.81*(O2356/100-fi_h/2/1000))*1000)),"",IF(O2356&lt;fi_h/20,0,(OFFSET('Base de dados'!$A$5,IF(O2356&lt;20,1,IF(O2356&gt;1000,10,MATCH(O2356,Cargas,1))),Coluna_fih,1,1))*(PI()*(fi_h/1000)^2/4)*SQRT(2*9.81*(O2356/100-fi_h/2/1000))*1000))</f>
        <v>6.4853237533335246</v>
      </c>
      <c r="Q2356" s="38">
        <f ca="1">IF(O2356="","",IF(Tipo_Vertedor="Retangular",IF(O2356&lt;=cota_s*100,0,IF(Tipo_Vertedor="Retangular",Cd_sr*Lef_sr*((O2356/100-cota_s)^(3/2))*1000)),IF(O2356&lt;=cota_s*100+fi_s/20,0,(OFFSET('Base de dados'!$A$4,IF(O2356&lt;20,1,IF(O2356&gt;1000,10,MATCH(O2356,Cargas,1))),Coluna_fis,1,1))*(PI()*(fi_s/1000)^2/4)*(2*9.81*(O2356/100-cota_s-fi_s/2/1000))^0.5*1000)))</f>
        <v>5.7845569404471977</v>
      </c>
      <c r="R2356" s="38">
        <f t="shared" ca="1" si="270"/>
        <v>12.269880693780722</v>
      </c>
      <c r="S2356" s="38">
        <f t="shared" ca="1" si="271"/>
        <v>735.9375</v>
      </c>
    </row>
    <row r="2357" spans="13:19">
      <c r="M2357" s="132">
        <f t="shared" ca="1" si="268"/>
        <v>748.52280975668475</v>
      </c>
      <c r="N2357" s="38">
        <f t="shared" si="269"/>
        <v>22.087499999999999</v>
      </c>
      <c r="O2357" s="36">
        <f t="shared" si="267"/>
        <v>589</v>
      </c>
      <c r="P2357" s="38">
        <f ca="1">IF(ISERROR(IF(O2357&lt;fi_h/20,0,(OFFSET('Base de dados'!$A$5,IF(O2357&lt;20,1,IF(O2357&gt;1000,10,MATCH(O2357,Cargas,1))),Coluna_fih,1,1))*(1+0.13*0.25)*(PI()*(fi_h/1000)^2/4)*SQRT(2*9.81*(O2357/100-fi_h/2/1000))*1000)),"",IF(O2357&lt;fi_h/20,0,(OFFSET('Base de dados'!$A$5,IF(O2357&lt;20,1,IF(O2357&gt;1000,10,MATCH(O2357,Cargas,1))),Coluna_fih,1,1))*(PI()*(fi_h/1000)^2/4)*SQRT(2*9.81*(O2357/100-fi_h/2/1000))*1000))</f>
        <v>6.4867046613074351</v>
      </c>
      <c r="Q2357" s="38">
        <f ca="1">IF(O2357="","",IF(Tipo_Vertedor="Retangular",IF(O2357&lt;=cota_s*100,0,IF(Tipo_Vertedor="Retangular",Cd_sr*Lef_sr*((O2357/100-cota_s)^(3/2))*1000)),IF(O2357&lt;=cota_s*100+fi_s/20,0,(OFFSET('Base de dados'!$A$4,IF(O2357&lt;20,1,IF(O2357&gt;1000,10,MATCH(O2357,Cargas,1))),Coluna_fis,1,1))*(PI()*(fi_s/1000)^2/4)*(2*9.81*(O2357/100-cota_s-fi_s/2/1000))^0.5*1000)))</f>
        <v>5.7861050953773221</v>
      </c>
      <c r="R2357" s="38">
        <f t="shared" ca="1" si="270"/>
        <v>12.272809756684758</v>
      </c>
      <c r="S2357" s="38">
        <f t="shared" ca="1" si="271"/>
        <v>736.25</v>
      </c>
    </row>
    <row r="2358" spans="13:19">
      <c r="M2358" s="132">
        <f t="shared" ca="1" si="268"/>
        <v>748.83823811155958</v>
      </c>
      <c r="N2358" s="38">
        <f t="shared" si="269"/>
        <v>22.096875000000001</v>
      </c>
      <c r="O2358" s="36">
        <f t="shared" si="267"/>
        <v>589.25</v>
      </c>
      <c r="P2358" s="38">
        <f ca="1">IF(ISERROR(IF(O2358&lt;fi_h/20,0,(OFFSET('Base de dados'!$A$5,IF(O2358&lt;20,1,IF(O2358&gt;1000,10,MATCH(O2358,Cargas,1))),Coluna_fih,1,1))*(1+0.13*0.25)*(PI()*(fi_h/1000)^2/4)*SQRT(2*9.81*(O2358/100-fi_h/2/1000))*1000)),"",IF(O2358&lt;fi_h/20,0,(OFFSET('Base de dados'!$A$5,IF(O2358&lt;20,1,IF(O2358&gt;1000,10,MATCH(O2358,Cargas,1))),Coluna_fih,1,1))*(PI()*(fi_h/1000)^2/4)*SQRT(2*9.81*(O2358/100-fi_h/2/1000))*1000))</f>
        <v>6.4880852753723257</v>
      </c>
      <c r="Q2358" s="38">
        <f ca="1">IF(O2358="","",IF(Tipo_Vertedor="Retangular",IF(O2358&lt;=cota_s*100,0,IF(Tipo_Vertedor="Retangular",Cd_sr*Lef_sr*((O2358/100-cota_s)^(3/2))*1000)),IF(O2358&lt;=cota_s*100+fi_s/20,0,(OFFSET('Base de dados'!$A$4,IF(O2358&lt;20,1,IF(O2358&gt;1000,10,MATCH(O2358,Cargas,1))),Coluna_fis,1,1))*(PI()*(fi_s/1000)^2/4)*(2*9.81*(O2358/100-cota_s-fi_s/2/1000))^0.5*1000)))</f>
        <v>5.7876528361873074</v>
      </c>
      <c r="R2358" s="38">
        <f t="shared" ca="1" si="270"/>
        <v>12.275738111559633</v>
      </c>
      <c r="S2358" s="38">
        <f t="shared" ca="1" si="271"/>
        <v>736.5625</v>
      </c>
    </row>
    <row r="2359" spans="13:19">
      <c r="M2359" s="132">
        <f t="shared" ca="1" si="268"/>
        <v>749.15366575892506</v>
      </c>
      <c r="N2359" s="38">
        <f t="shared" si="269"/>
        <v>22.106249999999999</v>
      </c>
      <c r="O2359" s="36">
        <f t="shared" si="267"/>
        <v>589.5</v>
      </c>
      <c r="P2359" s="38">
        <f ca="1">IF(ISERROR(IF(O2359&lt;fi_h/20,0,(OFFSET('Base de dados'!$A$5,IF(O2359&lt;20,1,IF(O2359&gt;1000,10,MATCH(O2359,Cargas,1))),Coluna_fih,1,1))*(1+0.13*0.25)*(PI()*(fi_h/1000)^2/4)*SQRT(2*9.81*(O2359/100-fi_h/2/1000))*1000)),"",IF(O2359&lt;fi_h/20,0,(OFFSET('Base de dados'!$A$5,IF(O2359&lt;20,1,IF(O2359&gt;1000,10,MATCH(O2359,Cargas,1))),Coluna_fih,1,1))*(PI()*(fi_h/1000)^2/4)*SQRT(2*9.81*(O2359/100-fi_h/2/1000))*1000))</f>
        <v>6.4894655957157799</v>
      </c>
      <c r="Q2359" s="38">
        <f ca="1">IF(O2359="","",IF(Tipo_Vertedor="Retangular",IF(O2359&lt;=cota_s*100,0,IF(Tipo_Vertedor="Retangular",Cd_sr*Lef_sr*((O2359/100-cota_s)^(3/2))*1000)),IF(O2359&lt;=cota_s*100+fi_s/20,0,(OFFSET('Base de dados'!$A$4,IF(O2359&lt;20,1,IF(O2359&gt;1000,10,MATCH(O2359,Cargas,1))),Coluna_fis,1,1))*(PI()*(fi_s/1000)^2/4)*(2*9.81*(O2359/100-cota_s-fi_s/2/1000))^0.5*1000)))</f>
        <v>5.7892001632092969</v>
      </c>
      <c r="R2359" s="38">
        <f t="shared" ca="1" si="270"/>
        <v>12.278665758925076</v>
      </c>
      <c r="S2359" s="38">
        <f t="shared" ca="1" si="271"/>
        <v>736.875</v>
      </c>
    </row>
    <row r="2360" spans="13:19">
      <c r="M2360" s="132">
        <f t="shared" ca="1" si="268"/>
        <v>749.46909269930018</v>
      </c>
      <c r="N2360" s="38">
        <f t="shared" si="269"/>
        <v>22.115625000000001</v>
      </c>
      <c r="O2360" s="36">
        <f t="shared" si="267"/>
        <v>589.75</v>
      </c>
      <c r="P2360" s="38">
        <f ca="1">IF(ISERROR(IF(O2360&lt;fi_h/20,0,(OFFSET('Base de dados'!$A$5,IF(O2360&lt;20,1,IF(O2360&gt;1000,10,MATCH(O2360,Cargas,1))),Coluna_fih,1,1))*(1+0.13*0.25)*(PI()*(fi_h/1000)^2/4)*SQRT(2*9.81*(O2360/100-fi_h/2/1000))*1000)),"",IF(O2360&lt;fi_h/20,0,(OFFSET('Base de dados'!$A$5,IF(O2360&lt;20,1,IF(O2360&gt;1000,10,MATCH(O2360,Cargas,1))),Coluna_fih,1,1))*(PI()*(fi_h/1000)^2/4)*SQRT(2*9.81*(O2360/100-fi_h/2/1000))*1000))</f>
        <v>6.4908456225251827</v>
      </c>
      <c r="Q2360" s="38">
        <f ca="1">IF(O2360="","",IF(Tipo_Vertedor="Retangular",IF(O2360&lt;=cota_s*100,0,IF(Tipo_Vertedor="Retangular",Cd_sr*Lef_sr*((O2360/100-cota_s)^(3/2))*1000)),IF(O2360&lt;=cota_s*100+fi_s/20,0,(OFFSET('Base de dados'!$A$4,IF(O2360&lt;20,1,IF(O2360&gt;1000,10,MATCH(O2360,Cargas,1))),Coluna_fis,1,1))*(PI()*(fi_s/1000)^2/4)*(2*9.81*(O2360/100-cota_s-fi_s/2/1000))^0.5*1000)))</f>
        <v>5.790747076774994</v>
      </c>
      <c r="R2360" s="38">
        <f t="shared" ca="1" si="270"/>
        <v>12.281592699300177</v>
      </c>
      <c r="S2360" s="38">
        <f t="shared" ca="1" si="271"/>
        <v>737.1875</v>
      </c>
    </row>
    <row r="2361" spans="13:19">
      <c r="M2361" s="132">
        <f t="shared" ca="1" si="268"/>
        <v>749.78451893320334</v>
      </c>
      <c r="N2361" s="38">
        <f t="shared" si="269"/>
        <v>22.125</v>
      </c>
      <c r="O2361" s="36">
        <f t="shared" si="267"/>
        <v>590</v>
      </c>
      <c r="P2361" s="38">
        <f ca="1">IF(ISERROR(IF(O2361&lt;fi_h/20,0,(OFFSET('Base de dados'!$A$5,IF(O2361&lt;20,1,IF(O2361&gt;1000,10,MATCH(O2361,Cargas,1))),Coluna_fih,1,1))*(1+0.13*0.25)*(PI()*(fi_h/1000)^2/4)*SQRT(2*9.81*(O2361/100-fi_h/2/1000))*1000)),"",IF(O2361&lt;fi_h/20,0,(OFFSET('Base de dados'!$A$5,IF(O2361&lt;20,1,IF(O2361&gt;1000,10,MATCH(O2361,Cargas,1))),Coluna_fih,1,1))*(PI()*(fi_h/1000)^2/4)*SQRT(2*9.81*(O2361/100-fi_h/2/1000))*1000))</f>
        <v>6.4922253559877223</v>
      </c>
      <c r="Q2361" s="38">
        <f ca="1">IF(O2361="","",IF(Tipo_Vertedor="Retangular",IF(O2361&lt;=cota_s*100,0,IF(Tipo_Vertedor="Retangular",Cd_sr*Lef_sr*((O2361/100-cota_s)^(3/2))*1000)),IF(O2361&lt;=cota_s*100+fi_s/20,0,(OFFSET('Base de dados'!$A$4,IF(O2361&lt;20,1,IF(O2361&gt;1000,10,MATCH(O2361,Cargas,1))),Coluna_fis,1,1))*(PI()*(fi_s/1000)^2/4)*(2*9.81*(O2361/100-cota_s-fi_s/2/1000))^0.5*1000)))</f>
        <v>5.792293577215653</v>
      </c>
      <c r="R2361" s="38">
        <f t="shared" ca="1" si="270"/>
        <v>12.284518933203376</v>
      </c>
      <c r="S2361" s="38">
        <f t="shared" ca="1" si="271"/>
        <v>737.5</v>
      </c>
    </row>
    <row r="2362" spans="13:19">
      <c r="M2362" s="132">
        <f t="shared" ca="1" si="268"/>
        <v>750.09994446115252</v>
      </c>
      <c r="N2362" s="38">
        <f t="shared" si="269"/>
        <v>22.134374999999999</v>
      </c>
      <c r="O2362" s="36">
        <f t="shared" si="267"/>
        <v>590.25</v>
      </c>
      <c r="P2362" s="38">
        <f ca="1">IF(ISERROR(IF(O2362&lt;fi_h/20,0,(OFFSET('Base de dados'!$A$5,IF(O2362&lt;20,1,IF(O2362&gt;1000,10,MATCH(O2362,Cargas,1))),Coluna_fih,1,1))*(1+0.13*0.25)*(PI()*(fi_h/1000)^2/4)*SQRT(2*9.81*(O2362/100-fi_h/2/1000))*1000)),"",IF(O2362&lt;fi_h/20,0,(OFFSET('Base de dados'!$A$5,IF(O2362&lt;20,1,IF(O2362&gt;1000,10,MATCH(O2362,Cargas,1))),Coluna_fih,1,1))*(PI()*(fi_h/1000)^2/4)*SQRT(2*9.81*(O2362/100-fi_h/2/1000))*1000))</f>
        <v>6.4936047962903842</v>
      </c>
      <c r="Q2362" s="38">
        <f ca="1">IF(O2362="","",IF(Tipo_Vertedor="Retangular",IF(O2362&lt;=cota_s*100,0,IF(Tipo_Vertedor="Retangular",Cd_sr*Lef_sr*((O2362/100-cota_s)^(3/2))*1000)),IF(O2362&lt;=cota_s*100+fi_s/20,0,(OFFSET('Base de dados'!$A$4,IF(O2362&lt;20,1,IF(O2362&gt;1000,10,MATCH(O2362,Cargas,1))),Coluna_fis,1,1))*(PI()*(fi_s/1000)^2/4)*(2*9.81*(O2362/100-cota_s-fi_s/2/1000))^0.5*1000)))</f>
        <v>5.7938396648620927</v>
      </c>
      <c r="R2362" s="38">
        <f t="shared" ca="1" si="270"/>
        <v>12.287444461152477</v>
      </c>
      <c r="S2362" s="38">
        <f t="shared" ca="1" si="271"/>
        <v>737.8125</v>
      </c>
    </row>
    <row r="2363" spans="13:19">
      <c r="M2363" s="132">
        <f t="shared" ca="1" si="268"/>
        <v>750.41536928366463</v>
      </c>
      <c r="N2363" s="38">
        <f t="shared" si="269"/>
        <v>22.143750000000001</v>
      </c>
      <c r="O2363" s="36">
        <f t="shared" si="267"/>
        <v>590.5</v>
      </c>
      <c r="P2363" s="38">
        <f ca="1">IF(ISERROR(IF(O2363&lt;fi_h/20,0,(OFFSET('Base de dados'!$A$5,IF(O2363&lt;20,1,IF(O2363&gt;1000,10,MATCH(O2363,Cargas,1))),Coluna_fih,1,1))*(1+0.13*0.25)*(PI()*(fi_h/1000)^2/4)*SQRT(2*9.81*(O2363/100-fi_h/2/1000))*1000)),"",IF(O2363&lt;fi_h/20,0,(OFFSET('Base de dados'!$A$5,IF(O2363&lt;20,1,IF(O2363&gt;1000,10,MATCH(O2363,Cargas,1))),Coluna_fih,1,1))*(PI()*(fi_h/1000)^2/4)*SQRT(2*9.81*(O2363/100-fi_h/2/1000))*1000))</f>
        <v>6.4949839436199586</v>
      </c>
      <c r="Q2363" s="38">
        <f ca="1">IF(O2363="","",IF(Tipo_Vertedor="Retangular",IF(O2363&lt;=cota_s*100,0,IF(Tipo_Vertedor="Retangular",Cd_sr*Lef_sr*((O2363/100-cota_s)^(3/2))*1000)),IF(O2363&lt;=cota_s*100+fi_s/20,0,(OFFSET('Base de dados'!$A$4,IF(O2363&lt;20,1,IF(O2363&gt;1000,10,MATCH(O2363,Cargas,1))),Coluna_fis,1,1))*(PI()*(fi_s/1000)^2/4)*(2*9.81*(O2363/100-cota_s-fi_s/2/1000))^0.5*1000)))</f>
        <v>5.7953853400446862</v>
      </c>
      <c r="R2363" s="38">
        <f t="shared" ca="1" si="270"/>
        <v>12.290369283664646</v>
      </c>
      <c r="S2363" s="38">
        <f t="shared" ca="1" si="271"/>
        <v>738.125</v>
      </c>
    </row>
    <row r="2364" spans="13:19">
      <c r="M2364" s="132">
        <f t="shared" ca="1" si="268"/>
        <v>750.73079340125639</v>
      </c>
      <c r="N2364" s="38">
        <f t="shared" si="269"/>
        <v>22.153124999999999</v>
      </c>
      <c r="O2364" s="36">
        <f t="shared" si="267"/>
        <v>590.75</v>
      </c>
      <c r="P2364" s="38">
        <f ca="1">IF(ISERROR(IF(O2364&lt;fi_h/20,0,(OFFSET('Base de dados'!$A$5,IF(O2364&lt;20,1,IF(O2364&gt;1000,10,MATCH(O2364,Cargas,1))),Coluna_fih,1,1))*(1+0.13*0.25)*(PI()*(fi_h/1000)^2/4)*SQRT(2*9.81*(O2364/100-fi_h/2/1000))*1000)),"",IF(O2364&lt;fi_h/20,0,(OFFSET('Base de dados'!$A$5,IF(O2364&lt;20,1,IF(O2364&gt;1000,10,MATCH(O2364,Cargas,1))),Coluna_fih,1,1))*(PI()*(fi_h/1000)^2/4)*SQRT(2*9.81*(O2364/100-fi_h/2/1000))*1000))</f>
        <v>6.496362798163033</v>
      </c>
      <c r="Q2364" s="38">
        <f ca="1">IF(O2364="","",IF(Tipo_Vertedor="Retangular",IF(O2364&lt;=cota_s*100,0,IF(Tipo_Vertedor="Retangular",Cd_sr*Lef_sr*((O2364/100-cota_s)^(3/2))*1000)),IF(O2364&lt;=cota_s*100+fi_s/20,0,(OFFSET('Base de dados'!$A$4,IF(O2364&lt;20,1,IF(O2364&gt;1000,10,MATCH(O2364,Cargas,1))),Coluna_fis,1,1))*(PI()*(fi_s/1000)^2/4)*(2*9.81*(O2364/100-cota_s-fi_s/2/1000))^0.5*1000)))</f>
        <v>5.7969306030933678</v>
      </c>
      <c r="R2364" s="38">
        <f t="shared" ca="1" si="270"/>
        <v>12.293293401256401</v>
      </c>
      <c r="S2364" s="38">
        <f t="shared" ca="1" si="271"/>
        <v>738.4375</v>
      </c>
    </row>
    <row r="2365" spans="13:19">
      <c r="M2365" s="132">
        <f t="shared" ca="1" si="268"/>
        <v>751.0462168144436</v>
      </c>
      <c r="N2365" s="38">
        <f t="shared" si="269"/>
        <v>22.162500000000001</v>
      </c>
      <c r="O2365" s="36">
        <f t="shared" si="267"/>
        <v>591</v>
      </c>
      <c r="P2365" s="38">
        <f ca="1">IF(ISERROR(IF(O2365&lt;fi_h/20,0,(OFFSET('Base de dados'!$A$5,IF(O2365&lt;20,1,IF(O2365&gt;1000,10,MATCH(O2365,Cargas,1))),Coluna_fih,1,1))*(1+0.13*0.25)*(PI()*(fi_h/1000)^2/4)*SQRT(2*9.81*(O2365/100-fi_h/2/1000))*1000)),"",IF(O2365&lt;fi_h/20,0,(OFFSET('Base de dados'!$A$5,IF(O2365&lt;20,1,IF(O2365&gt;1000,10,MATCH(O2365,Cargas,1))),Coluna_fih,1,1))*(PI()*(fi_h/1000)^2/4)*SQRT(2*9.81*(O2365/100-fi_h/2/1000))*1000))</f>
        <v>6.4977413601060023</v>
      </c>
      <c r="Q2365" s="38">
        <f ca="1">IF(O2365="","",IF(Tipo_Vertedor="Retangular",IF(O2365&lt;=cota_s*100,0,IF(Tipo_Vertedor="Retangular",Cd_sr*Lef_sr*((O2365/100-cota_s)^(3/2))*1000)),IF(O2365&lt;=cota_s*100+fi_s/20,0,(OFFSET('Base de dados'!$A$4,IF(O2365&lt;20,1,IF(O2365&gt;1000,10,MATCH(O2365,Cargas,1))),Coluna_fis,1,1))*(PI()*(fi_s/1000)^2/4)*(2*9.81*(O2365/100-cota_s-fi_s/2/1000))^0.5*1000)))</f>
        <v>5.7984754543376322</v>
      </c>
      <c r="R2365" s="38">
        <f t="shared" ca="1" si="270"/>
        <v>12.296216814443635</v>
      </c>
      <c r="S2365" s="38">
        <f t="shared" ca="1" si="271"/>
        <v>738.75</v>
      </c>
    </row>
    <row r="2366" spans="13:19">
      <c r="M2366" s="132">
        <f t="shared" ca="1" si="268"/>
        <v>751.36163952374159</v>
      </c>
      <c r="N2366" s="38">
        <f t="shared" si="269"/>
        <v>22.171875</v>
      </c>
      <c r="O2366" s="36">
        <f t="shared" si="267"/>
        <v>591.25</v>
      </c>
      <c r="P2366" s="38">
        <f ca="1">IF(ISERROR(IF(O2366&lt;fi_h/20,0,(OFFSET('Base de dados'!$A$5,IF(O2366&lt;20,1,IF(O2366&gt;1000,10,MATCH(O2366,Cargas,1))),Coluna_fih,1,1))*(1+0.13*0.25)*(PI()*(fi_h/1000)^2/4)*SQRT(2*9.81*(O2366/100-fi_h/2/1000))*1000)),"",IF(O2366&lt;fi_h/20,0,(OFFSET('Base de dados'!$A$5,IF(O2366&lt;20,1,IF(O2366&gt;1000,10,MATCH(O2366,Cargas,1))),Coluna_fih,1,1))*(PI()*(fi_h/1000)^2/4)*SQRT(2*9.81*(O2366/100-fi_h/2/1000))*1000))</f>
        <v>6.4991196296350626</v>
      </c>
      <c r="Q2366" s="38">
        <f ca="1">IF(O2366="","",IF(Tipo_Vertedor="Retangular",IF(O2366&lt;=cota_s*100,0,IF(Tipo_Vertedor="Retangular",Cd_sr*Lef_sr*((O2366/100-cota_s)^(3/2))*1000)),IF(O2366&lt;=cota_s*100+fi_s/20,0,(OFFSET('Base de dados'!$A$4,IF(O2366&lt;20,1,IF(O2366&gt;1000,10,MATCH(O2366,Cargas,1))),Coluna_fis,1,1))*(PI()*(fi_s/1000)^2/4)*(2*9.81*(O2366/100-cota_s-fi_s/2/1000))^0.5*1000)))</f>
        <v>5.8000198941065353</v>
      </c>
      <c r="R2366" s="38">
        <f t="shared" ca="1" si="270"/>
        <v>12.299139523741598</v>
      </c>
      <c r="S2366" s="38">
        <f t="shared" ca="1" si="271"/>
        <v>739.0625</v>
      </c>
    </row>
    <row r="2367" spans="13:19">
      <c r="M2367" s="132">
        <f t="shared" ca="1" si="268"/>
        <v>751.67706152966491</v>
      </c>
      <c r="N2367" s="38">
        <f t="shared" si="269"/>
        <v>22.181249999999999</v>
      </c>
      <c r="O2367" s="36">
        <f t="shared" si="267"/>
        <v>591.5</v>
      </c>
      <c r="P2367" s="38">
        <f ca="1">IF(ISERROR(IF(O2367&lt;fi_h/20,0,(OFFSET('Base de dados'!$A$5,IF(O2367&lt;20,1,IF(O2367&gt;1000,10,MATCH(O2367,Cargas,1))),Coluna_fih,1,1))*(1+0.13*0.25)*(PI()*(fi_h/1000)^2/4)*SQRT(2*9.81*(O2367/100-fi_h/2/1000))*1000)),"",IF(O2367&lt;fi_h/20,0,(OFFSET('Base de dados'!$A$5,IF(O2367&lt;20,1,IF(O2367&gt;1000,10,MATCH(O2367,Cargas,1))),Coluna_fih,1,1))*(PI()*(fi_h/1000)^2/4)*SQRT(2*9.81*(O2367/100-fi_h/2/1000))*1000))</f>
        <v>6.5004976069362082</v>
      </c>
      <c r="Q2367" s="38">
        <f ca="1">IF(O2367="","",IF(Tipo_Vertedor="Retangular",IF(O2367&lt;=cota_s*100,0,IF(Tipo_Vertedor="Retangular",Cd_sr*Lef_sr*((O2367/100-cota_s)^(3/2))*1000)),IF(O2367&lt;=cota_s*100+fi_s/20,0,(OFFSET('Base de dados'!$A$4,IF(O2367&lt;20,1,IF(O2367&gt;1000,10,MATCH(O2367,Cargas,1))),Coluna_fis,1,1))*(PI()*(fi_s/1000)^2/4)*(2*9.81*(O2367/100-cota_s-fi_s/2/1000))^0.5*1000)))</f>
        <v>5.801563922728695</v>
      </c>
      <c r="R2367" s="38">
        <f t="shared" ca="1" si="270"/>
        <v>12.302061529664904</v>
      </c>
      <c r="S2367" s="38">
        <f t="shared" ca="1" si="271"/>
        <v>739.375</v>
      </c>
    </row>
    <row r="2368" spans="13:19">
      <c r="M2368" s="132">
        <f t="shared" ca="1" si="268"/>
        <v>751.99248283272755</v>
      </c>
      <c r="N2368" s="38">
        <f t="shared" si="269"/>
        <v>22.190625000000001</v>
      </c>
      <c r="O2368" s="36">
        <f t="shared" si="267"/>
        <v>591.75</v>
      </c>
      <c r="P2368" s="38">
        <f ca="1">IF(ISERROR(IF(O2368&lt;fi_h/20,0,(OFFSET('Base de dados'!$A$5,IF(O2368&lt;20,1,IF(O2368&gt;1000,10,MATCH(O2368,Cargas,1))),Coluna_fih,1,1))*(1+0.13*0.25)*(PI()*(fi_h/1000)^2/4)*SQRT(2*9.81*(O2368/100-fi_h/2/1000))*1000)),"",IF(O2368&lt;fi_h/20,0,(OFFSET('Base de dados'!$A$5,IF(O2368&lt;20,1,IF(O2368&gt;1000,10,MATCH(O2368,Cargas,1))),Coluna_fih,1,1))*(PI()*(fi_h/1000)^2/4)*SQRT(2*9.81*(O2368/100-fi_h/2/1000))*1000))</f>
        <v>6.5018752921952396</v>
      </c>
      <c r="Q2368" s="38">
        <f ca="1">IF(O2368="","",IF(Tipo_Vertedor="Retangular",IF(O2368&lt;=cota_s*100,0,IF(Tipo_Vertedor="Retangular",Cd_sr*Lef_sr*((O2368/100-cota_s)^(3/2))*1000)),IF(O2368&lt;=cota_s*100+fi_s/20,0,(OFFSET('Base de dados'!$A$4,IF(O2368&lt;20,1,IF(O2368&gt;1000,10,MATCH(O2368,Cargas,1))),Coluna_fis,1,1))*(PI()*(fi_s/1000)^2/4)*(2*9.81*(O2368/100-cota_s-fi_s/2/1000))^0.5*1000)))</f>
        <v>5.8031075405322916</v>
      </c>
      <c r="R2368" s="38">
        <f t="shared" ca="1" si="270"/>
        <v>12.304982832727532</v>
      </c>
      <c r="S2368" s="38">
        <f t="shared" ca="1" si="271"/>
        <v>739.6875</v>
      </c>
    </row>
    <row r="2369" spans="13:19">
      <c r="M2369" s="132">
        <f t="shared" ca="1" si="268"/>
        <v>752.30790343344279</v>
      </c>
      <c r="N2369" s="38">
        <f t="shared" si="269"/>
        <v>22.2</v>
      </c>
      <c r="O2369" s="36">
        <f t="shared" si="267"/>
        <v>592</v>
      </c>
      <c r="P2369" s="38">
        <f ca="1">IF(ISERROR(IF(O2369&lt;fi_h/20,0,(OFFSET('Base de dados'!$A$5,IF(O2369&lt;20,1,IF(O2369&gt;1000,10,MATCH(O2369,Cargas,1))),Coluna_fih,1,1))*(1+0.13*0.25)*(PI()*(fi_h/1000)^2/4)*SQRT(2*9.81*(O2369/100-fi_h/2/1000))*1000)),"",IF(O2369&lt;fi_h/20,0,(OFFSET('Base de dados'!$A$5,IF(O2369&lt;20,1,IF(O2369&gt;1000,10,MATCH(O2369,Cargas,1))),Coluna_fih,1,1))*(PI()*(fi_h/1000)^2/4)*SQRT(2*9.81*(O2369/100-fi_h/2/1000))*1000))</f>
        <v>6.5032526855977615</v>
      </c>
      <c r="Q2369" s="38">
        <f ca="1">IF(O2369="","",IF(Tipo_Vertedor="Retangular",IF(O2369&lt;=cota_s*100,0,IF(Tipo_Vertedor="Retangular",Cd_sr*Lef_sr*((O2369/100-cota_s)^(3/2))*1000)),IF(O2369&lt;=cota_s*100+fi_s/20,0,(OFFSET('Base de dados'!$A$4,IF(O2369&lt;20,1,IF(O2369&gt;1000,10,MATCH(O2369,Cargas,1))),Coluna_fis,1,1))*(PI()*(fi_s/1000)^2/4)*(2*9.81*(O2369/100-cota_s-fi_s/2/1000))^0.5*1000)))</f>
        <v>5.8046507478450682</v>
      </c>
      <c r="R2369" s="38">
        <f t="shared" ca="1" si="270"/>
        <v>12.30790343344283</v>
      </c>
      <c r="S2369" s="38">
        <f t="shared" ca="1" si="271"/>
        <v>740</v>
      </c>
    </row>
    <row r="2370" spans="13:19">
      <c r="M2370" s="132">
        <f t="shared" ca="1" si="268"/>
        <v>752.62332333232348</v>
      </c>
      <c r="N2370" s="38">
        <f t="shared" si="269"/>
        <v>22.209375000000001</v>
      </c>
      <c r="O2370" s="36">
        <f t="shared" si="267"/>
        <v>592.25</v>
      </c>
      <c r="P2370" s="38">
        <f ca="1">IF(ISERROR(IF(O2370&lt;fi_h/20,0,(OFFSET('Base de dados'!$A$5,IF(O2370&lt;20,1,IF(O2370&gt;1000,10,MATCH(O2370,Cargas,1))),Coluna_fih,1,1))*(1+0.13*0.25)*(PI()*(fi_h/1000)^2/4)*SQRT(2*9.81*(O2370/100-fi_h/2/1000))*1000)),"",IF(O2370&lt;fi_h/20,0,(OFFSET('Base de dados'!$A$5,IF(O2370&lt;20,1,IF(O2370&gt;1000,10,MATCH(O2370,Cargas,1))),Coluna_fih,1,1))*(PI()*(fi_h/1000)^2/4)*SQRT(2*9.81*(O2370/100-fi_h/2/1000))*1000))</f>
        <v>6.5046297873291836</v>
      </c>
      <c r="Q2370" s="38">
        <f ca="1">IF(O2370="","",IF(Tipo_Vertedor="Retangular",IF(O2370&lt;=cota_s*100,0,IF(Tipo_Vertedor="Retangular",Cd_sr*Lef_sr*((O2370/100-cota_s)^(3/2))*1000)),IF(O2370&lt;=cota_s*100+fi_s/20,0,(OFFSET('Base de dados'!$A$4,IF(O2370&lt;20,1,IF(O2370&gt;1000,10,MATCH(O2370,Cargas,1))),Coluna_fis,1,1))*(PI()*(fi_s/1000)^2/4)*(2*9.81*(O2370/100-cota_s-fi_s/2/1000))^0.5*1000)))</f>
        <v>5.8061935449943363</v>
      </c>
      <c r="R2370" s="38">
        <f t="shared" ca="1" si="270"/>
        <v>12.310823332323519</v>
      </c>
      <c r="S2370" s="38">
        <f t="shared" ca="1" si="271"/>
        <v>740.3125</v>
      </c>
    </row>
    <row r="2371" spans="13:19">
      <c r="M2371" s="132">
        <f t="shared" ca="1" si="268"/>
        <v>752.93874252988167</v>
      </c>
      <c r="N2371" s="38">
        <f t="shared" si="269"/>
        <v>22.21875</v>
      </c>
      <c r="O2371" s="36">
        <f t="shared" si="267"/>
        <v>592.5</v>
      </c>
      <c r="P2371" s="38">
        <f ca="1">IF(ISERROR(IF(O2371&lt;fi_h/20,0,(OFFSET('Base de dados'!$A$5,IF(O2371&lt;20,1,IF(O2371&gt;1000,10,MATCH(O2371,Cargas,1))),Coluna_fih,1,1))*(1+0.13*0.25)*(PI()*(fi_h/1000)^2/4)*SQRT(2*9.81*(O2371/100-fi_h/2/1000))*1000)),"",IF(O2371&lt;fi_h/20,0,(OFFSET('Base de dados'!$A$5,IF(O2371&lt;20,1,IF(O2371&gt;1000,10,MATCH(O2371,Cargas,1))),Coluna_fih,1,1))*(PI()*(fi_h/1000)^2/4)*SQRT(2*9.81*(O2371/100-fi_h/2/1000))*1000))</f>
        <v>6.5060065975747108</v>
      </c>
      <c r="Q2371" s="38">
        <f ca="1">IF(O2371="","",IF(Tipo_Vertedor="Retangular",IF(O2371&lt;=cota_s*100,0,IF(Tipo_Vertedor="Retangular",Cd_sr*Lef_sr*((O2371/100-cota_s)^(3/2))*1000)),IF(O2371&lt;=cota_s*100+fi_s/20,0,(OFFSET('Base de dados'!$A$4,IF(O2371&lt;20,1,IF(O2371&gt;1000,10,MATCH(O2371,Cargas,1))),Coluna_fis,1,1))*(PI()*(fi_s/1000)^2/4)*(2*9.81*(O2371/100-cota_s-fi_s/2/1000))^0.5*1000)))</f>
        <v>5.8077359323069668</v>
      </c>
      <c r="R2371" s="38">
        <f t="shared" ca="1" si="270"/>
        <v>12.313742529881678</v>
      </c>
      <c r="S2371" s="38">
        <f t="shared" ca="1" si="271"/>
        <v>740.625</v>
      </c>
    </row>
    <row r="2372" spans="13:19">
      <c r="M2372" s="132">
        <f t="shared" ca="1" si="268"/>
        <v>753.25416102662882</v>
      </c>
      <c r="N2372" s="38">
        <f t="shared" si="269"/>
        <v>22.228125000000002</v>
      </c>
      <c r="O2372" s="36">
        <f t="shared" si="267"/>
        <v>592.75</v>
      </c>
      <c r="P2372" s="38">
        <f ca="1">IF(ISERROR(IF(O2372&lt;fi_h/20,0,(OFFSET('Base de dados'!$A$5,IF(O2372&lt;20,1,IF(O2372&gt;1000,10,MATCH(O2372,Cargas,1))),Coluna_fih,1,1))*(1+0.13*0.25)*(PI()*(fi_h/1000)^2/4)*SQRT(2*9.81*(O2372/100-fi_h/2/1000))*1000)),"",IF(O2372&lt;fi_h/20,0,(OFFSET('Base de dados'!$A$5,IF(O2372&lt;20,1,IF(O2372&gt;1000,10,MATCH(O2372,Cargas,1))),Coluna_fih,1,1))*(PI()*(fi_h/1000)^2/4)*SQRT(2*9.81*(O2372/100-fi_h/2/1000))*1000))</f>
        <v>6.5073831165193612</v>
      </c>
      <c r="Q2372" s="38">
        <f ca="1">IF(O2372="","",IF(Tipo_Vertedor="Retangular",IF(O2372&lt;=cota_s*100,0,IF(Tipo_Vertedor="Retangular",Cd_sr*Lef_sr*((O2372/100-cota_s)^(3/2))*1000)),IF(O2372&lt;=cota_s*100+fi_s/20,0,(OFFSET('Base de dados'!$A$4,IF(O2372&lt;20,1,IF(O2372&gt;1000,10,MATCH(O2372,Cargas,1))),Coluna_fis,1,1))*(PI()*(fi_s/1000)^2/4)*(2*9.81*(O2372/100-cota_s-fi_s/2/1000))^0.5*1000)))</f>
        <v>5.8092779101094001</v>
      </c>
      <c r="R2372" s="38">
        <f t="shared" ca="1" si="270"/>
        <v>12.316661026628761</v>
      </c>
      <c r="S2372" s="38">
        <f t="shared" ca="1" si="271"/>
        <v>740.93750000000011</v>
      </c>
    </row>
    <row r="2373" spans="13:19">
      <c r="M2373" s="132">
        <f t="shared" ca="1" si="268"/>
        <v>753.56957882307552</v>
      </c>
      <c r="N2373" s="38">
        <f t="shared" si="269"/>
        <v>22.237499999999997</v>
      </c>
      <c r="O2373" s="36">
        <f t="shared" si="267"/>
        <v>593</v>
      </c>
      <c r="P2373" s="38">
        <f ca="1">IF(ISERROR(IF(O2373&lt;fi_h/20,0,(OFFSET('Base de dados'!$A$5,IF(O2373&lt;20,1,IF(O2373&gt;1000,10,MATCH(O2373,Cargas,1))),Coluna_fih,1,1))*(1+0.13*0.25)*(PI()*(fi_h/1000)^2/4)*SQRT(2*9.81*(O2373/100-fi_h/2/1000))*1000)),"",IF(O2373&lt;fi_h/20,0,(OFFSET('Base de dados'!$A$5,IF(O2373&lt;20,1,IF(O2373&gt;1000,10,MATCH(O2373,Cargas,1))),Coluna_fih,1,1))*(PI()*(fi_h/1000)^2/4)*SQRT(2*9.81*(O2373/100-fi_h/2/1000))*1000))</f>
        <v>6.5087593443479541</v>
      </c>
      <c r="Q2373" s="38">
        <f ca="1">IF(O2373="","",IF(Tipo_Vertedor="Retangular",IF(O2373&lt;=cota_s*100,0,IF(Tipo_Vertedor="Retangular",Cd_sr*Lef_sr*((O2373/100-cota_s)^(3/2))*1000)),IF(O2373&lt;=cota_s*100+fi_s/20,0,(OFFSET('Base de dados'!$A$4,IF(O2373&lt;20,1,IF(O2373&gt;1000,10,MATCH(O2373,Cargas,1))),Coluna_fis,1,1))*(PI()*(fi_s/1000)^2/4)*(2*9.81*(O2373/100-cota_s-fi_s/2/1000))^0.5*1000)))</f>
        <v>5.8108194787276455</v>
      </c>
      <c r="R2373" s="38">
        <f t="shared" ca="1" si="270"/>
        <v>12.319578823075599</v>
      </c>
      <c r="S2373" s="38">
        <f t="shared" ca="1" si="271"/>
        <v>741.24999999999989</v>
      </c>
    </row>
    <row r="2374" spans="13:19">
      <c r="M2374" s="132">
        <f t="shared" ca="1" si="268"/>
        <v>753.88499591973243</v>
      </c>
      <c r="N2374" s="38">
        <f t="shared" si="269"/>
        <v>22.246874999999999</v>
      </c>
      <c r="O2374" s="36">
        <f t="shared" si="267"/>
        <v>593.25</v>
      </c>
      <c r="P2374" s="38">
        <f ca="1">IF(ISERROR(IF(O2374&lt;fi_h/20,0,(OFFSET('Base de dados'!$A$5,IF(O2374&lt;20,1,IF(O2374&gt;1000,10,MATCH(O2374,Cargas,1))),Coluna_fih,1,1))*(1+0.13*0.25)*(PI()*(fi_h/1000)^2/4)*SQRT(2*9.81*(O2374/100-fi_h/2/1000))*1000)),"",IF(O2374&lt;fi_h/20,0,(OFFSET('Base de dados'!$A$5,IF(O2374&lt;20,1,IF(O2374&gt;1000,10,MATCH(O2374,Cargas,1))),Coluna_fih,1,1))*(PI()*(fi_h/1000)^2/4)*SQRT(2*9.81*(O2374/100-fi_h/2/1000))*1000))</f>
        <v>6.5101352812451134</v>
      </c>
      <c r="Q2374" s="38">
        <f ca="1">IF(O2374="","",IF(Tipo_Vertedor="Retangular",IF(O2374&lt;=cota_s*100,0,IF(Tipo_Vertedor="Retangular",Cd_sr*Lef_sr*((O2374/100-cota_s)^(3/2))*1000)),IF(O2374&lt;=cota_s*100+fi_s/20,0,(OFFSET('Base de dados'!$A$4,IF(O2374&lt;20,1,IF(O2374&gt;1000,10,MATCH(O2374,Cargas,1))),Coluna_fis,1,1))*(PI()*(fi_s/1000)^2/4)*(2*9.81*(O2374/100-cota_s-fi_s/2/1000))^0.5*1000)))</f>
        <v>5.8123606384872746</v>
      </c>
      <c r="R2374" s="38">
        <f t="shared" ca="1" si="270"/>
        <v>12.322495919732388</v>
      </c>
      <c r="S2374" s="38">
        <f t="shared" ca="1" si="271"/>
        <v>741.5625</v>
      </c>
    </row>
    <row r="2375" spans="13:19">
      <c r="M2375" s="132">
        <f t="shared" ca="1" si="268"/>
        <v>754.20041231710854</v>
      </c>
      <c r="N2375" s="38">
        <f t="shared" si="269"/>
        <v>22.256249999999998</v>
      </c>
      <c r="O2375" s="36">
        <f t="shared" si="267"/>
        <v>593.5</v>
      </c>
      <c r="P2375" s="38">
        <f ca="1">IF(ISERROR(IF(O2375&lt;fi_h/20,0,(OFFSET('Base de dados'!$A$5,IF(O2375&lt;20,1,IF(O2375&gt;1000,10,MATCH(O2375,Cargas,1))),Coluna_fih,1,1))*(1+0.13*0.25)*(PI()*(fi_h/1000)^2/4)*SQRT(2*9.81*(O2375/100-fi_h/2/1000))*1000)),"",IF(O2375&lt;fi_h/20,0,(OFFSET('Base de dados'!$A$5,IF(O2375&lt;20,1,IF(O2375&gt;1000,10,MATCH(O2375,Cargas,1))),Coluna_fih,1,1))*(PI()*(fi_h/1000)^2/4)*SQRT(2*9.81*(O2375/100-fi_h/2/1000))*1000))</f>
        <v>6.5115109273952667</v>
      </c>
      <c r="Q2375" s="38">
        <f ca="1">IF(O2375="","",IF(Tipo_Vertedor="Retangular",IF(O2375&lt;=cota_s*100,0,IF(Tipo_Vertedor="Retangular",Cd_sr*Lef_sr*((O2375/100-cota_s)^(3/2))*1000)),IF(O2375&lt;=cota_s*100+fi_s/20,0,(OFFSET('Base de dados'!$A$4,IF(O2375&lt;20,1,IF(O2375&gt;1000,10,MATCH(O2375,Cargas,1))),Coluna_fis,1,1))*(PI()*(fi_s/1000)^2/4)*(2*9.81*(O2375/100-cota_s-fi_s/2/1000))^0.5*1000)))</f>
        <v>5.8139013897134308</v>
      </c>
      <c r="R2375" s="38">
        <f t="shared" ca="1" si="270"/>
        <v>12.325412317108697</v>
      </c>
      <c r="S2375" s="38">
        <f t="shared" ca="1" si="271"/>
        <v>741.87499999999989</v>
      </c>
    </row>
    <row r="2376" spans="13:19">
      <c r="M2376" s="132">
        <f t="shared" ca="1" si="268"/>
        <v>754.51582801571351</v>
      </c>
      <c r="N2376" s="38">
        <f t="shared" si="269"/>
        <v>22.265625</v>
      </c>
      <c r="O2376" s="36">
        <f t="shared" si="267"/>
        <v>593.75</v>
      </c>
      <c r="P2376" s="38">
        <f ca="1">IF(ISERROR(IF(O2376&lt;fi_h/20,0,(OFFSET('Base de dados'!$A$5,IF(O2376&lt;20,1,IF(O2376&gt;1000,10,MATCH(O2376,Cargas,1))),Coluna_fih,1,1))*(1+0.13*0.25)*(PI()*(fi_h/1000)^2/4)*SQRT(2*9.81*(O2376/100-fi_h/2/1000))*1000)),"",IF(O2376&lt;fi_h/20,0,(OFFSET('Base de dados'!$A$5,IF(O2376&lt;20,1,IF(O2376&gt;1000,10,MATCH(O2376,Cargas,1))),Coluna_fih,1,1))*(PI()*(fi_h/1000)^2/4)*SQRT(2*9.81*(O2376/100-fi_h/2/1000))*1000))</f>
        <v>6.5128862829826497</v>
      </c>
      <c r="Q2376" s="38">
        <f ca="1">IF(O2376="","",IF(Tipo_Vertedor="Retangular",IF(O2376&lt;=cota_s*100,0,IF(Tipo_Vertedor="Retangular",Cd_sr*Lef_sr*((O2376/100-cota_s)^(3/2))*1000)),IF(O2376&lt;=cota_s*100+fi_s/20,0,(OFFSET('Base de dados'!$A$4,IF(O2376&lt;20,1,IF(O2376&gt;1000,10,MATCH(O2376,Cargas,1))),Coluna_fis,1,1))*(PI()*(fi_s/1000)^2/4)*(2*9.81*(O2376/100-cota_s-fi_s/2/1000))^0.5*1000)))</f>
        <v>5.8154417327308288</v>
      </c>
      <c r="R2376" s="38">
        <f t="shared" ca="1" si="270"/>
        <v>12.328328015713478</v>
      </c>
      <c r="S2376" s="38">
        <f t="shared" ca="1" si="271"/>
        <v>742.1875</v>
      </c>
    </row>
    <row r="2377" spans="13:19">
      <c r="M2377" s="132">
        <f t="shared" ca="1" si="268"/>
        <v>754.83124301605517</v>
      </c>
      <c r="N2377" s="38">
        <f t="shared" si="269"/>
        <v>22.275000000000002</v>
      </c>
      <c r="O2377" s="36">
        <f t="shared" si="267"/>
        <v>594</v>
      </c>
      <c r="P2377" s="38">
        <f ca="1">IF(ISERROR(IF(O2377&lt;fi_h/20,0,(OFFSET('Base de dados'!$A$5,IF(O2377&lt;20,1,IF(O2377&gt;1000,10,MATCH(O2377,Cargas,1))),Coluna_fih,1,1))*(1+0.13*0.25)*(PI()*(fi_h/1000)^2/4)*SQRT(2*9.81*(O2377/100-fi_h/2/1000))*1000)),"",IF(O2377&lt;fi_h/20,0,(OFFSET('Base de dados'!$A$5,IF(O2377&lt;20,1,IF(O2377&gt;1000,10,MATCH(O2377,Cargas,1))),Coluna_fih,1,1))*(PI()*(fi_h/1000)^2/4)*SQRT(2*9.81*(O2377/100-fi_h/2/1000))*1000))</f>
        <v>6.5142613481912983</v>
      </c>
      <c r="Q2377" s="38">
        <f ca="1">IF(O2377="","",IF(Tipo_Vertedor="Retangular",IF(O2377&lt;=cota_s*100,0,IF(Tipo_Vertedor="Retangular",Cd_sr*Lef_sr*((O2377/100-cota_s)^(3/2))*1000)),IF(O2377&lt;=cota_s*100+fi_s/20,0,(OFFSET('Base de dados'!$A$4,IF(O2377&lt;20,1,IF(O2377&gt;1000,10,MATCH(O2377,Cargas,1))),Coluna_fis,1,1))*(PI()*(fi_s/1000)^2/4)*(2*9.81*(O2377/100-cota_s-fi_s/2/1000))^0.5*1000)))</f>
        <v>5.8169816678637494</v>
      </c>
      <c r="R2377" s="38">
        <f t="shared" ca="1" si="270"/>
        <v>12.331243016055048</v>
      </c>
      <c r="S2377" s="38">
        <f t="shared" ca="1" si="271"/>
        <v>742.50000000000011</v>
      </c>
    </row>
    <row r="2378" spans="13:19">
      <c r="M2378" s="132">
        <f t="shared" ca="1" si="268"/>
        <v>755.14665731864113</v>
      </c>
      <c r="N2378" s="38">
        <f t="shared" si="269"/>
        <v>22.284375000000001</v>
      </c>
      <c r="O2378" s="36">
        <f t="shared" si="267"/>
        <v>594.25</v>
      </c>
      <c r="P2378" s="38">
        <f ca="1">IF(ISERROR(IF(O2378&lt;fi_h/20,0,(OFFSET('Base de dados'!$A$5,IF(O2378&lt;20,1,IF(O2378&gt;1000,10,MATCH(O2378,Cargas,1))),Coluna_fih,1,1))*(1+0.13*0.25)*(PI()*(fi_h/1000)^2/4)*SQRT(2*9.81*(O2378/100-fi_h/2/1000))*1000)),"",IF(O2378&lt;fi_h/20,0,(OFFSET('Base de dados'!$A$5,IF(O2378&lt;20,1,IF(O2378&gt;1000,10,MATCH(O2378,Cargas,1))),Coluna_fih,1,1))*(PI()*(fi_h/1000)^2/4)*SQRT(2*9.81*(O2378/100-fi_h/2/1000))*1000))</f>
        <v>6.5156361232050619</v>
      </c>
      <c r="Q2378" s="38">
        <f ca="1">IF(O2378="","",IF(Tipo_Vertedor="Retangular",IF(O2378&lt;=cota_s*100,0,IF(Tipo_Vertedor="Retangular",Cd_sr*Lef_sr*((O2378/100-cota_s)^(3/2))*1000)),IF(O2378&lt;=cota_s*100+fi_s/20,0,(OFFSET('Base de dados'!$A$4,IF(O2378&lt;20,1,IF(O2378&gt;1000,10,MATCH(O2378,Cargas,1))),Coluna_fis,1,1))*(PI()*(fi_s/1000)^2/4)*(2*9.81*(O2378/100-cota_s-fi_s/2/1000))^0.5*1000)))</f>
        <v>5.8185211954360447</v>
      </c>
      <c r="R2378" s="38">
        <f t="shared" ca="1" si="270"/>
        <v>12.334157318641108</v>
      </c>
      <c r="S2378" s="38">
        <f t="shared" ca="1" si="271"/>
        <v>742.8125</v>
      </c>
    </row>
    <row r="2379" spans="13:19">
      <c r="M2379" s="132">
        <f t="shared" ca="1" si="268"/>
        <v>755.4620709239789</v>
      </c>
      <c r="N2379" s="38">
        <f t="shared" si="269"/>
        <v>22.293750000000003</v>
      </c>
      <c r="O2379" s="36">
        <f t="shared" si="267"/>
        <v>594.5</v>
      </c>
      <c r="P2379" s="38">
        <f ca="1">IF(ISERROR(IF(O2379&lt;fi_h/20,0,(OFFSET('Base de dados'!$A$5,IF(O2379&lt;20,1,IF(O2379&gt;1000,10,MATCH(O2379,Cargas,1))),Coluna_fih,1,1))*(1+0.13*0.25)*(PI()*(fi_h/1000)^2/4)*SQRT(2*9.81*(O2379/100-fi_h/2/1000))*1000)),"",IF(O2379&lt;fi_h/20,0,(OFFSET('Base de dados'!$A$5,IF(O2379&lt;20,1,IF(O2379&gt;1000,10,MATCH(O2379,Cargas,1))),Coluna_fih,1,1))*(PI()*(fi_h/1000)^2/4)*SQRT(2*9.81*(O2379/100-fi_h/2/1000))*1000))</f>
        <v>6.51701060820759</v>
      </c>
      <c r="Q2379" s="38">
        <f ca="1">IF(O2379="","",IF(Tipo_Vertedor="Retangular",IF(O2379&lt;=cota_s*100,0,IF(Tipo_Vertedor="Retangular",Cd_sr*Lef_sr*((O2379/100-cota_s)^(3/2))*1000)),IF(O2379&lt;=cota_s*100+fi_s/20,0,(OFFSET('Base de dados'!$A$4,IF(O2379&lt;20,1,IF(O2379&gt;1000,10,MATCH(O2379,Cargas,1))),Coluna_fis,1,1))*(PI()*(fi_s/1000)^2/4)*(2*9.81*(O2379/100-cota_s-fi_s/2/1000))^0.5*1000)))</f>
        <v>5.8200603157711415</v>
      </c>
      <c r="R2379" s="38">
        <f t="shared" ca="1" si="270"/>
        <v>12.337070923978732</v>
      </c>
      <c r="S2379" s="38">
        <f t="shared" ca="1" si="271"/>
        <v>743.12500000000011</v>
      </c>
    </row>
    <row r="2380" spans="13:19">
      <c r="M2380" s="132">
        <f t="shared" ca="1" si="268"/>
        <v>755.77748383257426</v>
      </c>
      <c r="N2380" s="38">
        <f t="shared" si="269"/>
        <v>22.303124999999998</v>
      </c>
      <c r="O2380" s="36">
        <f t="shared" si="267"/>
        <v>594.75</v>
      </c>
      <c r="P2380" s="38">
        <f ca="1">IF(ISERROR(IF(O2380&lt;fi_h/20,0,(OFFSET('Base de dados'!$A$5,IF(O2380&lt;20,1,IF(O2380&gt;1000,10,MATCH(O2380,Cargas,1))),Coluna_fih,1,1))*(1+0.13*0.25)*(PI()*(fi_h/1000)^2/4)*SQRT(2*9.81*(O2380/100-fi_h/2/1000))*1000)),"",IF(O2380&lt;fi_h/20,0,(OFFSET('Base de dados'!$A$5,IF(O2380&lt;20,1,IF(O2380&gt;1000,10,MATCH(O2380,Cargas,1))),Coluna_fih,1,1))*(PI()*(fi_h/1000)^2/4)*SQRT(2*9.81*(O2380/100-fi_h/2/1000))*1000))</f>
        <v>6.5183848033823413</v>
      </c>
      <c r="Q2380" s="38">
        <f ca="1">IF(O2380="","",IF(Tipo_Vertedor="Retangular",IF(O2380&lt;=cota_s*100,0,IF(Tipo_Vertedor="Retangular",Cd_sr*Lef_sr*((O2380/100-cota_s)^(3/2))*1000)),IF(O2380&lt;=cota_s*100+fi_s/20,0,(OFFSET('Base de dados'!$A$4,IF(O2380&lt;20,1,IF(O2380&gt;1000,10,MATCH(O2380,Cargas,1))),Coluna_fis,1,1))*(PI()*(fi_s/1000)^2/4)*(2*9.81*(O2380/100-cota_s-fi_s/2/1000))^0.5*1000)))</f>
        <v>5.8215990291920345</v>
      </c>
      <c r="R2380" s="38">
        <f t="shared" ca="1" si="270"/>
        <v>12.339983832574376</v>
      </c>
      <c r="S2380" s="38">
        <f t="shared" ca="1" si="271"/>
        <v>743.43749999999989</v>
      </c>
    </row>
    <row r="2381" spans="13:19">
      <c r="M2381" s="132">
        <f t="shared" ca="1" si="268"/>
        <v>756.09289604493392</v>
      </c>
      <c r="N2381" s="38">
        <f t="shared" si="269"/>
        <v>22.3125</v>
      </c>
      <c r="O2381" s="36">
        <f t="shared" si="267"/>
        <v>595</v>
      </c>
      <c r="P2381" s="38">
        <f ca="1">IF(ISERROR(IF(O2381&lt;fi_h/20,0,(OFFSET('Base de dados'!$A$5,IF(O2381&lt;20,1,IF(O2381&gt;1000,10,MATCH(O2381,Cargas,1))),Coluna_fih,1,1))*(1+0.13*0.25)*(PI()*(fi_h/1000)^2/4)*SQRT(2*9.81*(O2381/100-fi_h/2/1000))*1000)),"",IF(O2381&lt;fi_h/20,0,(OFFSET('Base de dados'!$A$5,IF(O2381&lt;20,1,IF(O2381&gt;1000,10,MATCH(O2381,Cargas,1))),Coluna_fih,1,1))*(PI()*(fi_h/1000)^2/4)*SQRT(2*9.81*(O2381/100-fi_h/2/1000))*1000))</f>
        <v>6.5197587089125797</v>
      </c>
      <c r="Q2381" s="38">
        <f ca="1">IF(O2381="","",IF(Tipo_Vertedor="Retangular",IF(O2381&lt;=cota_s*100,0,IF(Tipo_Vertedor="Retangular",Cd_sr*Lef_sr*((O2381/100-cota_s)^(3/2))*1000)),IF(O2381&lt;=cota_s*100+fi_s/20,0,(OFFSET('Base de dados'!$A$4,IF(O2381&lt;20,1,IF(O2381&gt;1000,10,MATCH(O2381,Cargas,1))),Coluna_fis,1,1))*(PI()*(fi_s/1000)^2/4)*(2*9.81*(O2381/100-cota_s-fi_s/2/1000))^0.5*1000)))</f>
        <v>5.8231373360212988</v>
      </c>
      <c r="R2381" s="38">
        <f t="shared" ca="1" si="270"/>
        <v>12.342896044933878</v>
      </c>
      <c r="S2381" s="38">
        <f t="shared" ca="1" si="271"/>
        <v>743.75</v>
      </c>
    </row>
    <row r="2382" spans="13:19">
      <c r="M2382" s="132">
        <f t="shared" ca="1" si="268"/>
        <v>756.40830756156242</v>
      </c>
      <c r="N2382" s="38">
        <f t="shared" si="269"/>
        <v>22.321874999999999</v>
      </c>
      <c r="O2382" s="36">
        <f t="shared" si="267"/>
        <v>595.25</v>
      </c>
      <c r="P2382" s="38">
        <f ca="1">IF(ISERROR(IF(O2382&lt;fi_h/20,0,(OFFSET('Base de dados'!$A$5,IF(O2382&lt;20,1,IF(O2382&gt;1000,10,MATCH(O2382,Cargas,1))),Coluna_fih,1,1))*(1+0.13*0.25)*(PI()*(fi_h/1000)^2/4)*SQRT(2*9.81*(O2382/100-fi_h/2/1000))*1000)),"",IF(O2382&lt;fi_h/20,0,(OFFSET('Base de dados'!$A$5,IF(O2382&lt;20,1,IF(O2382&gt;1000,10,MATCH(O2382,Cargas,1))),Coluna_fih,1,1))*(PI()*(fi_h/1000)^2/4)*SQRT(2*9.81*(O2382/100-fi_h/2/1000))*1000))</f>
        <v>6.5211323249813749</v>
      </c>
      <c r="Q2382" s="38">
        <f ca="1">IF(O2382="","",IF(Tipo_Vertedor="Retangular",IF(O2382&lt;=cota_s*100,0,IF(Tipo_Vertedor="Retangular",Cd_sr*Lef_sr*((O2382/100-cota_s)^(3/2))*1000)),IF(O2382&lt;=cota_s*100+fi_s/20,0,(OFFSET('Base de dados'!$A$4,IF(O2382&lt;20,1,IF(O2382&gt;1000,10,MATCH(O2382,Cargas,1))),Coluna_fis,1,1))*(PI()*(fi_s/1000)^2/4)*(2*9.81*(O2382/100-cota_s-fi_s/2/1000))^0.5*1000)))</f>
        <v>5.8246752365810748</v>
      </c>
      <c r="R2382" s="38">
        <f t="shared" ca="1" si="270"/>
        <v>12.345807561562449</v>
      </c>
      <c r="S2382" s="38">
        <f t="shared" ca="1" si="271"/>
        <v>744.0625</v>
      </c>
    </row>
    <row r="2383" spans="13:19">
      <c r="M2383" s="132">
        <f t="shared" ca="1" si="268"/>
        <v>756.72371838296465</v>
      </c>
      <c r="N2383" s="38">
        <f t="shared" si="269"/>
        <v>22.331250000000001</v>
      </c>
      <c r="O2383" s="36">
        <f t="shared" si="267"/>
        <v>595.5</v>
      </c>
      <c r="P2383" s="38">
        <f ca="1">IF(ISERROR(IF(O2383&lt;fi_h/20,0,(OFFSET('Base de dados'!$A$5,IF(O2383&lt;20,1,IF(O2383&gt;1000,10,MATCH(O2383,Cargas,1))),Coluna_fih,1,1))*(1+0.13*0.25)*(PI()*(fi_h/1000)^2/4)*SQRT(2*9.81*(O2383/100-fi_h/2/1000))*1000)),"",IF(O2383&lt;fi_h/20,0,(OFFSET('Base de dados'!$A$5,IF(O2383&lt;20,1,IF(O2383&gt;1000,10,MATCH(O2383,Cargas,1))),Coluna_fih,1,1))*(PI()*(fi_h/1000)^2/4)*SQRT(2*9.81*(O2383/100-fi_h/2/1000))*1000))</f>
        <v>6.5225056517716089</v>
      </c>
      <c r="Q2383" s="38">
        <f ca="1">IF(O2383="","",IF(Tipo_Vertedor="Retangular",IF(O2383&lt;=cota_s*100,0,IF(Tipo_Vertedor="Retangular",Cd_sr*Lef_sr*((O2383/100-cota_s)^(3/2))*1000)),IF(O2383&lt;=cota_s*100+fi_s/20,0,(OFFSET('Base de dados'!$A$4,IF(O2383&lt;20,1,IF(O2383&gt;1000,10,MATCH(O2383,Cargas,1))),Coluna_fis,1,1))*(PI()*(fi_s/1000)^2/4)*(2*9.81*(O2383/100-cota_s-fi_s/2/1000))^0.5*1000)))</f>
        <v>5.8262127311930838</v>
      </c>
      <c r="R2383" s="38">
        <f t="shared" ca="1" si="270"/>
        <v>12.348718382964693</v>
      </c>
      <c r="S2383" s="38">
        <f t="shared" ca="1" si="271"/>
        <v>744.375</v>
      </c>
    </row>
    <row r="2384" spans="13:19">
      <c r="M2384" s="132">
        <f t="shared" ca="1" si="268"/>
        <v>757.03912850964457</v>
      </c>
      <c r="N2384" s="38">
        <f t="shared" si="269"/>
        <v>22.340624999999999</v>
      </c>
      <c r="O2384" s="36">
        <f t="shared" si="267"/>
        <v>595.75</v>
      </c>
      <c r="P2384" s="38">
        <f ca="1">IF(ISERROR(IF(O2384&lt;fi_h/20,0,(OFFSET('Base de dados'!$A$5,IF(O2384&lt;20,1,IF(O2384&gt;1000,10,MATCH(O2384,Cargas,1))),Coluna_fih,1,1))*(1+0.13*0.25)*(PI()*(fi_h/1000)^2/4)*SQRT(2*9.81*(O2384/100-fi_h/2/1000))*1000)),"",IF(O2384&lt;fi_h/20,0,(OFFSET('Base de dados'!$A$5,IF(O2384&lt;20,1,IF(O2384&gt;1000,10,MATCH(O2384,Cargas,1))),Coluna_fih,1,1))*(PI()*(fi_h/1000)^2/4)*SQRT(2*9.81*(O2384/100-fi_h/2/1000))*1000))</f>
        <v>6.5238786894659642</v>
      </c>
      <c r="Q2384" s="38">
        <f ca="1">IF(O2384="","",IF(Tipo_Vertedor="Retangular",IF(O2384&lt;=cota_s*100,0,IF(Tipo_Vertedor="Retangular",Cd_sr*Lef_sr*((O2384/100-cota_s)^(3/2))*1000)),IF(O2384&lt;=cota_s*100+fi_s/20,0,(OFFSET('Base de dados'!$A$4,IF(O2384&lt;20,1,IF(O2384&gt;1000,10,MATCH(O2384,Cargas,1))),Coluna_fis,1,1))*(PI()*(fi_s/1000)^2/4)*(2*9.81*(O2384/100-cota_s-fi_s/2/1000))^0.5*1000)))</f>
        <v>5.8277498201786209</v>
      </c>
      <c r="R2384" s="38">
        <f t="shared" ca="1" si="270"/>
        <v>12.351628509644584</v>
      </c>
      <c r="S2384" s="38">
        <f t="shared" ca="1" si="271"/>
        <v>744.6875</v>
      </c>
    </row>
    <row r="2385" spans="13:19">
      <c r="M2385" s="132">
        <f t="shared" ca="1" si="268"/>
        <v>757.35453794210548</v>
      </c>
      <c r="N2385" s="38">
        <f t="shared" si="269"/>
        <v>22.35</v>
      </c>
      <c r="O2385" s="36">
        <f t="shared" si="267"/>
        <v>596</v>
      </c>
      <c r="P2385" s="38">
        <f ca="1">IF(ISERROR(IF(O2385&lt;fi_h/20,0,(OFFSET('Base de dados'!$A$5,IF(O2385&lt;20,1,IF(O2385&gt;1000,10,MATCH(O2385,Cargas,1))),Coluna_fih,1,1))*(1+0.13*0.25)*(PI()*(fi_h/1000)^2/4)*SQRT(2*9.81*(O2385/100-fi_h/2/1000))*1000)),"",IF(O2385&lt;fi_h/20,0,(OFFSET('Base de dados'!$A$5,IF(O2385&lt;20,1,IF(O2385&gt;1000,10,MATCH(O2385,Cargas,1))),Coluna_fih,1,1))*(PI()*(fi_h/1000)^2/4)*SQRT(2*9.81*(O2385/100-fi_h/2/1000))*1000))</f>
        <v>6.5252514382469373</v>
      </c>
      <c r="Q2385" s="38">
        <f ca="1">IF(O2385="","",IF(Tipo_Vertedor="Retangular",IF(O2385&lt;=cota_s*100,0,IF(Tipo_Vertedor="Retangular",Cd_sr*Lef_sr*((O2385/100-cota_s)^(3/2))*1000)),IF(O2385&lt;=cota_s*100+fi_s/20,0,(OFFSET('Base de dados'!$A$4,IF(O2385&lt;20,1,IF(O2385&gt;1000,10,MATCH(O2385,Cargas,1))),Coluna_fis,1,1))*(PI()*(fi_s/1000)^2/4)*(2*9.81*(O2385/100-cota_s-fi_s/2/1000))^0.5*1000)))</f>
        <v>5.8292865038585564</v>
      </c>
      <c r="R2385" s="38">
        <f t="shared" ca="1" si="270"/>
        <v>12.354537942105495</v>
      </c>
      <c r="S2385" s="38">
        <f t="shared" ca="1" si="271"/>
        <v>745</v>
      </c>
    </row>
    <row r="2386" spans="13:19">
      <c r="M2386" s="132">
        <f t="shared" ca="1" si="268"/>
        <v>757.66994668085022</v>
      </c>
      <c r="N2386" s="38">
        <f t="shared" si="269"/>
        <v>22.359375</v>
      </c>
      <c r="O2386" s="36">
        <f t="shared" si="267"/>
        <v>596.25</v>
      </c>
      <c r="P2386" s="38">
        <f ca="1">IF(ISERROR(IF(O2386&lt;fi_h/20,0,(OFFSET('Base de dados'!$A$5,IF(O2386&lt;20,1,IF(O2386&gt;1000,10,MATCH(O2386,Cargas,1))),Coluna_fih,1,1))*(1+0.13*0.25)*(PI()*(fi_h/1000)^2/4)*SQRT(2*9.81*(O2386/100-fi_h/2/1000))*1000)),"",IF(O2386&lt;fi_h/20,0,(OFFSET('Base de dados'!$A$5,IF(O2386&lt;20,1,IF(O2386&gt;1000,10,MATCH(O2386,Cargas,1))),Coluna_fih,1,1))*(PI()*(fi_h/1000)^2/4)*SQRT(2*9.81*(O2386/100-fi_h/2/1000))*1000))</f>
        <v>6.5266238982968288</v>
      </c>
      <c r="Q2386" s="38">
        <f ca="1">IF(O2386="","",IF(Tipo_Vertedor="Retangular",IF(O2386&lt;=cota_s*100,0,IF(Tipo_Vertedor="Retangular",Cd_sr*Lef_sr*((O2386/100-cota_s)^(3/2))*1000)),IF(O2386&lt;=cota_s*100+fi_s/20,0,(OFFSET('Base de dados'!$A$4,IF(O2386&lt;20,1,IF(O2386&gt;1000,10,MATCH(O2386,Cargas,1))),Coluna_fis,1,1))*(PI()*(fi_s/1000)^2/4)*(2*9.81*(O2386/100-cota_s-fi_s/2/1000))^0.5*1000)))</f>
        <v>5.8308227825533416</v>
      </c>
      <c r="R2386" s="38">
        <f t="shared" ca="1" si="270"/>
        <v>12.35744668085017</v>
      </c>
      <c r="S2386" s="38">
        <f t="shared" ca="1" si="271"/>
        <v>745.3125</v>
      </c>
    </row>
    <row r="2387" spans="13:19">
      <c r="M2387" s="132">
        <f t="shared" ca="1" si="268"/>
        <v>757.98535472638071</v>
      </c>
      <c r="N2387" s="38">
        <f t="shared" si="269"/>
        <v>22.368749999999999</v>
      </c>
      <c r="O2387" s="36">
        <f t="shared" ref="O2387:O2450" si="272">IF(ISERROR(IF(O2386+passo_altura&gt;h_max_puls*100,"",O2386+passo_altura)),"",IF(O2386+passo_altura&gt;h_max_puls*100,"",O2386+passo_altura))</f>
        <v>596.5</v>
      </c>
      <c r="P2387" s="38">
        <f ca="1">IF(ISERROR(IF(O2387&lt;fi_h/20,0,(OFFSET('Base de dados'!$A$5,IF(O2387&lt;20,1,IF(O2387&gt;1000,10,MATCH(O2387,Cargas,1))),Coluna_fih,1,1))*(1+0.13*0.25)*(PI()*(fi_h/1000)^2/4)*SQRT(2*9.81*(O2387/100-fi_h/2/1000))*1000)),"",IF(O2387&lt;fi_h/20,0,(OFFSET('Base de dados'!$A$5,IF(O2387&lt;20,1,IF(O2387&gt;1000,10,MATCH(O2387,Cargas,1))),Coluna_fih,1,1))*(PI()*(fi_h/1000)^2/4)*SQRT(2*9.81*(O2387/100-fi_h/2/1000))*1000))</f>
        <v>6.5279960697977506</v>
      </c>
      <c r="Q2387" s="38">
        <f ca="1">IF(O2387="","",IF(Tipo_Vertedor="Retangular",IF(O2387&lt;=cota_s*100,0,IF(Tipo_Vertedor="Retangular",Cd_sr*Lef_sr*((O2387/100-cota_s)^(3/2))*1000)),IF(O2387&lt;=cota_s*100+fi_s/20,0,(OFFSET('Base de dados'!$A$4,IF(O2387&lt;20,1,IF(O2387&gt;1000,10,MATCH(O2387,Cargas,1))),Coluna_fis,1,1))*(PI()*(fi_s/1000)^2/4)*(2*9.81*(O2387/100-cota_s-fi_s/2/1000))^0.5*1000)))</f>
        <v>5.8323586565830015</v>
      </c>
      <c r="R2387" s="38">
        <f t="shared" ca="1" si="270"/>
        <v>12.360354726380752</v>
      </c>
      <c r="S2387" s="38">
        <f t="shared" ca="1" si="271"/>
        <v>745.625</v>
      </c>
    </row>
    <row r="2388" spans="13:19">
      <c r="M2388" s="132">
        <f t="shared" ca="1" si="268"/>
        <v>758.30076207919876</v>
      </c>
      <c r="N2388" s="38">
        <f t="shared" si="269"/>
        <v>22.378125000000001</v>
      </c>
      <c r="O2388" s="36">
        <f t="shared" si="272"/>
        <v>596.75</v>
      </c>
      <c r="P2388" s="38">
        <f ca="1">IF(ISERROR(IF(O2388&lt;fi_h/20,0,(OFFSET('Base de dados'!$A$5,IF(O2388&lt;20,1,IF(O2388&gt;1000,10,MATCH(O2388,Cargas,1))),Coluna_fih,1,1))*(1+0.13*0.25)*(PI()*(fi_h/1000)^2/4)*SQRT(2*9.81*(O2388/100-fi_h/2/1000))*1000)),"",IF(O2388&lt;fi_h/20,0,(OFFSET('Base de dados'!$A$5,IF(O2388&lt;20,1,IF(O2388&gt;1000,10,MATCH(O2388,Cargas,1))),Coluna_fih,1,1))*(PI()*(fi_h/1000)^2/4)*SQRT(2*9.81*(O2388/100-fi_h/2/1000))*1000))</f>
        <v>6.5293679529316195</v>
      </c>
      <c r="Q2388" s="38">
        <f ca="1">IF(O2388="","",IF(Tipo_Vertedor="Retangular",IF(O2388&lt;=cota_s*100,0,IF(Tipo_Vertedor="Retangular",Cd_sr*Lef_sr*((O2388/100-cota_s)^(3/2))*1000)),IF(O2388&lt;=cota_s*100+fi_s/20,0,(OFFSET('Base de dados'!$A$4,IF(O2388&lt;20,1,IF(O2388&gt;1000,10,MATCH(O2388,Cargas,1))),Coluna_fis,1,1))*(PI()*(fi_s/1000)^2/4)*(2*9.81*(O2388/100-cota_s-fi_s/2/1000))^0.5*1000)))</f>
        <v>5.8338941262671415</v>
      </c>
      <c r="R2388" s="38">
        <f t="shared" ca="1" si="270"/>
        <v>12.363262079198762</v>
      </c>
      <c r="S2388" s="38">
        <f t="shared" ca="1" si="271"/>
        <v>745.9375</v>
      </c>
    </row>
    <row r="2389" spans="13:19">
      <c r="M2389" s="132">
        <f t="shared" ca="1" si="268"/>
        <v>758.61616873980506</v>
      </c>
      <c r="N2389" s="38">
        <f t="shared" si="269"/>
        <v>22.387499999999999</v>
      </c>
      <c r="O2389" s="36">
        <f t="shared" si="272"/>
        <v>597</v>
      </c>
      <c r="P2389" s="38">
        <f ca="1">IF(ISERROR(IF(O2389&lt;fi_h/20,0,(OFFSET('Base de dados'!$A$5,IF(O2389&lt;20,1,IF(O2389&gt;1000,10,MATCH(O2389,Cargas,1))),Coluna_fih,1,1))*(1+0.13*0.25)*(PI()*(fi_h/1000)^2/4)*SQRT(2*9.81*(O2389/100-fi_h/2/1000))*1000)),"",IF(O2389&lt;fi_h/20,0,(OFFSET('Base de dados'!$A$5,IF(O2389&lt;20,1,IF(O2389&gt;1000,10,MATCH(O2389,Cargas,1))),Coluna_fih,1,1))*(PI()*(fi_h/1000)^2/4)*SQRT(2*9.81*(O2389/100-fi_h/2/1000))*1000))</f>
        <v>6.5307395478801649</v>
      </c>
      <c r="Q2389" s="38">
        <f ca="1">IF(O2389="","",IF(Tipo_Vertedor="Retangular",IF(O2389&lt;=cota_s*100,0,IF(Tipo_Vertedor="Retangular",Cd_sr*Lef_sr*((O2389/100-cota_s)^(3/2))*1000)),IF(O2389&lt;=cota_s*100+fi_s/20,0,(OFFSET('Base de dados'!$A$4,IF(O2389&lt;20,1,IF(O2389&gt;1000,10,MATCH(O2389,Cargas,1))),Coluna_fis,1,1))*(PI()*(fi_s/1000)^2/4)*(2*9.81*(O2389/100-cota_s-fi_s/2/1000))^0.5*1000)))</f>
        <v>5.8354291919249448</v>
      </c>
      <c r="R2389" s="38">
        <f t="shared" ca="1" si="270"/>
        <v>12.36616873980511</v>
      </c>
      <c r="S2389" s="38">
        <f t="shared" ca="1" si="271"/>
        <v>746.25</v>
      </c>
    </row>
    <row r="2390" spans="13:19">
      <c r="M2390" s="132">
        <f t="shared" ca="1" si="268"/>
        <v>758.93157470870005</v>
      </c>
      <c r="N2390" s="38">
        <f t="shared" si="269"/>
        <v>22.396875000000001</v>
      </c>
      <c r="O2390" s="36">
        <f t="shared" si="272"/>
        <v>597.25</v>
      </c>
      <c r="P2390" s="38">
        <f ca="1">IF(ISERROR(IF(O2390&lt;fi_h/20,0,(OFFSET('Base de dados'!$A$5,IF(O2390&lt;20,1,IF(O2390&gt;1000,10,MATCH(O2390,Cargas,1))),Coluna_fih,1,1))*(1+0.13*0.25)*(PI()*(fi_h/1000)^2/4)*SQRT(2*9.81*(O2390/100-fi_h/2/1000))*1000)),"",IF(O2390&lt;fi_h/20,0,(OFFSET('Base de dados'!$A$5,IF(O2390&lt;20,1,IF(O2390&gt;1000,10,MATCH(O2390,Cargas,1))),Coluna_fih,1,1))*(PI()*(fi_h/1000)^2/4)*SQRT(2*9.81*(O2390/100-fi_h/2/1000))*1000))</f>
        <v>6.5321108548249232</v>
      </c>
      <c r="Q2390" s="38">
        <f ca="1">IF(O2390="","",IF(Tipo_Vertedor="Retangular",IF(O2390&lt;=cota_s*100,0,IF(Tipo_Vertedor="Retangular",Cd_sr*Lef_sr*((O2390/100-cota_s)^(3/2))*1000)),IF(O2390&lt;=cota_s*100+fi_s/20,0,(OFFSET('Base de dados'!$A$4,IF(O2390&lt;20,1,IF(O2390&gt;1000,10,MATCH(O2390,Cargas,1))),Coluna_fis,1,1))*(PI()*(fi_s/1000)^2/4)*(2*9.81*(O2390/100-cota_s-fi_s/2/1000))^0.5*1000)))</f>
        <v>5.8369638538751802</v>
      </c>
      <c r="R2390" s="38">
        <f t="shared" ca="1" si="270"/>
        <v>12.369074708700104</v>
      </c>
      <c r="S2390" s="38">
        <f t="shared" ca="1" si="271"/>
        <v>746.5625</v>
      </c>
    </row>
    <row r="2391" spans="13:19">
      <c r="M2391" s="132">
        <f t="shared" ref="M2391:M2454" ca="1" si="273">IF(O2391="","",2*N2391*1000/(Passo*60)+R2391)</f>
        <v>759.24697998638339</v>
      </c>
      <c r="N2391" s="38">
        <f t="shared" ref="N2391:N2454" si="274">IF(O2391="","",b_0*(O2391/100)^c_0)</f>
        <v>22.40625</v>
      </c>
      <c r="O2391" s="36">
        <f t="shared" si="272"/>
        <v>597.5</v>
      </c>
      <c r="P2391" s="38">
        <f ca="1">IF(ISERROR(IF(O2391&lt;fi_h/20,0,(OFFSET('Base de dados'!$A$5,IF(O2391&lt;20,1,IF(O2391&gt;1000,10,MATCH(O2391,Cargas,1))),Coluna_fih,1,1))*(1+0.13*0.25)*(PI()*(fi_h/1000)^2/4)*SQRT(2*9.81*(O2391/100-fi_h/2/1000))*1000)),"",IF(O2391&lt;fi_h/20,0,(OFFSET('Base de dados'!$A$5,IF(O2391&lt;20,1,IF(O2391&gt;1000,10,MATCH(O2391,Cargas,1))),Coluna_fih,1,1))*(PI()*(fi_h/1000)^2/4)*SQRT(2*9.81*(O2391/100-fi_h/2/1000))*1000))</f>
        <v>6.5334818739472427</v>
      </c>
      <c r="Q2391" s="38">
        <f ca="1">IF(O2391="","",IF(Tipo_Vertedor="Retangular",IF(O2391&lt;=cota_s*100,0,IF(Tipo_Vertedor="Retangular",Cd_sr*Lef_sr*((O2391/100-cota_s)^(3/2))*1000)),IF(O2391&lt;=cota_s*100+fi_s/20,0,(OFFSET('Base de dados'!$A$4,IF(O2391&lt;20,1,IF(O2391&gt;1000,10,MATCH(O2391,Cargas,1))),Coluna_fis,1,1))*(PI()*(fi_s/1000)^2/4)*(2*9.81*(O2391/100-cota_s-fi_s/2/1000))^0.5*1000)))</f>
        <v>5.8384981124361914</v>
      </c>
      <c r="R2391" s="38">
        <f t="shared" ref="R2391:R2454" ca="1" si="275">IF(O2391="","",Q2391+P2391)</f>
        <v>12.371979986383433</v>
      </c>
      <c r="S2391" s="38">
        <f t="shared" ref="S2391:S2454" ca="1" si="276">IF(M2391="","",2*N2391*1000/(Passo*60))</f>
        <v>746.875</v>
      </c>
    </row>
    <row r="2392" spans="13:19">
      <c r="M2392" s="132">
        <f t="shared" ca="1" si="273"/>
        <v>759.56238457335417</v>
      </c>
      <c r="N2392" s="38">
        <f t="shared" si="274"/>
        <v>22.415624999999999</v>
      </c>
      <c r="O2392" s="36">
        <f t="shared" si="272"/>
        <v>597.75</v>
      </c>
      <c r="P2392" s="38">
        <f ca="1">IF(ISERROR(IF(O2392&lt;fi_h/20,0,(OFFSET('Base de dados'!$A$5,IF(O2392&lt;20,1,IF(O2392&gt;1000,10,MATCH(O2392,Cargas,1))),Coluna_fih,1,1))*(1+0.13*0.25)*(PI()*(fi_h/1000)^2/4)*SQRT(2*9.81*(O2392/100-fi_h/2/1000))*1000)),"",IF(O2392&lt;fi_h/20,0,(OFFSET('Base de dados'!$A$5,IF(O2392&lt;20,1,IF(O2392&gt;1000,10,MATCH(O2392,Cargas,1))),Coluna_fih,1,1))*(PI()*(fi_h/1000)^2/4)*SQRT(2*9.81*(O2392/100-fi_h/2/1000))*1000))</f>
        <v>6.5348526054282772</v>
      </c>
      <c r="Q2392" s="38">
        <f ca="1">IF(O2392="","",IF(Tipo_Vertedor="Retangular",IF(O2392&lt;=cota_s*100,0,IF(Tipo_Vertedor="Retangular",Cd_sr*Lef_sr*((O2392/100-cota_s)^(3/2))*1000)),IF(O2392&lt;=cota_s*100+fi_s/20,0,(OFFSET('Base de dados'!$A$4,IF(O2392&lt;20,1,IF(O2392&gt;1000,10,MATCH(O2392,Cargas,1))),Coluna_fis,1,1))*(PI()*(fi_s/1000)^2/4)*(2*9.81*(O2392/100-cota_s-fi_s/2/1000))^0.5*1000)))</f>
        <v>5.840031967925909</v>
      </c>
      <c r="R2392" s="38">
        <f t="shared" ca="1" si="275"/>
        <v>12.374884573354187</v>
      </c>
      <c r="S2392" s="38">
        <f t="shared" ca="1" si="276"/>
        <v>747.1875</v>
      </c>
    </row>
    <row r="2393" spans="13:19">
      <c r="M2393" s="132">
        <f t="shared" ca="1" si="273"/>
        <v>759.87778847011089</v>
      </c>
      <c r="N2393" s="38">
        <f t="shared" si="274"/>
        <v>22.425000000000001</v>
      </c>
      <c r="O2393" s="36">
        <f t="shared" si="272"/>
        <v>598</v>
      </c>
      <c r="P2393" s="38">
        <f ca="1">IF(ISERROR(IF(O2393&lt;fi_h/20,0,(OFFSET('Base de dados'!$A$5,IF(O2393&lt;20,1,IF(O2393&gt;1000,10,MATCH(O2393,Cargas,1))),Coluna_fih,1,1))*(1+0.13*0.25)*(PI()*(fi_h/1000)^2/4)*SQRT(2*9.81*(O2393/100-fi_h/2/1000))*1000)),"",IF(O2393&lt;fi_h/20,0,(OFFSET('Base de dados'!$A$5,IF(O2393&lt;20,1,IF(O2393&gt;1000,10,MATCH(O2393,Cargas,1))),Coluna_fih,1,1))*(PI()*(fi_h/1000)^2/4)*SQRT(2*9.81*(O2393/100-fi_h/2/1000))*1000))</f>
        <v>6.5362230494489948</v>
      </c>
      <c r="Q2393" s="38">
        <f ca="1">IF(O2393="","",IF(Tipo_Vertedor="Retangular",IF(O2393&lt;=cota_s*100,0,IF(Tipo_Vertedor="Retangular",Cd_sr*Lef_sr*((O2393/100-cota_s)^(3/2))*1000)),IF(O2393&lt;=cota_s*100+fi_s/20,0,(OFFSET('Base de dados'!$A$4,IF(O2393&lt;20,1,IF(O2393&gt;1000,10,MATCH(O2393,Cargas,1))),Coluna_fis,1,1))*(PI()*(fi_s/1000)^2/4)*(2*9.81*(O2393/100-cota_s-fi_s/2/1000))^0.5*1000)))</f>
        <v>5.8415654206618397</v>
      </c>
      <c r="R2393" s="38">
        <f t="shared" ca="1" si="275"/>
        <v>12.377788470110834</v>
      </c>
      <c r="S2393" s="38">
        <f t="shared" ca="1" si="276"/>
        <v>747.5</v>
      </c>
    </row>
    <row r="2394" spans="13:19">
      <c r="M2394" s="132">
        <f t="shared" ca="1" si="273"/>
        <v>760.19319167715128</v>
      </c>
      <c r="N2394" s="38">
        <f t="shared" si="274"/>
        <v>22.434374999999999</v>
      </c>
      <c r="O2394" s="36">
        <f t="shared" si="272"/>
        <v>598.25</v>
      </c>
      <c r="P2394" s="38">
        <f ca="1">IF(ISERROR(IF(O2394&lt;fi_h/20,0,(OFFSET('Base de dados'!$A$5,IF(O2394&lt;20,1,IF(O2394&gt;1000,10,MATCH(O2394,Cargas,1))),Coluna_fih,1,1))*(1+0.13*0.25)*(PI()*(fi_h/1000)^2/4)*SQRT(2*9.81*(O2394/100-fi_h/2/1000))*1000)),"",IF(O2394&lt;fi_h/20,0,(OFFSET('Base de dados'!$A$5,IF(O2394&lt;20,1,IF(O2394&gt;1000,10,MATCH(O2394,Cargas,1))),Coluna_fih,1,1))*(PI()*(fi_h/1000)^2/4)*SQRT(2*9.81*(O2394/100-fi_h/2/1000))*1000))</f>
        <v>6.5375932061901727</v>
      </c>
      <c r="Q2394" s="38">
        <f ca="1">IF(O2394="","",IF(Tipo_Vertedor="Retangular",IF(O2394&lt;=cota_s*100,0,IF(Tipo_Vertedor="Retangular",Cd_sr*Lef_sr*((O2394/100-cota_s)^(3/2))*1000)),IF(O2394&lt;=cota_s*100+fi_s/20,0,(OFFSET('Base de dados'!$A$4,IF(O2394&lt;20,1,IF(O2394&gt;1000,10,MATCH(O2394,Cargas,1))),Coluna_fis,1,1))*(PI()*(fi_s/1000)^2/4)*(2*9.81*(O2394/100-cota_s-fi_s/2/1000))^0.5*1000)))</f>
        <v>5.8430984709610794</v>
      </c>
      <c r="R2394" s="38">
        <f t="shared" ca="1" si="275"/>
        <v>12.380691677151251</v>
      </c>
      <c r="S2394" s="38">
        <f t="shared" ca="1" si="276"/>
        <v>747.8125</v>
      </c>
    </row>
    <row r="2395" spans="13:19">
      <c r="M2395" s="132">
        <f t="shared" ca="1" si="273"/>
        <v>760.50859419497272</v>
      </c>
      <c r="N2395" s="38">
        <f t="shared" si="274"/>
        <v>22.443750000000001</v>
      </c>
      <c r="O2395" s="36">
        <f t="shared" si="272"/>
        <v>598.5</v>
      </c>
      <c r="P2395" s="38">
        <f ca="1">IF(ISERROR(IF(O2395&lt;fi_h/20,0,(OFFSET('Base de dados'!$A$5,IF(O2395&lt;20,1,IF(O2395&gt;1000,10,MATCH(O2395,Cargas,1))),Coluna_fih,1,1))*(1+0.13*0.25)*(PI()*(fi_h/1000)^2/4)*SQRT(2*9.81*(O2395/100-fi_h/2/1000))*1000)),"",IF(O2395&lt;fi_h/20,0,(OFFSET('Base de dados'!$A$5,IF(O2395&lt;20,1,IF(O2395&gt;1000,10,MATCH(O2395,Cargas,1))),Coluna_fih,1,1))*(PI()*(fi_h/1000)^2/4)*SQRT(2*9.81*(O2395/100-fi_h/2/1000))*1000))</f>
        <v>6.5389630758323962</v>
      </c>
      <c r="Q2395" s="38">
        <f ca="1">IF(O2395="","",IF(Tipo_Vertedor="Retangular",IF(O2395&lt;=cota_s*100,0,IF(Tipo_Vertedor="Retangular",Cd_sr*Lef_sr*((O2395/100-cota_s)^(3/2))*1000)),IF(O2395&lt;=cota_s*100+fi_s/20,0,(OFFSET('Base de dados'!$A$4,IF(O2395&lt;20,1,IF(O2395&gt;1000,10,MATCH(O2395,Cargas,1))),Coluna_fis,1,1))*(PI()*(fi_s/1000)^2/4)*(2*9.81*(O2395/100-cota_s-fi_s/2/1000))^0.5*1000)))</f>
        <v>5.8446311191403071</v>
      </c>
      <c r="R2395" s="38">
        <f t="shared" ca="1" si="275"/>
        <v>12.383594194972703</v>
      </c>
      <c r="S2395" s="38">
        <f t="shared" ca="1" si="276"/>
        <v>748.125</v>
      </c>
    </row>
    <row r="2396" spans="13:19">
      <c r="M2396" s="132">
        <f t="shared" ca="1" si="273"/>
        <v>760.8239960240719</v>
      </c>
      <c r="N2396" s="38">
        <f t="shared" si="274"/>
        <v>22.453125</v>
      </c>
      <c r="O2396" s="36">
        <f t="shared" si="272"/>
        <v>598.75</v>
      </c>
      <c r="P2396" s="38">
        <f ca="1">IF(ISERROR(IF(O2396&lt;fi_h/20,0,(OFFSET('Base de dados'!$A$5,IF(O2396&lt;20,1,IF(O2396&gt;1000,10,MATCH(O2396,Cargas,1))),Coluna_fih,1,1))*(1+0.13*0.25)*(PI()*(fi_h/1000)^2/4)*SQRT(2*9.81*(O2396/100-fi_h/2/1000))*1000)),"",IF(O2396&lt;fi_h/20,0,(OFFSET('Base de dados'!$A$5,IF(O2396&lt;20,1,IF(O2396&gt;1000,10,MATCH(O2396,Cargas,1))),Coluna_fih,1,1))*(PI()*(fi_h/1000)^2/4)*SQRT(2*9.81*(O2396/100-fi_h/2/1000))*1000))</f>
        <v>6.540332658556065</v>
      </c>
      <c r="Q2396" s="38">
        <f ca="1">IF(O2396="","",IF(Tipo_Vertedor="Retangular",IF(O2396&lt;=cota_s*100,0,IF(Tipo_Vertedor="Retangular",Cd_sr*Lef_sr*((O2396/100-cota_s)^(3/2))*1000)),IF(O2396&lt;=cota_s*100+fi_s/20,0,(OFFSET('Base de dados'!$A$4,IF(O2396&lt;20,1,IF(O2396&gt;1000,10,MATCH(O2396,Cargas,1))),Coluna_fis,1,1))*(PI()*(fi_s/1000)^2/4)*(2*9.81*(O2396/100-cota_s-fi_s/2/1000))^0.5*1000)))</f>
        <v>5.8461633655157854</v>
      </c>
      <c r="R2396" s="38">
        <f t="shared" ca="1" si="275"/>
        <v>12.38649602407185</v>
      </c>
      <c r="S2396" s="38">
        <f t="shared" ca="1" si="276"/>
        <v>748.4375</v>
      </c>
    </row>
    <row r="2397" spans="13:19">
      <c r="M2397" s="132">
        <f t="shared" ca="1" si="273"/>
        <v>761.13939716494485</v>
      </c>
      <c r="N2397" s="38">
        <f t="shared" si="274"/>
        <v>22.462500000000002</v>
      </c>
      <c r="O2397" s="36">
        <f t="shared" si="272"/>
        <v>599</v>
      </c>
      <c r="P2397" s="38">
        <f ca="1">IF(ISERROR(IF(O2397&lt;fi_h/20,0,(OFFSET('Base de dados'!$A$5,IF(O2397&lt;20,1,IF(O2397&gt;1000,10,MATCH(O2397,Cargas,1))),Coluna_fih,1,1))*(1+0.13*0.25)*(PI()*(fi_h/1000)^2/4)*SQRT(2*9.81*(O2397/100-fi_h/2/1000))*1000)),"",IF(O2397&lt;fi_h/20,0,(OFFSET('Base de dados'!$A$5,IF(O2397&lt;20,1,IF(O2397&gt;1000,10,MATCH(O2397,Cargas,1))),Coluna_fih,1,1))*(PI()*(fi_h/1000)^2/4)*SQRT(2*9.81*(O2397/100-fi_h/2/1000))*1000))</f>
        <v>6.5417019545413879</v>
      </c>
      <c r="Q2397" s="38">
        <f ca="1">IF(O2397="","",IF(Tipo_Vertedor="Retangular",IF(O2397&lt;=cota_s*100,0,IF(Tipo_Vertedor="Retangular",Cd_sr*Lef_sr*((O2397/100-cota_s)^(3/2))*1000)),IF(O2397&lt;=cota_s*100+fi_s/20,0,(OFFSET('Base de dados'!$A$4,IF(O2397&lt;20,1,IF(O2397&gt;1000,10,MATCH(O2397,Cargas,1))),Coluna_fis,1,1))*(PI()*(fi_s/1000)^2/4)*(2*9.81*(O2397/100-cota_s-fi_s/2/1000))^0.5*1000)))</f>
        <v>5.8476952104033622</v>
      </c>
      <c r="R2397" s="38">
        <f t="shared" ca="1" si="275"/>
        <v>12.38939716494475</v>
      </c>
      <c r="S2397" s="38">
        <f t="shared" ca="1" si="276"/>
        <v>748.75000000000011</v>
      </c>
    </row>
    <row r="2398" spans="13:19">
      <c r="M2398" s="132">
        <f t="shared" ca="1" si="273"/>
        <v>761.45479761808679</v>
      </c>
      <c r="N2398" s="38">
        <f t="shared" si="274"/>
        <v>22.471874999999997</v>
      </c>
      <c r="O2398" s="36">
        <f t="shared" si="272"/>
        <v>599.25</v>
      </c>
      <c r="P2398" s="38">
        <f ca="1">IF(ISERROR(IF(O2398&lt;fi_h/20,0,(OFFSET('Base de dados'!$A$5,IF(O2398&lt;20,1,IF(O2398&gt;1000,10,MATCH(O2398,Cargas,1))),Coluna_fih,1,1))*(1+0.13*0.25)*(PI()*(fi_h/1000)^2/4)*SQRT(2*9.81*(O2398/100-fi_h/2/1000))*1000)),"",IF(O2398&lt;fi_h/20,0,(OFFSET('Base de dados'!$A$5,IF(O2398&lt;20,1,IF(O2398&gt;1000,10,MATCH(O2398,Cargas,1))),Coluna_fih,1,1))*(PI()*(fi_h/1000)^2/4)*SQRT(2*9.81*(O2398/100-fi_h/2/1000))*1000))</f>
        <v>6.5430709639683871</v>
      </c>
      <c r="Q2398" s="38">
        <f ca="1">IF(O2398="","",IF(Tipo_Vertedor="Retangular",IF(O2398&lt;=cota_s*100,0,IF(Tipo_Vertedor="Retangular",Cd_sr*Lef_sr*((O2398/100-cota_s)^(3/2))*1000)),IF(O2398&lt;=cota_s*100+fi_s/20,0,(OFFSET('Base de dados'!$A$4,IF(O2398&lt;20,1,IF(O2398&gt;1000,10,MATCH(O2398,Cargas,1))),Coluna_fis,1,1))*(PI()*(fi_s/1000)^2/4)*(2*9.81*(O2398/100-cota_s-fi_s/2/1000))^0.5*1000)))</f>
        <v>5.8492266541184739</v>
      </c>
      <c r="R2398" s="38">
        <f t="shared" ca="1" si="275"/>
        <v>12.392297618086861</v>
      </c>
      <c r="S2398" s="38">
        <f t="shared" ca="1" si="276"/>
        <v>749.06249999999989</v>
      </c>
    </row>
    <row r="2399" spans="13:19">
      <c r="M2399" s="132">
        <f t="shared" ca="1" si="273"/>
        <v>761.77019738399304</v>
      </c>
      <c r="N2399" s="38">
        <f t="shared" si="274"/>
        <v>22.481249999999999</v>
      </c>
      <c r="O2399" s="36">
        <f t="shared" si="272"/>
        <v>599.5</v>
      </c>
      <c r="P2399" s="38">
        <f ca="1">IF(ISERROR(IF(O2399&lt;fi_h/20,0,(OFFSET('Base de dados'!$A$5,IF(O2399&lt;20,1,IF(O2399&gt;1000,10,MATCH(O2399,Cargas,1))),Coluna_fih,1,1))*(1+0.13*0.25)*(PI()*(fi_h/1000)^2/4)*SQRT(2*9.81*(O2399/100-fi_h/2/1000))*1000)),"",IF(O2399&lt;fi_h/20,0,(OFFSET('Base de dados'!$A$5,IF(O2399&lt;20,1,IF(O2399&gt;1000,10,MATCH(O2399,Cargas,1))),Coluna_fih,1,1))*(PI()*(fi_h/1000)^2/4)*SQRT(2*9.81*(O2399/100-fi_h/2/1000))*1000))</f>
        <v>6.5444396870168928</v>
      </c>
      <c r="Q2399" s="38">
        <f ca="1">IF(O2399="","",IF(Tipo_Vertedor="Retangular",IF(O2399&lt;=cota_s*100,0,IF(Tipo_Vertedor="Retangular",Cd_sr*Lef_sr*((O2399/100-cota_s)^(3/2))*1000)),IF(O2399&lt;=cota_s*100+fi_s/20,0,(OFFSET('Base de dados'!$A$4,IF(O2399&lt;20,1,IF(O2399&gt;1000,10,MATCH(O2399,Cargas,1))),Coluna_fis,1,1))*(PI()*(fi_s/1000)^2/4)*(2*9.81*(O2399/100-cota_s-fi_s/2/1000))^0.5*1000)))</f>
        <v>5.8507576969761432</v>
      </c>
      <c r="R2399" s="38">
        <f t="shared" ca="1" si="275"/>
        <v>12.395197383993036</v>
      </c>
      <c r="S2399" s="38">
        <f t="shared" ca="1" si="276"/>
        <v>749.375</v>
      </c>
    </row>
    <row r="2400" spans="13:19">
      <c r="M2400" s="132">
        <f t="shared" ca="1" si="273"/>
        <v>762.08559646315746</v>
      </c>
      <c r="N2400" s="38">
        <f t="shared" si="274"/>
        <v>22.490624999999998</v>
      </c>
      <c r="O2400" s="36">
        <f t="shared" si="272"/>
        <v>599.75</v>
      </c>
      <c r="P2400" s="38">
        <f ca="1">IF(ISERROR(IF(O2400&lt;fi_h/20,0,(OFFSET('Base de dados'!$A$5,IF(O2400&lt;20,1,IF(O2400&gt;1000,10,MATCH(O2400,Cargas,1))),Coluna_fih,1,1))*(1+0.13*0.25)*(PI()*(fi_h/1000)^2/4)*SQRT(2*9.81*(O2400/100-fi_h/2/1000))*1000)),"",IF(O2400&lt;fi_h/20,0,(OFFSET('Base de dados'!$A$5,IF(O2400&lt;20,1,IF(O2400&gt;1000,10,MATCH(O2400,Cargas,1))),Coluna_fih,1,1))*(PI()*(fi_h/1000)^2/4)*SQRT(2*9.81*(O2400/100-fi_h/2/1000))*1000))</f>
        <v>6.5458081238665518</v>
      </c>
      <c r="Q2400" s="38">
        <f ca="1">IF(O2400="","",IF(Tipo_Vertedor="Retangular",IF(O2400&lt;=cota_s*100,0,IF(Tipo_Vertedor="Retangular",Cd_sr*Lef_sr*((O2400/100-cota_s)^(3/2))*1000)),IF(O2400&lt;=cota_s*100+fi_s/20,0,(OFFSET('Base de dados'!$A$4,IF(O2400&lt;20,1,IF(O2400&gt;1000,10,MATCH(O2400,Cargas,1))),Coluna_fis,1,1))*(PI()*(fi_s/1000)^2/4)*(2*9.81*(O2400/100-cota_s-fi_s/2/1000))^0.5*1000)))</f>
        <v>5.8522883392909781</v>
      </c>
      <c r="R2400" s="38">
        <f t="shared" ca="1" si="275"/>
        <v>12.398096463157529</v>
      </c>
      <c r="S2400" s="38">
        <f t="shared" ca="1" si="276"/>
        <v>749.68749999999989</v>
      </c>
    </row>
    <row r="2401" spans="13:19">
      <c r="M2401" s="132">
        <f t="shared" ca="1" si="273"/>
        <v>762.40099485607402</v>
      </c>
      <c r="N2401" s="38">
        <f t="shared" si="274"/>
        <v>22.5</v>
      </c>
      <c r="O2401" s="36">
        <f t="shared" si="272"/>
        <v>600</v>
      </c>
      <c r="P2401" s="38">
        <f ca="1">IF(ISERROR(IF(O2401&lt;fi_h/20,0,(OFFSET('Base de dados'!$A$5,IF(O2401&lt;20,1,IF(O2401&gt;1000,10,MATCH(O2401,Cargas,1))),Coluna_fih,1,1))*(1+0.13*0.25)*(PI()*(fi_h/1000)^2/4)*SQRT(2*9.81*(O2401/100-fi_h/2/1000))*1000)),"",IF(O2401&lt;fi_h/20,0,(OFFSET('Base de dados'!$A$5,IF(O2401&lt;20,1,IF(O2401&gt;1000,10,MATCH(O2401,Cargas,1))),Coluna_fih,1,1))*(PI()*(fi_h/1000)^2/4)*SQRT(2*9.81*(O2401/100-fi_h/2/1000))*1000))</f>
        <v>6.5471762746968203</v>
      </c>
      <c r="Q2401" s="38">
        <f ca="1">IF(O2401="","",IF(Tipo_Vertedor="Retangular",IF(O2401&lt;=cota_s*100,0,IF(Tipo_Vertedor="Retangular",Cd_sr*Lef_sr*((O2401/100-cota_s)^(3/2))*1000)),IF(O2401&lt;=cota_s*100+fi_s/20,0,(OFFSET('Base de dados'!$A$4,IF(O2401&lt;20,1,IF(O2401&gt;1000,10,MATCH(O2401,Cargas,1))),Coluna_fis,1,1))*(PI()*(fi_s/1000)^2/4)*(2*9.81*(O2401/100-cota_s-fi_s/2/1000))^0.5*1000)))</f>
        <v>5.8538185813771797</v>
      </c>
      <c r="R2401" s="38">
        <f t="shared" ca="1" si="275"/>
        <v>12.400994856074</v>
      </c>
      <c r="S2401" s="38">
        <f t="shared" ca="1" si="276"/>
        <v>750</v>
      </c>
    </row>
    <row r="2402" spans="13:19">
      <c r="M2402" s="132">
        <f t="shared" ca="1" si="273"/>
        <v>762.71639256323556</v>
      </c>
      <c r="N2402" s="38">
        <f t="shared" si="274"/>
        <v>22.509375000000002</v>
      </c>
      <c r="O2402" s="36">
        <f t="shared" si="272"/>
        <v>600.25</v>
      </c>
      <c r="P2402" s="38">
        <f ca="1">IF(ISERROR(IF(O2402&lt;fi_h/20,0,(OFFSET('Base de dados'!$A$5,IF(O2402&lt;20,1,IF(O2402&gt;1000,10,MATCH(O2402,Cargas,1))),Coluna_fih,1,1))*(1+0.13*0.25)*(PI()*(fi_h/1000)^2/4)*SQRT(2*9.81*(O2402/100-fi_h/2/1000))*1000)),"",IF(O2402&lt;fi_h/20,0,(OFFSET('Base de dados'!$A$5,IF(O2402&lt;20,1,IF(O2402&gt;1000,10,MATCH(O2402,Cargas,1))),Coluna_fih,1,1))*(PI()*(fi_h/1000)^2/4)*SQRT(2*9.81*(O2402/100-fi_h/2/1000))*1000))</f>
        <v>6.5485441396869666</v>
      </c>
      <c r="Q2402" s="38">
        <f ca="1">IF(O2402="","",IF(Tipo_Vertedor="Retangular",IF(O2402&lt;=cota_s*100,0,IF(Tipo_Vertedor="Retangular",Cd_sr*Lef_sr*((O2402/100-cota_s)^(3/2))*1000)),IF(O2402&lt;=cota_s*100+fi_s/20,0,(OFFSET('Base de dados'!$A$4,IF(O2402&lt;20,1,IF(O2402&gt;1000,10,MATCH(O2402,Cargas,1))),Coluna_fis,1,1))*(PI()*(fi_s/1000)^2/4)*(2*9.81*(O2402/100-cota_s-fi_s/2/1000))^0.5*1000)))</f>
        <v>5.8553484235485334</v>
      </c>
      <c r="R2402" s="38">
        <f t="shared" ca="1" si="275"/>
        <v>12.4038925632355</v>
      </c>
      <c r="S2402" s="38">
        <f t="shared" ca="1" si="276"/>
        <v>750.31250000000011</v>
      </c>
    </row>
    <row r="2403" spans="13:19">
      <c r="M2403" s="132">
        <f t="shared" ca="1" si="273"/>
        <v>763.03178958513445</v>
      </c>
      <c r="N2403" s="38">
        <f t="shared" si="274"/>
        <v>22.518750000000001</v>
      </c>
      <c r="O2403" s="36">
        <f t="shared" si="272"/>
        <v>600.5</v>
      </c>
      <c r="P2403" s="38">
        <f ca="1">IF(ISERROR(IF(O2403&lt;fi_h/20,0,(OFFSET('Base de dados'!$A$5,IF(O2403&lt;20,1,IF(O2403&gt;1000,10,MATCH(O2403,Cargas,1))),Coluna_fih,1,1))*(1+0.13*0.25)*(PI()*(fi_h/1000)^2/4)*SQRT(2*9.81*(O2403/100-fi_h/2/1000))*1000)),"",IF(O2403&lt;fi_h/20,0,(OFFSET('Base de dados'!$A$5,IF(O2403&lt;20,1,IF(O2403&gt;1000,10,MATCH(O2403,Cargas,1))),Coluna_fih,1,1))*(PI()*(fi_h/1000)^2/4)*SQRT(2*9.81*(O2403/100-fi_h/2/1000))*1000))</f>
        <v>6.5499117190160714</v>
      </c>
      <c r="Q2403" s="38">
        <f ca="1">IF(O2403="","",IF(Tipo_Vertedor="Retangular",IF(O2403&lt;=cota_s*100,0,IF(Tipo_Vertedor="Retangular",Cd_sr*Lef_sr*((O2403/100-cota_s)^(3/2))*1000)),IF(O2403&lt;=cota_s*100+fi_s/20,0,(OFFSET('Base de dados'!$A$4,IF(O2403&lt;20,1,IF(O2403&gt;1000,10,MATCH(O2403,Cargas,1))),Coluna_fis,1,1))*(PI()*(fi_s/1000)^2/4)*(2*9.81*(O2403/100-cota_s-fi_s/2/1000))^0.5*1000)))</f>
        <v>5.8568778661184213</v>
      </c>
      <c r="R2403" s="38">
        <f t="shared" ca="1" si="275"/>
        <v>12.406789585134494</v>
      </c>
      <c r="S2403" s="38">
        <f t="shared" ca="1" si="276"/>
        <v>750.625</v>
      </c>
    </row>
    <row r="2404" spans="13:19">
      <c r="M2404" s="132">
        <f t="shared" ca="1" si="273"/>
        <v>763.34718592226295</v>
      </c>
      <c r="N2404" s="38">
        <f t="shared" si="274"/>
        <v>22.528125000000003</v>
      </c>
      <c r="O2404" s="36">
        <f t="shared" si="272"/>
        <v>600.75</v>
      </c>
      <c r="P2404" s="38">
        <f ca="1">IF(ISERROR(IF(O2404&lt;fi_h/20,0,(OFFSET('Base de dados'!$A$5,IF(O2404&lt;20,1,IF(O2404&gt;1000,10,MATCH(O2404,Cargas,1))),Coluna_fih,1,1))*(1+0.13*0.25)*(PI()*(fi_h/1000)^2/4)*SQRT(2*9.81*(O2404/100-fi_h/2/1000))*1000)),"",IF(O2404&lt;fi_h/20,0,(OFFSET('Base de dados'!$A$5,IF(O2404&lt;20,1,IF(O2404&gt;1000,10,MATCH(O2404,Cargas,1))),Coluna_fih,1,1))*(PI()*(fi_h/1000)^2/4)*SQRT(2*9.81*(O2404/100-fi_h/2/1000))*1000))</f>
        <v>6.5512790128630343</v>
      </c>
      <c r="Q2404" s="38">
        <f ca="1">IF(O2404="","",IF(Tipo_Vertedor="Retangular",IF(O2404&lt;=cota_s*100,0,IF(Tipo_Vertedor="Retangular",Cd_sr*Lef_sr*((O2404/100-cota_s)^(3/2))*1000)),IF(O2404&lt;=cota_s*100+fi_s/20,0,(OFFSET('Base de dados'!$A$4,IF(O2404&lt;20,1,IF(O2404&gt;1000,10,MATCH(O2404,Cargas,1))),Coluna_fis,1,1))*(PI()*(fi_s/1000)^2/4)*(2*9.81*(O2404/100-cota_s-fi_s/2/1000))^0.5*1000)))</f>
        <v>5.8584069093998128</v>
      </c>
      <c r="R2404" s="38">
        <f t="shared" ca="1" si="275"/>
        <v>12.409685922262847</v>
      </c>
      <c r="S2404" s="38">
        <f t="shared" ca="1" si="276"/>
        <v>750.93750000000011</v>
      </c>
    </row>
    <row r="2405" spans="13:19">
      <c r="M2405" s="132">
        <f t="shared" ca="1" si="273"/>
        <v>763.66258157511174</v>
      </c>
      <c r="N2405" s="38">
        <f t="shared" si="274"/>
        <v>22.537499999999998</v>
      </c>
      <c r="O2405" s="36">
        <f t="shared" si="272"/>
        <v>601</v>
      </c>
      <c r="P2405" s="38">
        <f ca="1">IF(ISERROR(IF(O2405&lt;fi_h/20,0,(OFFSET('Base de dados'!$A$5,IF(O2405&lt;20,1,IF(O2405&gt;1000,10,MATCH(O2405,Cargas,1))),Coluna_fih,1,1))*(1+0.13*0.25)*(PI()*(fi_h/1000)^2/4)*SQRT(2*9.81*(O2405/100-fi_h/2/1000))*1000)),"",IF(O2405&lt;fi_h/20,0,(OFFSET('Base de dados'!$A$5,IF(O2405&lt;20,1,IF(O2405&gt;1000,10,MATCH(O2405,Cargas,1))),Coluna_fih,1,1))*(PI()*(fi_h/1000)^2/4)*SQRT(2*9.81*(O2405/100-fi_h/2/1000))*1000))</f>
        <v>6.5526460214065603</v>
      </c>
      <c r="Q2405" s="38">
        <f ca="1">IF(O2405="","",IF(Tipo_Vertedor="Retangular",IF(O2405&lt;=cota_s*100,0,IF(Tipo_Vertedor="Retangular",Cd_sr*Lef_sr*((O2405/100-cota_s)^(3/2))*1000)),IF(O2405&lt;=cota_s*100+fi_s/20,0,(OFFSET('Base de dados'!$A$4,IF(O2405&lt;20,1,IF(O2405&gt;1000,10,MATCH(O2405,Cargas,1))),Coluna_fis,1,1))*(PI()*(fi_s/1000)^2/4)*(2*9.81*(O2405/100-cota_s-fi_s/2/1000))^0.5*1000)))</f>
        <v>5.8599355537052658</v>
      </c>
      <c r="R2405" s="38">
        <f t="shared" ca="1" si="275"/>
        <v>12.412581575111826</v>
      </c>
      <c r="S2405" s="38">
        <f t="shared" ca="1" si="276"/>
        <v>751.24999999999989</v>
      </c>
    </row>
    <row r="2406" spans="13:19">
      <c r="M2406" s="132">
        <f t="shared" ca="1" si="273"/>
        <v>763.97797654417207</v>
      </c>
      <c r="N2406" s="38">
        <f t="shared" si="274"/>
        <v>22.546875</v>
      </c>
      <c r="O2406" s="36">
        <f t="shared" si="272"/>
        <v>601.25</v>
      </c>
      <c r="P2406" s="38">
        <f ca="1">IF(ISERROR(IF(O2406&lt;fi_h/20,0,(OFFSET('Base de dados'!$A$5,IF(O2406&lt;20,1,IF(O2406&gt;1000,10,MATCH(O2406,Cargas,1))),Coluna_fih,1,1))*(1+0.13*0.25)*(PI()*(fi_h/1000)^2/4)*SQRT(2*9.81*(O2406/100-fi_h/2/1000))*1000)),"",IF(O2406&lt;fi_h/20,0,(OFFSET('Base de dados'!$A$5,IF(O2406&lt;20,1,IF(O2406&gt;1000,10,MATCH(O2406,Cargas,1))),Coluna_fih,1,1))*(PI()*(fi_h/1000)^2/4)*SQRT(2*9.81*(O2406/100-fi_h/2/1000))*1000))</f>
        <v>6.5540127448251733</v>
      </c>
      <c r="Q2406" s="38">
        <f ca="1">IF(O2406="","",IF(Tipo_Vertedor="Retangular",IF(O2406&lt;=cota_s*100,0,IF(Tipo_Vertedor="Retangular",Cd_sr*Lef_sr*((O2406/100-cota_s)^(3/2))*1000)),IF(O2406&lt;=cota_s*100+fi_s/20,0,(OFFSET('Base de dados'!$A$4,IF(O2406&lt;20,1,IF(O2406&gt;1000,10,MATCH(O2406,Cargas,1))),Coluna_fis,1,1))*(PI()*(fi_s/1000)^2/4)*(2*9.81*(O2406/100-cota_s-fi_s/2/1000))^0.5*1000)))</f>
        <v>5.8614637993469358</v>
      </c>
      <c r="R2406" s="38">
        <f t="shared" ca="1" si="275"/>
        <v>12.415476544172108</v>
      </c>
      <c r="S2406" s="38">
        <f t="shared" ca="1" si="276"/>
        <v>751.5625</v>
      </c>
    </row>
    <row r="2407" spans="13:19">
      <c r="M2407" s="132">
        <f t="shared" ca="1" si="273"/>
        <v>764.29337082993379</v>
      </c>
      <c r="N2407" s="38">
        <f t="shared" si="274"/>
        <v>22.556249999999999</v>
      </c>
      <c r="O2407" s="36">
        <f t="shared" si="272"/>
        <v>601.5</v>
      </c>
      <c r="P2407" s="38">
        <f ca="1">IF(ISERROR(IF(O2407&lt;fi_h/20,0,(OFFSET('Base de dados'!$A$5,IF(O2407&lt;20,1,IF(O2407&gt;1000,10,MATCH(O2407,Cargas,1))),Coluna_fih,1,1))*(1+0.13*0.25)*(PI()*(fi_h/1000)^2/4)*SQRT(2*9.81*(O2407/100-fi_h/2/1000))*1000)),"",IF(O2407&lt;fi_h/20,0,(OFFSET('Base de dados'!$A$5,IF(O2407&lt;20,1,IF(O2407&gt;1000,10,MATCH(O2407,Cargas,1))),Coluna_fih,1,1))*(PI()*(fi_h/1000)^2/4)*SQRT(2*9.81*(O2407/100-fi_h/2/1000))*1000))</f>
        <v>6.5553791832972088</v>
      </c>
      <c r="Q2407" s="38">
        <f ca="1">IF(O2407="","",IF(Tipo_Vertedor="Retangular",IF(O2407&lt;=cota_s*100,0,IF(Tipo_Vertedor="Retangular",Cd_sr*Lef_sr*((O2407/100-cota_s)^(3/2))*1000)),IF(O2407&lt;=cota_s*100+fi_s/20,0,(OFFSET('Base de dados'!$A$4,IF(O2407&lt;20,1,IF(O2407&gt;1000,10,MATCH(O2407,Cargas,1))),Coluna_fis,1,1))*(PI()*(fi_s/1000)^2/4)*(2*9.81*(O2407/100-cota_s-fi_s/2/1000))^0.5*1000)))</f>
        <v>5.8629916466365675</v>
      </c>
      <c r="R2407" s="38">
        <f t="shared" ca="1" si="275"/>
        <v>12.418370829933776</v>
      </c>
      <c r="S2407" s="38">
        <f t="shared" ca="1" si="276"/>
        <v>751.875</v>
      </c>
    </row>
    <row r="2408" spans="13:19">
      <c r="M2408" s="132">
        <f t="shared" ca="1" si="273"/>
        <v>764.60876443288635</v>
      </c>
      <c r="N2408" s="38">
        <f t="shared" si="274"/>
        <v>22.565625000000001</v>
      </c>
      <c r="O2408" s="36">
        <f t="shared" si="272"/>
        <v>601.75</v>
      </c>
      <c r="P2408" s="38">
        <f ca="1">IF(ISERROR(IF(O2408&lt;fi_h/20,0,(OFFSET('Base de dados'!$A$5,IF(O2408&lt;20,1,IF(O2408&gt;1000,10,MATCH(O2408,Cargas,1))),Coluna_fih,1,1))*(1+0.13*0.25)*(PI()*(fi_h/1000)^2/4)*SQRT(2*9.81*(O2408/100-fi_h/2/1000))*1000)),"",IF(O2408&lt;fi_h/20,0,(OFFSET('Base de dados'!$A$5,IF(O2408&lt;20,1,IF(O2408&gt;1000,10,MATCH(O2408,Cargas,1))),Coluna_fih,1,1))*(PI()*(fi_h/1000)^2/4)*SQRT(2*9.81*(O2408/100-fi_h/2/1000))*1000))</f>
        <v>6.5567453370008169</v>
      </c>
      <c r="Q2408" s="38">
        <f ca="1">IF(O2408="","",IF(Tipo_Vertedor="Retangular",IF(O2408&lt;=cota_s*100,0,IF(Tipo_Vertedor="Retangular",Cd_sr*Lef_sr*((O2408/100-cota_s)^(3/2))*1000)),IF(O2408&lt;=cota_s*100+fi_s/20,0,(OFFSET('Base de dados'!$A$4,IF(O2408&lt;20,1,IF(O2408&gt;1000,10,MATCH(O2408,Cargas,1))),Coluna_fis,1,1))*(PI()*(fi_s/1000)^2/4)*(2*9.81*(O2408/100-cota_s-fi_s/2/1000))^0.5*1000)))</f>
        <v>5.8645190958855062</v>
      </c>
      <c r="R2408" s="38">
        <f t="shared" ca="1" si="275"/>
        <v>12.421264432886323</v>
      </c>
      <c r="S2408" s="38">
        <f t="shared" ca="1" si="276"/>
        <v>752.1875</v>
      </c>
    </row>
    <row r="2409" spans="13:19">
      <c r="M2409" s="132">
        <f t="shared" ca="1" si="273"/>
        <v>764.92415735351869</v>
      </c>
      <c r="N2409" s="38">
        <f t="shared" si="274"/>
        <v>22.574999999999999</v>
      </c>
      <c r="O2409" s="36">
        <f t="shared" si="272"/>
        <v>602</v>
      </c>
      <c r="P2409" s="38">
        <f ca="1">IF(ISERROR(IF(O2409&lt;fi_h/20,0,(OFFSET('Base de dados'!$A$5,IF(O2409&lt;20,1,IF(O2409&gt;1000,10,MATCH(O2409,Cargas,1))),Coluna_fih,1,1))*(1+0.13*0.25)*(PI()*(fi_h/1000)^2/4)*SQRT(2*9.81*(O2409/100-fi_h/2/1000))*1000)),"",IF(O2409&lt;fi_h/20,0,(OFFSET('Base de dados'!$A$5,IF(O2409&lt;20,1,IF(O2409&gt;1000,10,MATCH(O2409,Cargas,1))),Coluna_fih,1,1))*(PI()*(fi_h/1000)^2/4)*SQRT(2*9.81*(O2409/100-fi_h/2/1000))*1000))</f>
        <v>6.5581112061139617</v>
      </c>
      <c r="Q2409" s="38">
        <f ca="1">IF(O2409="","",IF(Tipo_Vertedor="Retangular",IF(O2409&lt;=cota_s*100,0,IF(Tipo_Vertedor="Retangular",Cd_sr*Lef_sr*((O2409/100-cota_s)^(3/2))*1000)),IF(O2409&lt;=cota_s*100+fi_s/20,0,(OFFSET('Base de dados'!$A$4,IF(O2409&lt;20,1,IF(O2409&gt;1000,10,MATCH(O2409,Cargas,1))),Coluna_fis,1,1))*(PI()*(fi_s/1000)^2/4)*(2*9.81*(O2409/100-cota_s-fi_s/2/1000))^0.5*1000)))</f>
        <v>5.8660461474046839</v>
      </c>
      <c r="R2409" s="38">
        <f t="shared" ca="1" si="275"/>
        <v>12.424157353518645</v>
      </c>
      <c r="S2409" s="38">
        <f t="shared" ca="1" si="276"/>
        <v>752.5</v>
      </c>
    </row>
    <row r="2410" spans="13:19">
      <c r="M2410" s="132">
        <f t="shared" ca="1" si="273"/>
        <v>765.23954959231901</v>
      </c>
      <c r="N2410" s="38">
        <f t="shared" si="274"/>
        <v>22.584375000000001</v>
      </c>
      <c r="O2410" s="36">
        <f t="shared" si="272"/>
        <v>602.25</v>
      </c>
      <c r="P2410" s="38">
        <f ca="1">IF(ISERROR(IF(O2410&lt;fi_h/20,0,(OFFSET('Base de dados'!$A$5,IF(O2410&lt;20,1,IF(O2410&gt;1000,10,MATCH(O2410,Cargas,1))),Coluna_fih,1,1))*(1+0.13*0.25)*(PI()*(fi_h/1000)^2/4)*SQRT(2*9.81*(O2410/100-fi_h/2/1000))*1000)),"",IF(O2410&lt;fi_h/20,0,(OFFSET('Base de dados'!$A$5,IF(O2410&lt;20,1,IF(O2410&gt;1000,10,MATCH(O2410,Cargas,1))),Coluna_fih,1,1))*(PI()*(fi_h/1000)^2/4)*SQRT(2*9.81*(O2410/100-fi_h/2/1000))*1000))</f>
        <v>6.5594767908144238</v>
      </c>
      <c r="Q2410" s="38">
        <f ca="1">IF(O2410="","",IF(Tipo_Vertedor="Retangular",IF(O2410&lt;=cota_s*100,0,IF(Tipo_Vertedor="Retangular",Cd_sr*Lef_sr*((O2410/100-cota_s)^(3/2))*1000)),IF(O2410&lt;=cota_s*100+fi_s/20,0,(OFFSET('Base de dados'!$A$4,IF(O2410&lt;20,1,IF(O2410&gt;1000,10,MATCH(O2410,Cargas,1))),Coluna_fis,1,1))*(PI()*(fi_s/1000)^2/4)*(2*9.81*(O2410/100-cota_s-fi_s/2/1000))^0.5*1000)))</f>
        <v>5.8675728015046307</v>
      </c>
      <c r="R2410" s="38">
        <f t="shared" ca="1" si="275"/>
        <v>12.427049592319054</v>
      </c>
      <c r="S2410" s="38">
        <f t="shared" ca="1" si="276"/>
        <v>752.8125</v>
      </c>
    </row>
    <row r="2411" spans="13:19">
      <c r="M2411" s="132">
        <f t="shared" ca="1" si="273"/>
        <v>765.55494114977523</v>
      </c>
      <c r="N2411" s="38">
        <f t="shared" si="274"/>
        <v>22.59375</v>
      </c>
      <c r="O2411" s="36">
        <f t="shared" si="272"/>
        <v>602.5</v>
      </c>
      <c r="P2411" s="38">
        <f ca="1">IF(ISERROR(IF(O2411&lt;fi_h/20,0,(OFFSET('Base de dados'!$A$5,IF(O2411&lt;20,1,IF(O2411&gt;1000,10,MATCH(O2411,Cargas,1))),Coluna_fih,1,1))*(1+0.13*0.25)*(PI()*(fi_h/1000)^2/4)*SQRT(2*9.81*(O2411/100-fi_h/2/1000))*1000)),"",IF(O2411&lt;fi_h/20,0,(OFFSET('Base de dados'!$A$5,IF(O2411&lt;20,1,IF(O2411&gt;1000,10,MATCH(O2411,Cargas,1))),Coluna_fih,1,1))*(PI()*(fi_h/1000)^2/4)*SQRT(2*9.81*(O2411/100-fi_h/2/1000))*1000))</f>
        <v>6.560842091279798</v>
      </c>
      <c r="Q2411" s="38">
        <f ca="1">IF(O2411="","",IF(Tipo_Vertedor="Retangular",IF(O2411&lt;=cota_s*100,0,IF(Tipo_Vertedor="Retangular",Cd_sr*Lef_sr*((O2411/100-cota_s)^(3/2))*1000)),IF(O2411&lt;=cota_s*100+fi_s/20,0,(OFFSET('Base de dados'!$A$4,IF(O2411&lt;20,1,IF(O2411&gt;1000,10,MATCH(O2411,Cargas,1))),Coluna_fis,1,1))*(PI()*(fi_s/1000)^2/4)*(2*9.81*(O2411/100-cota_s-fi_s/2/1000))^0.5*1000)))</f>
        <v>5.8690990584954754</v>
      </c>
      <c r="R2411" s="38">
        <f t="shared" ca="1" si="275"/>
        <v>12.429941149775274</v>
      </c>
      <c r="S2411" s="38">
        <f t="shared" ca="1" si="276"/>
        <v>753.125</v>
      </c>
    </row>
    <row r="2412" spans="13:19">
      <c r="M2412" s="132">
        <f t="shared" ca="1" si="273"/>
        <v>765.8703320263744</v>
      </c>
      <c r="N2412" s="38">
        <f t="shared" si="274"/>
        <v>22.603124999999999</v>
      </c>
      <c r="O2412" s="36">
        <f t="shared" si="272"/>
        <v>602.75</v>
      </c>
      <c r="P2412" s="38">
        <f ca="1">IF(ISERROR(IF(O2412&lt;fi_h/20,0,(OFFSET('Base de dados'!$A$5,IF(O2412&lt;20,1,IF(O2412&gt;1000,10,MATCH(O2412,Cargas,1))),Coluna_fih,1,1))*(1+0.13*0.25)*(PI()*(fi_h/1000)^2/4)*SQRT(2*9.81*(O2412/100-fi_h/2/1000))*1000)),"",IF(O2412&lt;fi_h/20,0,(OFFSET('Base de dados'!$A$5,IF(O2412&lt;20,1,IF(O2412&gt;1000,10,MATCH(O2412,Cargas,1))),Coluna_fih,1,1))*(PI()*(fi_h/1000)^2/4)*SQRT(2*9.81*(O2412/100-fi_h/2/1000))*1000))</f>
        <v>6.5622071076874935</v>
      </c>
      <c r="Q2412" s="38">
        <f ca="1">IF(O2412="","",IF(Tipo_Vertedor="Retangular",IF(O2412&lt;=cota_s*100,0,IF(Tipo_Vertedor="Retangular",Cd_sr*Lef_sr*((O2412/100-cota_s)^(3/2))*1000)),IF(O2412&lt;=cota_s*100+fi_s/20,0,(OFFSET('Base de dados'!$A$4,IF(O2412&lt;20,1,IF(O2412&gt;1000,10,MATCH(O2412,Cargas,1))),Coluna_fis,1,1))*(PI()*(fi_s/1000)^2/4)*(2*9.81*(O2412/100-cota_s-fi_s/2/1000))^0.5*1000)))</f>
        <v>5.8706249186869419</v>
      </c>
      <c r="R2412" s="38">
        <f t="shared" ca="1" si="275"/>
        <v>12.432832026374435</v>
      </c>
      <c r="S2412" s="38">
        <f t="shared" ca="1" si="276"/>
        <v>753.4375</v>
      </c>
    </row>
    <row r="2413" spans="13:19">
      <c r="M2413" s="132">
        <f t="shared" ca="1" si="273"/>
        <v>766.18572222260309</v>
      </c>
      <c r="N2413" s="38">
        <f t="shared" si="274"/>
        <v>22.612500000000001</v>
      </c>
      <c r="O2413" s="36">
        <f t="shared" si="272"/>
        <v>603</v>
      </c>
      <c r="P2413" s="38">
        <f ca="1">IF(ISERROR(IF(O2413&lt;fi_h/20,0,(OFFSET('Base de dados'!$A$5,IF(O2413&lt;20,1,IF(O2413&gt;1000,10,MATCH(O2413,Cargas,1))),Coluna_fih,1,1))*(1+0.13*0.25)*(PI()*(fi_h/1000)^2/4)*SQRT(2*9.81*(O2413/100-fi_h/2/1000))*1000)),"",IF(O2413&lt;fi_h/20,0,(OFFSET('Base de dados'!$A$5,IF(O2413&lt;20,1,IF(O2413&gt;1000,10,MATCH(O2413,Cargas,1))),Coluna_fih,1,1))*(PI()*(fi_h/1000)^2/4)*SQRT(2*9.81*(O2413/100-fi_h/2/1000))*1000))</f>
        <v>6.5635718402147338</v>
      </c>
      <c r="Q2413" s="38">
        <f ca="1">IF(O2413="","",IF(Tipo_Vertedor="Retangular",IF(O2413&lt;=cota_s*100,0,IF(Tipo_Vertedor="Retangular",Cd_sr*Lef_sr*((O2413/100-cota_s)^(3/2))*1000)),IF(O2413&lt;=cota_s*100+fi_s/20,0,(OFFSET('Base de dados'!$A$4,IF(O2413&lt;20,1,IF(O2413&gt;1000,10,MATCH(O2413,Cargas,1))),Coluna_fis,1,1))*(PI()*(fi_s/1000)^2/4)*(2*9.81*(O2413/100-cota_s-fi_s/2/1000))^0.5*1000)))</f>
        <v>5.872150382388349</v>
      </c>
      <c r="R2413" s="38">
        <f t="shared" ca="1" si="275"/>
        <v>12.435722222603083</v>
      </c>
      <c r="S2413" s="38">
        <f t="shared" ca="1" si="276"/>
        <v>753.75</v>
      </c>
    </row>
    <row r="2414" spans="13:19">
      <c r="M2414" s="132">
        <f t="shared" ca="1" si="273"/>
        <v>766.5011117389472</v>
      </c>
      <c r="N2414" s="38">
        <f t="shared" si="274"/>
        <v>22.621874999999999</v>
      </c>
      <c r="O2414" s="36">
        <f t="shared" si="272"/>
        <v>603.25</v>
      </c>
      <c r="P2414" s="38">
        <f ca="1">IF(ISERROR(IF(O2414&lt;fi_h/20,0,(OFFSET('Base de dados'!$A$5,IF(O2414&lt;20,1,IF(O2414&gt;1000,10,MATCH(O2414,Cargas,1))),Coluna_fih,1,1))*(1+0.13*0.25)*(PI()*(fi_h/1000)^2/4)*SQRT(2*9.81*(O2414/100-fi_h/2/1000))*1000)),"",IF(O2414&lt;fi_h/20,0,(OFFSET('Base de dados'!$A$5,IF(O2414&lt;20,1,IF(O2414&gt;1000,10,MATCH(O2414,Cargas,1))),Coluna_fih,1,1))*(PI()*(fi_h/1000)^2/4)*SQRT(2*9.81*(O2414/100-fi_h/2/1000))*1000))</f>
        <v>6.5649362890385614</v>
      </c>
      <c r="Q2414" s="38">
        <f ca="1">IF(O2414="","",IF(Tipo_Vertedor="Retangular",IF(O2414&lt;=cota_s*100,0,IF(Tipo_Vertedor="Retangular",Cd_sr*Lef_sr*((O2414/100-cota_s)^(3/2))*1000)),IF(O2414&lt;=cota_s*100+fi_s/20,0,(OFFSET('Base de dados'!$A$4,IF(O2414&lt;20,1,IF(O2414&gt;1000,10,MATCH(O2414,Cargas,1))),Coluna_fis,1,1))*(PI()*(fi_s/1000)^2/4)*(2*9.81*(O2414/100-cota_s-fi_s/2/1000))^0.5*1000)))</f>
        <v>5.8736754499086183</v>
      </c>
      <c r="R2414" s="38">
        <f t="shared" ca="1" si="275"/>
        <v>12.438611738947181</v>
      </c>
      <c r="S2414" s="38">
        <f t="shared" ca="1" si="276"/>
        <v>754.0625</v>
      </c>
    </row>
    <row r="2415" spans="13:19">
      <c r="M2415" s="132">
        <f t="shared" ca="1" si="273"/>
        <v>766.81650057589206</v>
      </c>
      <c r="N2415" s="38">
        <f t="shared" si="274"/>
        <v>22.631250000000001</v>
      </c>
      <c r="O2415" s="36">
        <f t="shared" si="272"/>
        <v>603.5</v>
      </c>
      <c r="P2415" s="38">
        <f ca="1">IF(ISERROR(IF(O2415&lt;fi_h/20,0,(OFFSET('Base de dados'!$A$5,IF(O2415&lt;20,1,IF(O2415&gt;1000,10,MATCH(O2415,Cargas,1))),Coluna_fih,1,1))*(1+0.13*0.25)*(PI()*(fi_h/1000)^2/4)*SQRT(2*9.81*(O2415/100-fi_h/2/1000))*1000)),"",IF(O2415&lt;fi_h/20,0,(OFFSET('Base de dados'!$A$5,IF(O2415&lt;20,1,IF(O2415&gt;1000,10,MATCH(O2415,Cargas,1))),Coluna_fih,1,1))*(PI()*(fi_h/1000)^2/4)*SQRT(2*9.81*(O2415/100-fi_h/2/1000))*1000))</f>
        <v>6.5663004543358339</v>
      </c>
      <c r="Q2415" s="38">
        <f ca="1">IF(O2415="","",IF(Tipo_Vertedor="Retangular",IF(O2415&lt;=cota_s*100,0,IF(Tipo_Vertedor="Retangular",Cd_sr*Lef_sr*((O2415/100-cota_s)^(3/2))*1000)),IF(O2415&lt;=cota_s*100+fi_s/20,0,(OFFSET('Base de dados'!$A$4,IF(O2415&lt;20,1,IF(O2415&gt;1000,10,MATCH(O2415,Cargas,1))),Coluna_fis,1,1))*(PI()*(fi_s/1000)^2/4)*(2*9.81*(O2415/100-cota_s-fi_s/2/1000))^0.5*1000)))</f>
        <v>5.8752001215562686</v>
      </c>
      <c r="R2415" s="38">
        <f t="shared" ca="1" si="275"/>
        <v>12.441500575892103</v>
      </c>
      <c r="S2415" s="38">
        <f t="shared" ca="1" si="276"/>
        <v>754.375</v>
      </c>
    </row>
    <row r="2416" spans="13:19">
      <c r="M2416" s="132">
        <f t="shared" ca="1" si="273"/>
        <v>767.13188873392266</v>
      </c>
      <c r="N2416" s="38">
        <f t="shared" si="274"/>
        <v>22.640625</v>
      </c>
      <c r="O2416" s="36">
        <f t="shared" si="272"/>
        <v>603.75</v>
      </c>
      <c r="P2416" s="38">
        <f ca="1">IF(ISERROR(IF(O2416&lt;fi_h/20,0,(OFFSET('Base de dados'!$A$5,IF(O2416&lt;20,1,IF(O2416&gt;1000,10,MATCH(O2416,Cargas,1))),Coluna_fih,1,1))*(1+0.13*0.25)*(PI()*(fi_h/1000)^2/4)*SQRT(2*9.81*(O2416/100-fi_h/2/1000))*1000)),"",IF(O2416&lt;fi_h/20,0,(OFFSET('Base de dados'!$A$5,IF(O2416&lt;20,1,IF(O2416&gt;1000,10,MATCH(O2416,Cargas,1))),Coluna_fih,1,1))*(PI()*(fi_h/1000)^2/4)*SQRT(2*9.81*(O2416/100-fi_h/2/1000))*1000))</f>
        <v>6.5676643362832223</v>
      </c>
      <c r="Q2416" s="38">
        <f ca="1">IF(O2416="","",IF(Tipo_Vertedor="Retangular",IF(O2416&lt;=cota_s*100,0,IF(Tipo_Vertedor="Retangular",Cd_sr*Lef_sr*((O2416/100-cota_s)^(3/2))*1000)),IF(O2416&lt;=cota_s*100+fi_s/20,0,(OFFSET('Base de dados'!$A$4,IF(O2416&lt;20,1,IF(O2416&gt;1000,10,MATCH(O2416,Cargas,1))),Coluna_fis,1,1))*(PI()*(fi_s/1000)^2/4)*(2*9.81*(O2416/100-cota_s-fi_s/2/1000))^0.5*1000)))</f>
        <v>5.876724397639415</v>
      </c>
      <c r="R2416" s="38">
        <f t="shared" ca="1" si="275"/>
        <v>12.444388733922636</v>
      </c>
      <c r="S2416" s="38">
        <f t="shared" ca="1" si="276"/>
        <v>754.6875</v>
      </c>
    </row>
    <row r="2417" spans="13:19">
      <c r="M2417" s="132">
        <f t="shared" ca="1" si="273"/>
        <v>767.44727621352297</v>
      </c>
      <c r="N2417" s="38">
        <f t="shared" si="274"/>
        <v>22.65</v>
      </c>
      <c r="O2417" s="36">
        <f t="shared" si="272"/>
        <v>604</v>
      </c>
      <c r="P2417" s="38">
        <f ca="1">IF(ISERROR(IF(O2417&lt;fi_h/20,0,(OFFSET('Base de dados'!$A$5,IF(O2417&lt;20,1,IF(O2417&gt;1000,10,MATCH(O2417,Cargas,1))),Coluna_fih,1,1))*(1+0.13*0.25)*(PI()*(fi_h/1000)^2/4)*SQRT(2*9.81*(O2417/100-fi_h/2/1000))*1000)),"",IF(O2417&lt;fi_h/20,0,(OFFSET('Base de dados'!$A$5,IF(O2417&lt;20,1,IF(O2417&gt;1000,10,MATCH(O2417,Cargas,1))),Coluna_fih,1,1))*(PI()*(fi_h/1000)^2/4)*SQRT(2*9.81*(O2417/100-fi_h/2/1000))*1000))</f>
        <v>6.5690279350572203</v>
      </c>
      <c r="Q2417" s="38">
        <f ca="1">IF(O2417="","",IF(Tipo_Vertedor="Retangular",IF(O2417&lt;=cota_s*100,0,IF(Tipo_Vertedor="Retangular",Cd_sr*Lef_sr*((O2417/100-cota_s)^(3/2))*1000)),IF(O2417&lt;=cota_s*100+fi_s/20,0,(OFFSET('Base de dados'!$A$4,IF(O2417&lt;20,1,IF(O2417&gt;1000,10,MATCH(O2417,Cargas,1))),Coluna_fis,1,1))*(PI()*(fi_s/1000)^2/4)*(2*9.81*(O2417/100-cota_s-fi_s/2/1000))^0.5*1000)))</f>
        <v>5.8782482784657821</v>
      </c>
      <c r="R2417" s="38">
        <f t="shared" ca="1" si="275"/>
        <v>12.447276213523002</v>
      </c>
      <c r="S2417" s="38">
        <f t="shared" ca="1" si="276"/>
        <v>755</v>
      </c>
    </row>
    <row r="2418" spans="13:19">
      <c r="M2418" s="132">
        <f t="shared" ca="1" si="273"/>
        <v>767.76266301517683</v>
      </c>
      <c r="N2418" s="38">
        <f t="shared" si="274"/>
        <v>22.659375000000001</v>
      </c>
      <c r="O2418" s="36">
        <f t="shared" si="272"/>
        <v>604.25</v>
      </c>
      <c r="P2418" s="38">
        <f ca="1">IF(ISERROR(IF(O2418&lt;fi_h/20,0,(OFFSET('Base de dados'!$A$5,IF(O2418&lt;20,1,IF(O2418&gt;1000,10,MATCH(O2418,Cargas,1))),Coluna_fih,1,1))*(1+0.13*0.25)*(PI()*(fi_h/1000)^2/4)*SQRT(2*9.81*(O2418/100-fi_h/2/1000))*1000)),"",IF(O2418&lt;fi_h/20,0,(OFFSET('Base de dados'!$A$5,IF(O2418&lt;20,1,IF(O2418&gt;1000,10,MATCH(O2418,Cargas,1))),Coluna_fih,1,1))*(PI()*(fi_h/1000)^2/4)*SQRT(2*9.81*(O2418/100-fi_h/2/1000))*1000))</f>
        <v>6.570391250834132</v>
      </c>
      <c r="Q2418" s="38">
        <f ca="1">IF(O2418="","",IF(Tipo_Vertedor="Retangular",IF(O2418&lt;=cota_s*100,0,IF(Tipo_Vertedor="Retangular",Cd_sr*Lef_sr*((O2418/100-cota_s)^(3/2))*1000)),IF(O2418&lt;=cota_s*100+fi_s/20,0,(OFFSET('Base de dados'!$A$4,IF(O2418&lt;20,1,IF(O2418&gt;1000,10,MATCH(O2418,Cargas,1))),Coluna_fis,1,1))*(PI()*(fi_s/1000)^2/4)*(2*9.81*(O2418/100-cota_s-fi_s/2/1000))^0.5*1000)))</f>
        <v>5.8797717643426859</v>
      </c>
      <c r="R2418" s="38">
        <f t="shared" ca="1" si="275"/>
        <v>12.450163015176818</v>
      </c>
      <c r="S2418" s="38">
        <f t="shared" ca="1" si="276"/>
        <v>755.3125</v>
      </c>
    </row>
    <row r="2419" spans="13:19">
      <c r="M2419" s="132">
        <f t="shared" ca="1" si="273"/>
        <v>768.07804913936718</v>
      </c>
      <c r="N2419" s="38">
        <f t="shared" si="274"/>
        <v>22.668749999999999</v>
      </c>
      <c r="O2419" s="36">
        <f t="shared" si="272"/>
        <v>604.5</v>
      </c>
      <c r="P2419" s="38">
        <f ca="1">IF(ISERROR(IF(O2419&lt;fi_h/20,0,(OFFSET('Base de dados'!$A$5,IF(O2419&lt;20,1,IF(O2419&gt;1000,10,MATCH(O2419,Cargas,1))),Coluna_fih,1,1))*(1+0.13*0.25)*(PI()*(fi_h/1000)^2/4)*SQRT(2*9.81*(O2419/100-fi_h/2/1000))*1000)),"",IF(O2419&lt;fi_h/20,0,(OFFSET('Base de dados'!$A$5,IF(O2419&lt;20,1,IF(O2419&gt;1000,10,MATCH(O2419,Cargas,1))),Coluna_fih,1,1))*(PI()*(fi_h/1000)^2/4)*SQRT(2*9.81*(O2419/100-fi_h/2/1000))*1000))</f>
        <v>6.5717542837900806</v>
      </c>
      <c r="Q2419" s="38">
        <f ca="1">IF(O2419="","",IF(Tipo_Vertedor="Retangular",IF(O2419&lt;=cota_s*100,0,IF(Tipo_Vertedor="Retangular",Cd_sr*Lef_sr*((O2419/100-cota_s)^(3/2))*1000)),IF(O2419&lt;=cota_s*100+fi_s/20,0,(OFFSET('Base de dados'!$A$4,IF(O2419&lt;20,1,IF(O2419&gt;1000,10,MATCH(O2419,Cargas,1))),Coluna_fis,1,1))*(PI()*(fi_s/1000)^2/4)*(2*9.81*(O2419/100-cota_s-fi_s/2/1000))^0.5*1000)))</f>
        <v>5.8812948555770515</v>
      </c>
      <c r="R2419" s="38">
        <f t="shared" ca="1" si="275"/>
        <v>12.453049139367131</v>
      </c>
      <c r="S2419" s="38">
        <f t="shared" ca="1" si="276"/>
        <v>755.625</v>
      </c>
    </row>
    <row r="2420" spans="13:19">
      <c r="M2420" s="132">
        <f t="shared" ca="1" si="273"/>
        <v>768.3934345865764</v>
      </c>
      <c r="N2420" s="38">
        <f t="shared" si="274"/>
        <v>22.678125000000001</v>
      </c>
      <c r="O2420" s="36">
        <f t="shared" si="272"/>
        <v>604.75</v>
      </c>
      <c r="P2420" s="38">
        <f ca="1">IF(ISERROR(IF(O2420&lt;fi_h/20,0,(OFFSET('Base de dados'!$A$5,IF(O2420&lt;20,1,IF(O2420&gt;1000,10,MATCH(O2420,Cargas,1))),Coluna_fih,1,1))*(1+0.13*0.25)*(PI()*(fi_h/1000)^2/4)*SQRT(2*9.81*(O2420/100-fi_h/2/1000))*1000)),"",IF(O2420&lt;fi_h/20,0,(OFFSET('Base de dados'!$A$5,IF(O2420&lt;20,1,IF(O2420&gt;1000,10,MATCH(O2420,Cargas,1))),Coluna_fih,1,1))*(PI()*(fi_h/1000)^2/4)*SQRT(2*9.81*(O2420/100-fi_h/2/1000))*1000))</f>
        <v>6.5731170341010108</v>
      </c>
      <c r="Q2420" s="38">
        <f ca="1">IF(O2420="","",IF(Tipo_Vertedor="Retangular",IF(O2420&lt;=cota_s*100,0,IF(Tipo_Vertedor="Retangular",Cd_sr*Lef_sr*((O2420/100-cota_s)^(3/2))*1000)),IF(O2420&lt;=cota_s*100+fi_s/20,0,(OFFSET('Base de dados'!$A$4,IF(O2420&lt;20,1,IF(O2420&gt;1000,10,MATCH(O2420,Cargas,1))),Coluna_fis,1,1))*(PI()*(fi_s/1000)^2/4)*(2*9.81*(O2420/100-cota_s-fi_s/2/1000))^0.5*1000)))</f>
        <v>5.8828175524754007</v>
      </c>
      <c r="R2420" s="38">
        <f t="shared" ca="1" si="275"/>
        <v>12.455934586576412</v>
      </c>
      <c r="S2420" s="38">
        <f t="shared" ca="1" si="276"/>
        <v>755.9375</v>
      </c>
    </row>
    <row r="2421" spans="13:19">
      <c r="M2421" s="132">
        <f t="shared" ca="1" si="273"/>
        <v>768.70881935728653</v>
      </c>
      <c r="N2421" s="38">
        <f t="shared" si="274"/>
        <v>22.6875</v>
      </c>
      <c r="O2421" s="36">
        <f t="shared" si="272"/>
        <v>605</v>
      </c>
      <c r="P2421" s="38">
        <f ca="1">IF(ISERROR(IF(O2421&lt;fi_h/20,0,(OFFSET('Base de dados'!$A$5,IF(O2421&lt;20,1,IF(O2421&gt;1000,10,MATCH(O2421,Cargas,1))),Coluna_fih,1,1))*(1+0.13*0.25)*(PI()*(fi_h/1000)^2/4)*SQRT(2*9.81*(O2421/100-fi_h/2/1000))*1000)),"",IF(O2421&lt;fi_h/20,0,(OFFSET('Base de dados'!$A$5,IF(O2421&lt;20,1,IF(O2421&gt;1000,10,MATCH(O2421,Cargas,1))),Coluna_fih,1,1))*(PI()*(fi_h/1000)^2/4)*SQRT(2*9.81*(O2421/100-fi_h/2/1000))*1000))</f>
        <v>6.5744795019426769</v>
      </c>
      <c r="Q2421" s="38">
        <f ca="1">IF(O2421="","",IF(Tipo_Vertedor="Retangular",IF(O2421&lt;=cota_s*100,0,IF(Tipo_Vertedor="Retangular",Cd_sr*Lef_sr*((O2421/100-cota_s)^(3/2))*1000)),IF(O2421&lt;=cota_s*100+fi_s/20,0,(OFFSET('Base de dados'!$A$4,IF(O2421&lt;20,1,IF(O2421&gt;1000,10,MATCH(O2421,Cargas,1))),Coluna_fis,1,1))*(PI()*(fi_s/1000)^2/4)*(2*9.81*(O2421/100-cota_s-fi_s/2/1000))^0.5*1000)))</f>
        <v>5.8843398553438631</v>
      </c>
      <c r="R2421" s="38">
        <f t="shared" ca="1" si="275"/>
        <v>12.45881935728654</v>
      </c>
      <c r="S2421" s="38">
        <f t="shared" ca="1" si="276"/>
        <v>756.25</v>
      </c>
    </row>
    <row r="2422" spans="13:19">
      <c r="M2422" s="132">
        <f t="shared" ca="1" si="273"/>
        <v>769.02420345197891</v>
      </c>
      <c r="N2422" s="38">
        <f t="shared" si="274"/>
        <v>22.696875000000002</v>
      </c>
      <c r="O2422" s="36">
        <f t="shared" si="272"/>
        <v>605.25</v>
      </c>
      <c r="P2422" s="38">
        <f ca="1">IF(ISERROR(IF(O2422&lt;fi_h/20,0,(OFFSET('Base de dados'!$A$5,IF(O2422&lt;20,1,IF(O2422&gt;1000,10,MATCH(O2422,Cargas,1))),Coluna_fih,1,1))*(1+0.13*0.25)*(PI()*(fi_h/1000)^2/4)*SQRT(2*9.81*(O2422/100-fi_h/2/1000))*1000)),"",IF(O2422&lt;fi_h/20,0,(OFFSET('Base de dados'!$A$5,IF(O2422&lt;20,1,IF(O2422&gt;1000,10,MATCH(O2422,Cargas,1))),Coluna_fih,1,1))*(PI()*(fi_h/1000)^2/4)*SQRT(2*9.81*(O2422/100-fi_h/2/1000))*1000))</f>
        <v>6.5758416874906596</v>
      </c>
      <c r="Q2422" s="38">
        <f ca="1">IF(O2422="","",IF(Tipo_Vertedor="Retangular",IF(O2422&lt;=cota_s*100,0,IF(Tipo_Vertedor="Retangular",Cd_sr*Lef_sr*((O2422/100-cota_s)^(3/2))*1000)),IF(O2422&lt;=cota_s*100+fi_s/20,0,(OFFSET('Base de dados'!$A$4,IF(O2422&lt;20,1,IF(O2422&gt;1000,10,MATCH(O2422,Cargas,1))),Coluna_fis,1,1))*(PI()*(fi_s/1000)^2/4)*(2*9.81*(O2422/100-cota_s-fi_s/2/1000))^0.5*1000)))</f>
        <v>5.8858617644881717</v>
      </c>
      <c r="R2422" s="38">
        <f t="shared" ca="1" si="275"/>
        <v>12.461703451978831</v>
      </c>
      <c r="S2422" s="38">
        <f t="shared" ca="1" si="276"/>
        <v>756.56250000000011</v>
      </c>
    </row>
    <row r="2423" spans="13:19">
      <c r="M2423" s="132">
        <f t="shared" ca="1" si="273"/>
        <v>769.33958687113386</v>
      </c>
      <c r="N2423" s="38">
        <f t="shared" si="274"/>
        <v>22.706249999999997</v>
      </c>
      <c r="O2423" s="36">
        <f t="shared" si="272"/>
        <v>605.5</v>
      </c>
      <c r="P2423" s="38">
        <f ca="1">IF(ISERROR(IF(O2423&lt;fi_h/20,0,(OFFSET('Base de dados'!$A$5,IF(O2423&lt;20,1,IF(O2423&gt;1000,10,MATCH(O2423,Cargas,1))),Coluna_fih,1,1))*(1+0.13*0.25)*(PI()*(fi_h/1000)^2/4)*SQRT(2*9.81*(O2423/100-fi_h/2/1000))*1000)),"",IF(O2423&lt;fi_h/20,0,(OFFSET('Base de dados'!$A$5,IF(O2423&lt;20,1,IF(O2423&gt;1000,10,MATCH(O2423,Cargas,1))),Coluna_fih,1,1))*(PI()*(fi_h/1000)^2/4)*SQRT(2*9.81*(O2423/100-fi_h/2/1000))*1000))</f>
        <v>6.5772035909203526</v>
      </c>
      <c r="Q2423" s="38">
        <f ca="1">IF(O2423="","",IF(Tipo_Vertedor="Retangular",IF(O2423&lt;=cota_s*100,0,IF(Tipo_Vertedor="Retangular",Cd_sr*Lef_sr*((O2423/100-cota_s)^(3/2))*1000)),IF(O2423&lt;=cota_s*100+fi_s/20,0,(OFFSET('Base de dados'!$A$4,IF(O2423&lt;20,1,IF(O2423&gt;1000,10,MATCH(O2423,Cargas,1))),Coluna_fis,1,1))*(PI()*(fi_s/1000)^2/4)*(2*9.81*(O2423/100-cota_s-fi_s/2/1000))^0.5*1000)))</f>
        <v>5.8873832802136628</v>
      </c>
      <c r="R2423" s="38">
        <f t="shared" ca="1" si="275"/>
        <v>12.464586871134015</v>
      </c>
      <c r="S2423" s="38">
        <f t="shared" ca="1" si="276"/>
        <v>756.87499999999989</v>
      </c>
    </row>
    <row r="2424" spans="13:19">
      <c r="M2424" s="132">
        <f t="shared" ca="1" si="273"/>
        <v>769.65496961523229</v>
      </c>
      <c r="N2424" s="38">
        <f t="shared" si="274"/>
        <v>22.715624999999999</v>
      </c>
      <c r="O2424" s="36">
        <f t="shared" si="272"/>
        <v>605.75</v>
      </c>
      <c r="P2424" s="38">
        <f ca="1">IF(ISERROR(IF(O2424&lt;fi_h/20,0,(OFFSET('Base de dados'!$A$5,IF(O2424&lt;20,1,IF(O2424&gt;1000,10,MATCH(O2424,Cargas,1))),Coluna_fih,1,1))*(1+0.13*0.25)*(PI()*(fi_h/1000)^2/4)*SQRT(2*9.81*(O2424/100-fi_h/2/1000))*1000)),"",IF(O2424&lt;fi_h/20,0,(OFFSET('Base de dados'!$A$5,IF(O2424&lt;20,1,IF(O2424&gt;1000,10,MATCH(O2424,Cargas,1))),Coluna_fih,1,1))*(PI()*(fi_h/1000)^2/4)*SQRT(2*9.81*(O2424/100-fi_h/2/1000))*1000))</f>
        <v>6.5785652124069705</v>
      </c>
      <c r="Q2424" s="38">
        <f ca="1">IF(O2424="","",IF(Tipo_Vertedor="Retangular",IF(O2424&lt;=cota_s*100,0,IF(Tipo_Vertedor="Retangular",Cd_sr*Lef_sr*((O2424/100-cota_s)^(3/2))*1000)),IF(O2424&lt;=cota_s*100+fi_s/20,0,(OFFSET('Base de dados'!$A$4,IF(O2424&lt;20,1,IF(O2424&gt;1000,10,MATCH(O2424,Cargas,1))),Coluna_fis,1,1))*(PI()*(fi_s/1000)^2/4)*(2*9.81*(O2424/100-cota_s-fi_s/2/1000))^0.5*1000)))</f>
        <v>5.8889044028252799</v>
      </c>
      <c r="R2424" s="38">
        <f t="shared" ca="1" si="275"/>
        <v>12.46746961523225</v>
      </c>
      <c r="S2424" s="38">
        <f t="shared" ca="1" si="276"/>
        <v>757.1875</v>
      </c>
    </row>
    <row r="2425" spans="13:19">
      <c r="M2425" s="132">
        <f t="shared" ca="1" si="273"/>
        <v>769.97035168475304</v>
      </c>
      <c r="N2425" s="38">
        <f t="shared" si="274"/>
        <v>22.724999999999998</v>
      </c>
      <c r="O2425" s="36">
        <f t="shared" si="272"/>
        <v>606</v>
      </c>
      <c r="P2425" s="38">
        <f ca="1">IF(ISERROR(IF(O2425&lt;fi_h/20,0,(OFFSET('Base de dados'!$A$5,IF(O2425&lt;20,1,IF(O2425&gt;1000,10,MATCH(O2425,Cargas,1))),Coluna_fih,1,1))*(1+0.13*0.25)*(PI()*(fi_h/1000)^2/4)*SQRT(2*9.81*(O2425/100-fi_h/2/1000))*1000)),"",IF(O2425&lt;fi_h/20,0,(OFFSET('Base de dados'!$A$5,IF(O2425&lt;20,1,IF(O2425&gt;1000,10,MATCH(O2425,Cargas,1))),Coluna_fih,1,1))*(PI()*(fi_h/1000)^2/4)*SQRT(2*9.81*(O2425/100-fi_h/2/1000))*1000))</f>
        <v>6.5799265521255421</v>
      </c>
      <c r="Q2425" s="38">
        <f ca="1">IF(O2425="","",IF(Tipo_Vertedor="Retangular",IF(O2425&lt;=cota_s*100,0,IF(Tipo_Vertedor="Retangular",Cd_sr*Lef_sr*((O2425/100-cota_s)^(3/2))*1000)),IF(O2425&lt;=cota_s*100+fi_s/20,0,(OFFSET('Base de dados'!$A$4,IF(O2425&lt;20,1,IF(O2425&gt;1000,10,MATCH(O2425,Cargas,1))),Coluna_fis,1,1))*(PI()*(fi_s/1000)^2/4)*(2*9.81*(O2425/100-cota_s-fi_s/2/1000))^0.5*1000)))</f>
        <v>5.8904251326275707</v>
      </c>
      <c r="R2425" s="38">
        <f t="shared" ca="1" si="275"/>
        <v>12.470351684753112</v>
      </c>
      <c r="S2425" s="38">
        <f t="shared" ca="1" si="276"/>
        <v>757.49999999999989</v>
      </c>
    </row>
    <row r="2426" spans="13:19">
      <c r="M2426" s="132">
        <f t="shared" ca="1" si="273"/>
        <v>770.28573308017565</v>
      </c>
      <c r="N2426" s="38">
        <f t="shared" si="274"/>
        <v>22.734375</v>
      </c>
      <c r="O2426" s="36">
        <f t="shared" si="272"/>
        <v>606.25</v>
      </c>
      <c r="P2426" s="38">
        <f ca="1">IF(ISERROR(IF(O2426&lt;fi_h/20,0,(OFFSET('Base de dados'!$A$5,IF(O2426&lt;20,1,IF(O2426&gt;1000,10,MATCH(O2426,Cargas,1))),Coluna_fih,1,1))*(1+0.13*0.25)*(PI()*(fi_h/1000)^2/4)*SQRT(2*9.81*(O2426/100-fi_h/2/1000))*1000)),"",IF(O2426&lt;fi_h/20,0,(OFFSET('Base de dados'!$A$5,IF(O2426&lt;20,1,IF(O2426&gt;1000,10,MATCH(O2426,Cargas,1))),Coluna_fih,1,1))*(PI()*(fi_h/1000)^2/4)*SQRT(2*9.81*(O2426/100-fi_h/2/1000))*1000))</f>
        <v>6.5812876102509232</v>
      </c>
      <c r="Q2426" s="38">
        <f ca="1">IF(O2426="","",IF(Tipo_Vertedor="Retangular",IF(O2426&lt;=cota_s*100,0,IF(Tipo_Vertedor="Retangular",Cd_sr*Lef_sr*((O2426/100-cota_s)^(3/2))*1000)),IF(O2426&lt;=cota_s*100+fi_s/20,0,(OFFSET('Base de dados'!$A$4,IF(O2426&lt;20,1,IF(O2426&gt;1000,10,MATCH(O2426,Cargas,1))),Coluna_fis,1,1))*(PI()*(fi_s/1000)^2/4)*(2*9.81*(O2426/100-cota_s-fi_s/2/1000))^0.5*1000)))</f>
        <v>5.8919454699246936</v>
      </c>
      <c r="R2426" s="38">
        <f t="shared" ca="1" si="275"/>
        <v>12.473233080175618</v>
      </c>
      <c r="S2426" s="38">
        <f t="shared" ca="1" si="276"/>
        <v>757.8125</v>
      </c>
    </row>
    <row r="2427" spans="13:19">
      <c r="M2427" s="132">
        <f t="shared" ca="1" si="273"/>
        <v>770.60111380197827</v>
      </c>
      <c r="N2427" s="38">
        <f t="shared" si="274"/>
        <v>22.743750000000002</v>
      </c>
      <c r="O2427" s="36">
        <f t="shared" si="272"/>
        <v>606.5</v>
      </c>
      <c r="P2427" s="38">
        <f ca="1">IF(ISERROR(IF(O2427&lt;fi_h/20,0,(OFFSET('Base de dados'!$A$5,IF(O2427&lt;20,1,IF(O2427&gt;1000,10,MATCH(O2427,Cargas,1))),Coluna_fih,1,1))*(1+0.13*0.25)*(PI()*(fi_h/1000)^2/4)*SQRT(2*9.81*(O2427/100-fi_h/2/1000))*1000)),"",IF(O2427&lt;fi_h/20,0,(OFFSET('Base de dados'!$A$5,IF(O2427&lt;20,1,IF(O2427&gt;1000,10,MATCH(O2427,Cargas,1))),Coluna_fih,1,1))*(PI()*(fi_h/1000)^2/4)*SQRT(2*9.81*(O2427/100-fi_h/2/1000))*1000))</f>
        <v>6.582648386957783</v>
      </c>
      <c r="Q2427" s="38">
        <f ca="1">IF(O2427="","",IF(Tipo_Vertedor="Retangular",IF(O2427&lt;=cota_s*100,0,IF(Tipo_Vertedor="Retangular",Cd_sr*Lef_sr*((O2427/100-cota_s)^(3/2))*1000)),IF(O2427&lt;=cota_s*100+fi_s/20,0,(OFFSET('Base de dados'!$A$4,IF(O2427&lt;20,1,IF(O2427&gt;1000,10,MATCH(O2427,Cargas,1))),Coluna_fis,1,1))*(PI()*(fi_s/1000)^2/4)*(2*9.81*(O2427/100-cota_s-fi_s/2/1000))^0.5*1000)))</f>
        <v>5.89346541502041</v>
      </c>
      <c r="R2427" s="38">
        <f t="shared" ca="1" si="275"/>
        <v>12.476113801978194</v>
      </c>
      <c r="S2427" s="38">
        <f t="shared" ca="1" si="276"/>
        <v>758.12500000000011</v>
      </c>
    </row>
    <row r="2428" spans="13:19">
      <c r="M2428" s="132">
        <f t="shared" ca="1" si="273"/>
        <v>770.91649385063874</v>
      </c>
      <c r="N2428" s="38">
        <f t="shared" si="274"/>
        <v>22.753125000000001</v>
      </c>
      <c r="O2428" s="36">
        <f t="shared" si="272"/>
        <v>606.75</v>
      </c>
      <c r="P2428" s="38">
        <f ca="1">IF(ISERROR(IF(O2428&lt;fi_h/20,0,(OFFSET('Base de dados'!$A$5,IF(O2428&lt;20,1,IF(O2428&gt;1000,10,MATCH(O2428,Cargas,1))),Coluna_fih,1,1))*(1+0.13*0.25)*(PI()*(fi_h/1000)^2/4)*SQRT(2*9.81*(O2428/100-fi_h/2/1000))*1000)),"",IF(O2428&lt;fi_h/20,0,(OFFSET('Base de dados'!$A$5,IF(O2428&lt;20,1,IF(O2428&gt;1000,10,MATCH(O2428,Cargas,1))),Coluna_fih,1,1))*(PI()*(fi_h/1000)^2/4)*SQRT(2*9.81*(O2428/100-fi_h/2/1000))*1000))</f>
        <v>6.5840088824206076</v>
      </c>
      <c r="Q2428" s="38">
        <f ca="1">IF(O2428="","",IF(Tipo_Vertedor="Retangular",IF(O2428&lt;=cota_s*100,0,IF(Tipo_Vertedor="Retangular",Cd_sr*Lef_sr*((O2428/100-cota_s)^(3/2))*1000)),IF(O2428&lt;=cota_s*100+fi_s/20,0,(OFFSET('Base de dados'!$A$4,IF(O2428&lt;20,1,IF(O2428&gt;1000,10,MATCH(O2428,Cargas,1))),Coluna_fis,1,1))*(PI()*(fi_s/1000)^2/4)*(2*9.81*(O2428/100-cota_s-fi_s/2/1000))^0.5*1000)))</f>
        <v>5.8949849682180924</v>
      </c>
      <c r="R2428" s="38">
        <f t="shared" ca="1" si="275"/>
        <v>12.4789938506387</v>
      </c>
      <c r="S2428" s="38">
        <f t="shared" ca="1" si="276"/>
        <v>758.4375</v>
      </c>
    </row>
    <row r="2429" spans="13:19">
      <c r="M2429" s="132">
        <f t="shared" ca="1" si="273"/>
        <v>771.23187322663455</v>
      </c>
      <c r="N2429" s="38">
        <f t="shared" si="274"/>
        <v>22.762500000000003</v>
      </c>
      <c r="O2429" s="36">
        <f t="shared" si="272"/>
        <v>607</v>
      </c>
      <c r="P2429" s="38">
        <f ca="1">IF(ISERROR(IF(O2429&lt;fi_h/20,0,(OFFSET('Base de dados'!$A$5,IF(O2429&lt;20,1,IF(O2429&gt;1000,10,MATCH(O2429,Cargas,1))),Coluna_fih,1,1))*(1+0.13*0.25)*(PI()*(fi_h/1000)^2/4)*SQRT(2*9.81*(O2429/100-fi_h/2/1000))*1000)),"",IF(O2429&lt;fi_h/20,0,(OFFSET('Base de dados'!$A$5,IF(O2429&lt;20,1,IF(O2429&gt;1000,10,MATCH(O2429,Cargas,1))),Coluna_fih,1,1))*(PI()*(fi_h/1000)^2/4)*SQRT(2*9.81*(O2429/100-fi_h/2/1000))*1000))</f>
        <v>6.5853690968137126</v>
      </c>
      <c r="Q2429" s="38">
        <f ca="1">IF(O2429="","",IF(Tipo_Vertedor="Retangular",IF(O2429&lt;=cota_s*100,0,IF(Tipo_Vertedor="Retangular",Cd_sr*Lef_sr*((O2429/100-cota_s)^(3/2))*1000)),IF(O2429&lt;=cota_s*100+fi_s/20,0,(OFFSET('Base de dados'!$A$4,IF(O2429&lt;20,1,IF(O2429&gt;1000,10,MATCH(O2429,Cargas,1))),Coluna_fis,1,1))*(PI()*(fi_s/1000)^2/4)*(2*9.81*(O2429/100-cota_s-fi_s/2/1000))^0.5*1000)))</f>
        <v>5.8965041298207241</v>
      </c>
      <c r="R2429" s="38">
        <f t="shared" ca="1" si="275"/>
        <v>12.481873226634438</v>
      </c>
      <c r="S2429" s="38">
        <f t="shared" ca="1" si="276"/>
        <v>758.75000000000011</v>
      </c>
    </row>
    <row r="2430" spans="13:19">
      <c r="M2430" s="132">
        <f t="shared" ca="1" si="273"/>
        <v>771.54725193044203</v>
      </c>
      <c r="N2430" s="38">
        <f t="shared" si="274"/>
        <v>22.771874999999998</v>
      </c>
      <c r="O2430" s="36">
        <f t="shared" si="272"/>
        <v>607.25</v>
      </c>
      <c r="P2430" s="38">
        <f ca="1">IF(ISERROR(IF(O2430&lt;fi_h/20,0,(OFFSET('Base de dados'!$A$5,IF(O2430&lt;20,1,IF(O2430&gt;1000,10,MATCH(O2430,Cargas,1))),Coluna_fih,1,1))*(1+0.13*0.25)*(PI()*(fi_h/1000)^2/4)*SQRT(2*9.81*(O2430/100-fi_h/2/1000))*1000)),"",IF(O2430&lt;fi_h/20,0,(OFFSET('Base de dados'!$A$5,IF(O2430&lt;20,1,IF(O2430&gt;1000,10,MATCH(O2430,Cargas,1))),Coluna_fih,1,1))*(PI()*(fi_h/1000)^2/4)*SQRT(2*9.81*(O2430/100-fi_h/2/1000))*1000))</f>
        <v>6.586729030311222</v>
      </c>
      <c r="Q2430" s="38">
        <f ca="1">IF(O2430="","",IF(Tipo_Vertedor="Retangular",IF(O2430&lt;=cota_s*100,0,IF(Tipo_Vertedor="Retangular",Cd_sr*Lef_sr*((O2430/100-cota_s)^(3/2))*1000)),IF(O2430&lt;=cota_s*100+fi_s/20,0,(OFFSET('Base de dados'!$A$4,IF(O2430&lt;20,1,IF(O2430&gt;1000,10,MATCH(O2430,Cargas,1))),Coluna_fis,1,1))*(PI()*(fi_s/1000)^2/4)*(2*9.81*(O2430/100-cota_s-fi_s/2/1000))^0.5*1000)))</f>
        <v>5.8980229001308917</v>
      </c>
      <c r="R2430" s="38">
        <f t="shared" ca="1" si="275"/>
        <v>12.484751930442114</v>
      </c>
      <c r="S2430" s="38">
        <f t="shared" ca="1" si="276"/>
        <v>759.06249999999989</v>
      </c>
    </row>
    <row r="2431" spans="13:19">
      <c r="M2431" s="132">
        <f t="shared" ca="1" si="273"/>
        <v>771.86262996253788</v>
      </c>
      <c r="N2431" s="38">
        <f t="shared" si="274"/>
        <v>22.78125</v>
      </c>
      <c r="O2431" s="36">
        <f t="shared" si="272"/>
        <v>607.5</v>
      </c>
      <c r="P2431" s="38">
        <f ca="1">IF(ISERROR(IF(O2431&lt;fi_h/20,0,(OFFSET('Base de dados'!$A$5,IF(O2431&lt;20,1,IF(O2431&gt;1000,10,MATCH(O2431,Cargas,1))),Coluna_fih,1,1))*(1+0.13*0.25)*(PI()*(fi_h/1000)^2/4)*SQRT(2*9.81*(O2431/100-fi_h/2/1000))*1000)),"",IF(O2431&lt;fi_h/20,0,(OFFSET('Base de dados'!$A$5,IF(O2431&lt;20,1,IF(O2431&gt;1000,10,MATCH(O2431,Cargas,1))),Coluna_fih,1,1))*(PI()*(fi_h/1000)^2/4)*SQRT(2*9.81*(O2431/100-fi_h/2/1000))*1000))</f>
        <v>6.5880886830870891</v>
      </c>
      <c r="Q2431" s="38">
        <f ca="1">IF(O2431="","",IF(Tipo_Vertedor="Retangular",IF(O2431&lt;=cota_s*100,0,IF(Tipo_Vertedor="Retangular",Cd_sr*Lef_sr*((O2431/100-cota_s)^(3/2))*1000)),IF(O2431&lt;=cota_s*100+fi_s/20,0,(OFFSET('Base de dados'!$A$4,IF(O2431&lt;20,1,IF(O2431&gt;1000,10,MATCH(O2431,Cargas,1))),Coluna_fis,1,1))*(PI()*(fi_s/1000)^2/4)*(2*9.81*(O2431/100-cota_s-fi_s/2/1000))^0.5*1000)))</f>
        <v>5.8995412794508004</v>
      </c>
      <c r="R2431" s="38">
        <f t="shared" ca="1" si="275"/>
        <v>12.487629962537889</v>
      </c>
      <c r="S2431" s="38">
        <f t="shared" ca="1" si="276"/>
        <v>759.375</v>
      </c>
    </row>
    <row r="2432" spans="13:19">
      <c r="M2432" s="132">
        <f t="shared" ca="1" si="273"/>
        <v>772.17800732339731</v>
      </c>
      <c r="N2432" s="38">
        <f t="shared" si="274"/>
        <v>22.790624999999999</v>
      </c>
      <c r="O2432" s="36">
        <f t="shared" si="272"/>
        <v>607.75</v>
      </c>
      <c r="P2432" s="38">
        <f ca="1">IF(ISERROR(IF(O2432&lt;fi_h/20,0,(OFFSET('Base de dados'!$A$5,IF(O2432&lt;20,1,IF(O2432&gt;1000,10,MATCH(O2432,Cargas,1))),Coluna_fih,1,1))*(1+0.13*0.25)*(PI()*(fi_h/1000)^2/4)*SQRT(2*9.81*(O2432/100-fi_h/2/1000))*1000)),"",IF(O2432&lt;fi_h/20,0,(OFFSET('Base de dados'!$A$5,IF(O2432&lt;20,1,IF(O2432&gt;1000,10,MATCH(O2432,Cargas,1))),Coluna_fih,1,1))*(PI()*(fi_h/1000)^2/4)*SQRT(2*9.81*(O2432/100-fi_h/2/1000))*1000))</f>
        <v>6.5894480553150858</v>
      </c>
      <c r="Q2432" s="38">
        <f ca="1">IF(O2432="","",IF(Tipo_Vertedor="Retangular",IF(O2432&lt;=cota_s*100,0,IF(Tipo_Vertedor="Retangular",Cd_sr*Lef_sr*((O2432/100-cota_s)^(3/2))*1000)),IF(O2432&lt;=cota_s*100+fi_s/20,0,(OFFSET('Base de dados'!$A$4,IF(O2432&lt;20,1,IF(O2432&gt;1000,10,MATCH(O2432,Cargas,1))),Coluna_fis,1,1))*(PI()*(fi_s/1000)^2/4)*(2*9.81*(O2432/100-cota_s-fi_s/2/1000))^0.5*1000)))</f>
        <v>5.9010592680822622</v>
      </c>
      <c r="R2432" s="38">
        <f t="shared" ca="1" si="275"/>
        <v>12.490507323397349</v>
      </c>
      <c r="S2432" s="38">
        <f t="shared" ca="1" si="276"/>
        <v>759.6875</v>
      </c>
    </row>
    <row r="2433" spans="13:19">
      <c r="M2433" s="132">
        <f t="shared" ca="1" si="273"/>
        <v>772.49338401349553</v>
      </c>
      <c r="N2433" s="38">
        <f t="shared" si="274"/>
        <v>22.8</v>
      </c>
      <c r="O2433" s="36">
        <f t="shared" si="272"/>
        <v>608</v>
      </c>
      <c r="P2433" s="38">
        <f ca="1">IF(ISERROR(IF(O2433&lt;fi_h/20,0,(OFFSET('Base de dados'!$A$5,IF(O2433&lt;20,1,IF(O2433&gt;1000,10,MATCH(O2433,Cargas,1))),Coluna_fih,1,1))*(1+0.13*0.25)*(PI()*(fi_h/1000)^2/4)*SQRT(2*9.81*(O2433/100-fi_h/2/1000))*1000)),"",IF(O2433&lt;fi_h/20,0,(OFFSET('Base de dados'!$A$5,IF(O2433&lt;20,1,IF(O2433&gt;1000,10,MATCH(O2433,Cargas,1))),Coluna_fih,1,1))*(PI()*(fi_h/1000)^2/4)*SQRT(2*9.81*(O2433/100-fi_h/2/1000))*1000))</f>
        <v>6.5908071471688006</v>
      </c>
      <c r="Q2433" s="38">
        <f ca="1">IF(O2433="","",IF(Tipo_Vertedor="Retangular",IF(O2433&lt;=cota_s*100,0,IF(Tipo_Vertedor="Retangular",Cd_sr*Lef_sr*((O2433/100-cota_s)^(3/2))*1000)),IF(O2433&lt;=cota_s*100+fi_s/20,0,(OFFSET('Base de dados'!$A$4,IF(O2433&lt;20,1,IF(O2433&gt;1000,10,MATCH(O2433,Cargas,1))),Coluna_fis,1,1))*(PI()*(fi_s/1000)^2/4)*(2*9.81*(O2433/100-cota_s-fi_s/2/1000))^0.5*1000)))</f>
        <v>5.9025768663267018</v>
      </c>
      <c r="R2433" s="38">
        <f t="shared" ca="1" si="275"/>
        <v>12.493384013495502</v>
      </c>
      <c r="S2433" s="38">
        <f t="shared" ca="1" si="276"/>
        <v>760</v>
      </c>
    </row>
    <row r="2434" spans="13:19">
      <c r="M2434" s="132">
        <f t="shared" ca="1" si="273"/>
        <v>772.80876003330684</v>
      </c>
      <c r="N2434" s="38">
        <f t="shared" si="274"/>
        <v>22.809374999999999</v>
      </c>
      <c r="O2434" s="36">
        <f t="shared" si="272"/>
        <v>608.25</v>
      </c>
      <c r="P2434" s="38">
        <f ca="1">IF(ISERROR(IF(O2434&lt;fi_h/20,0,(OFFSET('Base de dados'!$A$5,IF(O2434&lt;20,1,IF(O2434&gt;1000,10,MATCH(O2434,Cargas,1))),Coluna_fih,1,1))*(1+0.13*0.25)*(PI()*(fi_h/1000)^2/4)*SQRT(2*9.81*(O2434/100-fi_h/2/1000))*1000)),"",IF(O2434&lt;fi_h/20,0,(OFFSET('Base de dados'!$A$5,IF(O2434&lt;20,1,IF(O2434&gt;1000,10,MATCH(O2434,Cargas,1))),Coluna_fih,1,1))*(PI()*(fi_h/1000)^2/4)*SQRT(2*9.81*(O2434/100-fi_h/2/1000))*1000))</f>
        <v>6.5921659588216457</v>
      </c>
      <c r="Q2434" s="38">
        <f ca="1">IF(O2434="","",IF(Tipo_Vertedor="Retangular",IF(O2434&lt;=cota_s*100,0,IF(Tipo_Vertedor="Retangular",Cd_sr*Lef_sr*((O2434/100-cota_s)^(3/2))*1000)),IF(O2434&lt;=cota_s*100+fi_s/20,0,(OFFSET('Base de dados'!$A$4,IF(O2434&lt;20,1,IF(O2434&gt;1000,10,MATCH(O2434,Cargas,1))),Coluna_fis,1,1))*(PI()*(fi_s/1000)^2/4)*(2*9.81*(O2434/100-cota_s-fi_s/2/1000))^0.5*1000)))</f>
        <v>5.9040940744851547</v>
      </c>
      <c r="R2434" s="38">
        <f t="shared" ca="1" si="275"/>
        <v>12.4962600333068</v>
      </c>
      <c r="S2434" s="38">
        <f t="shared" ca="1" si="276"/>
        <v>760.3125</v>
      </c>
    </row>
    <row r="2435" spans="13:19">
      <c r="M2435" s="132">
        <f t="shared" ca="1" si="273"/>
        <v>773.12413538330509</v>
      </c>
      <c r="N2435" s="38">
        <f t="shared" si="274"/>
        <v>22.818750000000001</v>
      </c>
      <c r="O2435" s="36">
        <f t="shared" si="272"/>
        <v>608.5</v>
      </c>
      <c r="P2435" s="38">
        <f ca="1">IF(ISERROR(IF(O2435&lt;fi_h/20,0,(OFFSET('Base de dados'!$A$5,IF(O2435&lt;20,1,IF(O2435&gt;1000,10,MATCH(O2435,Cargas,1))),Coluna_fih,1,1))*(1+0.13*0.25)*(PI()*(fi_h/1000)^2/4)*SQRT(2*9.81*(O2435/100-fi_h/2/1000))*1000)),"",IF(O2435&lt;fi_h/20,0,(OFFSET('Base de dados'!$A$5,IF(O2435&lt;20,1,IF(O2435&gt;1000,10,MATCH(O2435,Cargas,1))),Coluna_fih,1,1))*(PI()*(fi_h/1000)^2/4)*SQRT(2*9.81*(O2435/100-fi_h/2/1000))*1000))</f>
        <v>6.5935244904468577</v>
      </c>
      <c r="Q2435" s="38">
        <f ca="1">IF(O2435="","",IF(Tipo_Vertedor="Retangular",IF(O2435&lt;=cota_s*100,0,IF(Tipo_Vertedor="Retangular",Cd_sr*Lef_sr*((O2435/100-cota_s)^(3/2))*1000)),IF(O2435&lt;=cota_s*100+fi_s/20,0,(OFFSET('Base de dados'!$A$4,IF(O2435&lt;20,1,IF(O2435&gt;1000,10,MATCH(O2435,Cargas,1))),Coluna_fis,1,1))*(PI()*(fi_s/1000)^2/4)*(2*9.81*(O2435/100-cota_s-fi_s/2/1000))^0.5*1000)))</f>
        <v>5.9056108928582729</v>
      </c>
      <c r="R2435" s="38">
        <f t="shared" ca="1" si="275"/>
        <v>12.499135383305131</v>
      </c>
      <c r="S2435" s="38">
        <f t="shared" ca="1" si="276"/>
        <v>760.625</v>
      </c>
    </row>
    <row r="2436" spans="13:19">
      <c r="M2436" s="132">
        <f t="shared" ca="1" si="273"/>
        <v>773.43951006396378</v>
      </c>
      <c r="N2436" s="38">
        <f t="shared" si="274"/>
        <v>22.828125</v>
      </c>
      <c r="O2436" s="36">
        <f t="shared" si="272"/>
        <v>608.75</v>
      </c>
      <c r="P2436" s="38">
        <f ca="1">IF(ISERROR(IF(O2436&lt;fi_h/20,0,(OFFSET('Base de dados'!$A$5,IF(O2436&lt;20,1,IF(O2436&gt;1000,10,MATCH(O2436,Cargas,1))),Coluna_fih,1,1))*(1+0.13*0.25)*(PI()*(fi_h/1000)^2/4)*SQRT(2*9.81*(O2436/100-fi_h/2/1000))*1000)),"",IF(O2436&lt;fi_h/20,0,(OFFSET('Base de dados'!$A$5,IF(O2436&lt;20,1,IF(O2436&gt;1000,10,MATCH(O2436,Cargas,1))),Coluna_fih,1,1))*(PI()*(fi_h/1000)^2/4)*SQRT(2*9.81*(O2436/100-fi_h/2/1000))*1000))</f>
        <v>6.5948827422174885</v>
      </c>
      <c r="Q2436" s="38">
        <f ca="1">IF(O2436="","",IF(Tipo_Vertedor="Retangular",IF(O2436&lt;=cota_s*100,0,IF(Tipo_Vertedor="Retangular",Cd_sr*Lef_sr*((O2436/100-cota_s)^(3/2))*1000)),IF(O2436&lt;=cota_s*100+fi_s/20,0,(OFFSET('Base de dados'!$A$4,IF(O2436&lt;20,1,IF(O2436&gt;1000,10,MATCH(O2436,Cargas,1))),Coluna_fis,1,1))*(PI()*(fi_s/1000)^2/4)*(2*9.81*(O2436/100-cota_s-fi_s/2/1000))^0.5*1000)))</f>
        <v>5.907127321746322</v>
      </c>
      <c r="R2436" s="38">
        <f t="shared" ca="1" si="275"/>
        <v>12.502010063963811</v>
      </c>
      <c r="S2436" s="38">
        <f t="shared" ca="1" si="276"/>
        <v>760.9375</v>
      </c>
    </row>
    <row r="2437" spans="13:19">
      <c r="M2437" s="132">
        <f t="shared" ca="1" si="273"/>
        <v>773.75488407575563</v>
      </c>
      <c r="N2437" s="38">
        <f t="shared" si="274"/>
        <v>22.837499999999999</v>
      </c>
      <c r="O2437" s="36">
        <f t="shared" si="272"/>
        <v>609</v>
      </c>
      <c r="P2437" s="38">
        <f ca="1">IF(ISERROR(IF(O2437&lt;fi_h/20,0,(OFFSET('Base de dados'!$A$5,IF(O2437&lt;20,1,IF(O2437&gt;1000,10,MATCH(O2437,Cargas,1))),Coluna_fih,1,1))*(1+0.13*0.25)*(PI()*(fi_h/1000)^2/4)*SQRT(2*9.81*(O2437/100-fi_h/2/1000))*1000)),"",IF(O2437&lt;fi_h/20,0,(OFFSET('Base de dados'!$A$5,IF(O2437&lt;20,1,IF(O2437&gt;1000,10,MATCH(O2437,Cargas,1))),Coluna_fih,1,1))*(PI()*(fi_h/1000)^2/4)*SQRT(2*9.81*(O2437/100-fi_h/2/1000))*1000))</f>
        <v>6.5962407143064175</v>
      </c>
      <c r="Q2437" s="38">
        <f ca="1">IF(O2437="","",IF(Tipo_Vertedor="Retangular",IF(O2437&lt;=cota_s*100,0,IF(Tipo_Vertedor="Retangular",Cd_sr*Lef_sr*((O2437/100-cota_s)^(3/2))*1000)),IF(O2437&lt;=cota_s*100+fi_s/20,0,(OFFSET('Base de dados'!$A$4,IF(O2437&lt;20,1,IF(O2437&gt;1000,10,MATCH(O2437,Cargas,1))),Coluna_fis,1,1))*(PI()*(fi_s/1000)^2/4)*(2*9.81*(O2437/100-cota_s-fi_s/2/1000))^0.5*1000)))</f>
        <v>5.9086433614491778</v>
      </c>
      <c r="R2437" s="38">
        <f t="shared" ca="1" si="275"/>
        <v>12.504884075755594</v>
      </c>
      <c r="S2437" s="38">
        <f t="shared" ca="1" si="276"/>
        <v>761.25</v>
      </c>
    </row>
    <row r="2438" spans="13:19">
      <c r="M2438" s="132">
        <f t="shared" ca="1" si="273"/>
        <v>774.07025741915265</v>
      </c>
      <c r="N2438" s="38">
        <f t="shared" si="274"/>
        <v>22.846875000000001</v>
      </c>
      <c r="O2438" s="36">
        <f t="shared" si="272"/>
        <v>609.25</v>
      </c>
      <c r="P2438" s="38">
        <f ca="1">IF(ISERROR(IF(O2438&lt;fi_h/20,0,(OFFSET('Base de dados'!$A$5,IF(O2438&lt;20,1,IF(O2438&gt;1000,10,MATCH(O2438,Cargas,1))),Coluna_fih,1,1))*(1+0.13*0.25)*(PI()*(fi_h/1000)^2/4)*SQRT(2*9.81*(O2438/100-fi_h/2/1000))*1000)),"",IF(O2438&lt;fi_h/20,0,(OFFSET('Base de dados'!$A$5,IF(O2438&lt;20,1,IF(O2438&gt;1000,10,MATCH(O2438,Cargas,1))),Coluna_fih,1,1))*(PI()*(fi_h/1000)^2/4)*SQRT(2*9.81*(O2438/100-fi_h/2/1000))*1000))</f>
        <v>6.5975984068863429</v>
      </c>
      <c r="Q2438" s="38">
        <f ca="1">IF(O2438="","",IF(Tipo_Vertedor="Retangular",IF(O2438&lt;=cota_s*100,0,IF(Tipo_Vertedor="Retangular",Cd_sr*Lef_sr*((O2438/100-cota_s)^(3/2))*1000)),IF(O2438&lt;=cota_s*100+fi_s/20,0,(OFFSET('Base de dados'!$A$4,IF(O2438&lt;20,1,IF(O2438&gt;1000,10,MATCH(O2438,Cargas,1))),Coluna_fis,1,1))*(PI()*(fi_s/1000)^2/4)*(2*9.81*(O2438/100-cota_s-fi_s/2/1000))^0.5*1000)))</f>
        <v>5.9101590122663392</v>
      </c>
      <c r="R2438" s="38">
        <f t="shared" ca="1" si="275"/>
        <v>12.507757419152682</v>
      </c>
      <c r="S2438" s="38">
        <f t="shared" ca="1" si="276"/>
        <v>761.5625</v>
      </c>
    </row>
    <row r="2439" spans="13:19">
      <c r="M2439" s="132">
        <f t="shared" ca="1" si="273"/>
        <v>774.38563009462666</v>
      </c>
      <c r="N2439" s="38">
        <f t="shared" si="274"/>
        <v>22.856249999999999</v>
      </c>
      <c r="O2439" s="36">
        <f t="shared" si="272"/>
        <v>609.5</v>
      </c>
      <c r="P2439" s="38">
        <f ca="1">IF(ISERROR(IF(O2439&lt;fi_h/20,0,(OFFSET('Base de dados'!$A$5,IF(O2439&lt;20,1,IF(O2439&gt;1000,10,MATCH(O2439,Cargas,1))),Coluna_fih,1,1))*(1+0.13*0.25)*(PI()*(fi_h/1000)^2/4)*SQRT(2*9.81*(O2439/100-fi_h/2/1000))*1000)),"",IF(O2439&lt;fi_h/20,0,(OFFSET('Base de dados'!$A$5,IF(O2439&lt;20,1,IF(O2439&gt;1000,10,MATCH(O2439,Cargas,1))),Coluna_fih,1,1))*(PI()*(fi_h/1000)^2/4)*SQRT(2*9.81*(O2439/100-fi_h/2/1000))*1000))</f>
        <v>6.5989558201297873</v>
      </c>
      <c r="Q2439" s="38">
        <f ca="1">IF(O2439="","",IF(Tipo_Vertedor="Retangular",IF(O2439&lt;=cota_s*100,0,IF(Tipo_Vertedor="Retangular",Cd_sr*Lef_sr*((O2439/100-cota_s)^(3/2))*1000)),IF(O2439&lt;=cota_s*100+fi_s/20,0,(OFFSET('Base de dados'!$A$4,IF(O2439&lt;20,1,IF(O2439&gt;1000,10,MATCH(O2439,Cargas,1))),Coluna_fis,1,1))*(PI()*(fi_s/1000)^2/4)*(2*9.81*(O2439/100-cota_s-fi_s/2/1000))^0.5*1000)))</f>
        <v>5.9116742744969129</v>
      </c>
      <c r="R2439" s="38">
        <f t="shared" ca="1" si="275"/>
        <v>12.5106300946267</v>
      </c>
      <c r="S2439" s="38">
        <f t="shared" ca="1" si="276"/>
        <v>761.875</v>
      </c>
    </row>
    <row r="2440" spans="13:19">
      <c r="M2440" s="132">
        <f t="shared" ca="1" si="273"/>
        <v>774.70100210264877</v>
      </c>
      <c r="N2440" s="38">
        <f t="shared" si="274"/>
        <v>22.865625000000001</v>
      </c>
      <c r="O2440" s="36">
        <f t="shared" si="272"/>
        <v>609.75</v>
      </c>
      <c r="P2440" s="38">
        <f ca="1">IF(ISERROR(IF(O2440&lt;fi_h/20,0,(OFFSET('Base de dados'!$A$5,IF(O2440&lt;20,1,IF(O2440&gt;1000,10,MATCH(O2440,Cargas,1))),Coluna_fih,1,1))*(1+0.13*0.25)*(PI()*(fi_h/1000)^2/4)*SQRT(2*9.81*(O2440/100-fi_h/2/1000))*1000)),"",IF(O2440&lt;fi_h/20,0,(OFFSET('Base de dados'!$A$5,IF(O2440&lt;20,1,IF(O2440&gt;1000,10,MATCH(O2440,Cargas,1))),Coluna_fih,1,1))*(PI()*(fi_h/1000)^2/4)*SQRT(2*9.81*(O2440/100-fi_h/2/1000))*1000))</f>
        <v>6.6003129542090937</v>
      </c>
      <c r="Q2440" s="38">
        <f ca="1">IF(O2440="","",IF(Tipo_Vertedor="Retangular",IF(O2440&lt;=cota_s*100,0,IF(Tipo_Vertedor="Retangular",Cd_sr*Lef_sr*((O2440/100-cota_s)^(3/2))*1000)),IF(O2440&lt;=cota_s*100+fi_s/20,0,(OFFSET('Base de dados'!$A$4,IF(O2440&lt;20,1,IF(O2440&gt;1000,10,MATCH(O2440,Cargas,1))),Coluna_fis,1,1))*(PI()*(fi_s/1000)^2/4)*(2*9.81*(O2440/100-cota_s-fi_s/2/1000))^0.5*1000)))</f>
        <v>5.9131891484396268</v>
      </c>
      <c r="R2440" s="38">
        <f t="shared" ca="1" si="275"/>
        <v>12.513502102648721</v>
      </c>
      <c r="S2440" s="38">
        <f t="shared" ca="1" si="276"/>
        <v>762.1875</v>
      </c>
    </row>
    <row r="2441" spans="13:19">
      <c r="M2441" s="132">
        <f t="shared" ca="1" si="273"/>
        <v>775.0163734436893</v>
      </c>
      <c r="N2441" s="38">
        <f t="shared" si="274"/>
        <v>22.875</v>
      </c>
      <c r="O2441" s="36">
        <f t="shared" si="272"/>
        <v>610</v>
      </c>
      <c r="P2441" s="38">
        <f ca="1">IF(ISERROR(IF(O2441&lt;fi_h/20,0,(OFFSET('Base de dados'!$A$5,IF(O2441&lt;20,1,IF(O2441&gt;1000,10,MATCH(O2441,Cargas,1))),Coluna_fih,1,1))*(1+0.13*0.25)*(PI()*(fi_h/1000)^2/4)*SQRT(2*9.81*(O2441/100-fi_h/2/1000))*1000)),"",IF(O2441&lt;fi_h/20,0,(OFFSET('Base de dados'!$A$5,IF(O2441&lt;20,1,IF(O2441&gt;1000,10,MATCH(O2441,Cargas,1))),Coluna_fih,1,1))*(PI()*(fi_h/1000)^2/4)*SQRT(2*9.81*(O2441/100-fi_h/2/1000))*1000))</f>
        <v>6.6016698092964274</v>
      </c>
      <c r="Q2441" s="38">
        <f ca="1">IF(O2441="","",IF(Tipo_Vertedor="Retangular",IF(O2441&lt;=cota_s*100,0,IF(Tipo_Vertedor="Retangular",Cd_sr*Lef_sr*((O2441/100-cota_s)^(3/2))*1000)),IF(O2441&lt;=cota_s*100+fi_s/20,0,(OFFSET('Base de dados'!$A$4,IF(O2441&lt;20,1,IF(O2441&gt;1000,10,MATCH(O2441,Cargas,1))),Coluna_fis,1,1))*(PI()*(fi_s/1000)^2/4)*(2*9.81*(O2441/100-cota_s-fi_s/2/1000))^0.5*1000)))</f>
        <v>5.9147036343928292</v>
      </c>
      <c r="R2441" s="38">
        <f t="shared" ca="1" si="275"/>
        <v>12.516373443689258</v>
      </c>
      <c r="S2441" s="38">
        <f t="shared" ca="1" si="276"/>
        <v>762.5</v>
      </c>
    </row>
    <row r="2442" spans="13:19">
      <c r="M2442" s="132">
        <f t="shared" ca="1" si="273"/>
        <v>775.33174411821824</v>
      </c>
      <c r="N2442" s="38">
        <f t="shared" si="274"/>
        <v>22.884374999999999</v>
      </c>
      <c r="O2442" s="36">
        <f t="shared" si="272"/>
        <v>610.25</v>
      </c>
      <c r="P2442" s="38">
        <f ca="1">IF(ISERROR(IF(O2442&lt;fi_h/20,0,(OFFSET('Base de dados'!$A$5,IF(O2442&lt;20,1,IF(O2442&gt;1000,10,MATCH(O2442,Cargas,1))),Coluna_fih,1,1))*(1+0.13*0.25)*(PI()*(fi_h/1000)^2/4)*SQRT(2*9.81*(O2442/100-fi_h/2/1000))*1000)),"",IF(O2442&lt;fi_h/20,0,(OFFSET('Base de dados'!$A$5,IF(O2442&lt;20,1,IF(O2442&gt;1000,10,MATCH(O2442,Cargas,1))),Coluna_fih,1,1))*(PI()*(fi_h/1000)^2/4)*SQRT(2*9.81*(O2442/100-fi_h/2/1000))*1000))</f>
        <v>6.6030263855637834</v>
      </c>
      <c r="Q2442" s="38">
        <f ca="1">IF(O2442="","",IF(Tipo_Vertedor="Retangular",IF(O2442&lt;=cota_s*100,0,IF(Tipo_Vertedor="Retangular",Cd_sr*Lef_sr*((O2442/100-cota_s)^(3/2))*1000)),IF(O2442&lt;=cota_s*100+fi_s/20,0,(OFFSET('Base de dados'!$A$4,IF(O2442&lt;20,1,IF(O2442&gt;1000,10,MATCH(O2442,Cargas,1))),Coluna_fis,1,1))*(PI()*(fi_s/1000)^2/4)*(2*9.81*(O2442/100-cota_s-fi_s/2/1000))^0.5*1000)))</f>
        <v>5.9162177326544798</v>
      </c>
      <c r="R2442" s="38">
        <f t="shared" ca="1" si="275"/>
        <v>12.519244118218264</v>
      </c>
      <c r="S2442" s="38">
        <f t="shared" ca="1" si="276"/>
        <v>762.8125</v>
      </c>
    </row>
    <row r="2443" spans="13:19">
      <c r="M2443" s="132">
        <f t="shared" ca="1" si="273"/>
        <v>775.64711412670511</v>
      </c>
      <c r="N2443" s="38">
        <f t="shared" si="274"/>
        <v>22.893750000000001</v>
      </c>
      <c r="O2443" s="36">
        <f t="shared" si="272"/>
        <v>610.5</v>
      </c>
      <c r="P2443" s="38">
        <f ca="1">IF(ISERROR(IF(O2443&lt;fi_h/20,0,(OFFSET('Base de dados'!$A$5,IF(O2443&lt;20,1,IF(O2443&gt;1000,10,MATCH(O2443,Cargas,1))),Coluna_fih,1,1))*(1+0.13*0.25)*(PI()*(fi_h/1000)^2/4)*SQRT(2*9.81*(O2443/100-fi_h/2/1000))*1000)),"",IF(O2443&lt;fi_h/20,0,(OFFSET('Base de dados'!$A$5,IF(O2443&lt;20,1,IF(O2443&gt;1000,10,MATCH(O2443,Cargas,1))),Coluna_fih,1,1))*(PI()*(fi_h/1000)^2/4)*SQRT(2*9.81*(O2443/100-fi_h/2/1000))*1000))</f>
        <v>6.6043826831829699</v>
      </c>
      <c r="Q2443" s="38">
        <f ca="1">IF(O2443="","",IF(Tipo_Vertedor="Retangular",IF(O2443&lt;=cota_s*100,0,IF(Tipo_Vertedor="Retangular",Cd_sr*Lef_sr*((O2443/100-cota_s)^(3/2))*1000)),IF(O2443&lt;=cota_s*100+fi_s/20,0,(OFFSET('Base de dados'!$A$4,IF(O2443&lt;20,1,IF(O2443&gt;1000,10,MATCH(O2443,Cargas,1))),Coluna_fis,1,1))*(PI()*(fi_s/1000)^2/4)*(2*9.81*(O2443/100-cota_s-fi_s/2/1000))^0.5*1000)))</f>
        <v>5.9177314435221628</v>
      </c>
      <c r="R2443" s="38">
        <f t="shared" ca="1" si="275"/>
        <v>12.522114126705134</v>
      </c>
      <c r="S2443" s="38">
        <f t="shared" ca="1" si="276"/>
        <v>763.125</v>
      </c>
    </row>
    <row r="2444" spans="13:19">
      <c r="M2444" s="132">
        <f t="shared" ca="1" si="273"/>
        <v>775.96248346961875</v>
      </c>
      <c r="N2444" s="38">
        <f t="shared" si="274"/>
        <v>22.903124999999999</v>
      </c>
      <c r="O2444" s="36">
        <f t="shared" si="272"/>
        <v>610.75</v>
      </c>
      <c r="P2444" s="38">
        <f ca="1">IF(ISERROR(IF(O2444&lt;fi_h/20,0,(OFFSET('Base de dados'!$A$5,IF(O2444&lt;20,1,IF(O2444&gt;1000,10,MATCH(O2444,Cargas,1))),Coluna_fih,1,1))*(1+0.13*0.25)*(PI()*(fi_h/1000)^2/4)*SQRT(2*9.81*(O2444/100-fi_h/2/1000))*1000)),"",IF(O2444&lt;fi_h/20,0,(OFFSET('Base de dados'!$A$5,IF(O2444&lt;20,1,IF(O2444&gt;1000,10,MATCH(O2444,Cargas,1))),Coluna_fih,1,1))*(PI()*(fi_h/1000)^2/4)*SQRT(2*9.81*(O2444/100-fi_h/2/1000))*1000))</f>
        <v>6.6057387023256284</v>
      </c>
      <c r="Q2444" s="38">
        <f ca="1">IF(O2444="","",IF(Tipo_Vertedor="Retangular",IF(O2444&lt;=cota_s*100,0,IF(Tipo_Vertedor="Retangular",Cd_sr*Lef_sr*((O2444/100-cota_s)^(3/2))*1000)),IF(O2444&lt;=cota_s*100+fi_s/20,0,(OFFSET('Base de dados'!$A$4,IF(O2444&lt;20,1,IF(O2444&gt;1000,10,MATCH(O2444,Cargas,1))),Coluna_fis,1,1))*(PI()*(fi_s/1000)^2/4)*(2*9.81*(O2444/100-cota_s-fi_s/2/1000))^0.5*1000)))</f>
        <v>5.919244767293077</v>
      </c>
      <c r="R2444" s="38">
        <f t="shared" ca="1" si="275"/>
        <v>12.524983469618705</v>
      </c>
      <c r="S2444" s="38">
        <f t="shared" ca="1" si="276"/>
        <v>763.4375</v>
      </c>
    </row>
    <row r="2445" spans="13:19">
      <c r="M2445" s="132">
        <f t="shared" ca="1" si="273"/>
        <v>776.27785214742721</v>
      </c>
      <c r="N2445" s="38">
        <f t="shared" si="274"/>
        <v>22.912500000000001</v>
      </c>
      <c r="O2445" s="36">
        <f t="shared" si="272"/>
        <v>611</v>
      </c>
      <c r="P2445" s="38">
        <f ca="1">IF(ISERROR(IF(O2445&lt;fi_h/20,0,(OFFSET('Base de dados'!$A$5,IF(O2445&lt;20,1,IF(O2445&gt;1000,10,MATCH(O2445,Cargas,1))),Coluna_fih,1,1))*(1+0.13*0.25)*(PI()*(fi_h/1000)^2/4)*SQRT(2*9.81*(O2445/100-fi_h/2/1000))*1000)),"",IF(O2445&lt;fi_h/20,0,(OFFSET('Base de dados'!$A$5,IF(O2445&lt;20,1,IF(O2445&gt;1000,10,MATCH(O2445,Cargas,1))),Coluna_fih,1,1))*(PI()*(fi_h/1000)^2/4)*SQRT(2*9.81*(O2445/100-fi_h/2/1000))*1000))</f>
        <v>6.6070944431632164</v>
      </c>
      <c r="Q2445" s="38">
        <f ca="1">IF(O2445="","",IF(Tipo_Vertedor="Retangular",IF(O2445&lt;=cota_s*100,0,IF(Tipo_Vertedor="Retangular",Cd_sr*Lef_sr*((O2445/100-cota_s)^(3/2))*1000)),IF(O2445&lt;=cota_s*100+fi_s/20,0,(OFFSET('Base de dados'!$A$4,IF(O2445&lt;20,1,IF(O2445&gt;1000,10,MATCH(O2445,Cargas,1))),Coluna_fis,1,1))*(PI()*(fi_s/1000)^2/4)*(2*9.81*(O2445/100-cota_s-fi_s/2/1000))^0.5*1000)))</f>
        <v>5.9207577042640462</v>
      </c>
      <c r="R2445" s="38">
        <f t="shared" ca="1" si="275"/>
        <v>12.527852147427263</v>
      </c>
      <c r="S2445" s="38">
        <f t="shared" ca="1" si="276"/>
        <v>763.75</v>
      </c>
    </row>
    <row r="2446" spans="13:19">
      <c r="M2446" s="132">
        <f t="shared" ca="1" si="273"/>
        <v>776.59322016059855</v>
      </c>
      <c r="N2446" s="38">
        <f t="shared" si="274"/>
        <v>22.921875</v>
      </c>
      <c r="O2446" s="36">
        <f t="shared" si="272"/>
        <v>611.25</v>
      </c>
      <c r="P2446" s="38">
        <f ca="1">IF(ISERROR(IF(O2446&lt;fi_h/20,0,(OFFSET('Base de dados'!$A$5,IF(O2446&lt;20,1,IF(O2446&gt;1000,10,MATCH(O2446,Cargas,1))),Coluna_fih,1,1))*(1+0.13*0.25)*(PI()*(fi_h/1000)^2/4)*SQRT(2*9.81*(O2446/100-fi_h/2/1000))*1000)),"",IF(O2446&lt;fi_h/20,0,(OFFSET('Base de dados'!$A$5,IF(O2446&lt;20,1,IF(O2446&gt;1000,10,MATCH(O2446,Cargas,1))),Coluna_fih,1,1))*(PI()*(fi_h/1000)^2/4)*SQRT(2*9.81*(O2446/100-fi_h/2/1000))*1000))</f>
        <v>6.608449905867019</v>
      </c>
      <c r="Q2446" s="38">
        <f ca="1">IF(O2446="","",IF(Tipo_Vertedor="Retangular",IF(O2446&lt;=cota_s*100,0,IF(Tipo_Vertedor="Retangular",Cd_sr*Lef_sr*((O2446/100-cota_s)^(3/2))*1000)),IF(O2446&lt;=cota_s*100+fi_s/20,0,(OFFSET('Base de dados'!$A$4,IF(O2446&lt;20,1,IF(O2446&gt;1000,10,MATCH(O2446,Cargas,1))),Coluna_fis,1,1))*(PI()*(fi_s/1000)^2/4)*(2*9.81*(O2446/100-cota_s-fi_s/2/1000))^0.5*1000)))</f>
        <v>5.9222702547315098</v>
      </c>
      <c r="R2446" s="38">
        <f t="shared" ca="1" si="275"/>
        <v>12.530720160598529</v>
      </c>
      <c r="S2446" s="38">
        <f t="shared" ca="1" si="276"/>
        <v>764.0625</v>
      </c>
    </row>
    <row r="2447" spans="13:19">
      <c r="M2447" s="132">
        <f t="shared" ca="1" si="273"/>
        <v>776.90858750959978</v>
      </c>
      <c r="N2447" s="38">
        <f t="shared" si="274"/>
        <v>22.931250000000002</v>
      </c>
      <c r="O2447" s="36">
        <f t="shared" si="272"/>
        <v>611.5</v>
      </c>
      <c r="P2447" s="38">
        <f ca="1">IF(ISERROR(IF(O2447&lt;fi_h/20,0,(OFFSET('Base de dados'!$A$5,IF(O2447&lt;20,1,IF(O2447&gt;1000,10,MATCH(O2447,Cargas,1))),Coluna_fih,1,1))*(1+0.13*0.25)*(PI()*(fi_h/1000)^2/4)*SQRT(2*9.81*(O2447/100-fi_h/2/1000))*1000)),"",IF(O2447&lt;fi_h/20,0,(OFFSET('Base de dados'!$A$5,IF(O2447&lt;20,1,IF(O2447&gt;1000,10,MATCH(O2447,Cargas,1))),Coluna_fih,1,1))*(PI()*(fi_h/1000)^2/4)*SQRT(2*9.81*(O2447/100-fi_h/2/1000))*1000))</f>
        <v>6.6098050906081491</v>
      </c>
      <c r="Q2447" s="38">
        <f ca="1">IF(O2447="","",IF(Tipo_Vertedor="Retangular",IF(O2447&lt;=cota_s*100,0,IF(Tipo_Vertedor="Retangular",Cd_sr*Lef_sr*((O2447/100-cota_s)^(3/2))*1000)),IF(O2447&lt;=cota_s*100+fi_s/20,0,(OFFSET('Base de dados'!$A$4,IF(O2447&lt;20,1,IF(O2447&gt;1000,10,MATCH(O2447,Cargas,1))),Coluna_fis,1,1))*(PI()*(fi_s/1000)^2/4)*(2*9.81*(O2447/100-cota_s-fi_s/2/1000))^0.5*1000)))</f>
        <v>5.923782418991534</v>
      </c>
      <c r="R2447" s="38">
        <f t="shared" ca="1" si="275"/>
        <v>12.533587509599684</v>
      </c>
      <c r="S2447" s="38">
        <f t="shared" ca="1" si="276"/>
        <v>764.37500000000011</v>
      </c>
    </row>
    <row r="2448" spans="13:19">
      <c r="M2448" s="132">
        <f t="shared" ca="1" si="273"/>
        <v>777.22395419489726</v>
      </c>
      <c r="N2448" s="38">
        <f t="shared" si="274"/>
        <v>22.940624999999997</v>
      </c>
      <c r="O2448" s="36">
        <f t="shared" si="272"/>
        <v>611.75</v>
      </c>
      <c r="P2448" s="38">
        <f ca="1">IF(ISERROR(IF(O2448&lt;fi_h/20,0,(OFFSET('Base de dados'!$A$5,IF(O2448&lt;20,1,IF(O2448&gt;1000,10,MATCH(O2448,Cargas,1))),Coluna_fih,1,1))*(1+0.13*0.25)*(PI()*(fi_h/1000)^2/4)*SQRT(2*9.81*(O2448/100-fi_h/2/1000))*1000)),"",IF(O2448&lt;fi_h/20,0,(OFFSET('Base de dados'!$A$5,IF(O2448&lt;20,1,IF(O2448&gt;1000,10,MATCH(O2448,Cargas,1))),Coluna_fih,1,1))*(PI()*(fi_h/1000)^2/4)*SQRT(2*9.81*(O2448/100-fi_h/2/1000))*1000))</f>
        <v>6.6111599975575377</v>
      </c>
      <c r="Q2448" s="38">
        <f ca="1">IF(O2448="","",IF(Tipo_Vertedor="Retangular",IF(O2448&lt;=cota_s*100,0,IF(Tipo_Vertedor="Retangular",Cd_sr*Lef_sr*((O2448/100-cota_s)^(3/2))*1000)),IF(O2448&lt;=cota_s*100+fi_s/20,0,(OFFSET('Base de dados'!$A$4,IF(O2448&lt;20,1,IF(O2448&gt;1000,10,MATCH(O2448,Cargas,1))),Coluna_fis,1,1))*(PI()*(fi_s/1000)^2/4)*(2*9.81*(O2448/100-cota_s-fi_s/2/1000))^0.5*1000)))</f>
        <v>5.9252941973398059</v>
      </c>
      <c r="R2448" s="38">
        <f t="shared" ca="1" si="275"/>
        <v>12.536454194897344</v>
      </c>
      <c r="S2448" s="38">
        <f t="shared" ca="1" si="276"/>
        <v>764.68749999999989</v>
      </c>
    </row>
    <row r="2449" spans="13:19">
      <c r="M2449" s="132">
        <f t="shared" ca="1" si="273"/>
        <v>777.53932021695755</v>
      </c>
      <c r="N2449" s="38">
        <f t="shared" si="274"/>
        <v>22.95</v>
      </c>
      <c r="O2449" s="36">
        <f t="shared" si="272"/>
        <v>612</v>
      </c>
      <c r="P2449" s="38">
        <f ca="1">IF(ISERROR(IF(O2449&lt;fi_h/20,0,(OFFSET('Base de dados'!$A$5,IF(O2449&lt;20,1,IF(O2449&gt;1000,10,MATCH(O2449,Cargas,1))),Coluna_fih,1,1))*(1+0.13*0.25)*(PI()*(fi_h/1000)^2/4)*SQRT(2*9.81*(O2449/100-fi_h/2/1000))*1000)),"",IF(O2449&lt;fi_h/20,0,(OFFSET('Base de dados'!$A$5,IF(O2449&lt;20,1,IF(O2449&gt;1000,10,MATCH(O2449,Cargas,1))),Coluna_fih,1,1))*(PI()*(fi_h/1000)^2/4)*SQRT(2*9.81*(O2449/100-fi_h/2/1000))*1000))</f>
        <v>6.6125146268859432</v>
      </c>
      <c r="Q2449" s="38">
        <f ca="1">IF(O2449="","",IF(Tipo_Vertedor="Retangular",IF(O2449&lt;=cota_s*100,0,IF(Tipo_Vertedor="Retangular",Cd_sr*Lef_sr*((O2449/100-cota_s)^(3/2))*1000)),IF(O2449&lt;=cota_s*100+fi_s/20,0,(OFFSET('Base de dados'!$A$4,IF(O2449&lt;20,1,IF(O2449&gt;1000,10,MATCH(O2449,Cargas,1))),Coluna_fis,1,1))*(PI()*(fi_s/1000)^2/4)*(2*9.81*(O2449/100-cota_s-fi_s/2/1000))^0.5*1000)))</f>
        <v>5.9268055900716323</v>
      </c>
      <c r="R2449" s="38">
        <f t="shared" ca="1" si="275"/>
        <v>12.539320216957575</v>
      </c>
      <c r="S2449" s="38">
        <f t="shared" ca="1" si="276"/>
        <v>765</v>
      </c>
    </row>
    <row r="2450" spans="13:19">
      <c r="M2450" s="132">
        <f t="shared" ca="1" si="273"/>
        <v>777.85468557624574</v>
      </c>
      <c r="N2450" s="38">
        <f t="shared" si="274"/>
        <v>22.959374999999998</v>
      </c>
      <c r="O2450" s="36">
        <f t="shared" si="272"/>
        <v>612.25</v>
      </c>
      <c r="P2450" s="38">
        <f ca="1">IF(ISERROR(IF(O2450&lt;fi_h/20,0,(OFFSET('Base de dados'!$A$5,IF(O2450&lt;20,1,IF(O2450&gt;1000,10,MATCH(O2450,Cargas,1))),Coluna_fih,1,1))*(1+0.13*0.25)*(PI()*(fi_h/1000)^2/4)*SQRT(2*9.81*(O2450/100-fi_h/2/1000))*1000)),"",IF(O2450&lt;fi_h/20,0,(OFFSET('Base de dados'!$A$5,IF(O2450&lt;20,1,IF(O2450&gt;1000,10,MATCH(O2450,Cargas,1))),Coluna_fih,1,1))*(PI()*(fi_h/1000)^2/4)*SQRT(2*9.81*(O2450/100-fi_h/2/1000))*1000))</f>
        <v>6.6138689787639517</v>
      </c>
      <c r="Q2450" s="38">
        <f ca="1">IF(O2450="","",IF(Tipo_Vertedor="Retangular",IF(O2450&lt;=cota_s*100,0,IF(Tipo_Vertedor="Retangular",Cd_sr*Lef_sr*((O2450/100-cota_s)^(3/2))*1000)),IF(O2450&lt;=cota_s*100+fi_s/20,0,(OFFSET('Base de dados'!$A$4,IF(O2450&lt;20,1,IF(O2450&gt;1000,10,MATCH(O2450,Cargas,1))),Coluna_fis,1,1))*(PI()*(fi_s/1000)^2/4)*(2*9.81*(O2450/100-cota_s-fi_s/2/1000))^0.5*1000)))</f>
        <v>5.9283165974819463</v>
      </c>
      <c r="R2450" s="38">
        <f t="shared" ca="1" si="275"/>
        <v>12.542185576245899</v>
      </c>
      <c r="S2450" s="38">
        <f t="shared" ca="1" si="276"/>
        <v>765.31249999999989</v>
      </c>
    </row>
    <row r="2451" spans="13:19">
      <c r="M2451" s="132">
        <f t="shared" ca="1" si="273"/>
        <v>778.17005027322728</v>
      </c>
      <c r="N2451" s="38">
        <f t="shared" si="274"/>
        <v>22.96875</v>
      </c>
      <c r="O2451" s="36">
        <f t="shared" ref="O2451:O2514" si="277">IF(ISERROR(IF(O2450+passo_altura&gt;h_max_puls*100,"",O2450+passo_altura)),"",IF(O2450+passo_altura&gt;h_max_puls*100,"",O2450+passo_altura))</f>
        <v>612.5</v>
      </c>
      <c r="P2451" s="38">
        <f ca="1">IF(ISERROR(IF(O2451&lt;fi_h/20,0,(OFFSET('Base de dados'!$A$5,IF(O2451&lt;20,1,IF(O2451&gt;1000,10,MATCH(O2451,Cargas,1))),Coluna_fih,1,1))*(1+0.13*0.25)*(PI()*(fi_h/1000)^2/4)*SQRT(2*9.81*(O2451/100-fi_h/2/1000))*1000)),"",IF(O2451&lt;fi_h/20,0,(OFFSET('Base de dados'!$A$5,IF(O2451&lt;20,1,IF(O2451&gt;1000,10,MATCH(O2451,Cargas,1))),Coluna_fih,1,1))*(PI()*(fi_h/1000)^2/4)*SQRT(2*9.81*(O2451/100-fi_h/2/1000))*1000))</f>
        <v>6.615223053361972</v>
      </c>
      <c r="Q2451" s="38">
        <f ca="1">IF(O2451="","",IF(Tipo_Vertedor="Retangular",IF(O2451&lt;=cota_s*100,0,IF(Tipo_Vertedor="Retangular",Cd_sr*Lef_sr*((O2451/100-cota_s)^(3/2))*1000)),IF(O2451&lt;=cota_s*100+fi_s/20,0,(OFFSET('Base de dados'!$A$4,IF(O2451&lt;20,1,IF(O2451&gt;1000,10,MATCH(O2451,Cargas,1))),Coluna_fis,1,1))*(PI()*(fi_s/1000)^2/4)*(2*9.81*(O2451/100-cota_s-fi_s/2/1000))^0.5*1000)))</f>
        <v>5.9298272198653059</v>
      </c>
      <c r="R2451" s="38">
        <f t="shared" ca="1" si="275"/>
        <v>12.545050273227279</v>
      </c>
      <c r="S2451" s="38">
        <f t="shared" ca="1" si="276"/>
        <v>765.625</v>
      </c>
    </row>
    <row r="2452" spans="13:19">
      <c r="M2452" s="132">
        <f t="shared" ca="1" si="273"/>
        <v>778.48541430836622</v>
      </c>
      <c r="N2452" s="38">
        <f t="shared" si="274"/>
        <v>22.978125000000002</v>
      </c>
      <c r="O2452" s="36">
        <f t="shared" si="277"/>
        <v>612.75</v>
      </c>
      <c r="P2452" s="38">
        <f ca="1">IF(ISERROR(IF(O2452&lt;fi_h/20,0,(OFFSET('Base de dados'!$A$5,IF(O2452&lt;20,1,IF(O2452&gt;1000,10,MATCH(O2452,Cargas,1))),Coluna_fih,1,1))*(1+0.13*0.25)*(PI()*(fi_h/1000)^2/4)*SQRT(2*9.81*(O2452/100-fi_h/2/1000))*1000)),"",IF(O2452&lt;fi_h/20,0,(OFFSET('Base de dados'!$A$5,IF(O2452&lt;20,1,IF(O2452&gt;1000,10,MATCH(O2452,Cargas,1))),Coluna_fih,1,1))*(PI()*(fi_h/1000)^2/4)*SQRT(2*9.81*(O2452/100-fi_h/2/1000))*1000))</f>
        <v>6.6165768508502394</v>
      </c>
      <c r="Q2452" s="38">
        <f ca="1">IF(O2452="","",IF(Tipo_Vertedor="Retangular",IF(O2452&lt;=cota_s*100,0,IF(Tipo_Vertedor="Retangular",Cd_sr*Lef_sr*((O2452/100-cota_s)^(3/2))*1000)),IF(O2452&lt;=cota_s*100+fi_s/20,0,(OFFSET('Base de dados'!$A$4,IF(O2452&lt;20,1,IF(O2452&gt;1000,10,MATCH(O2452,Cargas,1))),Coluna_fis,1,1))*(PI()*(fi_s/1000)^2/4)*(2*9.81*(O2452/100-cota_s-fi_s/2/1000))^0.5*1000)))</f>
        <v>5.931337457515891</v>
      </c>
      <c r="R2452" s="38">
        <f t="shared" ca="1" si="275"/>
        <v>12.547914308366131</v>
      </c>
      <c r="S2452" s="38">
        <f t="shared" ca="1" si="276"/>
        <v>765.93750000000011</v>
      </c>
    </row>
    <row r="2453" spans="13:19">
      <c r="M2453" s="132">
        <f t="shared" ca="1" si="273"/>
        <v>778.8007776821263</v>
      </c>
      <c r="N2453" s="38">
        <f t="shared" si="274"/>
        <v>22.987500000000001</v>
      </c>
      <c r="O2453" s="36">
        <f t="shared" si="277"/>
        <v>613</v>
      </c>
      <c r="P2453" s="38">
        <f ca="1">IF(ISERROR(IF(O2453&lt;fi_h/20,0,(OFFSET('Base de dados'!$A$5,IF(O2453&lt;20,1,IF(O2453&gt;1000,10,MATCH(O2453,Cargas,1))),Coluna_fih,1,1))*(1+0.13*0.25)*(PI()*(fi_h/1000)^2/4)*SQRT(2*9.81*(O2453/100-fi_h/2/1000))*1000)),"",IF(O2453&lt;fi_h/20,0,(OFFSET('Base de dados'!$A$5,IF(O2453&lt;20,1,IF(O2453&gt;1000,10,MATCH(O2453,Cargas,1))),Coluna_fih,1,1))*(PI()*(fi_h/1000)^2/4)*SQRT(2*9.81*(O2453/100-fi_h/2/1000))*1000))</f>
        <v>6.6179303713988133</v>
      </c>
      <c r="Q2453" s="38">
        <f ca="1">IF(O2453="","",IF(Tipo_Vertedor="Retangular",IF(O2453&lt;=cota_s*100,0,IF(Tipo_Vertedor="Retangular",Cd_sr*Lef_sr*((O2453/100-cota_s)^(3/2))*1000)),IF(O2453&lt;=cota_s*100+fi_s/20,0,(OFFSET('Base de dados'!$A$4,IF(O2453&lt;20,1,IF(O2453&gt;1000,10,MATCH(O2453,Cargas,1))),Coluna_fis,1,1))*(PI()*(fi_s/1000)^2/4)*(2*9.81*(O2453/100-cota_s-fi_s/2/1000))^0.5*1000)))</f>
        <v>5.9328473107275101</v>
      </c>
      <c r="R2453" s="38">
        <f t="shared" ca="1" si="275"/>
        <v>12.550777682126323</v>
      </c>
      <c r="S2453" s="38">
        <f t="shared" ca="1" si="276"/>
        <v>766.25</v>
      </c>
    </row>
    <row r="2454" spans="13:19">
      <c r="M2454" s="132">
        <f t="shared" ca="1" si="273"/>
        <v>779.11614039497124</v>
      </c>
      <c r="N2454" s="38">
        <f t="shared" si="274"/>
        <v>22.996875000000003</v>
      </c>
      <c r="O2454" s="36">
        <f t="shared" si="277"/>
        <v>613.25</v>
      </c>
      <c r="P2454" s="38">
        <f ca="1">IF(ISERROR(IF(O2454&lt;fi_h/20,0,(OFFSET('Base de dados'!$A$5,IF(O2454&lt;20,1,IF(O2454&gt;1000,10,MATCH(O2454,Cargas,1))),Coluna_fih,1,1))*(1+0.13*0.25)*(PI()*(fi_h/1000)^2/4)*SQRT(2*9.81*(O2454/100-fi_h/2/1000))*1000)),"",IF(O2454&lt;fi_h/20,0,(OFFSET('Base de dados'!$A$5,IF(O2454&lt;20,1,IF(O2454&gt;1000,10,MATCH(O2454,Cargas,1))),Coluna_fih,1,1))*(PI()*(fi_h/1000)^2/4)*SQRT(2*9.81*(O2454/100-fi_h/2/1000))*1000))</f>
        <v>6.6192836151775838</v>
      </c>
      <c r="Q2454" s="38">
        <f ca="1">IF(O2454="","",IF(Tipo_Vertedor="Retangular",IF(O2454&lt;=cota_s*100,0,IF(Tipo_Vertedor="Retangular",Cd_sr*Lef_sr*((O2454/100-cota_s)^(3/2))*1000)),IF(O2454&lt;=cota_s*100+fi_s/20,0,(OFFSET('Base de dados'!$A$4,IF(O2454&lt;20,1,IF(O2454&gt;1000,10,MATCH(O2454,Cargas,1))),Coluna_fis,1,1))*(PI()*(fi_s/1000)^2/4)*(2*9.81*(O2454/100-cota_s-fi_s/2/1000))^0.5*1000)))</f>
        <v>5.934356779793597</v>
      </c>
      <c r="R2454" s="38">
        <f t="shared" ca="1" si="275"/>
        <v>12.553640394971181</v>
      </c>
      <c r="S2454" s="38">
        <f t="shared" ca="1" si="276"/>
        <v>766.56250000000011</v>
      </c>
    </row>
    <row r="2455" spans="13:19">
      <c r="M2455" s="132">
        <f t="shared" ref="M2455:M2518" ca="1" si="278">IF(O2455="","",2*N2455*1000/(Passo*60)+R2455)</f>
        <v>779.4315024473633</v>
      </c>
      <c r="N2455" s="38">
        <f t="shared" ref="N2455:N2518" si="279">IF(O2455="","",b_0*(O2455/100)^c_0)</f>
        <v>23.006249999999998</v>
      </c>
      <c r="O2455" s="36">
        <f t="shared" si="277"/>
        <v>613.5</v>
      </c>
      <c r="P2455" s="38">
        <f ca="1">IF(ISERROR(IF(O2455&lt;fi_h/20,0,(OFFSET('Base de dados'!$A$5,IF(O2455&lt;20,1,IF(O2455&gt;1000,10,MATCH(O2455,Cargas,1))),Coluna_fih,1,1))*(1+0.13*0.25)*(PI()*(fi_h/1000)^2/4)*SQRT(2*9.81*(O2455/100-fi_h/2/1000))*1000)),"",IF(O2455&lt;fi_h/20,0,(OFFSET('Base de dados'!$A$5,IF(O2455&lt;20,1,IF(O2455&gt;1000,10,MATCH(O2455,Cargas,1))),Coluna_fih,1,1))*(PI()*(fi_h/1000)^2/4)*SQRT(2*9.81*(O2455/100-fi_h/2/1000))*1000))</f>
        <v>6.6206365823562612</v>
      </c>
      <c r="Q2455" s="38">
        <f ca="1">IF(O2455="","",IF(Tipo_Vertedor="Retangular",IF(O2455&lt;=cota_s*100,0,IF(Tipo_Vertedor="Retangular",Cd_sr*Lef_sr*((O2455/100-cota_s)^(3/2))*1000)),IF(O2455&lt;=cota_s*100+fi_s/20,0,(OFFSET('Base de dados'!$A$4,IF(O2455&lt;20,1,IF(O2455&gt;1000,10,MATCH(O2455,Cargas,1))),Coluna_fis,1,1))*(PI()*(fi_s/1000)^2/4)*(2*9.81*(O2455/100-cota_s-fi_s/2/1000))^0.5*1000)))</f>
        <v>5.9358658650072105</v>
      </c>
      <c r="R2455" s="38">
        <f t="shared" ref="R2455:R2518" ca="1" si="280">IF(O2455="","",Q2455+P2455)</f>
        <v>12.556502447363471</v>
      </c>
      <c r="S2455" s="38">
        <f t="shared" ref="S2455:S2518" ca="1" si="281">IF(M2455="","",2*N2455*1000/(Passo*60))</f>
        <v>766.87499999999989</v>
      </c>
    </row>
    <row r="2456" spans="13:19">
      <c r="M2456" s="132">
        <f t="shared" ca="1" si="278"/>
        <v>779.74686383976541</v>
      </c>
      <c r="N2456" s="38">
        <f t="shared" si="279"/>
        <v>23.015625</v>
      </c>
      <c r="O2456" s="36">
        <f t="shared" si="277"/>
        <v>613.75</v>
      </c>
      <c r="P2456" s="38">
        <f ca="1">IF(ISERROR(IF(O2456&lt;fi_h/20,0,(OFFSET('Base de dados'!$A$5,IF(O2456&lt;20,1,IF(O2456&gt;1000,10,MATCH(O2456,Cargas,1))),Coluna_fih,1,1))*(1+0.13*0.25)*(PI()*(fi_h/1000)^2/4)*SQRT(2*9.81*(O2456/100-fi_h/2/1000))*1000)),"",IF(O2456&lt;fi_h/20,0,(OFFSET('Base de dados'!$A$5,IF(O2456&lt;20,1,IF(O2456&gt;1000,10,MATCH(O2456,Cargas,1))),Coluna_fih,1,1))*(PI()*(fi_h/1000)^2/4)*SQRT(2*9.81*(O2456/100-fi_h/2/1000))*1000))</f>
        <v>6.6219892731043872</v>
      </c>
      <c r="Q2456" s="38">
        <f ca="1">IF(O2456="","",IF(Tipo_Vertedor="Retangular",IF(O2456&lt;=cota_s*100,0,IF(Tipo_Vertedor="Retangular",Cd_sr*Lef_sr*((O2456/100-cota_s)^(3/2))*1000)),IF(O2456&lt;=cota_s*100+fi_s/20,0,(OFFSET('Base de dados'!$A$4,IF(O2456&lt;20,1,IF(O2456&gt;1000,10,MATCH(O2456,Cargas,1))),Coluna_fis,1,1))*(PI()*(fi_s/1000)^2/4)*(2*9.81*(O2456/100-cota_s-fi_s/2/1000))^0.5*1000)))</f>
        <v>5.9373745666610409</v>
      </c>
      <c r="R2456" s="38">
        <f t="shared" ca="1" si="280"/>
        <v>12.559363839765428</v>
      </c>
      <c r="S2456" s="38">
        <f t="shared" ca="1" si="281"/>
        <v>767.1875</v>
      </c>
    </row>
    <row r="2457" spans="13:19">
      <c r="M2457" s="132">
        <f t="shared" ca="1" si="278"/>
        <v>780.06222457263868</v>
      </c>
      <c r="N2457" s="38">
        <f t="shared" si="279"/>
        <v>23.024999999999999</v>
      </c>
      <c r="O2457" s="36">
        <f t="shared" si="277"/>
        <v>614</v>
      </c>
      <c r="P2457" s="38">
        <f ca="1">IF(ISERROR(IF(O2457&lt;fi_h/20,0,(OFFSET('Base de dados'!$A$5,IF(O2457&lt;20,1,IF(O2457&gt;1000,10,MATCH(O2457,Cargas,1))),Coluna_fih,1,1))*(1+0.13*0.25)*(PI()*(fi_h/1000)^2/4)*SQRT(2*9.81*(O2457/100-fi_h/2/1000))*1000)),"",IF(O2457&lt;fi_h/20,0,(OFFSET('Base de dados'!$A$5,IF(O2457&lt;20,1,IF(O2457&gt;1000,10,MATCH(O2457,Cargas,1))),Coluna_fih,1,1))*(PI()*(fi_h/1000)^2/4)*SQRT(2*9.81*(O2457/100-fi_h/2/1000))*1000))</f>
        <v>6.6233416875913287</v>
      </c>
      <c r="Q2457" s="38">
        <f ca="1">IF(O2457="","",IF(Tipo_Vertedor="Retangular",IF(O2457&lt;=cota_s*100,0,IF(Tipo_Vertedor="Retangular",Cd_sr*Lef_sr*((O2457/100-cota_s)^(3/2))*1000)),IF(O2457&lt;=cota_s*100+fi_s/20,0,(OFFSET('Base de dados'!$A$4,IF(O2457&lt;20,1,IF(O2457&gt;1000,10,MATCH(O2457,Cargas,1))),Coluna_fis,1,1))*(PI()*(fi_s/1000)^2/4)*(2*9.81*(O2457/100-cota_s-fi_s/2/1000))^0.5*1000)))</f>
        <v>5.9388828850474011</v>
      </c>
      <c r="R2457" s="38">
        <f t="shared" ca="1" si="280"/>
        <v>12.56222457263873</v>
      </c>
      <c r="S2457" s="38">
        <f t="shared" ca="1" si="281"/>
        <v>767.5</v>
      </c>
    </row>
    <row r="2458" spans="13:19">
      <c r="M2458" s="132">
        <f t="shared" ca="1" si="278"/>
        <v>780.37758464644457</v>
      </c>
      <c r="N2458" s="38">
        <f t="shared" si="279"/>
        <v>23.034375000000001</v>
      </c>
      <c r="O2458" s="36">
        <f t="shared" si="277"/>
        <v>614.25</v>
      </c>
      <c r="P2458" s="38">
        <f ca="1">IF(ISERROR(IF(O2458&lt;fi_h/20,0,(OFFSET('Base de dados'!$A$5,IF(O2458&lt;20,1,IF(O2458&gt;1000,10,MATCH(O2458,Cargas,1))),Coluna_fih,1,1))*(1+0.13*0.25)*(PI()*(fi_h/1000)^2/4)*SQRT(2*9.81*(O2458/100-fi_h/2/1000))*1000)),"",IF(O2458&lt;fi_h/20,0,(OFFSET('Base de dados'!$A$5,IF(O2458&lt;20,1,IF(O2458&gt;1000,10,MATCH(O2458,Cargas,1))),Coluna_fih,1,1))*(PI()*(fi_h/1000)^2/4)*SQRT(2*9.81*(O2458/100-fi_h/2/1000))*1000))</f>
        <v>6.6246938259862791</v>
      </c>
      <c r="Q2458" s="38">
        <f ca="1">IF(O2458="","",IF(Tipo_Vertedor="Retangular",IF(O2458&lt;=cota_s*100,0,IF(Tipo_Vertedor="Retangular",Cd_sr*Lef_sr*((O2458/100-cota_s)^(3/2))*1000)),IF(O2458&lt;=cota_s*100+fi_s/20,0,(OFFSET('Base de dados'!$A$4,IF(O2458&lt;20,1,IF(O2458&gt;1000,10,MATCH(O2458,Cargas,1))),Coluna_fis,1,1))*(PI()*(fi_s/1000)^2/4)*(2*9.81*(O2458/100-cota_s-fi_s/2/1000))^0.5*1000)))</f>
        <v>5.9403908204582399</v>
      </c>
      <c r="R2458" s="38">
        <f t="shared" ca="1" si="280"/>
        <v>12.565084646444518</v>
      </c>
      <c r="S2458" s="38">
        <f t="shared" ca="1" si="281"/>
        <v>767.8125</v>
      </c>
    </row>
    <row r="2459" spans="13:19">
      <c r="M2459" s="132">
        <f t="shared" ca="1" si="278"/>
        <v>780.6929440616434</v>
      </c>
      <c r="N2459" s="38">
        <f t="shared" si="279"/>
        <v>23.043749999999999</v>
      </c>
      <c r="O2459" s="36">
        <f t="shared" si="277"/>
        <v>614.5</v>
      </c>
      <c r="P2459" s="38">
        <f ca="1">IF(ISERROR(IF(O2459&lt;fi_h/20,0,(OFFSET('Base de dados'!$A$5,IF(O2459&lt;20,1,IF(O2459&gt;1000,10,MATCH(O2459,Cargas,1))),Coluna_fih,1,1))*(1+0.13*0.25)*(PI()*(fi_h/1000)^2/4)*SQRT(2*9.81*(O2459/100-fi_h/2/1000))*1000)),"",IF(O2459&lt;fi_h/20,0,(OFFSET('Base de dados'!$A$5,IF(O2459&lt;20,1,IF(O2459&gt;1000,10,MATCH(O2459,Cargas,1))),Coluna_fih,1,1))*(PI()*(fi_h/1000)^2/4)*SQRT(2*9.81*(O2459/100-fi_h/2/1000))*1000))</f>
        <v>6.6260456884582597</v>
      </c>
      <c r="Q2459" s="38">
        <f ca="1">IF(O2459="","",IF(Tipo_Vertedor="Retangular",IF(O2459&lt;=cota_s*100,0,IF(Tipo_Vertedor="Retangular",Cd_sr*Lef_sr*((O2459/100-cota_s)^(3/2))*1000)),IF(O2459&lt;=cota_s*100+fi_s/20,0,(OFFSET('Base de dados'!$A$4,IF(O2459&lt;20,1,IF(O2459&gt;1000,10,MATCH(O2459,Cargas,1))),Coluna_fis,1,1))*(PI()*(fi_s/1000)^2/4)*(2*9.81*(O2459/100-cota_s-fi_s/2/1000))^0.5*1000)))</f>
        <v>5.9418983731851309</v>
      </c>
      <c r="R2459" s="38">
        <f t="shared" ca="1" si="280"/>
        <v>12.567944061643392</v>
      </c>
      <c r="S2459" s="38">
        <f t="shared" ca="1" si="281"/>
        <v>768.125</v>
      </c>
    </row>
    <row r="2460" spans="13:19">
      <c r="M2460" s="132">
        <f t="shared" ca="1" si="278"/>
        <v>781.00830281869537</v>
      </c>
      <c r="N2460" s="38">
        <f t="shared" si="279"/>
        <v>23.053125000000001</v>
      </c>
      <c r="O2460" s="36">
        <f t="shared" si="277"/>
        <v>614.75</v>
      </c>
      <c r="P2460" s="38">
        <f ca="1">IF(ISERROR(IF(O2460&lt;fi_h/20,0,(OFFSET('Base de dados'!$A$5,IF(O2460&lt;20,1,IF(O2460&gt;1000,10,MATCH(O2460,Cargas,1))),Coluna_fih,1,1))*(1+0.13*0.25)*(PI()*(fi_h/1000)^2/4)*SQRT(2*9.81*(O2460/100-fi_h/2/1000))*1000)),"",IF(O2460&lt;fi_h/20,0,(OFFSET('Base de dados'!$A$5,IF(O2460&lt;20,1,IF(O2460&gt;1000,10,MATCH(O2460,Cargas,1))),Coluna_fih,1,1))*(PI()*(fi_h/1000)^2/4)*SQRT(2*9.81*(O2460/100-fi_h/2/1000))*1000))</f>
        <v>6.6273972751761203</v>
      </c>
      <c r="Q2460" s="38">
        <f ca="1">IF(O2460="","",IF(Tipo_Vertedor="Retangular",IF(O2460&lt;=cota_s*100,0,IF(Tipo_Vertedor="Retangular",Cd_sr*Lef_sr*((O2460/100-cota_s)^(3/2))*1000)),IF(O2460&lt;=cota_s*100+fi_s/20,0,(OFFSET('Base de dados'!$A$4,IF(O2460&lt;20,1,IF(O2460&gt;1000,10,MATCH(O2460,Cargas,1))),Coluna_fis,1,1))*(PI()*(fi_s/1000)^2/4)*(2*9.81*(O2460/100-cota_s-fi_s/2/1000))^0.5*1000)))</f>
        <v>5.9434055435192779</v>
      </c>
      <c r="R2460" s="38">
        <f t="shared" ca="1" si="280"/>
        <v>12.570802818695398</v>
      </c>
      <c r="S2460" s="38">
        <f t="shared" ca="1" si="281"/>
        <v>768.4375</v>
      </c>
    </row>
    <row r="2461" spans="13:19">
      <c r="M2461" s="132">
        <f t="shared" ca="1" si="278"/>
        <v>781.32366091806011</v>
      </c>
      <c r="N2461" s="38">
        <f t="shared" si="279"/>
        <v>23.0625</v>
      </c>
      <c r="O2461" s="36">
        <f t="shared" si="277"/>
        <v>615</v>
      </c>
      <c r="P2461" s="38">
        <f ca="1">IF(ISERROR(IF(O2461&lt;fi_h/20,0,(OFFSET('Base de dados'!$A$5,IF(O2461&lt;20,1,IF(O2461&gt;1000,10,MATCH(O2461,Cargas,1))),Coluna_fih,1,1))*(1+0.13*0.25)*(PI()*(fi_h/1000)^2/4)*SQRT(2*9.81*(O2461/100-fi_h/2/1000))*1000)),"",IF(O2461&lt;fi_h/20,0,(OFFSET('Base de dados'!$A$5,IF(O2461&lt;20,1,IF(O2461&gt;1000,10,MATCH(O2461,Cargas,1))),Coluna_fih,1,1))*(PI()*(fi_h/1000)^2/4)*SQRT(2*9.81*(O2461/100-fi_h/2/1000))*1000))</f>
        <v>6.6287485863085385</v>
      </c>
      <c r="Q2461" s="38">
        <f ca="1">IF(O2461="","",IF(Tipo_Vertedor="Retangular",IF(O2461&lt;=cota_s*100,0,IF(Tipo_Vertedor="Retangular",Cd_sr*Lef_sr*((O2461/100-cota_s)^(3/2))*1000)),IF(O2461&lt;=cota_s*100+fi_s/20,0,(OFFSET('Base de dados'!$A$4,IF(O2461&lt;20,1,IF(O2461&gt;1000,10,MATCH(O2461,Cargas,1))),Coluna_fis,1,1))*(PI()*(fi_s/1000)^2/4)*(2*9.81*(O2461/100-cota_s-fi_s/2/1000))^0.5*1000)))</f>
        <v>5.9449123317515173</v>
      </c>
      <c r="R2461" s="38">
        <f t="shared" ca="1" si="280"/>
        <v>12.573660918060057</v>
      </c>
      <c r="S2461" s="38">
        <f t="shared" ca="1" si="281"/>
        <v>768.75</v>
      </c>
    </row>
    <row r="2462" spans="13:19">
      <c r="M2462" s="132">
        <f t="shared" ca="1" si="278"/>
        <v>781.63901836019636</v>
      </c>
      <c r="N2462" s="38">
        <f t="shared" si="279"/>
        <v>23.071874999999999</v>
      </c>
      <c r="O2462" s="36">
        <f t="shared" si="277"/>
        <v>615.25</v>
      </c>
      <c r="P2462" s="38">
        <f ca="1">IF(ISERROR(IF(O2462&lt;fi_h/20,0,(OFFSET('Base de dados'!$A$5,IF(O2462&lt;20,1,IF(O2462&gt;1000,10,MATCH(O2462,Cargas,1))),Coluna_fih,1,1))*(1+0.13*0.25)*(PI()*(fi_h/1000)^2/4)*SQRT(2*9.81*(O2462/100-fi_h/2/1000))*1000)),"",IF(O2462&lt;fi_h/20,0,(OFFSET('Base de dados'!$A$5,IF(O2462&lt;20,1,IF(O2462&gt;1000,10,MATCH(O2462,Cargas,1))),Coluna_fih,1,1))*(PI()*(fi_h/1000)^2/4)*SQRT(2*9.81*(O2462/100-fi_h/2/1000))*1000))</f>
        <v>6.6300996220240176</v>
      </c>
      <c r="Q2462" s="38">
        <f ca="1">IF(O2462="","",IF(Tipo_Vertedor="Retangular",IF(O2462&lt;=cota_s*100,0,IF(Tipo_Vertedor="Retangular",Cd_sr*Lef_sr*((O2462/100-cota_s)^(3/2))*1000)),IF(O2462&lt;=cota_s*100+fi_s/20,0,(OFFSET('Base de dados'!$A$4,IF(O2462&lt;20,1,IF(O2462&gt;1000,10,MATCH(O2462,Cargas,1))),Coluna_fis,1,1))*(PI()*(fi_s/1000)^2/4)*(2*9.81*(O2462/100-cota_s-fi_s/2/1000))^0.5*1000)))</f>
        <v>5.9464187381723139</v>
      </c>
      <c r="R2462" s="38">
        <f t="shared" ca="1" si="280"/>
        <v>12.576518360196332</v>
      </c>
      <c r="S2462" s="38">
        <f t="shared" ca="1" si="281"/>
        <v>769.0625</v>
      </c>
    </row>
    <row r="2463" spans="13:19">
      <c r="M2463" s="132">
        <f t="shared" ca="1" si="278"/>
        <v>781.95437514556261</v>
      </c>
      <c r="N2463" s="38">
        <f t="shared" si="279"/>
        <v>23.081250000000001</v>
      </c>
      <c r="O2463" s="36">
        <f t="shared" si="277"/>
        <v>615.5</v>
      </c>
      <c r="P2463" s="38">
        <f ca="1">IF(ISERROR(IF(O2463&lt;fi_h/20,0,(OFFSET('Base de dados'!$A$5,IF(O2463&lt;20,1,IF(O2463&gt;1000,10,MATCH(O2463,Cargas,1))),Coluna_fih,1,1))*(1+0.13*0.25)*(PI()*(fi_h/1000)^2/4)*SQRT(2*9.81*(O2463/100-fi_h/2/1000))*1000)),"",IF(O2463&lt;fi_h/20,0,(OFFSET('Base de dados'!$A$5,IF(O2463&lt;20,1,IF(O2463&gt;1000,10,MATCH(O2463,Cargas,1))),Coluna_fih,1,1))*(PI()*(fi_h/1000)^2/4)*SQRT(2*9.81*(O2463/100-fi_h/2/1000))*1000))</f>
        <v>6.6314503824908924</v>
      </c>
      <c r="Q2463" s="38">
        <f ca="1">IF(O2463="","",IF(Tipo_Vertedor="Retangular",IF(O2463&lt;=cota_s*100,0,IF(Tipo_Vertedor="Retangular",Cd_sr*Lef_sr*((O2463/100-cota_s)^(3/2))*1000)),IF(O2463&lt;=cota_s*100+fi_s/20,0,(OFFSET('Base de dados'!$A$4,IF(O2463&lt;20,1,IF(O2463&gt;1000,10,MATCH(O2463,Cargas,1))),Coluna_fis,1,1))*(PI()*(fi_s/1000)^2/4)*(2*9.81*(O2463/100-cota_s-fi_s/2/1000))^0.5*1000)))</f>
        <v>5.9479247630717733</v>
      </c>
      <c r="R2463" s="38">
        <f t="shared" ca="1" si="280"/>
        <v>12.579375145562665</v>
      </c>
      <c r="S2463" s="38">
        <f t="shared" ca="1" si="281"/>
        <v>769.375</v>
      </c>
    </row>
    <row r="2464" spans="13:19">
      <c r="M2464" s="132">
        <f t="shared" ca="1" si="278"/>
        <v>782.2697312746169</v>
      </c>
      <c r="N2464" s="38">
        <f t="shared" si="279"/>
        <v>23.090624999999999</v>
      </c>
      <c r="O2464" s="36">
        <f t="shared" si="277"/>
        <v>615.75</v>
      </c>
      <c r="P2464" s="38">
        <f ca="1">IF(ISERROR(IF(O2464&lt;fi_h/20,0,(OFFSET('Base de dados'!$A$5,IF(O2464&lt;20,1,IF(O2464&gt;1000,10,MATCH(O2464,Cargas,1))),Coluna_fih,1,1))*(1+0.13*0.25)*(PI()*(fi_h/1000)^2/4)*SQRT(2*9.81*(O2464/100-fi_h/2/1000))*1000)),"",IF(O2464&lt;fi_h/20,0,(OFFSET('Base de dados'!$A$5,IF(O2464&lt;20,1,IF(O2464&gt;1000,10,MATCH(O2464,Cargas,1))),Coluna_fih,1,1))*(PI()*(fi_h/1000)^2/4)*SQRT(2*9.81*(O2464/100-fi_h/2/1000))*1000))</f>
        <v>6.6328008678773234</v>
      </c>
      <c r="Q2464" s="38">
        <f ca="1">IF(O2464="","",IF(Tipo_Vertedor="Retangular",IF(O2464&lt;=cota_s*100,0,IF(Tipo_Vertedor="Retangular",Cd_sr*Lef_sr*((O2464/100-cota_s)^(3/2))*1000)),IF(O2464&lt;=cota_s*100+fi_s/20,0,(OFFSET('Base de dados'!$A$4,IF(O2464&lt;20,1,IF(O2464&gt;1000,10,MATCH(O2464,Cargas,1))),Coluna_fis,1,1))*(PI()*(fi_s/1000)^2/4)*(2*9.81*(O2464/100-cota_s-fi_s/2/1000))^0.5*1000)))</f>
        <v>5.9494304067396211</v>
      </c>
      <c r="R2464" s="38">
        <f t="shared" ca="1" si="280"/>
        <v>12.582231274616944</v>
      </c>
      <c r="S2464" s="38">
        <f t="shared" ca="1" si="281"/>
        <v>769.6875</v>
      </c>
    </row>
    <row r="2465" spans="13:19">
      <c r="M2465" s="132">
        <f t="shared" ca="1" si="278"/>
        <v>782.58508674781649</v>
      </c>
      <c r="N2465" s="38">
        <f t="shared" si="279"/>
        <v>23.1</v>
      </c>
      <c r="O2465" s="36">
        <f t="shared" si="277"/>
        <v>616</v>
      </c>
      <c r="P2465" s="38">
        <f ca="1">IF(ISERROR(IF(O2465&lt;fi_h/20,0,(OFFSET('Base de dados'!$A$5,IF(O2465&lt;20,1,IF(O2465&gt;1000,10,MATCH(O2465,Cargas,1))),Coluna_fih,1,1))*(1+0.13*0.25)*(PI()*(fi_h/1000)^2/4)*SQRT(2*9.81*(O2465/100-fi_h/2/1000))*1000)),"",IF(O2465&lt;fi_h/20,0,(OFFSET('Base de dados'!$A$5,IF(O2465&lt;20,1,IF(O2465&gt;1000,10,MATCH(O2465,Cargas,1))),Coluna_fih,1,1))*(PI()*(fi_h/1000)^2/4)*SQRT(2*9.81*(O2465/100-fi_h/2/1000))*1000))</f>
        <v>6.6341510783513025</v>
      </c>
      <c r="Q2465" s="38">
        <f ca="1">IF(O2465="","",IF(Tipo_Vertedor="Retangular",IF(O2465&lt;=cota_s*100,0,IF(Tipo_Vertedor="Retangular",Cd_sr*Lef_sr*((O2465/100-cota_s)^(3/2))*1000)),IF(O2465&lt;=cota_s*100+fi_s/20,0,(OFFSET('Base de dados'!$A$4,IF(O2465&lt;20,1,IF(O2465&gt;1000,10,MATCH(O2465,Cargas,1))),Coluna_fis,1,1))*(PI()*(fi_s/1000)^2/4)*(2*9.81*(O2465/100-cota_s-fi_s/2/1000))^0.5*1000)))</f>
        <v>5.9509356694652285</v>
      </c>
      <c r="R2465" s="38">
        <f t="shared" ca="1" si="280"/>
        <v>12.585086747816531</v>
      </c>
      <c r="S2465" s="38">
        <f t="shared" ca="1" si="281"/>
        <v>770</v>
      </c>
    </row>
    <row r="2466" spans="13:19">
      <c r="M2466" s="132">
        <f t="shared" ca="1" si="278"/>
        <v>782.90044156561828</v>
      </c>
      <c r="N2466" s="38">
        <f t="shared" si="279"/>
        <v>23.109375</v>
      </c>
      <c r="O2466" s="36">
        <f t="shared" si="277"/>
        <v>616.25</v>
      </c>
      <c r="P2466" s="38">
        <f ca="1">IF(ISERROR(IF(O2466&lt;fi_h/20,0,(OFFSET('Base de dados'!$A$5,IF(O2466&lt;20,1,IF(O2466&gt;1000,10,MATCH(O2466,Cargas,1))),Coluna_fih,1,1))*(1+0.13*0.25)*(PI()*(fi_h/1000)^2/4)*SQRT(2*9.81*(O2466/100-fi_h/2/1000))*1000)),"",IF(O2466&lt;fi_h/20,0,(OFFSET('Base de dados'!$A$5,IF(O2466&lt;20,1,IF(O2466&gt;1000,10,MATCH(O2466,Cargas,1))),Coluna_fih,1,1))*(PI()*(fi_h/1000)^2/4)*SQRT(2*9.81*(O2466/100-fi_h/2/1000))*1000))</f>
        <v>6.6355010140806492</v>
      </c>
      <c r="Q2466" s="38">
        <f ca="1">IF(O2466="","",IF(Tipo_Vertedor="Retangular",IF(O2466&lt;=cota_s*100,0,IF(Tipo_Vertedor="Retangular",Cd_sr*Lef_sr*((O2466/100-cota_s)^(3/2))*1000)),IF(O2466&lt;=cota_s*100+fi_s/20,0,(OFFSET('Base de dados'!$A$4,IF(O2466&lt;20,1,IF(O2466&gt;1000,10,MATCH(O2466,Cargas,1))),Coluna_fis,1,1))*(PI()*(fi_s/1000)^2/4)*(2*9.81*(O2466/100-cota_s-fi_s/2/1000))^0.5*1000)))</f>
        <v>5.9524405515375909</v>
      </c>
      <c r="R2466" s="38">
        <f t="shared" ca="1" si="280"/>
        <v>12.587941565618241</v>
      </c>
      <c r="S2466" s="38">
        <f t="shared" ca="1" si="281"/>
        <v>770.3125</v>
      </c>
    </row>
    <row r="2467" spans="13:19">
      <c r="M2467" s="132">
        <f t="shared" ca="1" si="278"/>
        <v>783.21579572847838</v>
      </c>
      <c r="N2467" s="38">
        <f t="shared" si="279"/>
        <v>23.118749999999999</v>
      </c>
      <c r="O2467" s="36">
        <f t="shared" si="277"/>
        <v>616.5</v>
      </c>
      <c r="P2467" s="38">
        <f ca="1">IF(ISERROR(IF(O2467&lt;fi_h/20,0,(OFFSET('Base de dados'!$A$5,IF(O2467&lt;20,1,IF(O2467&gt;1000,10,MATCH(O2467,Cargas,1))),Coluna_fih,1,1))*(1+0.13*0.25)*(PI()*(fi_h/1000)^2/4)*SQRT(2*9.81*(O2467/100-fi_h/2/1000))*1000)),"",IF(O2467&lt;fi_h/20,0,(OFFSET('Base de dados'!$A$5,IF(O2467&lt;20,1,IF(O2467&gt;1000,10,MATCH(O2467,Cargas,1))),Coluna_fih,1,1))*(PI()*(fi_h/1000)^2/4)*SQRT(2*9.81*(O2467/100-fi_h/2/1000))*1000))</f>
        <v>6.6368506752330134</v>
      </c>
      <c r="Q2467" s="38">
        <f ca="1">IF(O2467="","",IF(Tipo_Vertedor="Retangular",IF(O2467&lt;=cota_s*100,0,IF(Tipo_Vertedor="Retangular",Cd_sr*Lef_sr*((O2467/100-cota_s)^(3/2))*1000)),IF(O2467&lt;=cota_s*100+fi_s/20,0,(OFFSET('Base de dados'!$A$4,IF(O2467&lt;20,1,IF(O2467&gt;1000,10,MATCH(O2467,Cargas,1))),Coluna_fis,1,1))*(PI()*(fi_s/1000)^2/4)*(2*9.81*(O2467/100-cota_s-fi_s/2/1000))^0.5*1000)))</f>
        <v>5.9539450532453442</v>
      </c>
      <c r="R2467" s="38">
        <f t="shared" ca="1" si="280"/>
        <v>12.590795728478358</v>
      </c>
      <c r="S2467" s="38">
        <f t="shared" ca="1" si="281"/>
        <v>770.625</v>
      </c>
    </row>
    <row r="2468" spans="13:19">
      <c r="M2468" s="132">
        <f t="shared" ca="1" si="278"/>
        <v>783.53114923685268</v>
      </c>
      <c r="N2468" s="38">
        <f t="shared" si="279"/>
        <v>23.128125000000001</v>
      </c>
      <c r="O2468" s="36">
        <f t="shared" si="277"/>
        <v>616.75</v>
      </c>
      <c r="P2468" s="38">
        <f ca="1">IF(ISERROR(IF(O2468&lt;fi_h/20,0,(OFFSET('Base de dados'!$A$5,IF(O2468&lt;20,1,IF(O2468&gt;1000,10,MATCH(O2468,Cargas,1))),Coluna_fih,1,1))*(1+0.13*0.25)*(PI()*(fi_h/1000)^2/4)*SQRT(2*9.81*(O2468/100-fi_h/2/1000))*1000)),"",IF(O2468&lt;fi_h/20,0,(OFFSET('Base de dados'!$A$5,IF(O2468&lt;20,1,IF(O2468&gt;1000,10,MATCH(O2468,Cargas,1))),Coluna_fih,1,1))*(PI()*(fi_h/1000)^2/4)*SQRT(2*9.81*(O2468/100-fi_h/2/1000))*1000))</f>
        <v>6.6382000619758728</v>
      </c>
      <c r="Q2468" s="38">
        <f ca="1">IF(O2468="","",IF(Tipo_Vertedor="Retangular",IF(O2468&lt;=cota_s*100,0,IF(Tipo_Vertedor="Retangular",Cd_sr*Lef_sr*((O2468/100-cota_s)^(3/2))*1000)),IF(O2468&lt;=cota_s*100+fi_s/20,0,(OFFSET('Base de dados'!$A$4,IF(O2468&lt;20,1,IF(O2468&gt;1000,10,MATCH(O2468,Cargas,1))),Coluna_fis,1,1))*(PI()*(fi_s/1000)^2/4)*(2*9.81*(O2468/100-cota_s-fi_s/2/1000))^0.5*1000)))</f>
        <v>5.95544917487676</v>
      </c>
      <c r="R2468" s="38">
        <f t="shared" ca="1" si="280"/>
        <v>12.593649236852633</v>
      </c>
      <c r="S2468" s="38">
        <f t="shared" ca="1" si="281"/>
        <v>770.9375</v>
      </c>
    </row>
    <row r="2469" spans="13:19">
      <c r="M2469" s="132">
        <f t="shared" ca="1" si="278"/>
        <v>783.84650209119627</v>
      </c>
      <c r="N2469" s="38">
        <f t="shared" si="279"/>
        <v>23.137499999999999</v>
      </c>
      <c r="O2469" s="36">
        <f t="shared" si="277"/>
        <v>617</v>
      </c>
      <c r="P2469" s="38">
        <f ca="1">IF(ISERROR(IF(O2469&lt;fi_h/20,0,(OFFSET('Base de dados'!$A$5,IF(O2469&lt;20,1,IF(O2469&gt;1000,10,MATCH(O2469,Cargas,1))),Coluna_fih,1,1))*(1+0.13*0.25)*(PI()*(fi_h/1000)^2/4)*SQRT(2*9.81*(O2469/100-fi_h/2/1000))*1000)),"",IF(O2469&lt;fi_h/20,0,(OFFSET('Base de dados'!$A$5,IF(O2469&lt;20,1,IF(O2469&gt;1000,10,MATCH(O2469,Cargas,1))),Coluna_fih,1,1))*(PI()*(fi_h/1000)^2/4)*SQRT(2*9.81*(O2469/100-fi_h/2/1000))*1000))</f>
        <v>6.639549174476536</v>
      </c>
      <c r="Q2469" s="38">
        <f ca="1">IF(O2469="","",IF(Tipo_Vertedor="Retangular",IF(O2469&lt;=cota_s*100,0,IF(Tipo_Vertedor="Retangular",Cd_sr*Lef_sr*((O2469/100-cota_s)^(3/2))*1000)),IF(O2469&lt;=cota_s*100+fi_s/20,0,(OFFSET('Base de dados'!$A$4,IF(O2469&lt;20,1,IF(O2469&gt;1000,10,MATCH(O2469,Cargas,1))),Coluna_fis,1,1))*(PI()*(fi_s/1000)^2/4)*(2*9.81*(O2469/100-cota_s-fi_s/2/1000))^0.5*1000)))</f>
        <v>5.956952916719743</v>
      </c>
      <c r="R2469" s="38">
        <f t="shared" ca="1" si="280"/>
        <v>12.596502091196278</v>
      </c>
      <c r="S2469" s="38">
        <f t="shared" ca="1" si="281"/>
        <v>771.25</v>
      </c>
    </row>
    <row r="2470" spans="13:19">
      <c r="M2470" s="132">
        <f t="shared" ca="1" si="278"/>
        <v>784.161854291964</v>
      </c>
      <c r="N2470" s="38">
        <f t="shared" si="279"/>
        <v>23.146875000000001</v>
      </c>
      <c r="O2470" s="36">
        <f t="shared" si="277"/>
        <v>617.25</v>
      </c>
      <c r="P2470" s="38">
        <f ca="1">IF(ISERROR(IF(O2470&lt;fi_h/20,0,(OFFSET('Base de dados'!$A$5,IF(O2470&lt;20,1,IF(O2470&gt;1000,10,MATCH(O2470,Cargas,1))),Coluna_fih,1,1))*(1+0.13*0.25)*(PI()*(fi_h/1000)^2/4)*SQRT(2*9.81*(O2470/100-fi_h/2/1000))*1000)),"",IF(O2470&lt;fi_h/20,0,(OFFSET('Base de dados'!$A$5,IF(O2470&lt;20,1,IF(O2470&gt;1000,10,MATCH(O2470,Cargas,1))),Coluna_fih,1,1))*(PI()*(fi_h/1000)^2/4)*SQRT(2*9.81*(O2470/100-fi_h/2/1000))*1000))</f>
        <v>6.6408980129021433</v>
      </c>
      <c r="Q2470" s="38">
        <f ca="1">IF(O2470="","",IF(Tipo_Vertedor="Retangular",IF(O2470&lt;=cota_s*100,0,IF(Tipo_Vertedor="Retangular",Cd_sr*Lef_sr*((O2470/100-cota_s)^(3/2))*1000)),IF(O2470&lt;=cota_s*100+fi_s/20,0,(OFFSET('Base de dados'!$A$4,IF(O2470&lt;20,1,IF(O2470&gt;1000,10,MATCH(O2470,Cargas,1))),Coluna_fis,1,1))*(PI()*(fi_s/1000)^2/4)*(2*9.81*(O2470/100-cota_s-fi_s/2/1000))^0.5*1000)))</f>
        <v>5.9584562790618376</v>
      </c>
      <c r="R2470" s="38">
        <f t="shared" ca="1" si="280"/>
        <v>12.59935429196398</v>
      </c>
      <c r="S2470" s="38">
        <f t="shared" ca="1" si="281"/>
        <v>771.5625</v>
      </c>
    </row>
    <row r="2471" spans="13:19">
      <c r="M2471" s="132">
        <f t="shared" ca="1" si="278"/>
        <v>784.47720583960984</v>
      </c>
      <c r="N2471" s="38">
        <f t="shared" si="279"/>
        <v>23.15625</v>
      </c>
      <c r="O2471" s="36">
        <f t="shared" si="277"/>
        <v>617.5</v>
      </c>
      <c r="P2471" s="38">
        <f ca="1">IF(ISERROR(IF(O2471&lt;fi_h/20,0,(OFFSET('Base de dados'!$A$5,IF(O2471&lt;20,1,IF(O2471&gt;1000,10,MATCH(O2471,Cargas,1))),Coluna_fih,1,1))*(1+0.13*0.25)*(PI()*(fi_h/1000)^2/4)*SQRT(2*9.81*(O2471/100-fi_h/2/1000))*1000)),"",IF(O2471&lt;fi_h/20,0,(OFFSET('Base de dados'!$A$5,IF(O2471&lt;20,1,IF(O2471&gt;1000,10,MATCH(O2471,Cargas,1))),Coluna_fih,1,1))*(PI()*(fi_h/1000)^2/4)*SQRT(2*9.81*(O2471/100-fi_h/2/1000))*1000))</f>
        <v>6.6422465774196615</v>
      </c>
      <c r="Q2471" s="38">
        <f ca="1">IF(O2471="","",IF(Tipo_Vertedor="Retangular",IF(O2471&lt;=cota_s*100,0,IF(Tipo_Vertedor="Retangular",Cd_sr*Lef_sr*((O2471/100-cota_s)^(3/2))*1000)),IF(O2471&lt;=cota_s*100+fi_s/20,0,(OFFSET('Base de dados'!$A$4,IF(O2471&lt;20,1,IF(O2471&gt;1000,10,MATCH(O2471,Cargas,1))),Coluna_fis,1,1))*(PI()*(fi_s/1000)^2/4)*(2*9.81*(O2471/100-cota_s-fi_s/2/1000))^0.5*1000)))</f>
        <v>5.959959262190222</v>
      </c>
      <c r="R2471" s="38">
        <f t="shared" ca="1" si="280"/>
        <v>12.602205839609883</v>
      </c>
      <c r="S2471" s="38">
        <f t="shared" ca="1" si="281"/>
        <v>771.875</v>
      </c>
    </row>
    <row r="2472" spans="13:19">
      <c r="M2472" s="132">
        <f t="shared" ca="1" si="278"/>
        <v>784.79255673458772</v>
      </c>
      <c r="N2472" s="38">
        <f t="shared" si="279"/>
        <v>23.165625000000002</v>
      </c>
      <c r="O2472" s="36">
        <f t="shared" si="277"/>
        <v>617.75</v>
      </c>
      <c r="P2472" s="38">
        <f ca="1">IF(ISERROR(IF(O2472&lt;fi_h/20,0,(OFFSET('Base de dados'!$A$5,IF(O2472&lt;20,1,IF(O2472&gt;1000,10,MATCH(O2472,Cargas,1))),Coluna_fih,1,1))*(1+0.13*0.25)*(PI()*(fi_h/1000)^2/4)*SQRT(2*9.81*(O2472/100-fi_h/2/1000))*1000)),"",IF(O2472&lt;fi_h/20,0,(OFFSET('Base de dados'!$A$5,IF(O2472&lt;20,1,IF(O2472&gt;1000,10,MATCH(O2472,Cargas,1))),Coluna_fih,1,1))*(PI()*(fi_h/1000)^2/4)*SQRT(2*9.81*(O2472/100-fi_h/2/1000))*1000))</f>
        <v>6.6435948681958914</v>
      </c>
      <c r="Q2472" s="38">
        <f ca="1">IF(O2472="","",IF(Tipo_Vertedor="Retangular",IF(O2472&lt;=cota_s*100,0,IF(Tipo_Vertedor="Retangular",Cd_sr*Lef_sr*((O2472/100-cota_s)^(3/2))*1000)),IF(O2472&lt;=cota_s*100+fi_s/20,0,(OFFSET('Base de dados'!$A$4,IF(O2472&lt;20,1,IF(O2472&gt;1000,10,MATCH(O2472,Cargas,1))),Coluna_fis,1,1))*(PI()*(fi_s/1000)^2/4)*(2*9.81*(O2472/100-cota_s-fi_s/2/1000))^0.5*1000)))</f>
        <v>5.9614618663917147</v>
      </c>
      <c r="R2472" s="38">
        <f t="shared" ca="1" si="280"/>
        <v>12.605056734587606</v>
      </c>
      <c r="S2472" s="38">
        <f t="shared" ca="1" si="281"/>
        <v>772.18750000000011</v>
      </c>
    </row>
    <row r="2473" spans="13:19">
      <c r="M2473" s="132">
        <f t="shared" ca="1" si="278"/>
        <v>785.10790697735013</v>
      </c>
      <c r="N2473" s="38">
        <f t="shared" si="279"/>
        <v>23.174999999999997</v>
      </c>
      <c r="O2473" s="36">
        <f t="shared" si="277"/>
        <v>618</v>
      </c>
      <c r="P2473" s="38">
        <f ca="1">IF(ISERROR(IF(O2473&lt;fi_h/20,0,(OFFSET('Base de dados'!$A$5,IF(O2473&lt;20,1,IF(O2473&gt;1000,10,MATCH(O2473,Cargas,1))),Coluna_fih,1,1))*(1+0.13*0.25)*(PI()*(fi_h/1000)^2/4)*SQRT(2*9.81*(O2473/100-fi_h/2/1000))*1000)),"",IF(O2473&lt;fi_h/20,0,(OFFSET('Base de dados'!$A$5,IF(O2473&lt;20,1,IF(O2473&gt;1000,10,MATCH(O2473,Cargas,1))),Coluna_fih,1,1))*(PI()*(fi_h/1000)^2/4)*SQRT(2*9.81*(O2473/100-fi_h/2/1000))*1000))</f>
        <v>6.6449428853974633</v>
      </c>
      <c r="Q2473" s="38">
        <f ca="1">IF(O2473="","",IF(Tipo_Vertedor="Retangular",IF(O2473&lt;=cota_s*100,0,IF(Tipo_Vertedor="Retangular",Cd_sr*Lef_sr*((O2473/100-cota_s)^(3/2))*1000)),IF(O2473&lt;=cota_s*100+fi_s/20,0,(OFFSET('Base de dados'!$A$4,IF(O2473&lt;20,1,IF(O2473&gt;1000,10,MATCH(O2473,Cargas,1))),Coluna_fis,1,1))*(PI()*(fi_s/1000)^2/4)*(2*9.81*(O2473/100-cota_s-fi_s/2/1000))^0.5*1000)))</f>
        <v>5.9629640919527729</v>
      </c>
      <c r="R2473" s="38">
        <f t="shared" ca="1" si="280"/>
        <v>12.607906977350236</v>
      </c>
      <c r="S2473" s="38">
        <f t="shared" ca="1" si="281"/>
        <v>772.49999999999989</v>
      </c>
    </row>
    <row r="2474" spans="13:19">
      <c r="M2474" s="132">
        <f t="shared" ca="1" si="278"/>
        <v>785.42325656835033</v>
      </c>
      <c r="N2474" s="38">
        <f t="shared" si="279"/>
        <v>23.184374999999999</v>
      </c>
      <c r="O2474" s="36">
        <f t="shared" si="277"/>
        <v>618.25</v>
      </c>
      <c r="P2474" s="38">
        <f ca="1">IF(ISERROR(IF(O2474&lt;fi_h/20,0,(OFFSET('Base de dados'!$A$5,IF(O2474&lt;20,1,IF(O2474&gt;1000,10,MATCH(O2474,Cargas,1))),Coluna_fih,1,1))*(1+0.13*0.25)*(PI()*(fi_h/1000)^2/4)*SQRT(2*9.81*(O2474/100-fi_h/2/1000))*1000)),"",IF(O2474&lt;fi_h/20,0,(OFFSET('Base de dados'!$A$5,IF(O2474&lt;20,1,IF(O2474&gt;1000,10,MATCH(O2474,Cargas,1))),Coluna_fih,1,1))*(PI()*(fi_h/1000)^2/4)*SQRT(2*9.81*(O2474/100-fi_h/2/1000))*1000))</f>
        <v>6.6462906291908377</v>
      </c>
      <c r="Q2474" s="38">
        <f ca="1">IF(O2474="","",IF(Tipo_Vertedor="Retangular",IF(O2474&lt;=cota_s*100,0,IF(Tipo_Vertedor="Retangular",Cd_sr*Lef_sr*((O2474/100-cota_s)^(3/2))*1000)),IF(O2474&lt;=cota_s*100+fi_s/20,0,(OFFSET('Base de dados'!$A$4,IF(O2474&lt;20,1,IF(O2474&gt;1000,10,MATCH(O2474,Cargas,1))),Coluna_fis,1,1))*(PI()*(fi_s/1000)^2/4)*(2*9.81*(O2474/100-cota_s-fi_s/2/1000))^0.5*1000)))</f>
        <v>5.964465939159493</v>
      </c>
      <c r="R2474" s="38">
        <f t="shared" ca="1" si="280"/>
        <v>12.610756568350331</v>
      </c>
      <c r="S2474" s="38">
        <f t="shared" ca="1" si="281"/>
        <v>772.8125</v>
      </c>
    </row>
    <row r="2475" spans="13:19">
      <c r="M2475" s="132">
        <f t="shared" ca="1" si="278"/>
        <v>785.73860550803977</v>
      </c>
      <c r="N2475" s="38">
        <f t="shared" si="279"/>
        <v>23.193749999999998</v>
      </c>
      <c r="O2475" s="36">
        <f t="shared" si="277"/>
        <v>618.5</v>
      </c>
      <c r="P2475" s="38">
        <f ca="1">IF(ISERROR(IF(O2475&lt;fi_h/20,0,(OFFSET('Base de dados'!$A$5,IF(O2475&lt;20,1,IF(O2475&gt;1000,10,MATCH(O2475,Cargas,1))),Coluna_fih,1,1))*(1+0.13*0.25)*(PI()*(fi_h/1000)^2/4)*SQRT(2*9.81*(O2475/100-fi_h/2/1000))*1000)),"",IF(O2475&lt;fi_h/20,0,(OFFSET('Base de dados'!$A$5,IF(O2475&lt;20,1,IF(O2475&gt;1000,10,MATCH(O2475,Cargas,1))),Coluna_fih,1,1))*(PI()*(fi_h/1000)^2/4)*SQRT(2*9.81*(O2475/100-fi_h/2/1000))*1000))</f>
        <v>6.6476380997423066</v>
      </c>
      <c r="Q2475" s="38">
        <f ca="1">IF(O2475="","",IF(Tipo_Vertedor="Retangular",IF(O2475&lt;=cota_s*100,0,IF(Tipo_Vertedor="Retangular",Cd_sr*Lef_sr*((O2475/100-cota_s)^(3/2))*1000)),IF(O2475&lt;=cota_s*100+fi_s/20,0,(OFFSET('Base de dados'!$A$4,IF(O2475&lt;20,1,IF(O2475&gt;1000,10,MATCH(O2475,Cargas,1))),Coluna_fis,1,1))*(PI()*(fi_s/1000)^2/4)*(2*9.81*(O2475/100-cota_s-fi_s/2/1000))^0.5*1000)))</f>
        <v>5.96596740829761</v>
      </c>
      <c r="R2475" s="38">
        <f t="shared" ca="1" si="280"/>
        <v>12.613605508039917</v>
      </c>
      <c r="S2475" s="38">
        <f t="shared" ca="1" si="281"/>
        <v>773.12499999999989</v>
      </c>
    </row>
    <row r="2476" spans="13:19">
      <c r="M2476" s="132">
        <f t="shared" ca="1" si="278"/>
        <v>786.05395379687047</v>
      </c>
      <c r="N2476" s="38">
        <f t="shared" si="279"/>
        <v>23.203125</v>
      </c>
      <c r="O2476" s="36">
        <f t="shared" si="277"/>
        <v>618.75</v>
      </c>
      <c r="P2476" s="38">
        <f ca="1">IF(ISERROR(IF(O2476&lt;fi_h/20,0,(OFFSET('Base de dados'!$A$5,IF(O2476&lt;20,1,IF(O2476&gt;1000,10,MATCH(O2476,Cargas,1))),Coluna_fih,1,1))*(1+0.13*0.25)*(PI()*(fi_h/1000)^2/4)*SQRT(2*9.81*(O2476/100-fi_h/2/1000))*1000)),"",IF(O2476&lt;fi_h/20,0,(OFFSET('Base de dados'!$A$5,IF(O2476&lt;20,1,IF(O2476&gt;1000,10,MATCH(O2476,Cargas,1))),Coluna_fih,1,1))*(PI()*(fi_h/1000)^2/4)*SQRT(2*9.81*(O2476/100-fi_h/2/1000))*1000))</f>
        <v>6.6489852972179957</v>
      </c>
      <c r="Q2476" s="38">
        <f ca="1">IF(O2476="","",IF(Tipo_Vertedor="Retangular",IF(O2476&lt;=cota_s*100,0,IF(Tipo_Vertedor="Retangular",Cd_sr*Lef_sr*((O2476/100-cota_s)^(3/2))*1000)),IF(O2476&lt;=cota_s*100+fi_s/20,0,(OFFSET('Base de dados'!$A$4,IF(O2476&lt;20,1,IF(O2476&gt;1000,10,MATCH(O2476,Cargas,1))),Coluna_fis,1,1))*(PI()*(fi_s/1000)^2/4)*(2*9.81*(O2476/100-cota_s-fi_s/2/1000))^0.5*1000)))</f>
        <v>5.9674684996525027</v>
      </c>
      <c r="R2476" s="38">
        <f t="shared" ca="1" si="280"/>
        <v>12.616453796870498</v>
      </c>
      <c r="S2476" s="38">
        <f t="shared" ca="1" si="281"/>
        <v>773.4375</v>
      </c>
    </row>
    <row r="2477" spans="13:19">
      <c r="M2477" s="132">
        <f t="shared" ca="1" si="278"/>
        <v>786.36930143529321</v>
      </c>
      <c r="N2477" s="38">
        <f t="shared" si="279"/>
        <v>23.212500000000002</v>
      </c>
      <c r="O2477" s="36">
        <f t="shared" si="277"/>
        <v>619</v>
      </c>
      <c r="P2477" s="38">
        <f ca="1">IF(ISERROR(IF(O2477&lt;fi_h/20,0,(OFFSET('Base de dados'!$A$5,IF(O2477&lt;20,1,IF(O2477&gt;1000,10,MATCH(O2477,Cargas,1))),Coluna_fih,1,1))*(1+0.13*0.25)*(PI()*(fi_h/1000)^2/4)*SQRT(2*9.81*(O2477/100-fi_h/2/1000))*1000)),"",IF(O2477&lt;fi_h/20,0,(OFFSET('Base de dados'!$A$5,IF(O2477&lt;20,1,IF(O2477&gt;1000,10,MATCH(O2477,Cargas,1))),Coluna_fih,1,1))*(PI()*(fi_h/1000)^2/4)*SQRT(2*9.81*(O2477/100-fi_h/2/1000))*1000))</f>
        <v>6.6503322217838603</v>
      </c>
      <c r="Q2477" s="38">
        <f ca="1">IF(O2477="","",IF(Tipo_Vertedor="Retangular",IF(O2477&lt;=cota_s*100,0,IF(Tipo_Vertedor="Retangular",Cd_sr*Lef_sr*((O2477/100-cota_s)^(3/2))*1000)),IF(O2477&lt;=cota_s*100+fi_s/20,0,(OFFSET('Base de dados'!$A$4,IF(O2477&lt;20,1,IF(O2477&gt;1000,10,MATCH(O2477,Cargas,1))),Coluna_fis,1,1))*(PI()*(fi_s/1000)^2/4)*(2*9.81*(O2477/100-cota_s-fi_s/2/1000))^0.5*1000)))</f>
        <v>5.968969213509185</v>
      </c>
      <c r="R2477" s="38">
        <f t="shared" ca="1" si="280"/>
        <v>12.619301435293046</v>
      </c>
      <c r="S2477" s="38">
        <f t="shared" ca="1" si="281"/>
        <v>773.75000000000011</v>
      </c>
    </row>
    <row r="2478" spans="13:19">
      <c r="M2478" s="132">
        <f t="shared" ca="1" si="278"/>
        <v>786.68464842375806</v>
      </c>
      <c r="N2478" s="38">
        <f t="shared" si="279"/>
        <v>23.221875000000001</v>
      </c>
      <c r="O2478" s="36">
        <f t="shared" si="277"/>
        <v>619.25</v>
      </c>
      <c r="P2478" s="38">
        <f ca="1">IF(ISERROR(IF(O2478&lt;fi_h/20,0,(OFFSET('Base de dados'!$A$5,IF(O2478&lt;20,1,IF(O2478&gt;1000,10,MATCH(O2478,Cargas,1))),Coluna_fih,1,1))*(1+0.13*0.25)*(PI()*(fi_h/1000)^2/4)*SQRT(2*9.81*(O2478/100-fi_h/2/1000))*1000)),"",IF(O2478&lt;fi_h/20,0,(OFFSET('Base de dados'!$A$5,IF(O2478&lt;20,1,IF(O2478&gt;1000,10,MATCH(O2478,Cargas,1))),Coluna_fih,1,1))*(PI()*(fi_h/1000)^2/4)*SQRT(2*9.81*(O2478/100-fi_h/2/1000))*1000))</f>
        <v>6.6516788736056878</v>
      </c>
      <c r="Q2478" s="38">
        <f ca="1">IF(O2478="","",IF(Tipo_Vertedor="Retangular",IF(O2478&lt;=cota_s*100,0,IF(Tipo_Vertedor="Retangular",Cd_sr*Lef_sr*((O2478/100-cota_s)^(3/2))*1000)),IF(O2478&lt;=cota_s*100+fi_s/20,0,(OFFSET('Base de dados'!$A$4,IF(O2478&lt;20,1,IF(O2478&gt;1000,10,MATCH(O2478,Cargas,1))),Coluna_fis,1,1))*(PI()*(fi_s/1000)^2/4)*(2*9.81*(O2478/100-cota_s-fi_s/2/1000))^0.5*1000)))</f>
        <v>5.9704695501523197</v>
      </c>
      <c r="R2478" s="38">
        <f t="shared" ca="1" si="280"/>
        <v>12.622148423758007</v>
      </c>
      <c r="S2478" s="38">
        <f t="shared" ca="1" si="281"/>
        <v>774.0625</v>
      </c>
    </row>
    <row r="2479" spans="13:19">
      <c r="M2479" s="132">
        <f t="shared" ca="1" si="278"/>
        <v>786.99999476271546</v>
      </c>
      <c r="N2479" s="38">
        <f t="shared" si="279"/>
        <v>23.231250000000003</v>
      </c>
      <c r="O2479" s="36">
        <f t="shared" si="277"/>
        <v>619.5</v>
      </c>
      <c r="P2479" s="38">
        <f ca="1">IF(ISERROR(IF(O2479&lt;fi_h/20,0,(OFFSET('Base de dados'!$A$5,IF(O2479&lt;20,1,IF(O2479&gt;1000,10,MATCH(O2479,Cargas,1))),Coluna_fih,1,1))*(1+0.13*0.25)*(PI()*(fi_h/1000)^2/4)*SQRT(2*9.81*(O2479/100-fi_h/2/1000))*1000)),"",IF(O2479&lt;fi_h/20,0,(OFFSET('Base de dados'!$A$5,IF(O2479&lt;20,1,IF(O2479&gt;1000,10,MATCH(O2479,Cargas,1))),Coluna_fih,1,1))*(PI()*(fi_h/1000)^2/4)*SQRT(2*9.81*(O2479/100-fi_h/2/1000))*1000))</f>
        <v>6.6530252528490985</v>
      </c>
      <c r="Q2479" s="38">
        <f ca="1">IF(O2479="","",IF(Tipo_Vertedor="Retangular",IF(O2479&lt;=cota_s*100,0,IF(Tipo_Vertedor="Retangular",Cd_sr*Lef_sr*((O2479/100-cota_s)^(3/2))*1000)),IF(O2479&lt;=cota_s*100+fi_s/20,0,(OFFSET('Base de dados'!$A$4,IF(O2479&lt;20,1,IF(O2479&gt;1000,10,MATCH(O2479,Cargas,1))),Coluna_fis,1,1))*(PI()*(fi_s/1000)^2/4)*(2*9.81*(O2479/100-cota_s-fi_s/2/1000))^0.5*1000)))</f>
        <v>5.9719695098662067</v>
      </c>
      <c r="R2479" s="38">
        <f t="shared" ca="1" si="280"/>
        <v>12.624994762715305</v>
      </c>
      <c r="S2479" s="38">
        <f t="shared" ca="1" si="281"/>
        <v>774.37500000000011</v>
      </c>
    </row>
    <row r="2480" spans="13:19">
      <c r="M2480" s="132">
        <f t="shared" ca="1" si="278"/>
        <v>787.31534045261424</v>
      </c>
      <c r="N2480" s="38">
        <f t="shared" si="279"/>
        <v>23.240624999999998</v>
      </c>
      <c r="O2480" s="36">
        <f t="shared" si="277"/>
        <v>619.75</v>
      </c>
      <c r="P2480" s="38">
        <f ca="1">IF(ISERROR(IF(O2480&lt;fi_h/20,0,(OFFSET('Base de dados'!$A$5,IF(O2480&lt;20,1,IF(O2480&gt;1000,10,MATCH(O2480,Cargas,1))),Coluna_fih,1,1))*(1+0.13*0.25)*(PI()*(fi_h/1000)^2/4)*SQRT(2*9.81*(O2480/100-fi_h/2/1000))*1000)),"",IF(O2480&lt;fi_h/20,0,(OFFSET('Base de dados'!$A$5,IF(O2480&lt;20,1,IF(O2480&gt;1000,10,MATCH(O2480,Cargas,1))),Coluna_fih,1,1))*(PI()*(fi_h/1000)^2/4)*SQRT(2*9.81*(O2480/100-fi_h/2/1000))*1000))</f>
        <v>6.6543713596795442</v>
      </c>
      <c r="Q2480" s="38">
        <f ca="1">IF(O2480="","",IF(Tipo_Vertedor="Retangular",IF(O2480&lt;=cota_s*100,0,IF(Tipo_Vertedor="Retangular",Cd_sr*Lef_sr*((O2480/100-cota_s)^(3/2))*1000)),IF(O2480&lt;=cota_s*100+fi_s/20,0,(OFFSET('Base de dados'!$A$4,IF(O2480&lt;20,1,IF(O2480&gt;1000,10,MATCH(O2480,Cargas,1))),Coluna_fis,1,1))*(PI()*(fi_s/1000)^2/4)*(2*9.81*(O2480/100-cota_s-fi_s/2/1000))^0.5*1000)))</f>
        <v>5.9734690929347902</v>
      </c>
      <c r="R2480" s="38">
        <f t="shared" ca="1" si="280"/>
        <v>12.627840452614334</v>
      </c>
      <c r="S2480" s="38">
        <f t="shared" ca="1" si="281"/>
        <v>774.68749999999989</v>
      </c>
    </row>
    <row r="2481" spans="13:19">
      <c r="M2481" s="132">
        <f t="shared" ca="1" si="278"/>
        <v>787.63068549390402</v>
      </c>
      <c r="N2481" s="38">
        <f t="shared" si="279"/>
        <v>23.25</v>
      </c>
      <c r="O2481" s="36">
        <f t="shared" si="277"/>
        <v>620</v>
      </c>
      <c r="P2481" s="38">
        <f ca="1">IF(ISERROR(IF(O2481&lt;fi_h/20,0,(OFFSET('Base de dados'!$A$5,IF(O2481&lt;20,1,IF(O2481&gt;1000,10,MATCH(O2481,Cargas,1))),Coluna_fih,1,1))*(1+0.13*0.25)*(PI()*(fi_h/1000)^2/4)*SQRT(2*9.81*(O2481/100-fi_h/2/1000))*1000)),"",IF(O2481&lt;fi_h/20,0,(OFFSET('Base de dados'!$A$5,IF(O2481&lt;20,1,IF(O2481&gt;1000,10,MATCH(O2481,Cargas,1))),Coluna_fih,1,1))*(PI()*(fi_h/1000)^2/4)*SQRT(2*9.81*(O2481/100-fi_h/2/1000))*1000))</f>
        <v>6.6557171942623095</v>
      </c>
      <c r="Q2481" s="38">
        <f ca="1">IF(O2481="","",IF(Tipo_Vertedor="Retangular",IF(O2481&lt;=cota_s*100,0,IF(Tipo_Vertedor="Retangular",Cd_sr*Lef_sr*((O2481/100-cota_s)^(3/2))*1000)),IF(O2481&lt;=cota_s*100+fi_s/20,0,(OFFSET('Base de dados'!$A$4,IF(O2481&lt;20,1,IF(O2481&gt;1000,10,MATCH(O2481,Cargas,1))),Coluna_fis,1,1))*(PI()*(fi_s/1000)^2/4)*(2*9.81*(O2481/100-cota_s-fi_s/2/1000))^0.5*1000)))</f>
        <v>5.9749682996416613</v>
      </c>
      <c r="R2481" s="38">
        <f t="shared" ca="1" si="280"/>
        <v>12.630685493903972</v>
      </c>
      <c r="S2481" s="38">
        <f t="shared" ca="1" si="281"/>
        <v>775</v>
      </c>
    </row>
    <row r="2482" spans="13:19">
      <c r="M2482" s="132">
        <f t="shared" ca="1" si="278"/>
        <v>787.94602988703252</v>
      </c>
      <c r="N2482" s="38">
        <f t="shared" si="279"/>
        <v>23.259374999999999</v>
      </c>
      <c r="O2482" s="36">
        <f t="shared" si="277"/>
        <v>620.25</v>
      </c>
      <c r="P2482" s="38">
        <f ca="1">IF(ISERROR(IF(O2482&lt;fi_h/20,0,(OFFSET('Base de dados'!$A$5,IF(O2482&lt;20,1,IF(O2482&gt;1000,10,MATCH(O2482,Cargas,1))),Coluna_fih,1,1))*(1+0.13*0.25)*(PI()*(fi_h/1000)^2/4)*SQRT(2*9.81*(O2482/100-fi_h/2/1000))*1000)),"",IF(O2482&lt;fi_h/20,0,(OFFSET('Base de dados'!$A$5,IF(O2482&lt;20,1,IF(O2482&gt;1000,10,MATCH(O2482,Cargas,1))),Coluna_fih,1,1))*(PI()*(fi_h/1000)^2/4)*SQRT(2*9.81*(O2482/100-fi_h/2/1000))*1000))</f>
        <v>6.6570627567625147</v>
      </c>
      <c r="Q2482" s="38">
        <f ca="1">IF(O2482="","",IF(Tipo_Vertedor="Retangular",IF(O2482&lt;=cota_s*100,0,IF(Tipo_Vertedor="Retangular",Cd_sr*Lef_sr*((O2482/100-cota_s)^(3/2))*1000)),IF(O2482&lt;=cota_s*100+fi_s/20,0,(OFFSET('Base de dados'!$A$4,IF(O2482&lt;20,1,IF(O2482&gt;1000,10,MATCH(O2482,Cargas,1))),Coluna_fis,1,1))*(PI()*(fi_s/1000)^2/4)*(2*9.81*(O2482/100-cota_s-fi_s/2/1000))^0.5*1000)))</f>
        <v>5.9764671302700512</v>
      </c>
      <c r="R2482" s="38">
        <f t="shared" ca="1" si="280"/>
        <v>12.633529887032566</v>
      </c>
      <c r="S2482" s="38">
        <f t="shared" ca="1" si="281"/>
        <v>775.3125</v>
      </c>
    </row>
    <row r="2483" spans="13:19">
      <c r="M2483" s="132">
        <f t="shared" ca="1" si="278"/>
        <v>788.261373632448</v>
      </c>
      <c r="N2483" s="38">
        <f t="shared" si="279"/>
        <v>23.268750000000001</v>
      </c>
      <c r="O2483" s="36">
        <f t="shared" si="277"/>
        <v>620.5</v>
      </c>
      <c r="P2483" s="38">
        <f ca="1">IF(ISERROR(IF(O2483&lt;fi_h/20,0,(OFFSET('Base de dados'!$A$5,IF(O2483&lt;20,1,IF(O2483&gt;1000,10,MATCH(O2483,Cargas,1))),Coluna_fih,1,1))*(1+0.13*0.25)*(PI()*(fi_h/1000)^2/4)*SQRT(2*9.81*(O2483/100-fi_h/2/1000))*1000)),"",IF(O2483&lt;fi_h/20,0,(OFFSET('Base de dados'!$A$5,IF(O2483&lt;20,1,IF(O2483&gt;1000,10,MATCH(O2483,Cargas,1))),Coluna_fih,1,1))*(PI()*(fi_h/1000)^2/4)*SQRT(2*9.81*(O2483/100-fi_h/2/1000))*1000))</f>
        <v>6.6584080473451088</v>
      </c>
      <c r="Q2483" s="38">
        <f ca="1">IF(O2483="","",IF(Tipo_Vertedor="Retangular",IF(O2483&lt;=cota_s*100,0,IF(Tipo_Vertedor="Retangular",Cd_sr*Lef_sr*((O2483/100-cota_s)^(3/2))*1000)),IF(O2483&lt;=cota_s*100+fi_s/20,0,(OFFSET('Base de dados'!$A$4,IF(O2483&lt;20,1,IF(O2483&gt;1000,10,MATCH(O2483,Cargas,1))),Coluna_fis,1,1))*(PI()*(fi_s/1000)^2/4)*(2*9.81*(O2483/100-cota_s-fi_s/2/1000))^0.5*1000)))</f>
        <v>5.9779655851028375</v>
      </c>
      <c r="R2483" s="38">
        <f t="shared" ca="1" si="280"/>
        <v>12.636373632447945</v>
      </c>
      <c r="S2483" s="38">
        <f t="shared" ca="1" si="281"/>
        <v>775.625</v>
      </c>
    </row>
    <row r="2484" spans="13:19">
      <c r="M2484" s="132">
        <f t="shared" ca="1" si="278"/>
        <v>788.57671673059747</v>
      </c>
      <c r="N2484" s="38">
        <f t="shared" si="279"/>
        <v>23.278124999999999</v>
      </c>
      <c r="O2484" s="36">
        <f t="shared" si="277"/>
        <v>620.75</v>
      </c>
      <c r="P2484" s="38">
        <f ca="1">IF(ISERROR(IF(O2484&lt;fi_h/20,0,(OFFSET('Base de dados'!$A$5,IF(O2484&lt;20,1,IF(O2484&gt;1000,10,MATCH(O2484,Cargas,1))),Coluna_fih,1,1))*(1+0.13*0.25)*(PI()*(fi_h/1000)^2/4)*SQRT(2*9.81*(O2484/100-fi_h/2/1000))*1000)),"",IF(O2484&lt;fi_h/20,0,(OFFSET('Base de dados'!$A$5,IF(O2484&lt;20,1,IF(O2484&gt;1000,10,MATCH(O2484,Cargas,1))),Coluna_fih,1,1))*(PI()*(fi_h/1000)^2/4)*SQRT(2*9.81*(O2484/100-fi_h/2/1000))*1000))</f>
        <v>6.6597530661748783</v>
      </c>
      <c r="Q2484" s="38">
        <f ca="1">IF(O2484="","",IF(Tipo_Vertedor="Retangular",IF(O2484&lt;=cota_s*100,0,IF(Tipo_Vertedor="Retangular",Cd_sr*Lef_sr*((O2484/100-cota_s)^(3/2))*1000)),IF(O2484&lt;=cota_s*100+fi_s/20,0,(OFFSET('Base de dados'!$A$4,IF(O2484&lt;20,1,IF(O2484&gt;1000,10,MATCH(O2484,Cargas,1))),Coluna_fis,1,1))*(PI()*(fi_s/1000)^2/4)*(2*9.81*(O2484/100-cota_s-fi_s/2/1000))^0.5*1000)))</f>
        <v>5.9794636644225445</v>
      </c>
      <c r="R2484" s="38">
        <f t="shared" ca="1" si="280"/>
        <v>12.639216730597422</v>
      </c>
      <c r="S2484" s="38">
        <f t="shared" ca="1" si="281"/>
        <v>775.9375</v>
      </c>
    </row>
    <row r="2485" spans="13:19">
      <c r="M2485" s="132">
        <f t="shared" ca="1" si="278"/>
        <v>788.89205918192783</v>
      </c>
      <c r="N2485" s="38">
        <f t="shared" si="279"/>
        <v>23.287500000000001</v>
      </c>
      <c r="O2485" s="36">
        <f t="shared" si="277"/>
        <v>621</v>
      </c>
      <c r="P2485" s="38">
        <f ca="1">IF(ISERROR(IF(O2485&lt;fi_h/20,0,(OFFSET('Base de dados'!$A$5,IF(O2485&lt;20,1,IF(O2485&gt;1000,10,MATCH(O2485,Cargas,1))),Coluna_fih,1,1))*(1+0.13*0.25)*(PI()*(fi_h/1000)^2/4)*SQRT(2*9.81*(O2485/100-fi_h/2/1000))*1000)),"",IF(O2485&lt;fi_h/20,0,(OFFSET('Base de dados'!$A$5,IF(O2485&lt;20,1,IF(O2485&gt;1000,10,MATCH(O2485,Cargas,1))),Coluna_fih,1,1))*(PI()*(fi_h/1000)^2/4)*SQRT(2*9.81*(O2485/100-fi_h/2/1000))*1000))</f>
        <v>6.661097813416438</v>
      </c>
      <c r="Q2485" s="38">
        <f ca="1">IF(O2485="","",IF(Tipo_Vertedor="Retangular",IF(O2485&lt;=cota_s*100,0,IF(Tipo_Vertedor="Retangular",Cd_sr*Lef_sr*((O2485/100-cota_s)^(3/2))*1000)),IF(O2485&lt;=cota_s*100+fi_s/20,0,(OFFSET('Base de dados'!$A$4,IF(O2485&lt;20,1,IF(O2485&gt;1000,10,MATCH(O2485,Cargas,1))),Coluna_fis,1,1))*(PI()*(fi_s/1000)^2/4)*(2*9.81*(O2485/100-cota_s-fi_s/2/1000))^0.5*1000)))</f>
        <v>5.9809613685113412</v>
      </c>
      <c r="R2485" s="38">
        <f t="shared" ca="1" si="280"/>
        <v>12.642059181927779</v>
      </c>
      <c r="S2485" s="38">
        <f t="shared" ca="1" si="281"/>
        <v>776.25</v>
      </c>
    </row>
    <row r="2486" spans="13:19">
      <c r="M2486" s="132">
        <f t="shared" ca="1" si="278"/>
        <v>789.20740098688532</v>
      </c>
      <c r="N2486" s="38">
        <f t="shared" si="279"/>
        <v>23.296875</v>
      </c>
      <c r="O2486" s="36">
        <f t="shared" si="277"/>
        <v>621.25</v>
      </c>
      <c r="P2486" s="38">
        <f ca="1">IF(ISERROR(IF(O2486&lt;fi_h/20,0,(OFFSET('Base de dados'!$A$5,IF(O2486&lt;20,1,IF(O2486&gt;1000,10,MATCH(O2486,Cargas,1))),Coluna_fih,1,1))*(1+0.13*0.25)*(PI()*(fi_h/1000)^2/4)*SQRT(2*9.81*(O2486/100-fi_h/2/1000))*1000)),"",IF(O2486&lt;fi_h/20,0,(OFFSET('Base de dados'!$A$5,IF(O2486&lt;20,1,IF(O2486&gt;1000,10,MATCH(O2486,Cargas,1))),Coluna_fih,1,1))*(PI()*(fi_h/1000)^2/4)*SQRT(2*9.81*(O2486/100-fi_h/2/1000))*1000))</f>
        <v>6.6624422892342432</v>
      </c>
      <c r="Q2486" s="38">
        <f ca="1">IF(O2486="","",IF(Tipo_Vertedor="Retangular",IF(O2486&lt;=cota_s*100,0,IF(Tipo_Vertedor="Retangular",Cd_sr*Lef_sr*((O2486/100-cota_s)^(3/2))*1000)),IF(O2486&lt;=cota_s*100+fi_s/20,0,(OFFSET('Base de dados'!$A$4,IF(O2486&lt;20,1,IF(O2486&gt;1000,10,MATCH(O2486,Cargas,1))),Coluna_fis,1,1))*(PI()*(fi_s/1000)^2/4)*(2*9.81*(O2486/100-cota_s-fi_s/2/1000))^0.5*1000)))</f>
        <v>5.9824586976510448</v>
      </c>
      <c r="R2486" s="38">
        <f t="shared" ca="1" si="280"/>
        <v>12.644900986885288</v>
      </c>
      <c r="S2486" s="38">
        <f t="shared" ca="1" si="281"/>
        <v>776.5625</v>
      </c>
    </row>
    <row r="2487" spans="13:19">
      <c r="M2487" s="132">
        <f t="shared" ca="1" si="278"/>
        <v>789.52274214591569</v>
      </c>
      <c r="N2487" s="38">
        <f t="shared" si="279"/>
        <v>23.306249999999999</v>
      </c>
      <c r="O2487" s="36">
        <f t="shared" si="277"/>
        <v>621.5</v>
      </c>
      <c r="P2487" s="38">
        <f ca="1">IF(ISERROR(IF(O2487&lt;fi_h/20,0,(OFFSET('Base de dados'!$A$5,IF(O2487&lt;20,1,IF(O2487&gt;1000,10,MATCH(O2487,Cargas,1))),Coluna_fih,1,1))*(1+0.13*0.25)*(PI()*(fi_h/1000)^2/4)*SQRT(2*9.81*(O2487/100-fi_h/2/1000))*1000)),"",IF(O2487&lt;fi_h/20,0,(OFFSET('Base de dados'!$A$5,IF(O2487&lt;20,1,IF(O2487&gt;1000,10,MATCH(O2487,Cargas,1))),Coluna_fih,1,1))*(PI()*(fi_h/1000)^2/4)*SQRT(2*9.81*(O2487/100-fi_h/2/1000))*1000))</f>
        <v>6.6637864937925801</v>
      </c>
      <c r="Q2487" s="38">
        <f ca="1">IF(O2487="","",IF(Tipo_Vertedor="Retangular",IF(O2487&lt;=cota_s*100,0,IF(Tipo_Vertedor="Retangular",Cd_sr*Lef_sr*((O2487/100-cota_s)^(3/2))*1000)),IF(O2487&lt;=cota_s*100+fi_s/20,0,(OFFSET('Base de dados'!$A$4,IF(O2487&lt;20,1,IF(O2487&gt;1000,10,MATCH(O2487,Cargas,1))),Coluna_fis,1,1))*(PI()*(fi_s/1000)^2/4)*(2*9.81*(O2487/100-cota_s-fi_s/2/1000))^0.5*1000)))</f>
        <v>5.9839556521231181</v>
      </c>
      <c r="R2487" s="38">
        <f t="shared" ca="1" si="280"/>
        <v>12.647742145915698</v>
      </c>
      <c r="S2487" s="38">
        <f t="shared" ca="1" si="281"/>
        <v>776.875</v>
      </c>
    </row>
    <row r="2488" spans="13:19">
      <c r="M2488" s="132">
        <f t="shared" ca="1" si="278"/>
        <v>789.83808265946425</v>
      </c>
      <c r="N2488" s="38">
        <f t="shared" si="279"/>
        <v>23.315625000000001</v>
      </c>
      <c r="O2488" s="36">
        <f t="shared" si="277"/>
        <v>621.75</v>
      </c>
      <c r="P2488" s="38">
        <f ca="1">IF(ISERROR(IF(O2488&lt;fi_h/20,0,(OFFSET('Base de dados'!$A$5,IF(O2488&lt;20,1,IF(O2488&gt;1000,10,MATCH(O2488,Cargas,1))),Coluna_fih,1,1))*(1+0.13*0.25)*(PI()*(fi_h/1000)^2/4)*SQRT(2*9.81*(O2488/100-fi_h/2/1000))*1000)),"",IF(O2488&lt;fi_h/20,0,(OFFSET('Base de dados'!$A$5,IF(O2488&lt;20,1,IF(O2488&gt;1000,10,MATCH(O2488,Cargas,1))),Coluna_fih,1,1))*(PI()*(fi_h/1000)^2/4)*SQRT(2*9.81*(O2488/100-fi_h/2/1000))*1000))</f>
        <v>6.6651304272555683</v>
      </c>
      <c r="Q2488" s="38">
        <f ca="1">IF(O2488="","",IF(Tipo_Vertedor="Retangular",IF(O2488&lt;=cota_s*100,0,IF(Tipo_Vertedor="Retangular",Cd_sr*Lef_sr*((O2488/100-cota_s)^(3/2))*1000)),IF(O2488&lt;=cota_s*100+fi_s/20,0,(OFFSET('Base de dados'!$A$4,IF(O2488&lt;20,1,IF(O2488&gt;1000,10,MATCH(O2488,Cargas,1))),Coluna_fis,1,1))*(PI()*(fi_s/1000)^2/4)*(2*9.81*(O2488/100-cota_s-fi_s/2/1000))^0.5*1000)))</f>
        <v>5.9854522322086741</v>
      </c>
      <c r="R2488" s="38">
        <f t="shared" ca="1" si="280"/>
        <v>12.650582659464241</v>
      </c>
      <c r="S2488" s="38">
        <f t="shared" ca="1" si="281"/>
        <v>777.1875</v>
      </c>
    </row>
    <row r="2489" spans="13:19">
      <c r="M2489" s="132">
        <f t="shared" ca="1" si="278"/>
        <v>790.15342252797564</v>
      </c>
      <c r="N2489" s="38">
        <f t="shared" si="279"/>
        <v>23.324999999999999</v>
      </c>
      <c r="O2489" s="36">
        <f t="shared" si="277"/>
        <v>622</v>
      </c>
      <c r="P2489" s="38">
        <f ca="1">IF(ISERROR(IF(O2489&lt;fi_h/20,0,(OFFSET('Base de dados'!$A$5,IF(O2489&lt;20,1,IF(O2489&gt;1000,10,MATCH(O2489,Cargas,1))),Coluna_fih,1,1))*(1+0.13*0.25)*(PI()*(fi_h/1000)^2/4)*SQRT(2*9.81*(O2489/100-fi_h/2/1000))*1000)),"",IF(O2489&lt;fi_h/20,0,(OFFSET('Base de dados'!$A$5,IF(O2489&lt;20,1,IF(O2489&gt;1000,10,MATCH(O2489,Cargas,1))),Coluna_fih,1,1))*(PI()*(fi_h/1000)^2/4)*SQRT(2*9.81*(O2489/100-fi_h/2/1000))*1000))</f>
        <v>6.6664740897871617</v>
      </c>
      <c r="Q2489" s="38">
        <f ca="1">IF(O2489="","",IF(Tipo_Vertedor="Retangular",IF(O2489&lt;=cota_s*100,0,IF(Tipo_Vertedor="Retangular",Cd_sr*Lef_sr*((O2489/100-cota_s)^(3/2))*1000)),IF(O2489&lt;=cota_s*100+fi_s/20,0,(OFFSET('Base de dados'!$A$4,IF(O2489&lt;20,1,IF(O2489&gt;1000,10,MATCH(O2489,Cargas,1))),Coluna_fis,1,1))*(PI()*(fi_s/1000)^2/4)*(2*9.81*(O2489/100-cota_s-fi_s/2/1000))^0.5*1000)))</f>
        <v>5.9869484381884694</v>
      </c>
      <c r="R2489" s="38">
        <f t="shared" ca="1" si="280"/>
        <v>12.653422527975632</v>
      </c>
      <c r="S2489" s="38">
        <f t="shared" ca="1" si="281"/>
        <v>777.5</v>
      </c>
    </row>
    <row r="2490" spans="13:19">
      <c r="M2490" s="132">
        <f t="shared" ca="1" si="278"/>
        <v>790.46876175189402</v>
      </c>
      <c r="N2490" s="38">
        <f t="shared" si="279"/>
        <v>23.334375000000001</v>
      </c>
      <c r="O2490" s="36">
        <f t="shared" si="277"/>
        <v>622.25</v>
      </c>
      <c r="P2490" s="38">
        <f ca="1">IF(ISERROR(IF(O2490&lt;fi_h/20,0,(OFFSET('Base de dados'!$A$5,IF(O2490&lt;20,1,IF(O2490&gt;1000,10,MATCH(O2490,Cargas,1))),Coluna_fih,1,1))*(1+0.13*0.25)*(PI()*(fi_h/1000)^2/4)*SQRT(2*9.81*(O2490/100-fi_h/2/1000))*1000)),"",IF(O2490&lt;fi_h/20,0,(OFFSET('Base de dados'!$A$5,IF(O2490&lt;20,1,IF(O2490&gt;1000,10,MATCH(O2490,Cargas,1))),Coluna_fih,1,1))*(PI()*(fi_h/1000)^2/4)*SQRT(2*9.81*(O2490/100-fi_h/2/1000))*1000))</f>
        <v>6.6678174815511522</v>
      </c>
      <c r="Q2490" s="38">
        <f ca="1">IF(O2490="","",IF(Tipo_Vertedor="Retangular",IF(O2490&lt;=cota_s*100,0,IF(Tipo_Vertedor="Retangular",Cd_sr*Lef_sr*((O2490/100-cota_s)^(3/2))*1000)),IF(O2490&lt;=cota_s*100+fi_s/20,0,(OFFSET('Base de dados'!$A$4,IF(O2490&lt;20,1,IF(O2490&gt;1000,10,MATCH(O2490,Cargas,1))),Coluna_fis,1,1))*(PI()*(fi_s/1000)^2/4)*(2*9.81*(O2490/100-cota_s-fi_s/2/1000))^0.5*1000)))</f>
        <v>5.9884442703429199</v>
      </c>
      <c r="R2490" s="38">
        <f t="shared" ca="1" si="280"/>
        <v>12.656261751894071</v>
      </c>
      <c r="S2490" s="38">
        <f t="shared" ca="1" si="281"/>
        <v>777.8125</v>
      </c>
    </row>
    <row r="2491" spans="13:19">
      <c r="M2491" s="132">
        <f t="shared" ca="1" si="278"/>
        <v>790.78410033166324</v>
      </c>
      <c r="N2491" s="38">
        <f t="shared" si="279"/>
        <v>23.34375</v>
      </c>
      <c r="O2491" s="36">
        <f t="shared" si="277"/>
        <v>622.5</v>
      </c>
      <c r="P2491" s="38">
        <f ca="1">IF(ISERROR(IF(O2491&lt;fi_h/20,0,(OFFSET('Base de dados'!$A$5,IF(O2491&lt;20,1,IF(O2491&gt;1000,10,MATCH(O2491,Cargas,1))),Coluna_fih,1,1))*(1+0.13*0.25)*(PI()*(fi_h/1000)^2/4)*SQRT(2*9.81*(O2491/100-fi_h/2/1000))*1000)),"",IF(O2491&lt;fi_h/20,0,(OFFSET('Base de dados'!$A$5,IF(O2491&lt;20,1,IF(O2491&gt;1000,10,MATCH(O2491,Cargas,1))),Coluna_fih,1,1))*(PI()*(fi_h/1000)^2/4)*SQRT(2*9.81*(O2491/100-fi_h/2/1000))*1000))</f>
        <v>6.6691606027111616</v>
      </c>
      <c r="Q2491" s="38">
        <f ca="1">IF(O2491="","",IF(Tipo_Vertedor="Retangular",IF(O2491&lt;=cota_s*100,0,IF(Tipo_Vertedor="Retangular",Cd_sr*Lef_sr*((O2491/100-cota_s)^(3/2))*1000)),IF(O2491&lt;=cota_s*100+fi_s/20,0,(OFFSET('Base de dados'!$A$4,IF(O2491&lt;20,1,IF(O2491&gt;1000,10,MATCH(O2491,Cargas,1))),Coluna_fis,1,1))*(PI()*(fi_s/1000)^2/4)*(2*9.81*(O2491/100-cota_s-fi_s/2/1000))^0.5*1000)))</f>
        <v>5.9899397289520788</v>
      </c>
      <c r="R2491" s="38">
        <f t="shared" ca="1" si="280"/>
        <v>12.65910033166324</v>
      </c>
      <c r="S2491" s="38">
        <f t="shared" ca="1" si="281"/>
        <v>778.125</v>
      </c>
    </row>
    <row r="2492" spans="13:19">
      <c r="M2492" s="132">
        <f t="shared" ca="1" si="278"/>
        <v>791.09943826772633</v>
      </c>
      <c r="N2492" s="38">
        <f t="shared" si="279"/>
        <v>23.353124999999999</v>
      </c>
      <c r="O2492" s="36">
        <f t="shared" si="277"/>
        <v>622.75</v>
      </c>
      <c r="P2492" s="38">
        <f ca="1">IF(ISERROR(IF(O2492&lt;fi_h/20,0,(OFFSET('Base de dados'!$A$5,IF(O2492&lt;20,1,IF(O2492&gt;1000,10,MATCH(O2492,Cargas,1))),Coluna_fih,1,1))*(1+0.13*0.25)*(PI()*(fi_h/1000)^2/4)*SQRT(2*9.81*(O2492/100-fi_h/2/1000))*1000)),"",IF(O2492&lt;fi_h/20,0,(OFFSET('Base de dados'!$A$5,IF(O2492&lt;20,1,IF(O2492&gt;1000,10,MATCH(O2492,Cargas,1))),Coluna_fih,1,1))*(PI()*(fi_h/1000)^2/4)*SQRT(2*9.81*(O2492/100-fi_h/2/1000))*1000))</f>
        <v>6.6705034534306549</v>
      </c>
      <c r="Q2492" s="38">
        <f ca="1">IF(O2492="","",IF(Tipo_Vertedor="Retangular",IF(O2492&lt;=cota_s*100,0,IF(Tipo_Vertedor="Retangular",Cd_sr*Lef_sr*((O2492/100-cota_s)^(3/2))*1000)),IF(O2492&lt;=cota_s*100+fi_s/20,0,(OFFSET('Base de dados'!$A$4,IF(O2492&lt;20,1,IF(O2492&gt;1000,10,MATCH(O2492,Cargas,1))),Coluna_fis,1,1))*(PI()*(fi_s/1000)^2/4)*(2*9.81*(O2492/100-cota_s-fi_s/2/1000))^0.5*1000)))</f>
        <v>5.9914348142956628</v>
      </c>
      <c r="R2492" s="38">
        <f t="shared" ca="1" si="280"/>
        <v>12.661938267726317</v>
      </c>
      <c r="S2492" s="38">
        <f t="shared" ca="1" si="281"/>
        <v>778.4375</v>
      </c>
    </row>
    <row r="2493" spans="13:19">
      <c r="M2493" s="132">
        <f t="shared" ca="1" si="278"/>
        <v>791.41477556052598</v>
      </c>
      <c r="N2493" s="38">
        <f t="shared" si="279"/>
        <v>23.362500000000001</v>
      </c>
      <c r="O2493" s="36">
        <f t="shared" si="277"/>
        <v>623</v>
      </c>
      <c r="P2493" s="38">
        <f ca="1">IF(ISERROR(IF(O2493&lt;fi_h/20,0,(OFFSET('Base de dados'!$A$5,IF(O2493&lt;20,1,IF(O2493&gt;1000,10,MATCH(O2493,Cargas,1))),Coluna_fih,1,1))*(1+0.13*0.25)*(PI()*(fi_h/1000)^2/4)*SQRT(2*9.81*(O2493/100-fi_h/2/1000))*1000)),"",IF(O2493&lt;fi_h/20,0,(OFFSET('Base de dados'!$A$5,IF(O2493&lt;20,1,IF(O2493&gt;1000,10,MATCH(O2493,Cargas,1))),Coluna_fih,1,1))*(PI()*(fi_h/1000)^2/4)*SQRT(2*9.81*(O2493/100-fi_h/2/1000))*1000))</f>
        <v>6.6718460338729235</v>
      </c>
      <c r="Q2493" s="38">
        <f ca="1">IF(O2493="","",IF(Tipo_Vertedor="Retangular",IF(O2493&lt;=cota_s*100,0,IF(Tipo_Vertedor="Retangular",Cd_sr*Lef_sr*((O2493/100-cota_s)^(3/2))*1000)),IF(O2493&lt;=cota_s*100+fi_s/20,0,(OFFSET('Base de dados'!$A$4,IF(O2493&lt;20,1,IF(O2493&gt;1000,10,MATCH(O2493,Cargas,1))),Coluna_fis,1,1))*(PI()*(fi_s/1000)^2/4)*(2*9.81*(O2493/100-cota_s-fi_s/2/1000))^0.5*1000)))</f>
        <v>5.9929295266530263</v>
      </c>
      <c r="R2493" s="38">
        <f t="shared" ca="1" si="280"/>
        <v>12.66477556052595</v>
      </c>
      <c r="S2493" s="38">
        <f t="shared" ca="1" si="281"/>
        <v>778.75</v>
      </c>
    </row>
    <row r="2494" spans="13:19">
      <c r="M2494" s="132">
        <f t="shared" ca="1" si="278"/>
        <v>791.73011221050433</v>
      </c>
      <c r="N2494" s="38">
        <f t="shared" si="279"/>
        <v>23.371874999999999</v>
      </c>
      <c r="O2494" s="36">
        <f t="shared" si="277"/>
        <v>623.25</v>
      </c>
      <c r="P2494" s="38">
        <f ca="1">IF(ISERROR(IF(O2494&lt;fi_h/20,0,(OFFSET('Base de dados'!$A$5,IF(O2494&lt;20,1,IF(O2494&gt;1000,10,MATCH(O2494,Cargas,1))),Coluna_fih,1,1))*(1+0.13*0.25)*(PI()*(fi_h/1000)^2/4)*SQRT(2*9.81*(O2494/100-fi_h/2/1000))*1000)),"",IF(O2494&lt;fi_h/20,0,(OFFSET('Base de dados'!$A$5,IF(O2494&lt;20,1,IF(O2494&gt;1000,10,MATCH(O2494,Cargas,1))),Coluna_fih,1,1))*(PI()*(fi_h/1000)^2/4)*SQRT(2*9.81*(O2494/100-fi_h/2/1000))*1000))</f>
        <v>6.673188344201102</v>
      </c>
      <c r="Q2494" s="38">
        <f ca="1">IF(O2494="","",IF(Tipo_Vertedor="Retangular",IF(O2494&lt;=cota_s*100,0,IF(Tipo_Vertedor="Retangular",Cd_sr*Lef_sr*((O2494/100-cota_s)^(3/2))*1000)),IF(O2494&lt;=cota_s*100+fi_s/20,0,(OFFSET('Base de dados'!$A$4,IF(O2494&lt;20,1,IF(O2494&gt;1000,10,MATCH(O2494,Cargas,1))),Coluna_fis,1,1))*(PI()*(fi_s/1000)^2/4)*(2*9.81*(O2494/100-cota_s-fi_s/2/1000))^0.5*1000)))</f>
        <v>5.9944238663031868</v>
      </c>
      <c r="R2494" s="38">
        <f t="shared" ca="1" si="280"/>
        <v>12.667612210504288</v>
      </c>
      <c r="S2494" s="38">
        <f t="shared" ca="1" si="281"/>
        <v>779.0625</v>
      </c>
    </row>
    <row r="2495" spans="13:19">
      <c r="M2495" s="132">
        <f t="shared" ca="1" si="278"/>
        <v>792.04544821810293</v>
      </c>
      <c r="N2495" s="38">
        <f t="shared" si="279"/>
        <v>23.381250000000001</v>
      </c>
      <c r="O2495" s="36">
        <f t="shared" si="277"/>
        <v>623.5</v>
      </c>
      <c r="P2495" s="38">
        <f ca="1">IF(ISERROR(IF(O2495&lt;fi_h/20,0,(OFFSET('Base de dados'!$A$5,IF(O2495&lt;20,1,IF(O2495&gt;1000,10,MATCH(O2495,Cargas,1))),Coluna_fih,1,1))*(1+0.13*0.25)*(PI()*(fi_h/1000)^2/4)*SQRT(2*9.81*(O2495/100-fi_h/2/1000))*1000)),"",IF(O2495&lt;fi_h/20,0,(OFFSET('Base de dados'!$A$5,IF(O2495&lt;20,1,IF(O2495&gt;1000,10,MATCH(O2495,Cargas,1))),Coluna_fih,1,1))*(PI()*(fi_h/1000)^2/4)*SQRT(2*9.81*(O2495/100-fi_h/2/1000))*1000))</f>
        <v>6.674530384578155</v>
      </c>
      <c r="Q2495" s="38">
        <f ca="1">IF(O2495="","",IF(Tipo_Vertedor="Retangular",IF(O2495&lt;=cota_s*100,0,IF(Tipo_Vertedor="Retangular",Cd_sr*Lef_sr*((O2495/100-cota_s)^(3/2))*1000)),IF(O2495&lt;=cota_s*100+fi_s/20,0,(OFFSET('Base de dados'!$A$4,IF(O2495&lt;20,1,IF(O2495&gt;1000,10,MATCH(O2495,Cargas,1))),Coluna_fis,1,1))*(PI()*(fi_s/1000)^2/4)*(2*9.81*(O2495/100-cota_s-fi_s/2/1000))^0.5*1000)))</f>
        <v>5.9959178335248069</v>
      </c>
      <c r="R2495" s="38">
        <f t="shared" ca="1" si="280"/>
        <v>12.670448218102962</v>
      </c>
      <c r="S2495" s="38">
        <f t="shared" ca="1" si="281"/>
        <v>779.375</v>
      </c>
    </row>
    <row r="2496" spans="13:19">
      <c r="M2496" s="132">
        <f t="shared" ca="1" si="278"/>
        <v>792.36078358376312</v>
      </c>
      <c r="N2496" s="38">
        <f t="shared" si="279"/>
        <v>23.390625</v>
      </c>
      <c r="O2496" s="36">
        <f t="shared" si="277"/>
        <v>623.75</v>
      </c>
      <c r="P2496" s="38">
        <f ca="1">IF(ISERROR(IF(O2496&lt;fi_h/20,0,(OFFSET('Base de dados'!$A$5,IF(O2496&lt;20,1,IF(O2496&gt;1000,10,MATCH(O2496,Cargas,1))),Coluna_fih,1,1))*(1+0.13*0.25)*(PI()*(fi_h/1000)^2/4)*SQRT(2*9.81*(O2496/100-fi_h/2/1000))*1000)),"",IF(O2496&lt;fi_h/20,0,(OFFSET('Base de dados'!$A$5,IF(O2496&lt;20,1,IF(O2496&gt;1000,10,MATCH(O2496,Cargas,1))),Coluna_fih,1,1))*(PI()*(fi_h/1000)^2/4)*SQRT(2*9.81*(O2496/100-fi_h/2/1000))*1000))</f>
        <v>6.6758721551668883</v>
      </c>
      <c r="Q2496" s="38">
        <f ca="1">IF(O2496="","",IF(Tipo_Vertedor="Retangular",IF(O2496&lt;=cota_s*100,0,IF(Tipo_Vertedor="Retangular",Cd_sr*Lef_sr*((O2496/100-cota_s)^(3/2))*1000)),IF(O2496&lt;=cota_s*100+fi_s/20,0,(OFFSET('Base de dados'!$A$4,IF(O2496&lt;20,1,IF(O2496&gt;1000,10,MATCH(O2496,Cargas,1))),Coluna_fis,1,1))*(PI()*(fi_s/1000)^2/4)*(2*9.81*(O2496/100-cota_s-fi_s/2/1000))^0.5*1000)))</f>
        <v>5.9974114285962061</v>
      </c>
      <c r="R2496" s="38">
        <f t="shared" ca="1" si="280"/>
        <v>12.673283583763094</v>
      </c>
      <c r="S2496" s="38">
        <f t="shared" ca="1" si="281"/>
        <v>779.6875</v>
      </c>
    </row>
    <row r="2497" spans="13:19">
      <c r="M2497" s="132">
        <f t="shared" ca="1" si="278"/>
        <v>792.67611830792544</v>
      </c>
      <c r="N2497" s="38">
        <f t="shared" si="279"/>
        <v>23.400000000000002</v>
      </c>
      <c r="O2497" s="36">
        <f t="shared" si="277"/>
        <v>624</v>
      </c>
      <c r="P2497" s="38">
        <f ca="1">IF(ISERROR(IF(O2497&lt;fi_h/20,0,(OFFSET('Base de dados'!$A$5,IF(O2497&lt;20,1,IF(O2497&gt;1000,10,MATCH(O2497,Cargas,1))),Coluna_fih,1,1))*(1+0.13*0.25)*(PI()*(fi_h/1000)^2/4)*SQRT(2*9.81*(O2497/100-fi_h/2/1000))*1000)),"",IF(O2497&lt;fi_h/20,0,(OFFSET('Base de dados'!$A$5,IF(O2497&lt;20,1,IF(O2497&gt;1000,10,MATCH(O2497,Cargas,1))),Coluna_fih,1,1))*(PI()*(fi_h/1000)^2/4)*SQRT(2*9.81*(O2497/100-fi_h/2/1000))*1000))</f>
        <v>6.6772136561299407</v>
      </c>
      <c r="Q2497" s="38">
        <f ca="1">IF(O2497="","",IF(Tipo_Vertedor="Retangular",IF(O2497&lt;=cota_s*100,0,IF(Tipo_Vertedor="Retangular",Cd_sr*Lef_sr*((O2497/100-cota_s)^(3/2))*1000)),IF(O2497&lt;=cota_s*100+fi_s/20,0,(OFFSET('Base de dados'!$A$4,IF(O2497&lt;20,1,IF(O2497&gt;1000,10,MATCH(O2497,Cargas,1))),Coluna_fis,1,1))*(PI()*(fi_s/1000)^2/4)*(2*9.81*(O2497/100-cota_s-fi_s/2/1000))^0.5*1000)))</f>
        <v>5.9989046517953568</v>
      </c>
      <c r="R2497" s="38">
        <f t="shared" ca="1" si="280"/>
        <v>12.676118307925297</v>
      </c>
      <c r="S2497" s="38">
        <f t="shared" ca="1" si="281"/>
        <v>780.00000000000011</v>
      </c>
    </row>
    <row r="2498" spans="13:19">
      <c r="M2498" s="132">
        <f t="shared" ca="1" si="278"/>
        <v>792.99145239102961</v>
      </c>
      <c r="N2498" s="38">
        <f t="shared" si="279"/>
        <v>23.409374999999997</v>
      </c>
      <c r="O2498" s="36">
        <f t="shared" si="277"/>
        <v>624.25</v>
      </c>
      <c r="P2498" s="38">
        <f ca="1">IF(ISERROR(IF(O2498&lt;fi_h/20,0,(OFFSET('Base de dados'!$A$5,IF(O2498&lt;20,1,IF(O2498&gt;1000,10,MATCH(O2498,Cargas,1))),Coluna_fih,1,1))*(1+0.13*0.25)*(PI()*(fi_h/1000)^2/4)*SQRT(2*9.81*(O2498/100-fi_h/2/1000))*1000)),"",IF(O2498&lt;fi_h/20,0,(OFFSET('Base de dados'!$A$5,IF(O2498&lt;20,1,IF(O2498&gt;1000,10,MATCH(O2498,Cargas,1))),Coluna_fih,1,1))*(PI()*(fi_h/1000)^2/4)*SQRT(2*9.81*(O2498/100-fi_h/2/1000))*1000))</f>
        <v>6.6785548876297876</v>
      </c>
      <c r="Q2498" s="38">
        <f ca="1">IF(O2498="","",IF(Tipo_Vertedor="Retangular",IF(O2498&lt;=cota_s*100,0,IF(Tipo_Vertedor="Retangular",Cd_sr*Lef_sr*((O2498/100-cota_s)^(3/2))*1000)),IF(O2498&lt;=cota_s*100+fi_s/20,0,(OFFSET('Base de dados'!$A$4,IF(O2498&lt;20,1,IF(O2498&gt;1000,10,MATCH(O2498,Cargas,1))),Coluna_fis,1,1))*(PI()*(fi_s/1000)^2/4)*(2*9.81*(O2498/100-cota_s-fi_s/2/1000))^0.5*1000)))</f>
        <v>6.0003975033998822</v>
      </c>
      <c r="R2498" s="38">
        <f t="shared" ca="1" si="280"/>
        <v>12.67895239102967</v>
      </c>
      <c r="S2498" s="38">
        <f t="shared" ca="1" si="281"/>
        <v>780.31249999999989</v>
      </c>
    </row>
    <row r="2499" spans="13:19">
      <c r="M2499" s="132">
        <f t="shared" ca="1" si="278"/>
        <v>793.30678583351585</v>
      </c>
      <c r="N2499" s="38">
        <f t="shared" si="279"/>
        <v>23.418749999999999</v>
      </c>
      <c r="O2499" s="36">
        <f t="shared" si="277"/>
        <v>624.5</v>
      </c>
      <c r="P2499" s="38">
        <f ca="1">IF(ISERROR(IF(O2499&lt;fi_h/20,0,(OFFSET('Base de dados'!$A$5,IF(O2499&lt;20,1,IF(O2499&gt;1000,10,MATCH(O2499,Cargas,1))),Coluna_fih,1,1))*(1+0.13*0.25)*(PI()*(fi_h/1000)^2/4)*SQRT(2*9.81*(O2499/100-fi_h/2/1000))*1000)),"",IF(O2499&lt;fi_h/20,0,(OFFSET('Base de dados'!$A$5,IF(O2499&lt;20,1,IF(O2499&gt;1000,10,MATCH(O2499,Cargas,1))),Coluna_fih,1,1))*(PI()*(fi_h/1000)^2/4)*SQRT(2*9.81*(O2499/100-fi_h/2/1000))*1000))</f>
        <v>6.6798958498287462</v>
      </c>
      <c r="Q2499" s="38">
        <f ca="1">IF(O2499="","",IF(Tipo_Vertedor="Retangular",IF(O2499&lt;=cota_s*100,0,IF(Tipo_Vertedor="Retangular",Cd_sr*Lef_sr*((O2499/100-cota_s)^(3/2))*1000)),IF(O2499&lt;=cota_s*100+fi_s/20,0,(OFFSET('Base de dados'!$A$4,IF(O2499&lt;20,1,IF(O2499&gt;1000,10,MATCH(O2499,Cargas,1))),Coluna_fis,1,1))*(PI()*(fi_s/1000)^2/4)*(2*9.81*(O2499/100-cota_s-fi_s/2/1000))^0.5*1000)))</f>
        <v>6.0018899836870645</v>
      </c>
      <c r="R2499" s="38">
        <f t="shared" ca="1" si="280"/>
        <v>12.681785833515811</v>
      </c>
      <c r="S2499" s="38">
        <f t="shared" ca="1" si="281"/>
        <v>780.625</v>
      </c>
    </row>
    <row r="2500" spans="13:19">
      <c r="M2500" s="132">
        <f t="shared" ca="1" si="278"/>
        <v>793.62211863582274</v>
      </c>
      <c r="N2500" s="38">
        <f t="shared" si="279"/>
        <v>23.428124999999998</v>
      </c>
      <c r="O2500" s="36">
        <f t="shared" si="277"/>
        <v>624.75</v>
      </c>
      <c r="P2500" s="38">
        <f ca="1">IF(ISERROR(IF(O2500&lt;fi_h/20,0,(OFFSET('Base de dados'!$A$5,IF(O2500&lt;20,1,IF(O2500&gt;1000,10,MATCH(O2500,Cargas,1))),Coluna_fih,1,1))*(1+0.13*0.25)*(PI()*(fi_h/1000)^2/4)*SQRT(2*9.81*(O2500/100-fi_h/2/1000))*1000)),"",IF(O2500&lt;fi_h/20,0,(OFFSET('Base de dados'!$A$5,IF(O2500&lt;20,1,IF(O2500&gt;1000,10,MATCH(O2500,Cargas,1))),Coluna_fih,1,1))*(PI()*(fi_h/1000)^2/4)*SQRT(2*9.81*(O2500/100-fi_h/2/1000))*1000))</f>
        <v>6.6812365428889651</v>
      </c>
      <c r="Q2500" s="38">
        <f ca="1">IF(O2500="","",IF(Tipo_Vertedor="Retangular",IF(O2500&lt;=cota_s*100,0,IF(Tipo_Vertedor="Retangular",Cd_sr*Lef_sr*((O2500/100-cota_s)^(3/2))*1000)),IF(O2500&lt;=cota_s*100+fi_s/20,0,(OFFSET('Base de dados'!$A$4,IF(O2500&lt;20,1,IF(O2500&gt;1000,10,MATCH(O2500,Cargas,1))),Coluna_fis,1,1))*(PI()*(fi_s/1000)^2/4)*(2*9.81*(O2500/100-cota_s-fi_s/2/1000))^0.5*1000)))</f>
        <v>6.0033820929338404</v>
      </c>
      <c r="R2500" s="38">
        <f t="shared" ca="1" si="280"/>
        <v>12.684618635822805</v>
      </c>
      <c r="S2500" s="38">
        <f t="shared" ca="1" si="281"/>
        <v>780.93749999999989</v>
      </c>
    </row>
    <row r="2501" spans="13:19">
      <c r="M2501" s="132">
        <f t="shared" ca="1" si="278"/>
        <v>793.93745079838925</v>
      </c>
      <c r="N2501" s="38">
        <f t="shared" si="279"/>
        <v>23.4375</v>
      </c>
      <c r="O2501" s="36">
        <f t="shared" si="277"/>
        <v>625</v>
      </c>
      <c r="P2501" s="38">
        <f ca="1">IF(ISERROR(IF(O2501&lt;fi_h/20,0,(OFFSET('Base de dados'!$A$5,IF(O2501&lt;20,1,IF(O2501&gt;1000,10,MATCH(O2501,Cargas,1))),Coluna_fih,1,1))*(1+0.13*0.25)*(PI()*(fi_h/1000)^2/4)*SQRT(2*9.81*(O2501/100-fi_h/2/1000))*1000)),"",IF(O2501&lt;fi_h/20,0,(OFFSET('Base de dados'!$A$5,IF(O2501&lt;20,1,IF(O2501&gt;1000,10,MATCH(O2501,Cargas,1))),Coluna_fih,1,1))*(PI()*(fi_h/1000)^2/4)*SQRT(2*9.81*(O2501/100-fi_h/2/1000))*1000))</f>
        <v>6.6825769669724311</v>
      </c>
      <c r="Q2501" s="38">
        <f ca="1">IF(O2501="","",IF(Tipo_Vertedor="Retangular",IF(O2501&lt;=cota_s*100,0,IF(Tipo_Vertedor="Retangular",Cd_sr*Lef_sr*((O2501/100-cota_s)^(3/2))*1000)),IF(O2501&lt;=cota_s*100+fi_s/20,0,(OFFSET('Base de dados'!$A$4,IF(O2501&lt;20,1,IF(O2501&gt;1000,10,MATCH(O2501,Cargas,1))),Coluna_fis,1,1))*(PI()*(fi_s/1000)^2/4)*(2*9.81*(O2501/100-cota_s-fi_s/2/1000))^0.5*1000)))</f>
        <v>6.0048738314168002</v>
      </c>
      <c r="R2501" s="38">
        <f t="shared" ca="1" si="280"/>
        <v>12.687450798389232</v>
      </c>
      <c r="S2501" s="38">
        <f t="shared" ca="1" si="281"/>
        <v>781.25</v>
      </c>
    </row>
    <row r="2502" spans="13:19">
      <c r="M2502" s="132">
        <f t="shared" ca="1" si="278"/>
        <v>794.25278232165329</v>
      </c>
      <c r="N2502" s="38">
        <f t="shared" si="279"/>
        <v>23.446875000000002</v>
      </c>
      <c r="O2502" s="36">
        <f t="shared" si="277"/>
        <v>625.25</v>
      </c>
      <c r="P2502" s="38">
        <f ca="1">IF(ISERROR(IF(O2502&lt;fi_h/20,0,(OFFSET('Base de dados'!$A$5,IF(O2502&lt;20,1,IF(O2502&gt;1000,10,MATCH(O2502,Cargas,1))),Coluna_fih,1,1))*(1+0.13*0.25)*(PI()*(fi_h/1000)^2/4)*SQRT(2*9.81*(O2502/100-fi_h/2/1000))*1000)),"",IF(O2502&lt;fi_h/20,0,(OFFSET('Base de dados'!$A$5,IF(O2502&lt;20,1,IF(O2502&gt;1000,10,MATCH(O2502,Cargas,1))),Coluna_fih,1,1))*(PI()*(fi_h/1000)^2/4)*SQRT(2*9.81*(O2502/100-fi_h/2/1000))*1000))</f>
        <v>6.6839171222409721</v>
      </c>
      <c r="Q2502" s="38">
        <f ca="1">IF(O2502="","",IF(Tipo_Vertedor="Retangular",IF(O2502&lt;=cota_s*100,0,IF(Tipo_Vertedor="Retangular",Cd_sr*Lef_sr*((O2502/100-cota_s)^(3/2))*1000)),IF(O2502&lt;=cota_s*100+fi_s/20,0,(OFFSET('Base de dados'!$A$4,IF(O2502&lt;20,1,IF(O2502&gt;1000,10,MATCH(O2502,Cargas,1))),Coluna_fis,1,1))*(PI()*(fi_s/1000)^2/4)*(2*9.81*(O2502/100-cota_s-fi_s/2/1000))^0.5*1000)))</f>
        <v>6.0063651994121914</v>
      </c>
      <c r="R2502" s="38">
        <f t="shared" ca="1" si="280"/>
        <v>12.690282321653164</v>
      </c>
      <c r="S2502" s="38">
        <f t="shared" ca="1" si="281"/>
        <v>781.56250000000011</v>
      </c>
    </row>
    <row r="2503" spans="13:19">
      <c r="M2503" s="132">
        <f t="shared" ca="1" si="278"/>
        <v>794.5681132060522</v>
      </c>
      <c r="N2503" s="38">
        <f t="shared" si="279"/>
        <v>23.456250000000001</v>
      </c>
      <c r="O2503" s="36">
        <f t="shared" si="277"/>
        <v>625.5</v>
      </c>
      <c r="P2503" s="38">
        <f ca="1">IF(ISERROR(IF(O2503&lt;fi_h/20,0,(OFFSET('Base de dados'!$A$5,IF(O2503&lt;20,1,IF(O2503&gt;1000,10,MATCH(O2503,Cargas,1))),Coluna_fih,1,1))*(1+0.13*0.25)*(PI()*(fi_h/1000)^2/4)*SQRT(2*9.81*(O2503/100-fi_h/2/1000))*1000)),"",IF(O2503&lt;fi_h/20,0,(OFFSET('Base de dados'!$A$5,IF(O2503&lt;20,1,IF(O2503&gt;1000,10,MATCH(O2503,Cargas,1))),Coluna_fih,1,1))*(PI()*(fi_h/1000)^2/4)*SQRT(2*9.81*(O2503/100-fi_h/2/1000))*1000))</f>
        <v>6.68525700885625</v>
      </c>
      <c r="Q2503" s="38">
        <f ca="1">IF(O2503="","",IF(Tipo_Vertedor="Retangular",IF(O2503&lt;=cota_s*100,0,IF(Tipo_Vertedor="Retangular",Cd_sr*Lef_sr*((O2503/100-cota_s)^(3/2))*1000)),IF(O2503&lt;=cota_s*100+fi_s/20,0,(OFFSET('Base de dados'!$A$4,IF(O2503&lt;20,1,IF(O2503&gt;1000,10,MATCH(O2503,Cargas,1))),Coluna_fis,1,1))*(PI()*(fi_s/1000)^2/4)*(2*9.81*(O2503/100-cota_s-fi_s/2/1000))^0.5*1000)))</f>
        <v>6.0078561971959195</v>
      </c>
      <c r="R2503" s="38">
        <f t="shared" ca="1" si="280"/>
        <v>12.693113206052169</v>
      </c>
      <c r="S2503" s="38">
        <f t="shared" ca="1" si="281"/>
        <v>781.875</v>
      </c>
    </row>
    <row r="2504" spans="13:19">
      <c r="M2504" s="132">
        <f t="shared" ca="1" si="278"/>
        <v>794.88344345202347</v>
      </c>
      <c r="N2504" s="38">
        <f t="shared" si="279"/>
        <v>23.465625000000003</v>
      </c>
      <c r="O2504" s="36">
        <f t="shared" si="277"/>
        <v>625.75</v>
      </c>
      <c r="P2504" s="38">
        <f ca="1">IF(ISERROR(IF(O2504&lt;fi_h/20,0,(OFFSET('Base de dados'!$A$5,IF(O2504&lt;20,1,IF(O2504&gt;1000,10,MATCH(O2504,Cargas,1))),Coluna_fih,1,1))*(1+0.13*0.25)*(PI()*(fi_h/1000)^2/4)*SQRT(2*9.81*(O2504/100-fi_h/2/1000))*1000)),"",IF(O2504&lt;fi_h/20,0,(OFFSET('Base de dados'!$A$5,IF(O2504&lt;20,1,IF(O2504&gt;1000,10,MATCH(O2504,Cargas,1))),Coluna_fih,1,1))*(PI()*(fi_h/1000)^2/4)*SQRT(2*9.81*(O2504/100-fi_h/2/1000))*1000))</f>
        <v>6.6865966269797665</v>
      </c>
      <c r="Q2504" s="38">
        <f ca="1">IF(O2504="","",IF(Tipo_Vertedor="Retangular",IF(O2504&lt;=cota_s*100,0,IF(Tipo_Vertedor="Retangular",Cd_sr*Lef_sr*((O2504/100-cota_s)^(3/2))*1000)),IF(O2504&lt;=cota_s*100+fi_s/20,0,(OFFSET('Base de dados'!$A$4,IF(O2504&lt;20,1,IF(O2504&gt;1000,10,MATCH(O2504,Cargas,1))),Coluna_fis,1,1))*(PI()*(fi_s/1000)^2/4)*(2*9.81*(O2504/100-cota_s-fi_s/2/1000))^0.5*1000)))</f>
        <v>6.0093468250435507</v>
      </c>
      <c r="R2504" s="38">
        <f t="shared" ca="1" si="280"/>
        <v>12.695943452023318</v>
      </c>
      <c r="S2504" s="38">
        <f t="shared" ca="1" si="281"/>
        <v>782.18750000000011</v>
      </c>
    </row>
    <row r="2505" spans="13:19">
      <c r="M2505" s="132">
        <f t="shared" ca="1" si="278"/>
        <v>795.19877306000308</v>
      </c>
      <c r="N2505" s="38">
        <f t="shared" si="279"/>
        <v>23.474999999999998</v>
      </c>
      <c r="O2505" s="36">
        <f t="shared" si="277"/>
        <v>626</v>
      </c>
      <c r="P2505" s="38">
        <f ca="1">IF(ISERROR(IF(O2505&lt;fi_h/20,0,(OFFSET('Base de dados'!$A$5,IF(O2505&lt;20,1,IF(O2505&gt;1000,10,MATCH(O2505,Cargas,1))),Coluna_fih,1,1))*(1+0.13*0.25)*(PI()*(fi_h/1000)^2/4)*SQRT(2*9.81*(O2505/100-fi_h/2/1000))*1000)),"",IF(O2505&lt;fi_h/20,0,(OFFSET('Base de dados'!$A$5,IF(O2505&lt;20,1,IF(O2505&gt;1000,10,MATCH(O2505,Cargas,1))),Coluna_fih,1,1))*(PI()*(fi_h/1000)^2/4)*SQRT(2*9.81*(O2505/100-fi_h/2/1000))*1000))</f>
        <v>6.6879359767728621</v>
      </c>
      <c r="Q2505" s="38">
        <f ca="1">IF(O2505="","",IF(Tipo_Vertedor="Retangular",IF(O2505&lt;=cota_s*100,0,IF(Tipo_Vertedor="Retangular",Cd_sr*Lef_sr*((O2505/100-cota_s)^(3/2))*1000)),IF(O2505&lt;=cota_s*100+fi_s/20,0,(OFFSET('Base de dados'!$A$4,IF(O2505&lt;20,1,IF(O2505&gt;1000,10,MATCH(O2505,Cargas,1))),Coluna_fis,1,1))*(PI()*(fi_s/1000)^2/4)*(2*9.81*(O2505/100-cota_s-fi_s/2/1000))^0.5*1000)))</f>
        <v>6.0108370832303031</v>
      </c>
      <c r="R2505" s="38">
        <f t="shared" ca="1" si="280"/>
        <v>12.698773060003166</v>
      </c>
      <c r="S2505" s="38">
        <f t="shared" ca="1" si="281"/>
        <v>782.49999999999989</v>
      </c>
    </row>
    <row r="2506" spans="13:19">
      <c r="M2506" s="132">
        <f t="shared" ca="1" si="278"/>
        <v>795.51410203042781</v>
      </c>
      <c r="N2506" s="38">
        <f t="shared" si="279"/>
        <v>23.484375</v>
      </c>
      <c r="O2506" s="36">
        <f t="shared" si="277"/>
        <v>626.25</v>
      </c>
      <c r="P2506" s="38">
        <f ca="1">IF(ISERROR(IF(O2506&lt;fi_h/20,0,(OFFSET('Base de dados'!$A$5,IF(O2506&lt;20,1,IF(O2506&gt;1000,10,MATCH(O2506,Cargas,1))),Coluna_fih,1,1))*(1+0.13*0.25)*(PI()*(fi_h/1000)^2/4)*SQRT(2*9.81*(O2506/100-fi_h/2/1000))*1000)),"",IF(O2506&lt;fi_h/20,0,(OFFSET('Base de dados'!$A$5,IF(O2506&lt;20,1,IF(O2506&gt;1000,10,MATCH(O2506,Cargas,1))),Coluna_fih,1,1))*(PI()*(fi_h/1000)^2/4)*SQRT(2*9.81*(O2506/100-fi_h/2/1000))*1000))</f>
        <v>6.6892750583967127</v>
      </c>
      <c r="Q2506" s="38">
        <f ca="1">IF(O2506="","",IF(Tipo_Vertedor="Retangular",IF(O2506&lt;=cota_s*100,0,IF(Tipo_Vertedor="Retangular",Cd_sr*Lef_sr*((O2506/100-cota_s)^(3/2))*1000)),IF(O2506&lt;=cota_s*100+fi_s/20,0,(OFFSET('Base de dados'!$A$4,IF(O2506&lt;20,1,IF(O2506&gt;1000,10,MATCH(O2506,Cargas,1))),Coluna_fis,1,1))*(PI()*(fi_s/1000)^2/4)*(2*9.81*(O2506/100-cota_s-fi_s/2/1000))^0.5*1000)))</f>
        <v>6.0123269720310573</v>
      </c>
      <c r="R2506" s="38">
        <f t="shared" ca="1" si="280"/>
        <v>12.70160203042777</v>
      </c>
      <c r="S2506" s="38">
        <f t="shared" ca="1" si="281"/>
        <v>782.8125</v>
      </c>
    </row>
    <row r="2507" spans="13:19">
      <c r="M2507" s="132">
        <f t="shared" ca="1" si="278"/>
        <v>795.82943036373274</v>
      </c>
      <c r="N2507" s="38">
        <f t="shared" si="279"/>
        <v>23.493749999999999</v>
      </c>
      <c r="O2507" s="36">
        <f t="shared" si="277"/>
        <v>626.5</v>
      </c>
      <c r="P2507" s="38">
        <f ca="1">IF(ISERROR(IF(O2507&lt;fi_h/20,0,(OFFSET('Base de dados'!$A$5,IF(O2507&lt;20,1,IF(O2507&gt;1000,10,MATCH(O2507,Cargas,1))),Coluna_fih,1,1))*(1+0.13*0.25)*(PI()*(fi_h/1000)^2/4)*SQRT(2*9.81*(O2507/100-fi_h/2/1000))*1000)),"",IF(O2507&lt;fi_h/20,0,(OFFSET('Base de dados'!$A$5,IF(O2507&lt;20,1,IF(O2507&gt;1000,10,MATCH(O2507,Cargas,1))),Coluna_fih,1,1))*(PI()*(fi_h/1000)^2/4)*SQRT(2*9.81*(O2507/100-fi_h/2/1000))*1000))</f>
        <v>6.6906138720123369</v>
      </c>
      <c r="Q2507" s="38">
        <f ca="1">IF(O2507="","",IF(Tipo_Vertedor="Retangular",IF(O2507&lt;=cota_s*100,0,IF(Tipo_Vertedor="Retangular",Cd_sr*Lef_sr*((O2507/100-cota_s)^(3/2))*1000)),IF(O2507&lt;=cota_s*100+fi_s/20,0,(OFFSET('Base de dados'!$A$4,IF(O2507&lt;20,1,IF(O2507&gt;1000,10,MATCH(O2507,Cargas,1))),Coluna_fis,1,1))*(PI()*(fi_s/1000)^2/4)*(2*9.81*(O2507/100-cota_s-fi_s/2/1000))^0.5*1000)))</f>
        <v>6.0138164917203554</v>
      </c>
      <c r="R2507" s="38">
        <f t="shared" ca="1" si="280"/>
        <v>12.704430363732692</v>
      </c>
      <c r="S2507" s="38">
        <f t="shared" ca="1" si="281"/>
        <v>783.125</v>
      </c>
    </row>
    <row r="2508" spans="13:19">
      <c r="M2508" s="132">
        <f t="shared" ca="1" si="278"/>
        <v>796.14475806035296</v>
      </c>
      <c r="N2508" s="38">
        <f t="shared" si="279"/>
        <v>23.503125000000001</v>
      </c>
      <c r="O2508" s="36">
        <f t="shared" si="277"/>
        <v>626.75</v>
      </c>
      <c r="P2508" s="38">
        <f ca="1">IF(ISERROR(IF(O2508&lt;fi_h/20,0,(OFFSET('Base de dados'!$A$5,IF(O2508&lt;20,1,IF(O2508&gt;1000,10,MATCH(O2508,Cargas,1))),Coluna_fih,1,1))*(1+0.13*0.25)*(PI()*(fi_h/1000)^2/4)*SQRT(2*9.81*(O2508/100-fi_h/2/1000))*1000)),"",IF(O2508&lt;fi_h/20,0,(OFFSET('Base de dados'!$A$5,IF(O2508&lt;20,1,IF(O2508&gt;1000,10,MATCH(O2508,Cargas,1))),Coluna_fih,1,1))*(PI()*(fi_h/1000)^2/4)*SQRT(2*9.81*(O2508/100-fi_h/2/1000))*1000))</f>
        <v>6.6919524177805902</v>
      </c>
      <c r="Q2508" s="38">
        <f ca="1">IF(O2508="","",IF(Tipo_Vertedor="Retangular",IF(O2508&lt;=cota_s*100,0,IF(Tipo_Vertedor="Retangular",Cd_sr*Lef_sr*((O2508/100-cota_s)^(3/2))*1000)),IF(O2508&lt;=cota_s*100+fi_s/20,0,(OFFSET('Base de dados'!$A$4,IF(O2508&lt;20,1,IF(O2508&gt;1000,10,MATCH(O2508,Cargas,1))),Coluna_fis,1,1))*(PI()*(fi_s/1000)^2/4)*(2*9.81*(O2508/100-cota_s-fi_s/2/1000))^0.5*1000)))</f>
        <v>6.0153056425723959</v>
      </c>
      <c r="R2508" s="38">
        <f t="shared" ca="1" si="280"/>
        <v>12.707258060352986</v>
      </c>
      <c r="S2508" s="38">
        <f t="shared" ca="1" si="281"/>
        <v>783.4375</v>
      </c>
    </row>
    <row r="2509" spans="13:19">
      <c r="M2509" s="132">
        <f t="shared" ca="1" si="278"/>
        <v>796.46008512072319</v>
      </c>
      <c r="N2509" s="38">
        <f t="shared" si="279"/>
        <v>23.512499999999999</v>
      </c>
      <c r="O2509" s="36">
        <f t="shared" si="277"/>
        <v>627</v>
      </c>
      <c r="P2509" s="38">
        <f ca="1">IF(ISERROR(IF(O2509&lt;fi_h/20,0,(OFFSET('Base de dados'!$A$5,IF(O2509&lt;20,1,IF(O2509&gt;1000,10,MATCH(O2509,Cargas,1))),Coluna_fih,1,1))*(1+0.13*0.25)*(PI()*(fi_h/1000)^2/4)*SQRT(2*9.81*(O2509/100-fi_h/2/1000))*1000)),"",IF(O2509&lt;fi_h/20,0,(OFFSET('Base de dados'!$A$5,IF(O2509&lt;20,1,IF(O2509&gt;1000,10,MATCH(O2509,Cargas,1))),Coluna_fih,1,1))*(PI()*(fi_h/1000)^2/4)*SQRT(2*9.81*(O2509/100-fi_h/2/1000))*1000))</f>
        <v>6.6932906958621681</v>
      </c>
      <c r="Q2509" s="38">
        <f ca="1">IF(O2509="","",IF(Tipo_Vertedor="Retangular",IF(O2509&lt;=cota_s*100,0,IF(Tipo_Vertedor="Retangular",Cd_sr*Lef_sr*((O2509/100-cota_s)^(3/2))*1000)),IF(O2509&lt;=cota_s*100+fi_s/20,0,(OFFSET('Base de dados'!$A$4,IF(O2509&lt;20,1,IF(O2509&gt;1000,10,MATCH(O2509,Cargas,1))),Coluna_fis,1,1))*(PI()*(fi_s/1000)^2/4)*(2*9.81*(O2509/100-cota_s-fi_s/2/1000))^0.5*1000)))</f>
        <v>6.0167944248610388</v>
      </c>
      <c r="R2509" s="38">
        <f t="shared" ca="1" si="280"/>
        <v>12.710085120723207</v>
      </c>
      <c r="S2509" s="38">
        <f t="shared" ca="1" si="281"/>
        <v>783.75</v>
      </c>
    </row>
    <row r="2510" spans="13:19">
      <c r="M2510" s="132">
        <f t="shared" ca="1" si="278"/>
        <v>796.77541154527739</v>
      </c>
      <c r="N2510" s="38">
        <f t="shared" si="279"/>
        <v>23.521875000000001</v>
      </c>
      <c r="O2510" s="36">
        <f t="shared" si="277"/>
        <v>627.25</v>
      </c>
      <c r="P2510" s="38">
        <f ca="1">IF(ISERROR(IF(O2510&lt;fi_h/20,0,(OFFSET('Base de dados'!$A$5,IF(O2510&lt;20,1,IF(O2510&gt;1000,10,MATCH(O2510,Cargas,1))),Coluna_fih,1,1))*(1+0.13*0.25)*(PI()*(fi_h/1000)^2/4)*SQRT(2*9.81*(O2510/100-fi_h/2/1000))*1000)),"",IF(O2510&lt;fi_h/20,0,(OFFSET('Base de dados'!$A$5,IF(O2510&lt;20,1,IF(O2510&gt;1000,10,MATCH(O2510,Cargas,1))),Coluna_fih,1,1))*(PI()*(fi_h/1000)^2/4)*SQRT(2*9.81*(O2510/100-fi_h/2/1000))*1000))</f>
        <v>6.6946287064176033</v>
      </c>
      <c r="Q2510" s="38">
        <f ca="1">IF(O2510="","",IF(Tipo_Vertedor="Retangular",IF(O2510&lt;=cota_s*100,0,IF(Tipo_Vertedor="Retangular",Cd_sr*Lef_sr*((O2510/100-cota_s)^(3/2))*1000)),IF(O2510&lt;=cota_s*100+fi_s/20,0,(OFFSET('Base de dados'!$A$4,IF(O2510&lt;20,1,IF(O2510&gt;1000,10,MATCH(O2510,Cargas,1))),Coluna_fis,1,1))*(PI()*(fi_s/1000)^2/4)*(2*9.81*(O2510/100-cota_s-fi_s/2/1000))^0.5*1000)))</f>
        <v>6.0182828388598058</v>
      </c>
      <c r="R2510" s="38">
        <f t="shared" ca="1" si="280"/>
        <v>12.712911545277409</v>
      </c>
      <c r="S2510" s="38">
        <f t="shared" ca="1" si="281"/>
        <v>784.0625</v>
      </c>
    </row>
    <row r="2511" spans="13:19">
      <c r="M2511" s="132">
        <f t="shared" ca="1" si="278"/>
        <v>797.09073733444916</v>
      </c>
      <c r="N2511" s="38">
        <f t="shared" si="279"/>
        <v>23.53125</v>
      </c>
      <c r="O2511" s="36">
        <f t="shared" si="277"/>
        <v>627.5</v>
      </c>
      <c r="P2511" s="38">
        <f ca="1">IF(ISERROR(IF(O2511&lt;fi_h/20,0,(OFFSET('Base de dados'!$A$5,IF(O2511&lt;20,1,IF(O2511&gt;1000,10,MATCH(O2511,Cargas,1))),Coluna_fih,1,1))*(1+0.13*0.25)*(PI()*(fi_h/1000)^2/4)*SQRT(2*9.81*(O2511/100-fi_h/2/1000))*1000)),"",IF(O2511&lt;fi_h/20,0,(OFFSET('Base de dados'!$A$5,IF(O2511&lt;20,1,IF(O2511&gt;1000,10,MATCH(O2511,Cargas,1))),Coluna_fih,1,1))*(PI()*(fi_h/1000)^2/4)*SQRT(2*9.81*(O2511/100-fi_h/2/1000))*1000))</f>
        <v>6.6959664496072726</v>
      </c>
      <c r="Q2511" s="38">
        <f ca="1">IF(O2511="","",IF(Tipo_Vertedor="Retangular",IF(O2511&lt;=cota_s*100,0,IF(Tipo_Vertedor="Retangular",Cd_sr*Lef_sr*((O2511/100-cota_s)^(3/2))*1000)),IF(O2511&lt;=cota_s*100+fi_s/20,0,(OFFSET('Base de dados'!$A$4,IF(O2511&lt;20,1,IF(O2511&gt;1000,10,MATCH(O2511,Cargas,1))),Coluna_fis,1,1))*(PI()*(fi_s/1000)^2/4)*(2*9.81*(O2511/100-cota_s-fi_s/2/1000))^0.5*1000)))</f>
        <v>6.0197708848418836</v>
      </c>
      <c r="R2511" s="38">
        <f t="shared" ca="1" si="280"/>
        <v>12.715737334449155</v>
      </c>
      <c r="S2511" s="38">
        <f t="shared" ca="1" si="281"/>
        <v>784.375</v>
      </c>
    </row>
    <row r="2512" spans="13:19">
      <c r="M2512" s="132">
        <f t="shared" ca="1" si="278"/>
        <v>797.40606248867152</v>
      </c>
      <c r="N2512" s="38">
        <f t="shared" si="279"/>
        <v>23.540624999999999</v>
      </c>
      <c r="O2512" s="36">
        <f t="shared" si="277"/>
        <v>627.75</v>
      </c>
      <c r="P2512" s="38">
        <f ca="1">IF(ISERROR(IF(O2512&lt;fi_h/20,0,(OFFSET('Base de dados'!$A$5,IF(O2512&lt;20,1,IF(O2512&gt;1000,10,MATCH(O2512,Cargas,1))),Coluna_fih,1,1))*(1+0.13*0.25)*(PI()*(fi_h/1000)^2/4)*SQRT(2*9.81*(O2512/100-fi_h/2/1000))*1000)),"",IF(O2512&lt;fi_h/20,0,(OFFSET('Base de dados'!$A$5,IF(O2512&lt;20,1,IF(O2512&gt;1000,10,MATCH(O2512,Cargas,1))),Coluna_fih,1,1))*(PI()*(fi_h/1000)^2/4)*SQRT(2*9.81*(O2512/100-fi_h/2/1000))*1000))</f>
        <v>6.6973039255913873</v>
      </c>
      <c r="Q2512" s="38">
        <f ca="1">IF(O2512="","",IF(Tipo_Vertedor="Retangular",IF(O2512&lt;=cota_s*100,0,IF(Tipo_Vertedor="Retangular",Cd_sr*Lef_sr*((O2512/100-cota_s)^(3/2))*1000)),IF(O2512&lt;=cota_s*100+fi_s/20,0,(OFFSET('Base de dados'!$A$4,IF(O2512&lt;20,1,IF(O2512&gt;1000,10,MATCH(O2512,Cargas,1))),Coluna_fis,1,1))*(PI()*(fi_s/1000)^2/4)*(2*9.81*(O2512/100-cota_s-fi_s/2/1000))^0.5*1000)))</f>
        <v>6.0212585630801145</v>
      </c>
      <c r="R2512" s="38">
        <f t="shared" ca="1" si="280"/>
        <v>12.718562488671502</v>
      </c>
      <c r="S2512" s="38">
        <f t="shared" ca="1" si="281"/>
        <v>784.6875</v>
      </c>
    </row>
    <row r="2513" spans="13:19">
      <c r="M2513" s="132">
        <f t="shared" ca="1" si="278"/>
        <v>797.72138700837706</v>
      </c>
      <c r="N2513" s="38">
        <f t="shared" si="279"/>
        <v>23.55</v>
      </c>
      <c r="O2513" s="36">
        <f t="shared" si="277"/>
        <v>628</v>
      </c>
      <c r="P2513" s="38">
        <f ca="1">IF(ISERROR(IF(O2513&lt;fi_h/20,0,(OFFSET('Base de dados'!$A$5,IF(O2513&lt;20,1,IF(O2513&gt;1000,10,MATCH(O2513,Cargas,1))),Coluna_fih,1,1))*(1+0.13*0.25)*(PI()*(fi_h/1000)^2/4)*SQRT(2*9.81*(O2513/100-fi_h/2/1000))*1000)),"",IF(O2513&lt;fi_h/20,0,(OFFSET('Base de dados'!$A$5,IF(O2513&lt;20,1,IF(O2513&gt;1000,10,MATCH(O2513,Cargas,1))),Coluna_fih,1,1))*(PI()*(fi_h/1000)^2/4)*SQRT(2*9.81*(O2513/100-fi_h/2/1000))*1000))</f>
        <v>6.6986411345300008</v>
      </c>
      <c r="Q2513" s="38">
        <f ca="1">IF(O2513="","",IF(Tipo_Vertedor="Retangular",IF(O2513&lt;=cota_s*100,0,IF(Tipo_Vertedor="Retangular",Cd_sr*Lef_sr*((O2513/100-cota_s)^(3/2))*1000)),IF(O2513&lt;=cota_s*100+fi_s/20,0,(OFFSET('Base de dados'!$A$4,IF(O2513&lt;20,1,IF(O2513&gt;1000,10,MATCH(O2513,Cargas,1))),Coluna_fis,1,1))*(PI()*(fi_s/1000)^2/4)*(2*9.81*(O2513/100-cota_s-fi_s/2/1000))^0.5*1000)))</f>
        <v>6.0227458738470094</v>
      </c>
      <c r="R2513" s="38">
        <f t="shared" ca="1" si="280"/>
        <v>12.721387008377011</v>
      </c>
      <c r="S2513" s="38">
        <f t="shared" ca="1" si="281"/>
        <v>785</v>
      </c>
    </row>
    <row r="2514" spans="13:19">
      <c r="M2514" s="132">
        <f t="shared" ca="1" si="278"/>
        <v>798.03671089399779</v>
      </c>
      <c r="N2514" s="38">
        <f t="shared" si="279"/>
        <v>23.559374999999999</v>
      </c>
      <c r="O2514" s="36">
        <f t="shared" si="277"/>
        <v>628.25</v>
      </c>
      <c r="P2514" s="38">
        <f ca="1">IF(ISERROR(IF(O2514&lt;fi_h/20,0,(OFFSET('Base de dados'!$A$5,IF(O2514&lt;20,1,IF(O2514&gt;1000,10,MATCH(O2514,Cargas,1))),Coluna_fih,1,1))*(1+0.13*0.25)*(PI()*(fi_h/1000)^2/4)*SQRT(2*9.81*(O2514/100-fi_h/2/1000))*1000)),"",IF(O2514&lt;fi_h/20,0,(OFFSET('Base de dados'!$A$5,IF(O2514&lt;20,1,IF(O2514&gt;1000,10,MATCH(O2514,Cargas,1))),Coluna_fih,1,1))*(PI()*(fi_h/1000)^2/4)*SQRT(2*9.81*(O2514/100-fi_h/2/1000))*1000))</f>
        <v>6.6999780765830081</v>
      </c>
      <c r="Q2514" s="38">
        <f ca="1">IF(O2514="","",IF(Tipo_Vertedor="Retangular",IF(O2514&lt;=cota_s*100,0,IF(Tipo_Vertedor="Retangular",Cd_sr*Lef_sr*((O2514/100-cota_s)^(3/2))*1000)),IF(O2514&lt;=cota_s*100+fi_s/20,0,(OFFSET('Base de dados'!$A$4,IF(O2514&lt;20,1,IF(O2514&gt;1000,10,MATCH(O2514,Cargas,1))),Coluna_fis,1,1))*(PI()*(fi_s/1000)^2/4)*(2*9.81*(O2514/100-cota_s-fi_s/2/1000))^0.5*1000)))</f>
        <v>6.0242328174147408</v>
      </c>
      <c r="R2514" s="38">
        <f t="shared" ca="1" si="280"/>
        <v>12.72421089399775</v>
      </c>
      <c r="S2514" s="38">
        <f t="shared" ca="1" si="281"/>
        <v>785.3125</v>
      </c>
    </row>
    <row r="2515" spans="13:19">
      <c r="M2515" s="132">
        <f t="shared" ca="1" si="278"/>
        <v>798.35203414596526</v>
      </c>
      <c r="N2515" s="38">
        <f t="shared" si="279"/>
        <v>23.568750000000001</v>
      </c>
      <c r="O2515" s="36">
        <f t="shared" ref="O2515:O2578" si="282">IF(ISERROR(IF(O2514+passo_altura&gt;h_max_puls*100,"",O2514+passo_altura)),"",IF(O2514+passo_altura&gt;h_max_puls*100,"",O2514+passo_altura))</f>
        <v>628.5</v>
      </c>
      <c r="P2515" s="38">
        <f ca="1">IF(ISERROR(IF(O2515&lt;fi_h/20,0,(OFFSET('Base de dados'!$A$5,IF(O2515&lt;20,1,IF(O2515&gt;1000,10,MATCH(O2515,Cargas,1))),Coluna_fih,1,1))*(1+0.13*0.25)*(PI()*(fi_h/1000)^2/4)*SQRT(2*9.81*(O2515/100-fi_h/2/1000))*1000)),"",IF(O2515&lt;fi_h/20,0,(OFFSET('Base de dados'!$A$5,IF(O2515&lt;20,1,IF(O2515&gt;1000,10,MATCH(O2515,Cargas,1))),Coluna_fih,1,1))*(PI()*(fi_h/1000)^2/4)*SQRT(2*9.81*(O2515/100-fi_h/2/1000))*1000))</f>
        <v>6.7013147519101439</v>
      </c>
      <c r="Q2515" s="38">
        <f ca="1">IF(O2515="","",IF(Tipo_Vertedor="Retangular",IF(O2515&lt;=cota_s*100,0,IF(Tipo_Vertedor="Retangular",Cd_sr*Lef_sr*((O2515/100-cota_s)^(3/2))*1000)),IF(O2515&lt;=cota_s*100+fi_s/20,0,(OFFSET('Base de dados'!$A$4,IF(O2515&lt;20,1,IF(O2515&gt;1000,10,MATCH(O2515,Cargas,1))),Coluna_fis,1,1))*(PI()*(fi_s/1000)^2/4)*(2*9.81*(O2515/100-cota_s-fi_s/2/1000))^0.5*1000)))</f>
        <v>6.0257193940551463</v>
      </c>
      <c r="R2515" s="38">
        <f t="shared" ca="1" si="280"/>
        <v>12.727034145965291</v>
      </c>
      <c r="S2515" s="38">
        <f t="shared" ca="1" si="281"/>
        <v>785.625</v>
      </c>
    </row>
    <row r="2516" spans="13:19">
      <c r="M2516" s="132">
        <f t="shared" ca="1" si="278"/>
        <v>798.66735676471069</v>
      </c>
      <c r="N2516" s="38">
        <f t="shared" si="279"/>
        <v>23.578125</v>
      </c>
      <c r="O2516" s="36">
        <f t="shared" si="282"/>
        <v>628.75</v>
      </c>
      <c r="P2516" s="38">
        <f ca="1">IF(ISERROR(IF(O2516&lt;fi_h/20,0,(OFFSET('Base de dados'!$A$5,IF(O2516&lt;20,1,IF(O2516&gt;1000,10,MATCH(O2516,Cargas,1))),Coluna_fih,1,1))*(1+0.13*0.25)*(PI()*(fi_h/1000)^2/4)*SQRT(2*9.81*(O2516/100-fi_h/2/1000))*1000)),"",IF(O2516&lt;fi_h/20,0,(OFFSET('Base de dados'!$A$5,IF(O2516&lt;20,1,IF(O2516&gt;1000,10,MATCH(O2516,Cargas,1))),Coluna_fih,1,1))*(PI()*(fi_h/1000)^2/4)*SQRT(2*9.81*(O2516/100-fi_h/2/1000))*1000))</f>
        <v>6.7026511606709844</v>
      </c>
      <c r="Q2516" s="38">
        <f ca="1">IF(O2516="","",IF(Tipo_Vertedor="Retangular",IF(O2516&lt;=cota_s*100,0,IF(Tipo_Vertedor="Retangular",Cd_sr*Lef_sr*((O2516/100-cota_s)^(3/2))*1000)),IF(O2516&lt;=cota_s*100+fi_s/20,0,(OFFSET('Base de dados'!$A$4,IF(O2516&lt;20,1,IF(O2516&gt;1000,10,MATCH(O2516,Cargas,1))),Coluna_fis,1,1))*(PI()*(fi_s/1000)^2/4)*(2*9.81*(O2516/100-cota_s-fi_s/2/1000))^0.5*1000)))</f>
        <v>6.027205604039727</v>
      </c>
      <c r="R2516" s="38">
        <f t="shared" ca="1" si="280"/>
        <v>12.729856764710711</v>
      </c>
      <c r="S2516" s="38">
        <f t="shared" ca="1" si="281"/>
        <v>785.9375</v>
      </c>
    </row>
    <row r="2517" spans="13:19">
      <c r="M2517" s="132">
        <f t="shared" ca="1" si="278"/>
        <v>798.9826787506646</v>
      </c>
      <c r="N2517" s="38">
        <f t="shared" si="279"/>
        <v>23.587499999999999</v>
      </c>
      <c r="O2517" s="36">
        <f t="shared" si="282"/>
        <v>629</v>
      </c>
      <c r="P2517" s="38">
        <f ca="1">IF(ISERROR(IF(O2517&lt;fi_h/20,0,(OFFSET('Base de dados'!$A$5,IF(O2517&lt;20,1,IF(O2517&gt;1000,10,MATCH(O2517,Cargas,1))),Coluna_fih,1,1))*(1+0.13*0.25)*(PI()*(fi_h/1000)^2/4)*SQRT(2*9.81*(O2517/100-fi_h/2/1000))*1000)),"",IF(O2517&lt;fi_h/20,0,(OFFSET('Base de dados'!$A$5,IF(O2517&lt;20,1,IF(O2517&gt;1000,10,MATCH(O2517,Cargas,1))),Coluna_fih,1,1))*(PI()*(fi_h/1000)^2/4)*SQRT(2*9.81*(O2517/100-fi_h/2/1000))*1000))</f>
        <v>6.7039873030249453</v>
      </c>
      <c r="Q2517" s="38">
        <f ca="1">IF(O2517="","",IF(Tipo_Vertedor="Retangular",IF(O2517&lt;=cota_s*100,0,IF(Tipo_Vertedor="Retangular",Cd_sr*Lef_sr*((O2517/100-cota_s)^(3/2))*1000)),IF(O2517&lt;=cota_s*100+fi_s/20,0,(OFFSET('Base de dados'!$A$4,IF(O2517&lt;20,1,IF(O2517&gt;1000,10,MATCH(O2517,Cargas,1))),Coluna_fis,1,1))*(PI()*(fi_s/1000)^2/4)*(2*9.81*(O2517/100-cota_s-fi_s/2/1000))^0.5*1000)))</f>
        <v>6.0286914476396509</v>
      </c>
      <c r="R2517" s="38">
        <f t="shared" ca="1" si="280"/>
        <v>12.732678750664597</v>
      </c>
      <c r="S2517" s="38">
        <f t="shared" ca="1" si="281"/>
        <v>786.25</v>
      </c>
    </row>
    <row r="2518" spans="13:19">
      <c r="M2518" s="132">
        <f t="shared" ca="1" si="278"/>
        <v>799.29800010425708</v>
      </c>
      <c r="N2518" s="38">
        <f t="shared" si="279"/>
        <v>23.596875000000001</v>
      </c>
      <c r="O2518" s="36">
        <f t="shared" si="282"/>
        <v>629.25</v>
      </c>
      <c r="P2518" s="38">
        <f ca="1">IF(ISERROR(IF(O2518&lt;fi_h/20,0,(OFFSET('Base de dados'!$A$5,IF(O2518&lt;20,1,IF(O2518&gt;1000,10,MATCH(O2518,Cargas,1))),Coluna_fih,1,1))*(1+0.13*0.25)*(PI()*(fi_h/1000)^2/4)*SQRT(2*9.81*(O2518/100-fi_h/2/1000))*1000)),"",IF(O2518&lt;fi_h/20,0,(OFFSET('Base de dados'!$A$5,IF(O2518&lt;20,1,IF(O2518&gt;1000,10,MATCH(O2518,Cargas,1))),Coluna_fih,1,1))*(PI()*(fi_h/1000)^2/4)*SQRT(2*9.81*(O2518/100-fi_h/2/1000))*1000))</f>
        <v>6.7053231791312831</v>
      </c>
      <c r="Q2518" s="38">
        <f ca="1">IF(O2518="","",IF(Tipo_Vertedor="Retangular",IF(O2518&lt;=cota_s*100,0,IF(Tipo_Vertedor="Retangular",Cd_sr*Lef_sr*((O2518/100-cota_s)^(3/2))*1000)),IF(O2518&lt;=cota_s*100+fi_s/20,0,(OFFSET('Base de dados'!$A$4,IF(O2518&lt;20,1,IF(O2518&gt;1000,10,MATCH(O2518,Cargas,1))),Coluna_fis,1,1))*(PI()*(fi_s/1000)^2/4)*(2*9.81*(O2518/100-cota_s-fi_s/2/1000))^0.5*1000)))</f>
        <v>6.0301769251257502</v>
      </c>
      <c r="R2518" s="38">
        <f t="shared" ca="1" si="280"/>
        <v>12.735500104257033</v>
      </c>
      <c r="S2518" s="38">
        <f t="shared" ca="1" si="281"/>
        <v>786.5625</v>
      </c>
    </row>
    <row r="2519" spans="13:19">
      <c r="M2519" s="132">
        <f t="shared" ref="M2519:M2582" ca="1" si="283">IF(O2519="","",2*N2519*1000/(Passo*60)+R2519)</f>
        <v>799.61332082591764</v>
      </c>
      <c r="N2519" s="38">
        <f t="shared" ref="N2519:N2582" si="284">IF(O2519="","",b_0*(O2519/100)^c_0)</f>
        <v>23.606249999999999</v>
      </c>
      <c r="O2519" s="36">
        <f t="shared" si="282"/>
        <v>629.5</v>
      </c>
      <c r="P2519" s="38">
        <f ca="1">IF(ISERROR(IF(O2519&lt;fi_h/20,0,(OFFSET('Base de dados'!$A$5,IF(O2519&lt;20,1,IF(O2519&gt;1000,10,MATCH(O2519,Cargas,1))),Coluna_fih,1,1))*(1+0.13*0.25)*(PI()*(fi_h/1000)^2/4)*SQRT(2*9.81*(O2519/100-fi_h/2/1000))*1000)),"",IF(O2519&lt;fi_h/20,0,(OFFSET('Base de dados'!$A$5,IF(O2519&lt;20,1,IF(O2519&gt;1000,10,MATCH(O2519,Cargas,1))),Coluna_fih,1,1))*(PI()*(fi_h/1000)^2/4)*SQRT(2*9.81*(O2519/100-fi_h/2/1000))*1000))</f>
        <v>6.7066587891490963</v>
      </c>
      <c r="Q2519" s="38">
        <f ca="1">IF(O2519="","",IF(Tipo_Vertedor="Retangular",IF(O2519&lt;=cota_s*100,0,IF(Tipo_Vertedor="Retangular",Cd_sr*Lef_sr*((O2519/100-cota_s)^(3/2))*1000)),IF(O2519&lt;=cota_s*100+fi_s/20,0,(OFFSET('Base de dados'!$A$4,IF(O2519&lt;20,1,IF(O2519&gt;1000,10,MATCH(O2519,Cargas,1))),Coluna_fis,1,1))*(PI()*(fi_s/1000)^2/4)*(2*9.81*(O2519/100-cota_s-fi_s/2/1000))^0.5*1000)))</f>
        <v>6.0316620367685241</v>
      </c>
      <c r="R2519" s="38">
        <f t="shared" ref="R2519:R2582" ca="1" si="285">IF(O2519="","",Q2519+P2519)</f>
        <v>12.73832082591762</v>
      </c>
      <c r="S2519" s="38">
        <f t="shared" ref="S2519:S2582" ca="1" si="286">IF(M2519="","",2*N2519*1000/(Passo*60))</f>
        <v>786.875</v>
      </c>
    </row>
    <row r="2520" spans="13:19">
      <c r="M2520" s="132">
        <f t="shared" ca="1" si="283"/>
        <v>799.92864091607544</v>
      </c>
      <c r="N2520" s="38">
        <f t="shared" si="284"/>
        <v>23.615625000000001</v>
      </c>
      <c r="O2520" s="36">
        <f t="shared" si="282"/>
        <v>629.75</v>
      </c>
      <c r="P2520" s="38">
        <f ca="1">IF(ISERROR(IF(O2520&lt;fi_h/20,0,(OFFSET('Base de dados'!$A$5,IF(O2520&lt;20,1,IF(O2520&gt;1000,10,MATCH(O2520,Cargas,1))),Coluna_fih,1,1))*(1+0.13*0.25)*(PI()*(fi_h/1000)^2/4)*SQRT(2*9.81*(O2520/100-fi_h/2/1000))*1000)),"",IF(O2520&lt;fi_h/20,0,(OFFSET('Base de dados'!$A$5,IF(O2520&lt;20,1,IF(O2520&gt;1000,10,MATCH(O2520,Cargas,1))),Coluna_fih,1,1))*(PI()*(fi_h/1000)^2/4)*SQRT(2*9.81*(O2520/100-fi_h/2/1000))*1000))</f>
        <v>6.7079941332373272</v>
      </c>
      <c r="Q2520" s="38">
        <f ca="1">IF(O2520="","",IF(Tipo_Vertedor="Retangular",IF(O2520&lt;=cota_s*100,0,IF(Tipo_Vertedor="Retangular",Cd_sr*Lef_sr*((O2520/100-cota_s)^(3/2))*1000)),IF(O2520&lt;=cota_s*100+fi_s/20,0,(OFFSET('Base de dados'!$A$4,IF(O2520&lt;20,1,IF(O2520&gt;1000,10,MATCH(O2520,Cargas,1))),Coluna_fis,1,1))*(PI()*(fi_s/1000)^2/4)*(2*9.81*(O2520/100-cota_s-fi_s/2/1000))^0.5*1000)))</f>
        <v>6.0331467828381404</v>
      </c>
      <c r="R2520" s="38">
        <f t="shared" ca="1" si="285"/>
        <v>12.741140916075468</v>
      </c>
      <c r="S2520" s="38">
        <f t="shared" ca="1" si="286"/>
        <v>787.1875</v>
      </c>
    </row>
    <row r="2521" spans="13:19">
      <c r="M2521" s="132">
        <f t="shared" ca="1" si="283"/>
        <v>800.24396037515919</v>
      </c>
      <c r="N2521" s="38">
        <f t="shared" si="284"/>
        <v>23.625</v>
      </c>
      <c r="O2521" s="36">
        <f t="shared" si="282"/>
        <v>630</v>
      </c>
      <c r="P2521" s="38">
        <f ca="1">IF(ISERROR(IF(O2521&lt;fi_h/20,0,(OFFSET('Base de dados'!$A$5,IF(O2521&lt;20,1,IF(O2521&gt;1000,10,MATCH(O2521,Cargas,1))),Coluna_fih,1,1))*(1+0.13*0.25)*(PI()*(fi_h/1000)^2/4)*SQRT(2*9.81*(O2521/100-fi_h/2/1000))*1000)),"",IF(O2521&lt;fi_h/20,0,(OFFSET('Base de dados'!$A$5,IF(O2521&lt;20,1,IF(O2521&gt;1000,10,MATCH(O2521,Cargas,1))),Coluna_fih,1,1))*(PI()*(fi_h/1000)^2/4)*SQRT(2*9.81*(O2521/100-fi_h/2/1000))*1000))</f>
        <v>6.7093292115547563</v>
      </c>
      <c r="Q2521" s="38">
        <f ca="1">IF(O2521="","",IF(Tipo_Vertedor="Retangular",IF(O2521&lt;=cota_s*100,0,IF(Tipo_Vertedor="Retangular",Cd_sr*Lef_sr*((O2521/100-cota_s)^(3/2))*1000)),IF(O2521&lt;=cota_s*100+fi_s/20,0,(OFFSET('Base de dados'!$A$4,IF(O2521&lt;20,1,IF(O2521&gt;1000,10,MATCH(O2521,Cargas,1))),Coluna_fis,1,1))*(PI()*(fi_s/1000)^2/4)*(2*9.81*(O2521/100-cota_s-fi_s/2/1000))^0.5*1000)))</f>
        <v>6.0346311636044323</v>
      </c>
      <c r="R2521" s="38">
        <f t="shared" ca="1" si="285"/>
        <v>12.743960375159189</v>
      </c>
      <c r="S2521" s="38">
        <f t="shared" ca="1" si="286"/>
        <v>787.5</v>
      </c>
    </row>
    <row r="2522" spans="13:19">
      <c r="M2522" s="132">
        <f t="shared" ca="1" si="283"/>
        <v>800.55927920359704</v>
      </c>
      <c r="N2522" s="38">
        <f t="shared" si="284"/>
        <v>23.634375000000002</v>
      </c>
      <c r="O2522" s="36">
        <f t="shared" si="282"/>
        <v>630.25</v>
      </c>
      <c r="P2522" s="38">
        <f ca="1">IF(ISERROR(IF(O2522&lt;fi_h/20,0,(OFFSET('Base de dados'!$A$5,IF(O2522&lt;20,1,IF(O2522&gt;1000,10,MATCH(O2522,Cargas,1))),Coluna_fih,1,1))*(1+0.13*0.25)*(PI()*(fi_h/1000)^2/4)*SQRT(2*9.81*(O2522/100-fi_h/2/1000))*1000)),"",IF(O2522&lt;fi_h/20,0,(OFFSET('Base de dados'!$A$5,IF(O2522&lt;20,1,IF(O2522&gt;1000,10,MATCH(O2522,Cargas,1))),Coluna_fih,1,1))*(PI()*(fi_h/1000)^2/4)*SQRT(2*9.81*(O2522/100-fi_h/2/1000))*1000))</f>
        <v>6.7106640242600095</v>
      </c>
      <c r="Q2522" s="38">
        <f ca="1">IF(O2522="","",IF(Tipo_Vertedor="Retangular",IF(O2522&lt;=cota_s*100,0,IF(Tipo_Vertedor="Retangular",Cd_sr*Lef_sr*((O2522/100-cota_s)^(3/2))*1000)),IF(O2522&lt;=cota_s*100+fi_s/20,0,(OFFSET('Base de dados'!$A$4,IF(O2522&lt;20,1,IF(O2522&gt;1000,10,MATCH(O2522,Cargas,1))),Coluna_fis,1,1))*(PI()*(fi_s/1000)^2/4)*(2*9.81*(O2522/100-cota_s-fi_s/2/1000))^0.5*1000)))</f>
        <v>6.0361151793369023</v>
      </c>
      <c r="R2522" s="38">
        <f t="shared" ca="1" si="285"/>
        <v>12.746779203596912</v>
      </c>
      <c r="S2522" s="38">
        <f t="shared" ca="1" si="286"/>
        <v>787.81250000000011</v>
      </c>
    </row>
    <row r="2523" spans="13:19">
      <c r="M2523" s="132">
        <f t="shared" ca="1" si="283"/>
        <v>800.87459740181612</v>
      </c>
      <c r="N2523" s="38">
        <f t="shared" si="284"/>
        <v>23.643749999999997</v>
      </c>
      <c r="O2523" s="36">
        <f t="shared" si="282"/>
        <v>630.5</v>
      </c>
      <c r="P2523" s="38">
        <f ca="1">IF(ISERROR(IF(O2523&lt;fi_h/20,0,(OFFSET('Base de dados'!$A$5,IF(O2523&lt;20,1,IF(O2523&gt;1000,10,MATCH(O2523,Cargas,1))),Coluna_fih,1,1))*(1+0.13*0.25)*(PI()*(fi_h/1000)^2/4)*SQRT(2*9.81*(O2523/100-fi_h/2/1000))*1000)),"",IF(O2523&lt;fi_h/20,0,(OFFSET('Base de dados'!$A$5,IF(O2523&lt;20,1,IF(O2523&gt;1000,10,MATCH(O2523,Cargas,1))),Coluna_fih,1,1))*(PI()*(fi_h/1000)^2/4)*SQRT(2*9.81*(O2523/100-fi_h/2/1000))*1000))</f>
        <v>6.7119985715115531</v>
      </c>
      <c r="Q2523" s="38">
        <f ca="1">IF(O2523="","",IF(Tipo_Vertedor="Retangular",IF(O2523&lt;=cota_s*100,0,IF(Tipo_Vertedor="Retangular",Cd_sr*Lef_sr*((O2523/100-cota_s)^(3/2))*1000)),IF(O2523&lt;=cota_s*100+fi_s/20,0,(OFFSET('Base de dados'!$A$4,IF(O2523&lt;20,1,IF(O2523&gt;1000,10,MATCH(O2523,Cargas,1))),Coluna_fis,1,1))*(PI()*(fi_s/1000)^2/4)*(2*9.81*(O2523/100-cota_s-fi_s/2/1000))^0.5*1000)))</f>
        <v>6.0375988303047201</v>
      </c>
      <c r="R2523" s="38">
        <f t="shared" ca="1" si="285"/>
        <v>12.749597401816274</v>
      </c>
      <c r="S2523" s="38">
        <f t="shared" ca="1" si="286"/>
        <v>788.12499999999989</v>
      </c>
    </row>
    <row r="2524" spans="13:19">
      <c r="M2524" s="132">
        <f t="shared" ca="1" si="283"/>
        <v>801.18991497024444</v>
      </c>
      <c r="N2524" s="38">
        <f t="shared" si="284"/>
        <v>23.653124999999999</v>
      </c>
      <c r="O2524" s="36">
        <f t="shared" si="282"/>
        <v>630.75</v>
      </c>
      <c r="P2524" s="38">
        <f ca="1">IF(ISERROR(IF(O2524&lt;fi_h/20,0,(OFFSET('Base de dados'!$A$5,IF(O2524&lt;20,1,IF(O2524&gt;1000,10,MATCH(O2524,Cargas,1))),Coluna_fih,1,1))*(1+0.13*0.25)*(PI()*(fi_h/1000)^2/4)*SQRT(2*9.81*(O2524/100-fi_h/2/1000))*1000)),"",IF(O2524&lt;fi_h/20,0,(OFFSET('Base de dados'!$A$5,IF(O2524&lt;20,1,IF(O2524&gt;1000,10,MATCH(O2524,Cargas,1))),Coluna_fih,1,1))*(PI()*(fi_h/1000)^2/4)*SQRT(2*9.81*(O2524/100-fi_h/2/1000))*1000))</f>
        <v>6.713332853467695</v>
      </c>
      <c r="Q2524" s="38">
        <f ca="1">IF(O2524="","",IF(Tipo_Vertedor="Retangular",IF(O2524&lt;=cota_s*100,0,IF(Tipo_Vertedor="Retangular",Cd_sr*Lef_sr*((O2524/100-cota_s)^(3/2))*1000)),IF(O2524&lt;=cota_s*100+fi_s/20,0,(OFFSET('Base de dados'!$A$4,IF(O2524&lt;20,1,IF(O2524&gt;1000,10,MATCH(O2524,Cargas,1))),Coluna_fis,1,1))*(PI()*(fi_s/1000)^2/4)*(2*9.81*(O2524/100-cota_s-fi_s/2/1000))^0.5*1000)))</f>
        <v>6.0390821167767292</v>
      </c>
      <c r="R2524" s="38">
        <f t="shared" ca="1" si="285"/>
        <v>12.752414970244423</v>
      </c>
      <c r="S2524" s="38">
        <f t="shared" ca="1" si="286"/>
        <v>788.4375</v>
      </c>
    </row>
    <row r="2525" spans="13:19">
      <c r="M2525" s="132">
        <f t="shared" ca="1" si="283"/>
        <v>801.50523190930789</v>
      </c>
      <c r="N2525" s="38">
        <f t="shared" si="284"/>
        <v>23.662499999999998</v>
      </c>
      <c r="O2525" s="36">
        <f t="shared" si="282"/>
        <v>631</v>
      </c>
      <c r="P2525" s="38">
        <f ca="1">IF(ISERROR(IF(O2525&lt;fi_h/20,0,(OFFSET('Base de dados'!$A$5,IF(O2525&lt;20,1,IF(O2525&gt;1000,10,MATCH(O2525,Cargas,1))),Coluna_fih,1,1))*(1+0.13*0.25)*(PI()*(fi_h/1000)^2/4)*SQRT(2*9.81*(O2525/100-fi_h/2/1000))*1000)),"",IF(O2525&lt;fi_h/20,0,(OFFSET('Base de dados'!$A$5,IF(O2525&lt;20,1,IF(O2525&gt;1000,10,MATCH(O2525,Cargas,1))),Coluna_fih,1,1))*(PI()*(fi_h/1000)^2/4)*SQRT(2*9.81*(O2525/100-fi_h/2/1000))*1000))</f>
        <v>6.7146668702865879</v>
      </c>
      <c r="Q2525" s="38">
        <f ca="1">IF(O2525="","",IF(Tipo_Vertedor="Retangular",IF(O2525&lt;=cota_s*100,0,IF(Tipo_Vertedor="Retangular",Cd_sr*Lef_sr*((O2525/100-cota_s)^(3/2))*1000)),IF(O2525&lt;=cota_s*100+fi_s/20,0,(OFFSET('Base de dados'!$A$4,IF(O2525&lt;20,1,IF(O2525&gt;1000,10,MATCH(O2525,Cargas,1))),Coluna_fis,1,1))*(PI()*(fi_s/1000)^2/4)*(2*9.81*(O2525/100-cota_s-fi_s/2/1000))^0.5*1000)))</f>
        <v>6.0405650390214394</v>
      </c>
      <c r="R2525" s="38">
        <f t="shared" ca="1" si="285"/>
        <v>12.755231909308026</v>
      </c>
      <c r="S2525" s="38">
        <f t="shared" ca="1" si="286"/>
        <v>788.74999999999989</v>
      </c>
    </row>
    <row r="2526" spans="13:19">
      <c r="M2526" s="132">
        <f t="shared" ca="1" si="283"/>
        <v>801.82054821943325</v>
      </c>
      <c r="N2526" s="38">
        <f t="shared" si="284"/>
        <v>23.671875</v>
      </c>
      <c r="O2526" s="36">
        <f t="shared" si="282"/>
        <v>631.25</v>
      </c>
      <c r="P2526" s="38">
        <f ca="1">IF(ISERROR(IF(O2526&lt;fi_h/20,0,(OFFSET('Base de dados'!$A$5,IF(O2526&lt;20,1,IF(O2526&gt;1000,10,MATCH(O2526,Cargas,1))),Coluna_fih,1,1))*(1+0.13*0.25)*(PI()*(fi_h/1000)^2/4)*SQRT(2*9.81*(O2526/100-fi_h/2/1000))*1000)),"",IF(O2526&lt;fi_h/20,0,(OFFSET('Base de dados'!$A$5,IF(O2526&lt;20,1,IF(O2526&gt;1000,10,MATCH(O2526,Cargas,1))),Coluna_fih,1,1))*(PI()*(fi_h/1000)^2/4)*SQRT(2*9.81*(O2526/100-fi_h/2/1000))*1000))</f>
        <v>6.7160006221262254</v>
      </c>
      <c r="Q2526" s="38">
        <f ca="1">IF(O2526="","",IF(Tipo_Vertedor="Retangular",IF(O2526&lt;=cota_s*100,0,IF(Tipo_Vertedor="Retangular",Cd_sr*Lef_sr*((O2526/100-cota_s)^(3/2))*1000)),IF(O2526&lt;=cota_s*100+fi_s/20,0,(OFFSET('Base de dados'!$A$4,IF(O2526&lt;20,1,IF(O2526&gt;1000,10,MATCH(O2526,Cargas,1))),Coluna_fis,1,1))*(PI()*(fi_s/1000)^2/4)*(2*9.81*(O2526/100-cota_s-fi_s/2/1000))^0.5*1000)))</f>
        <v>6.0420475973070307</v>
      </c>
      <c r="R2526" s="38">
        <f t="shared" ca="1" si="285"/>
        <v>12.758048219433256</v>
      </c>
      <c r="S2526" s="38">
        <f t="shared" ca="1" si="286"/>
        <v>789.0625</v>
      </c>
    </row>
    <row r="2527" spans="13:19">
      <c r="M2527" s="132">
        <f t="shared" ca="1" si="283"/>
        <v>802.13586390104592</v>
      </c>
      <c r="N2527" s="38">
        <f t="shared" si="284"/>
        <v>23.681250000000002</v>
      </c>
      <c r="O2527" s="36">
        <f t="shared" si="282"/>
        <v>631.5</v>
      </c>
      <c r="P2527" s="38">
        <f ca="1">IF(ISERROR(IF(O2527&lt;fi_h/20,0,(OFFSET('Base de dados'!$A$5,IF(O2527&lt;20,1,IF(O2527&gt;1000,10,MATCH(O2527,Cargas,1))),Coluna_fih,1,1))*(1+0.13*0.25)*(PI()*(fi_h/1000)^2/4)*SQRT(2*9.81*(O2527/100-fi_h/2/1000))*1000)),"",IF(O2527&lt;fi_h/20,0,(OFFSET('Base de dados'!$A$5,IF(O2527&lt;20,1,IF(O2527&gt;1000,10,MATCH(O2527,Cargas,1))),Coluna_fih,1,1))*(PI()*(fi_h/1000)^2/4)*SQRT(2*9.81*(O2527/100-fi_h/2/1000))*1000))</f>
        <v>6.7173341091444483</v>
      </c>
      <c r="Q2527" s="38">
        <f ca="1">IF(O2527="","",IF(Tipo_Vertedor="Retangular",IF(O2527&lt;=cota_s*100,0,IF(Tipo_Vertedor="Retangular",Cd_sr*Lef_sr*((O2527/100-cota_s)^(3/2))*1000)),IF(O2527&lt;=cota_s*100+fi_s/20,0,(OFFSET('Base de dados'!$A$4,IF(O2527&lt;20,1,IF(O2527&gt;1000,10,MATCH(O2527,Cargas,1))),Coluna_fis,1,1))*(PI()*(fi_s/1000)^2/4)*(2*9.81*(O2527/100-cota_s-fi_s/2/1000))^0.5*1000)))</f>
        <v>6.0435297919013546</v>
      </c>
      <c r="R2527" s="38">
        <f t="shared" ca="1" si="285"/>
        <v>12.760863901045802</v>
      </c>
      <c r="S2527" s="38">
        <f t="shared" ca="1" si="286"/>
        <v>789.37500000000011</v>
      </c>
    </row>
    <row r="2528" spans="13:19">
      <c r="M2528" s="132">
        <f t="shared" ca="1" si="283"/>
        <v>802.45117895457088</v>
      </c>
      <c r="N2528" s="38">
        <f t="shared" si="284"/>
        <v>23.690625000000001</v>
      </c>
      <c r="O2528" s="36">
        <f t="shared" si="282"/>
        <v>631.75</v>
      </c>
      <c r="P2528" s="38">
        <f ca="1">IF(ISERROR(IF(O2528&lt;fi_h/20,0,(OFFSET('Base de dados'!$A$5,IF(O2528&lt;20,1,IF(O2528&gt;1000,10,MATCH(O2528,Cargas,1))),Coluna_fih,1,1))*(1+0.13*0.25)*(PI()*(fi_h/1000)^2/4)*SQRT(2*9.81*(O2528/100-fi_h/2/1000))*1000)),"",IF(O2528&lt;fi_h/20,0,(OFFSET('Base de dados'!$A$5,IF(O2528&lt;20,1,IF(O2528&gt;1000,10,MATCH(O2528,Cargas,1))),Coluna_fih,1,1))*(PI()*(fi_h/1000)^2/4)*SQRT(2*9.81*(O2528/100-fi_h/2/1000))*1000))</f>
        <v>6.7186673314989331</v>
      </c>
      <c r="Q2528" s="38">
        <f ca="1">IF(O2528="","",IF(Tipo_Vertedor="Retangular",IF(O2528&lt;=cota_s*100,0,IF(Tipo_Vertedor="Retangular",Cd_sr*Lef_sr*((O2528/100-cota_s)^(3/2))*1000)),IF(O2528&lt;=cota_s*100+fi_s/20,0,(OFFSET('Base de dados'!$A$4,IF(O2528&lt;20,1,IF(O2528&gt;1000,10,MATCH(O2528,Cargas,1))),Coluna_fis,1,1))*(PI()*(fi_s/1000)^2/4)*(2*9.81*(O2528/100-cota_s-fi_s/2/1000))^0.5*1000)))</f>
        <v>6.045011623071936</v>
      </c>
      <c r="R2528" s="38">
        <f t="shared" ca="1" si="285"/>
        <v>12.763678954570869</v>
      </c>
      <c r="S2528" s="38">
        <f t="shared" ca="1" si="286"/>
        <v>789.6875</v>
      </c>
    </row>
    <row r="2529" spans="13:19">
      <c r="M2529" s="132">
        <f t="shared" ca="1" si="283"/>
        <v>802.7664933804333</v>
      </c>
      <c r="N2529" s="38">
        <f t="shared" si="284"/>
        <v>23.700000000000003</v>
      </c>
      <c r="O2529" s="36">
        <f t="shared" si="282"/>
        <v>632</v>
      </c>
      <c r="P2529" s="38">
        <f ca="1">IF(ISERROR(IF(O2529&lt;fi_h/20,0,(OFFSET('Base de dados'!$A$5,IF(O2529&lt;20,1,IF(O2529&gt;1000,10,MATCH(O2529,Cargas,1))),Coluna_fih,1,1))*(1+0.13*0.25)*(PI()*(fi_h/1000)^2/4)*SQRT(2*9.81*(O2529/100-fi_h/2/1000))*1000)),"",IF(O2529&lt;fi_h/20,0,(OFFSET('Base de dados'!$A$5,IF(O2529&lt;20,1,IF(O2529&gt;1000,10,MATCH(O2529,Cargas,1))),Coluna_fih,1,1))*(PI()*(fi_h/1000)^2/4)*SQRT(2*9.81*(O2529/100-fi_h/2/1000))*1000))</f>
        <v>6.7200002893472099</v>
      </c>
      <c r="Q2529" s="38">
        <f ca="1">IF(O2529="","",IF(Tipo_Vertedor="Retangular",IF(O2529&lt;=cota_s*100,0,IF(Tipo_Vertedor="Retangular",Cd_sr*Lef_sr*((O2529/100-cota_s)^(3/2))*1000)),IF(O2529&lt;=cota_s*100+fi_s/20,0,(OFFSET('Base de dados'!$A$4,IF(O2529&lt;20,1,IF(O2529&gt;1000,10,MATCH(O2529,Cargas,1))),Coluna_fis,1,1))*(PI()*(fi_s/1000)^2/4)*(2*9.81*(O2529/100-cota_s-fi_s/2/1000))^0.5*1000)))</f>
        <v>6.0464930910859715</v>
      </c>
      <c r="R2529" s="38">
        <f t="shared" ca="1" si="285"/>
        <v>12.766493380433182</v>
      </c>
      <c r="S2529" s="38">
        <f t="shared" ca="1" si="286"/>
        <v>790.00000000000011</v>
      </c>
    </row>
    <row r="2530" spans="13:19">
      <c r="M2530" s="132">
        <f t="shared" ca="1" si="283"/>
        <v>803.08180717905691</v>
      </c>
      <c r="N2530" s="38">
        <f t="shared" si="284"/>
        <v>23.709374999999998</v>
      </c>
      <c r="O2530" s="36">
        <f t="shared" si="282"/>
        <v>632.25</v>
      </c>
      <c r="P2530" s="38">
        <f ca="1">IF(ISERROR(IF(O2530&lt;fi_h/20,0,(OFFSET('Base de dados'!$A$5,IF(O2530&lt;20,1,IF(O2530&gt;1000,10,MATCH(O2530,Cargas,1))),Coluna_fih,1,1))*(1+0.13*0.25)*(PI()*(fi_h/1000)^2/4)*SQRT(2*9.81*(O2530/100-fi_h/2/1000))*1000)),"",IF(O2530&lt;fi_h/20,0,(OFFSET('Base de dados'!$A$5,IF(O2530&lt;20,1,IF(O2530&gt;1000,10,MATCH(O2530,Cargas,1))),Coluna_fih,1,1))*(PI()*(fi_h/1000)^2/4)*SQRT(2*9.81*(O2530/100-fi_h/2/1000))*1000))</f>
        <v>6.7213329828466435</v>
      </c>
      <c r="Q2530" s="38">
        <f ca="1">IF(O2530="","",IF(Tipo_Vertedor="Retangular",IF(O2530&lt;=cota_s*100,0,IF(Tipo_Vertedor="Retangular",Cd_sr*Lef_sr*((O2530/100-cota_s)^(3/2))*1000)),IF(O2530&lt;=cota_s*100+fi_s/20,0,(OFFSET('Base de dados'!$A$4,IF(O2530&lt;20,1,IF(O2530&gt;1000,10,MATCH(O2530,Cargas,1))),Coluna_fis,1,1))*(PI()*(fi_s/1000)^2/4)*(2*9.81*(O2530/100-cota_s-fi_s/2/1000))^0.5*1000)))</f>
        <v>6.0479741962103271</v>
      </c>
      <c r="R2530" s="38">
        <f t="shared" ca="1" si="285"/>
        <v>12.76930717905697</v>
      </c>
      <c r="S2530" s="38">
        <f t="shared" ca="1" si="286"/>
        <v>790.31249999999989</v>
      </c>
    </row>
    <row r="2531" spans="13:19">
      <c r="M2531" s="132">
        <f t="shared" ca="1" si="283"/>
        <v>803.39712035086598</v>
      </c>
      <c r="N2531" s="38">
        <f t="shared" si="284"/>
        <v>23.71875</v>
      </c>
      <c r="O2531" s="36">
        <f t="shared" si="282"/>
        <v>632.5</v>
      </c>
      <c r="P2531" s="38">
        <f ca="1">IF(ISERROR(IF(O2531&lt;fi_h/20,0,(OFFSET('Base de dados'!$A$5,IF(O2531&lt;20,1,IF(O2531&gt;1000,10,MATCH(O2531,Cargas,1))),Coluna_fih,1,1))*(1+0.13*0.25)*(PI()*(fi_h/1000)^2/4)*SQRT(2*9.81*(O2531/100-fi_h/2/1000))*1000)),"",IF(O2531&lt;fi_h/20,0,(OFFSET('Base de dados'!$A$5,IF(O2531&lt;20,1,IF(O2531&gt;1000,10,MATCH(O2531,Cargas,1))),Coluna_fih,1,1))*(PI()*(fi_h/1000)^2/4)*SQRT(2*9.81*(O2531/100-fi_h/2/1000))*1000))</f>
        <v>6.7226654121544476</v>
      </c>
      <c r="Q2531" s="38">
        <f ca="1">IF(O2531="","",IF(Tipo_Vertedor="Retangular",IF(O2531&lt;=cota_s*100,0,IF(Tipo_Vertedor="Retangular",Cd_sr*Lef_sr*((O2531/100-cota_s)^(3/2))*1000)),IF(O2531&lt;=cota_s*100+fi_s/20,0,(OFFSET('Base de dados'!$A$4,IF(O2531&lt;20,1,IF(O2531&gt;1000,10,MATCH(O2531,Cargas,1))),Coluna_fis,1,1))*(PI()*(fi_s/1000)^2/4)*(2*9.81*(O2531/100-cota_s-fi_s/2/1000))^0.5*1000)))</f>
        <v>6.0494549387115466</v>
      </c>
      <c r="R2531" s="38">
        <f t="shared" ca="1" si="285"/>
        <v>12.772120350865993</v>
      </c>
      <c r="S2531" s="38">
        <f t="shared" ca="1" si="286"/>
        <v>790.625</v>
      </c>
    </row>
    <row r="2532" spans="13:19">
      <c r="M2532" s="132">
        <f t="shared" ca="1" si="283"/>
        <v>803.71243289628353</v>
      </c>
      <c r="N2532" s="38">
        <f t="shared" si="284"/>
        <v>23.728124999999999</v>
      </c>
      <c r="O2532" s="36">
        <f t="shared" si="282"/>
        <v>632.75</v>
      </c>
      <c r="P2532" s="38">
        <f ca="1">IF(ISERROR(IF(O2532&lt;fi_h/20,0,(OFFSET('Base de dados'!$A$5,IF(O2532&lt;20,1,IF(O2532&gt;1000,10,MATCH(O2532,Cargas,1))),Coluna_fih,1,1))*(1+0.13*0.25)*(PI()*(fi_h/1000)^2/4)*SQRT(2*9.81*(O2532/100-fi_h/2/1000))*1000)),"",IF(O2532&lt;fi_h/20,0,(OFFSET('Base de dados'!$A$5,IF(O2532&lt;20,1,IF(O2532&gt;1000,10,MATCH(O2532,Cargas,1))),Coluna_fih,1,1))*(PI()*(fi_h/1000)^2/4)*SQRT(2*9.81*(O2532/100-fi_h/2/1000))*1000))</f>
        <v>6.7239975774276797</v>
      </c>
      <c r="Q2532" s="38">
        <f ca="1">IF(O2532="","",IF(Tipo_Vertedor="Retangular",IF(O2532&lt;=cota_s*100,0,IF(Tipo_Vertedor="Retangular",Cd_sr*Lef_sr*((O2532/100-cota_s)^(3/2))*1000)),IF(O2532&lt;=cota_s*100+fi_s/20,0,(OFFSET('Base de dados'!$A$4,IF(O2532&lt;20,1,IF(O2532&gt;1000,10,MATCH(O2532,Cargas,1))),Coluna_fis,1,1))*(PI()*(fi_s/1000)^2/4)*(2*9.81*(O2532/100-cota_s-fi_s/2/1000))^0.5*1000)))</f>
        <v>6.0509353188558475</v>
      </c>
      <c r="R2532" s="38">
        <f t="shared" ca="1" si="285"/>
        <v>12.774932896283527</v>
      </c>
      <c r="S2532" s="38">
        <f t="shared" ca="1" si="286"/>
        <v>790.9375</v>
      </c>
    </row>
    <row r="2533" spans="13:19">
      <c r="M2533" s="132">
        <f t="shared" ca="1" si="283"/>
        <v>804.02774481573238</v>
      </c>
      <c r="N2533" s="38">
        <f t="shared" si="284"/>
        <v>23.737500000000001</v>
      </c>
      <c r="O2533" s="36">
        <f t="shared" si="282"/>
        <v>633</v>
      </c>
      <c r="P2533" s="38">
        <f ca="1">IF(ISERROR(IF(O2533&lt;fi_h/20,0,(OFFSET('Base de dados'!$A$5,IF(O2533&lt;20,1,IF(O2533&gt;1000,10,MATCH(O2533,Cargas,1))),Coluna_fih,1,1))*(1+0.13*0.25)*(PI()*(fi_h/1000)^2/4)*SQRT(2*9.81*(O2533/100-fi_h/2/1000))*1000)),"",IF(O2533&lt;fi_h/20,0,(OFFSET('Base de dados'!$A$5,IF(O2533&lt;20,1,IF(O2533&gt;1000,10,MATCH(O2533,Cargas,1))),Coluna_fih,1,1))*(PI()*(fi_h/1000)^2/4)*SQRT(2*9.81*(O2533/100-fi_h/2/1000))*1000))</f>
        <v>6.7253294788232401</v>
      </c>
      <c r="Q2533" s="38">
        <f ca="1">IF(O2533="","",IF(Tipo_Vertedor="Retangular",IF(O2533&lt;=cota_s*100,0,IF(Tipo_Vertedor="Retangular",Cd_sr*Lef_sr*((O2533/100-cota_s)^(3/2))*1000)),IF(O2533&lt;=cota_s*100+fi_s/20,0,(OFFSET('Base de dados'!$A$4,IF(O2533&lt;20,1,IF(O2533&gt;1000,10,MATCH(O2533,Cargas,1))),Coluna_fis,1,1))*(PI()*(fi_s/1000)^2/4)*(2*9.81*(O2533/100-cota_s-fi_s/2/1000))^0.5*1000)))</f>
        <v>6.0524153369091156</v>
      </c>
      <c r="R2533" s="38">
        <f t="shared" ca="1" si="285"/>
        <v>12.777744815732355</v>
      </c>
      <c r="S2533" s="38">
        <f t="shared" ca="1" si="286"/>
        <v>791.25</v>
      </c>
    </row>
    <row r="2534" spans="13:19">
      <c r="M2534" s="132">
        <f t="shared" ca="1" si="283"/>
        <v>804.34305610963474</v>
      </c>
      <c r="N2534" s="38">
        <f t="shared" si="284"/>
        <v>23.746874999999999</v>
      </c>
      <c r="O2534" s="36">
        <f t="shared" si="282"/>
        <v>633.25</v>
      </c>
      <c r="P2534" s="38">
        <f ca="1">IF(ISERROR(IF(O2534&lt;fi_h/20,0,(OFFSET('Base de dados'!$A$5,IF(O2534&lt;20,1,IF(O2534&gt;1000,10,MATCH(O2534,Cargas,1))),Coluna_fih,1,1))*(1+0.13*0.25)*(PI()*(fi_h/1000)^2/4)*SQRT(2*9.81*(O2534/100-fi_h/2/1000))*1000)),"",IF(O2534&lt;fi_h/20,0,(OFFSET('Base de dados'!$A$5,IF(O2534&lt;20,1,IF(O2534&gt;1000,10,MATCH(O2534,Cargas,1))),Coluna_fih,1,1))*(PI()*(fi_h/1000)^2/4)*SQRT(2*9.81*(O2534/100-fi_h/2/1000))*1000))</f>
        <v>6.7266611164978753</v>
      </c>
      <c r="Q2534" s="38">
        <f ca="1">IF(O2534="","",IF(Tipo_Vertedor="Retangular",IF(O2534&lt;=cota_s*100,0,IF(Tipo_Vertedor="Retangular",Cd_sr*Lef_sr*((O2534/100-cota_s)^(3/2))*1000)),IF(O2534&lt;=cota_s*100+fi_s/20,0,(OFFSET('Base de dados'!$A$4,IF(O2534&lt;20,1,IF(O2534&gt;1000,10,MATCH(O2534,Cargas,1))),Coluna_fis,1,1))*(PI()*(fi_s/1000)^2/4)*(2*9.81*(O2534/100-cota_s-fi_s/2/1000))^0.5*1000)))</f>
        <v>6.053894993136919</v>
      </c>
      <c r="R2534" s="38">
        <f t="shared" ca="1" si="285"/>
        <v>12.780556109634794</v>
      </c>
      <c r="S2534" s="38">
        <f t="shared" ca="1" si="286"/>
        <v>791.5625</v>
      </c>
    </row>
    <row r="2535" spans="13:19">
      <c r="M2535" s="132">
        <f t="shared" ca="1" si="283"/>
        <v>804.65836677841264</v>
      </c>
      <c r="N2535" s="38">
        <f t="shared" si="284"/>
        <v>23.756250000000001</v>
      </c>
      <c r="O2535" s="36">
        <f t="shared" si="282"/>
        <v>633.5</v>
      </c>
      <c r="P2535" s="38">
        <f ca="1">IF(ISERROR(IF(O2535&lt;fi_h/20,0,(OFFSET('Base de dados'!$A$5,IF(O2535&lt;20,1,IF(O2535&gt;1000,10,MATCH(O2535,Cargas,1))),Coluna_fih,1,1))*(1+0.13*0.25)*(PI()*(fi_h/1000)^2/4)*SQRT(2*9.81*(O2535/100-fi_h/2/1000))*1000)),"",IF(O2535&lt;fi_h/20,0,(OFFSET('Base de dados'!$A$5,IF(O2535&lt;20,1,IF(O2535&gt;1000,10,MATCH(O2535,Cargas,1))),Coluna_fih,1,1))*(PI()*(fi_h/1000)^2/4)*SQRT(2*9.81*(O2535/100-fi_h/2/1000))*1000))</f>
        <v>6.7279924906081767</v>
      </c>
      <c r="Q2535" s="38">
        <f ca="1">IF(O2535="","",IF(Tipo_Vertedor="Retangular",IF(O2535&lt;=cota_s*100,0,IF(Tipo_Vertedor="Retangular",Cd_sr*Lef_sr*((O2535/100-cota_s)^(3/2))*1000)),IF(O2535&lt;=cota_s*100+fi_s/20,0,(OFFSET('Base de dados'!$A$4,IF(O2535&lt;20,1,IF(O2535&gt;1000,10,MATCH(O2535,Cargas,1))),Coluna_fis,1,1))*(PI()*(fi_s/1000)^2/4)*(2*9.81*(O2535/100-cota_s-fi_s/2/1000))^0.5*1000)))</f>
        <v>6.055374287804498</v>
      </c>
      <c r="R2535" s="38">
        <f t="shared" ca="1" si="285"/>
        <v>12.783366778412674</v>
      </c>
      <c r="S2535" s="38">
        <f t="shared" ca="1" si="286"/>
        <v>791.875</v>
      </c>
    </row>
    <row r="2536" spans="13:19">
      <c r="M2536" s="132">
        <f t="shared" ca="1" si="283"/>
        <v>804.97367682248739</v>
      </c>
      <c r="N2536" s="38">
        <f t="shared" si="284"/>
        <v>23.765625</v>
      </c>
      <c r="O2536" s="36">
        <f t="shared" si="282"/>
        <v>633.75</v>
      </c>
      <c r="P2536" s="38">
        <f ca="1">IF(ISERROR(IF(O2536&lt;fi_h/20,0,(OFFSET('Base de dados'!$A$5,IF(O2536&lt;20,1,IF(O2536&gt;1000,10,MATCH(O2536,Cargas,1))),Coluna_fih,1,1))*(1+0.13*0.25)*(PI()*(fi_h/1000)^2/4)*SQRT(2*9.81*(O2536/100-fi_h/2/1000))*1000)),"",IF(O2536&lt;fi_h/20,0,(OFFSET('Base de dados'!$A$5,IF(O2536&lt;20,1,IF(O2536&gt;1000,10,MATCH(O2536,Cargas,1))),Coluna_fih,1,1))*(PI()*(fi_h/1000)^2/4)*SQRT(2*9.81*(O2536/100-fi_h/2/1000))*1000))</f>
        <v>6.7293236013105808</v>
      </c>
      <c r="Q2536" s="38">
        <f ca="1">IF(O2536="","",IF(Tipo_Vertedor="Retangular",IF(O2536&lt;=cota_s*100,0,IF(Tipo_Vertedor="Retangular",Cd_sr*Lef_sr*((O2536/100-cota_s)^(3/2))*1000)),IF(O2536&lt;=cota_s*100+fi_s/20,0,(OFFSET('Base de dados'!$A$4,IF(O2536&lt;20,1,IF(O2536&gt;1000,10,MATCH(O2536,Cargas,1))),Coluna_fis,1,1))*(PI()*(fi_s/1000)^2/4)*(2*9.81*(O2536/100-cota_s-fi_s/2/1000))^0.5*1000)))</f>
        <v>6.0568532211767705</v>
      </c>
      <c r="R2536" s="38">
        <f t="shared" ca="1" si="285"/>
        <v>12.786176822487352</v>
      </c>
      <c r="S2536" s="38">
        <f t="shared" ca="1" si="286"/>
        <v>792.1875</v>
      </c>
    </row>
    <row r="2537" spans="13:19">
      <c r="M2537" s="132">
        <f t="shared" ca="1" si="283"/>
        <v>805.28898624227975</v>
      </c>
      <c r="N2537" s="38">
        <f t="shared" si="284"/>
        <v>23.774999999999999</v>
      </c>
      <c r="O2537" s="36">
        <f t="shared" si="282"/>
        <v>634</v>
      </c>
      <c r="P2537" s="38">
        <f ca="1">IF(ISERROR(IF(O2537&lt;fi_h/20,0,(OFFSET('Base de dados'!$A$5,IF(O2537&lt;20,1,IF(O2537&gt;1000,10,MATCH(O2537,Cargas,1))),Coluna_fih,1,1))*(1+0.13*0.25)*(PI()*(fi_h/1000)^2/4)*SQRT(2*9.81*(O2537/100-fi_h/2/1000))*1000)),"",IF(O2537&lt;fi_h/20,0,(OFFSET('Base de dados'!$A$5,IF(O2537&lt;20,1,IF(O2537&gt;1000,10,MATCH(O2537,Cargas,1))),Coluna_fih,1,1))*(PI()*(fi_h/1000)^2/4)*SQRT(2*9.81*(O2537/100-fi_h/2/1000))*1000))</f>
        <v>6.7306544487613662</v>
      </c>
      <c r="Q2537" s="38">
        <f ca="1">IF(O2537="","",IF(Tipo_Vertedor="Retangular",IF(O2537&lt;=cota_s*100,0,IF(Tipo_Vertedor="Retangular",Cd_sr*Lef_sr*((O2537/100-cota_s)^(3/2))*1000)),IF(O2537&lt;=cota_s*100+fi_s/20,0,(OFFSET('Base de dados'!$A$4,IF(O2537&lt;20,1,IF(O2537&gt;1000,10,MATCH(O2537,Cargas,1))),Coluna_fis,1,1))*(PI()*(fi_s/1000)^2/4)*(2*9.81*(O2537/100-cota_s-fi_s/2/1000))^0.5*1000)))</f>
        <v>6.0583317935183265</v>
      </c>
      <c r="R2537" s="38">
        <f t="shared" ca="1" si="285"/>
        <v>12.788986242279693</v>
      </c>
      <c r="S2537" s="38">
        <f t="shared" ca="1" si="286"/>
        <v>792.5</v>
      </c>
    </row>
    <row r="2538" spans="13:19">
      <c r="M2538" s="132">
        <f t="shared" ca="1" si="283"/>
        <v>805.60429503821013</v>
      </c>
      <c r="N2538" s="38">
        <f t="shared" si="284"/>
        <v>23.784375000000001</v>
      </c>
      <c r="O2538" s="36">
        <f t="shared" si="282"/>
        <v>634.25</v>
      </c>
      <c r="P2538" s="38">
        <f ca="1">IF(ISERROR(IF(O2538&lt;fi_h/20,0,(OFFSET('Base de dados'!$A$5,IF(O2538&lt;20,1,IF(O2538&gt;1000,10,MATCH(O2538,Cargas,1))),Coluna_fih,1,1))*(1+0.13*0.25)*(PI()*(fi_h/1000)^2/4)*SQRT(2*9.81*(O2538/100-fi_h/2/1000))*1000)),"",IF(O2538&lt;fi_h/20,0,(OFFSET('Base de dados'!$A$5,IF(O2538&lt;20,1,IF(O2538&gt;1000,10,MATCH(O2538,Cargas,1))),Coluna_fih,1,1))*(PI()*(fi_h/1000)^2/4)*SQRT(2*9.81*(O2538/100-fi_h/2/1000))*1000))</f>
        <v>6.7319850331166631</v>
      </c>
      <c r="Q2538" s="38">
        <f ca="1">IF(O2538="","",IF(Tipo_Vertedor="Retangular",IF(O2538&lt;=cota_s*100,0,IF(Tipo_Vertedor="Retangular",Cd_sr*Lef_sr*((O2538/100-cota_s)^(3/2))*1000)),IF(O2538&lt;=cota_s*100+fi_s/20,0,(OFFSET('Base de dados'!$A$4,IF(O2538&lt;20,1,IF(O2538&gt;1000,10,MATCH(O2538,Cargas,1))),Coluna_fis,1,1))*(PI()*(fi_s/1000)^2/4)*(2*9.81*(O2538/100-cota_s-fi_s/2/1000))^0.5*1000)))</f>
        <v>6.05981000509344</v>
      </c>
      <c r="R2538" s="38">
        <f t="shared" ca="1" si="285"/>
        <v>12.791795038210104</v>
      </c>
      <c r="S2538" s="38">
        <f t="shared" ca="1" si="286"/>
        <v>792.8125</v>
      </c>
    </row>
    <row r="2539" spans="13:19">
      <c r="M2539" s="132">
        <f t="shared" ca="1" si="283"/>
        <v>805.91960321069848</v>
      </c>
      <c r="N2539" s="38">
        <f t="shared" si="284"/>
        <v>23.793749999999999</v>
      </c>
      <c r="O2539" s="36">
        <f t="shared" si="282"/>
        <v>634.5</v>
      </c>
      <c r="P2539" s="38">
        <f ca="1">IF(ISERROR(IF(O2539&lt;fi_h/20,0,(OFFSET('Base de dados'!$A$5,IF(O2539&lt;20,1,IF(O2539&gt;1000,10,MATCH(O2539,Cargas,1))),Coluna_fih,1,1))*(1+0.13*0.25)*(PI()*(fi_h/1000)^2/4)*SQRT(2*9.81*(O2539/100-fi_h/2/1000))*1000)),"",IF(O2539&lt;fi_h/20,0,(OFFSET('Base de dados'!$A$5,IF(O2539&lt;20,1,IF(O2539&gt;1000,10,MATCH(O2539,Cargas,1))),Coluna_fih,1,1))*(PI()*(fi_h/1000)^2/4)*SQRT(2*9.81*(O2539/100-fi_h/2/1000))*1000))</f>
        <v>6.7333153545324409</v>
      </c>
      <c r="Q2539" s="38">
        <f ca="1">IF(O2539="","",IF(Tipo_Vertedor="Retangular",IF(O2539&lt;=cota_s*100,0,IF(Tipo_Vertedor="Retangular",Cd_sr*Lef_sr*((O2539/100-cota_s)^(3/2))*1000)),IF(O2539&lt;=cota_s*100+fi_s/20,0,(OFFSET('Base de dados'!$A$4,IF(O2539&lt;20,1,IF(O2539&gt;1000,10,MATCH(O2539,Cargas,1))),Coluna_fis,1,1))*(PI()*(fi_s/1000)^2/4)*(2*9.81*(O2539/100-cota_s-fi_s/2/1000))^0.5*1000)))</f>
        <v>6.0612878561660581</v>
      </c>
      <c r="R2539" s="38">
        <f t="shared" ca="1" si="285"/>
        <v>12.794603210698499</v>
      </c>
      <c r="S2539" s="38">
        <f t="shared" ca="1" si="286"/>
        <v>793.125</v>
      </c>
    </row>
    <row r="2540" spans="13:19">
      <c r="M2540" s="132">
        <f t="shared" ca="1" si="283"/>
        <v>806.23491076016433</v>
      </c>
      <c r="N2540" s="38">
        <f t="shared" si="284"/>
        <v>23.803125000000001</v>
      </c>
      <c r="O2540" s="36">
        <f t="shared" si="282"/>
        <v>634.75</v>
      </c>
      <c r="P2540" s="38">
        <f ca="1">IF(ISERROR(IF(O2540&lt;fi_h/20,0,(OFFSET('Base de dados'!$A$5,IF(O2540&lt;20,1,IF(O2540&gt;1000,10,MATCH(O2540,Cargas,1))),Coluna_fih,1,1))*(1+0.13*0.25)*(PI()*(fi_h/1000)^2/4)*SQRT(2*9.81*(O2540/100-fi_h/2/1000))*1000)),"",IF(O2540&lt;fi_h/20,0,(OFFSET('Base de dados'!$A$5,IF(O2540&lt;20,1,IF(O2540&gt;1000,10,MATCH(O2540,Cargas,1))),Coluna_fih,1,1))*(PI()*(fi_h/1000)^2/4)*SQRT(2*9.81*(O2540/100-fi_h/2/1000))*1000))</f>
        <v>6.7346454131645208</v>
      </c>
      <c r="Q2540" s="38">
        <f ca="1">IF(O2540="","",IF(Tipo_Vertedor="Retangular",IF(O2540&lt;=cota_s*100,0,IF(Tipo_Vertedor="Retangular",Cd_sr*Lef_sr*((O2540/100-cota_s)^(3/2))*1000)),IF(O2540&lt;=cota_s*100+fi_s/20,0,(OFFSET('Base de dados'!$A$4,IF(O2540&lt;20,1,IF(O2540&gt;1000,10,MATCH(O2540,Cargas,1))),Coluna_fis,1,1))*(PI()*(fi_s/1000)^2/4)*(2*9.81*(O2540/100-cota_s-fi_s/2/1000))^0.5*1000)))</f>
        <v>6.0627653469998082</v>
      </c>
      <c r="R2540" s="38">
        <f t="shared" ca="1" si="285"/>
        <v>12.797410760164329</v>
      </c>
      <c r="S2540" s="38">
        <f t="shared" ca="1" si="286"/>
        <v>793.4375</v>
      </c>
    </row>
    <row r="2541" spans="13:19">
      <c r="M2541" s="132">
        <f t="shared" ca="1" si="283"/>
        <v>806.55021768702659</v>
      </c>
      <c r="N2541" s="38">
        <f t="shared" si="284"/>
        <v>23.8125</v>
      </c>
      <c r="O2541" s="36">
        <f t="shared" si="282"/>
        <v>635</v>
      </c>
      <c r="P2541" s="38">
        <f ca="1">IF(ISERROR(IF(O2541&lt;fi_h/20,0,(OFFSET('Base de dados'!$A$5,IF(O2541&lt;20,1,IF(O2541&gt;1000,10,MATCH(O2541,Cargas,1))),Coluna_fih,1,1))*(1+0.13*0.25)*(PI()*(fi_h/1000)^2/4)*SQRT(2*9.81*(O2541/100-fi_h/2/1000))*1000)),"",IF(O2541&lt;fi_h/20,0,(OFFSET('Base de dados'!$A$5,IF(O2541&lt;20,1,IF(O2541&gt;1000,10,MATCH(O2541,Cargas,1))),Coluna_fih,1,1))*(PI()*(fi_h/1000)^2/4)*SQRT(2*9.81*(O2541/100-fi_h/2/1000))*1000))</f>
        <v>6.7359752091685632</v>
      </c>
      <c r="Q2541" s="38">
        <f ca="1">IF(O2541="","",IF(Tipo_Vertedor="Retangular",IF(O2541&lt;=cota_s*100,0,IF(Tipo_Vertedor="Retangular",Cd_sr*Lef_sr*((O2541/100-cota_s)^(3/2))*1000)),IF(O2541&lt;=cota_s*100+fi_s/20,0,(OFFSET('Base de dados'!$A$4,IF(O2541&lt;20,1,IF(O2541&gt;1000,10,MATCH(O2541,Cargas,1))),Coluna_fis,1,1))*(PI()*(fi_s/1000)^2/4)*(2*9.81*(O2541/100-cota_s-fi_s/2/1000))^0.5*1000)))</f>
        <v>6.064242477857996</v>
      </c>
      <c r="R2541" s="38">
        <f t="shared" ca="1" si="285"/>
        <v>12.80021768702656</v>
      </c>
      <c r="S2541" s="38">
        <f t="shared" ca="1" si="286"/>
        <v>793.75</v>
      </c>
    </row>
    <row r="2542" spans="13:19">
      <c r="M2542" s="132">
        <f t="shared" ca="1" si="283"/>
        <v>806.86552399170364</v>
      </c>
      <c r="N2542" s="38">
        <f t="shared" si="284"/>
        <v>23.821874999999999</v>
      </c>
      <c r="O2542" s="36">
        <f t="shared" si="282"/>
        <v>635.25</v>
      </c>
      <c r="P2542" s="38">
        <f ca="1">IF(ISERROR(IF(O2542&lt;fi_h/20,0,(OFFSET('Base de dados'!$A$5,IF(O2542&lt;20,1,IF(O2542&gt;1000,10,MATCH(O2542,Cargas,1))),Coluna_fih,1,1))*(1+0.13*0.25)*(PI()*(fi_h/1000)^2/4)*SQRT(2*9.81*(O2542/100-fi_h/2/1000))*1000)),"",IF(O2542&lt;fi_h/20,0,(OFFSET('Base de dados'!$A$5,IF(O2542&lt;20,1,IF(O2542&gt;1000,10,MATCH(O2542,Cargas,1))),Coluna_fih,1,1))*(PI()*(fi_h/1000)^2/4)*SQRT(2*9.81*(O2542/100-fi_h/2/1000))*1000))</f>
        <v>6.7373047427000854</v>
      </c>
      <c r="Q2542" s="38">
        <f ca="1">IF(O2542="","",IF(Tipo_Vertedor="Retangular",IF(O2542&lt;=cota_s*100,0,IF(Tipo_Vertedor="Retangular",Cd_sr*Lef_sr*((O2542/100-cota_s)^(3/2))*1000)),IF(O2542&lt;=cota_s*100+fi_s/20,0,(OFFSET('Base de dados'!$A$4,IF(O2542&lt;20,1,IF(O2542&gt;1000,10,MATCH(O2542,Cargas,1))),Coluna_fis,1,1))*(PI()*(fi_s/1000)^2/4)*(2*9.81*(O2542/100-cota_s-fi_s/2/1000))^0.5*1000)))</f>
        <v>6.0657192490036058</v>
      </c>
      <c r="R2542" s="38">
        <f t="shared" ca="1" si="285"/>
        <v>12.803023991703691</v>
      </c>
      <c r="S2542" s="38">
        <f t="shared" ca="1" si="286"/>
        <v>794.0625</v>
      </c>
    </row>
    <row r="2543" spans="13:19">
      <c r="M2543" s="132">
        <f t="shared" ca="1" si="283"/>
        <v>807.18082967461373</v>
      </c>
      <c r="N2543" s="38">
        <f t="shared" si="284"/>
        <v>23.831250000000001</v>
      </c>
      <c r="O2543" s="36">
        <f t="shared" si="282"/>
        <v>635.5</v>
      </c>
      <c r="P2543" s="38">
        <f ca="1">IF(ISERROR(IF(O2543&lt;fi_h/20,0,(OFFSET('Base de dados'!$A$5,IF(O2543&lt;20,1,IF(O2543&gt;1000,10,MATCH(O2543,Cargas,1))),Coluna_fih,1,1))*(1+0.13*0.25)*(PI()*(fi_h/1000)^2/4)*SQRT(2*9.81*(O2543/100-fi_h/2/1000))*1000)),"",IF(O2543&lt;fi_h/20,0,(OFFSET('Base de dados'!$A$5,IF(O2543&lt;20,1,IF(O2543&gt;1000,10,MATCH(O2543,Cargas,1))),Coluna_fih,1,1))*(PI()*(fi_h/1000)^2/4)*SQRT(2*9.81*(O2543/100-fi_h/2/1000))*1000))</f>
        <v>6.7386340139144405</v>
      </c>
      <c r="Q2543" s="38">
        <f ca="1">IF(O2543="","",IF(Tipo_Vertedor="Retangular",IF(O2543&lt;=cota_s*100,0,IF(Tipo_Vertedor="Retangular",Cd_sr*Lef_sr*((O2543/100-cota_s)^(3/2))*1000)),IF(O2543&lt;=cota_s*100+fi_s/20,0,(OFFSET('Base de dados'!$A$4,IF(O2543&lt;20,1,IF(O2543&gt;1000,10,MATCH(O2543,Cargas,1))),Coluna_fis,1,1))*(PI()*(fi_s/1000)^2/4)*(2*9.81*(O2543/100-cota_s-fi_s/2/1000))^0.5*1000)))</f>
        <v>6.0671956606993014</v>
      </c>
      <c r="R2543" s="38">
        <f t="shared" ca="1" si="285"/>
        <v>12.805829674613742</v>
      </c>
      <c r="S2543" s="38">
        <f t="shared" ca="1" si="286"/>
        <v>794.375</v>
      </c>
    </row>
    <row r="2544" spans="13:19">
      <c r="M2544" s="132">
        <f t="shared" ca="1" si="283"/>
        <v>807.49613473617421</v>
      </c>
      <c r="N2544" s="38">
        <f t="shared" si="284"/>
        <v>23.840624999999999</v>
      </c>
      <c r="O2544" s="36">
        <f t="shared" si="282"/>
        <v>635.75</v>
      </c>
      <c r="P2544" s="38">
        <f ca="1">IF(ISERROR(IF(O2544&lt;fi_h/20,0,(OFFSET('Base de dados'!$A$5,IF(O2544&lt;20,1,IF(O2544&gt;1000,10,MATCH(O2544,Cargas,1))),Coluna_fih,1,1))*(1+0.13*0.25)*(PI()*(fi_h/1000)^2/4)*SQRT(2*9.81*(O2544/100-fi_h/2/1000))*1000)),"",IF(O2544&lt;fi_h/20,0,(OFFSET('Base de dados'!$A$5,IF(O2544&lt;20,1,IF(O2544&gt;1000,10,MATCH(O2544,Cargas,1))),Coluna_fih,1,1))*(PI()*(fi_h/1000)^2/4)*SQRT(2*9.81*(O2544/100-fi_h/2/1000))*1000))</f>
        <v>6.7399630229668333</v>
      </c>
      <c r="Q2544" s="38">
        <f ca="1">IF(O2544="","",IF(Tipo_Vertedor="Retangular",IF(O2544&lt;=cota_s*100,0,IF(Tipo_Vertedor="Retangular",Cd_sr*Lef_sr*((O2544/100-cota_s)^(3/2))*1000)),IF(O2544&lt;=cota_s*100+fi_s/20,0,(OFFSET('Base de dados'!$A$4,IF(O2544&lt;20,1,IF(O2544&gt;1000,10,MATCH(O2544,Cargas,1))),Coluna_fis,1,1))*(PI()*(fi_s/1000)^2/4)*(2*9.81*(O2544/100-cota_s-fi_s/2/1000))^0.5*1000)))</f>
        <v>6.0686717132074319</v>
      </c>
      <c r="R2544" s="38">
        <f t="shared" ca="1" si="285"/>
        <v>12.808634736174266</v>
      </c>
      <c r="S2544" s="38">
        <f t="shared" ca="1" si="286"/>
        <v>794.6875</v>
      </c>
    </row>
    <row r="2545" spans="13:19">
      <c r="M2545" s="132">
        <f t="shared" ca="1" si="283"/>
        <v>807.81143917680231</v>
      </c>
      <c r="N2545" s="38">
        <f t="shared" si="284"/>
        <v>23.85</v>
      </c>
      <c r="O2545" s="36">
        <f t="shared" si="282"/>
        <v>636</v>
      </c>
      <c r="P2545" s="38">
        <f ca="1">IF(ISERROR(IF(O2545&lt;fi_h/20,0,(OFFSET('Base de dados'!$A$5,IF(O2545&lt;20,1,IF(O2545&gt;1000,10,MATCH(O2545,Cargas,1))),Coluna_fih,1,1))*(1+0.13*0.25)*(PI()*(fi_h/1000)^2/4)*SQRT(2*9.81*(O2545/100-fi_h/2/1000))*1000)),"",IF(O2545&lt;fi_h/20,0,(OFFSET('Base de dados'!$A$5,IF(O2545&lt;20,1,IF(O2545&gt;1000,10,MATCH(O2545,Cargas,1))),Coluna_fih,1,1))*(PI()*(fi_h/1000)^2/4)*SQRT(2*9.81*(O2545/100-fi_h/2/1000))*1000))</f>
        <v>6.7412917700123165</v>
      </c>
      <c r="Q2545" s="38">
        <f ca="1">IF(O2545="","",IF(Tipo_Vertedor="Retangular",IF(O2545&lt;=cota_s*100,0,IF(Tipo_Vertedor="Retangular",Cd_sr*Lef_sr*((O2545/100-cota_s)^(3/2))*1000)),IF(O2545&lt;=cota_s*100+fi_s/20,0,(OFFSET('Base de dados'!$A$4,IF(O2545&lt;20,1,IF(O2545&gt;1000,10,MATCH(O2545,Cargas,1))),Coluna_fis,1,1))*(PI()*(fi_s/1000)^2/4)*(2*9.81*(O2545/100-cota_s-fi_s/2/1000))^0.5*1000)))</f>
        <v>6.070147406790019</v>
      </c>
      <c r="R2545" s="38">
        <f t="shared" ca="1" si="285"/>
        <v>12.811439176802335</v>
      </c>
      <c r="S2545" s="38">
        <f t="shared" ca="1" si="286"/>
        <v>795</v>
      </c>
    </row>
    <row r="2546" spans="13:19">
      <c r="M2546" s="132">
        <f t="shared" ca="1" si="283"/>
        <v>808.12674299691457</v>
      </c>
      <c r="N2546" s="38">
        <f t="shared" si="284"/>
        <v>23.859375</v>
      </c>
      <c r="O2546" s="36">
        <f t="shared" si="282"/>
        <v>636.25</v>
      </c>
      <c r="P2546" s="38">
        <f ca="1">IF(ISERROR(IF(O2546&lt;fi_h/20,0,(OFFSET('Base de dados'!$A$5,IF(O2546&lt;20,1,IF(O2546&gt;1000,10,MATCH(O2546,Cargas,1))),Coluna_fih,1,1))*(1+0.13*0.25)*(PI()*(fi_h/1000)^2/4)*SQRT(2*9.81*(O2546/100-fi_h/2/1000))*1000)),"",IF(O2546&lt;fi_h/20,0,(OFFSET('Base de dados'!$A$5,IF(O2546&lt;20,1,IF(O2546&gt;1000,10,MATCH(O2546,Cargas,1))),Coluna_fih,1,1))*(PI()*(fi_h/1000)^2/4)*SQRT(2*9.81*(O2546/100-fi_h/2/1000))*1000))</f>
        <v>6.7426202552057877</v>
      </c>
      <c r="Q2546" s="38">
        <f ca="1">IF(O2546="","",IF(Tipo_Vertedor="Retangular",IF(O2546&lt;=cota_s*100,0,IF(Tipo_Vertedor="Retangular",Cd_sr*Lef_sr*((O2546/100-cota_s)^(3/2))*1000)),IF(O2546&lt;=cota_s*100+fi_s/20,0,(OFFSET('Base de dados'!$A$4,IF(O2546&lt;20,1,IF(O2546&gt;1000,10,MATCH(O2546,Cargas,1))),Coluna_fis,1,1))*(PI()*(fi_s/1000)^2/4)*(2*9.81*(O2546/100-cota_s-fi_s/2/1000))^0.5*1000)))</f>
        <v>6.0716227417087731</v>
      </c>
      <c r="R2546" s="38">
        <f t="shared" ca="1" si="285"/>
        <v>12.814242996914562</v>
      </c>
      <c r="S2546" s="38">
        <f t="shared" ca="1" si="286"/>
        <v>795.3125</v>
      </c>
    </row>
    <row r="2547" spans="13:19">
      <c r="M2547" s="132">
        <f t="shared" ca="1" si="283"/>
        <v>808.44204619692721</v>
      </c>
      <c r="N2547" s="38">
        <f t="shared" si="284"/>
        <v>23.868750000000002</v>
      </c>
      <c r="O2547" s="36">
        <f t="shared" si="282"/>
        <v>636.5</v>
      </c>
      <c r="P2547" s="38">
        <f ca="1">IF(ISERROR(IF(O2547&lt;fi_h/20,0,(OFFSET('Base de dados'!$A$5,IF(O2547&lt;20,1,IF(O2547&gt;1000,10,MATCH(O2547,Cargas,1))),Coluna_fih,1,1))*(1+0.13*0.25)*(PI()*(fi_h/1000)^2/4)*SQRT(2*9.81*(O2547/100-fi_h/2/1000))*1000)),"",IF(O2547&lt;fi_h/20,0,(OFFSET('Base de dados'!$A$5,IF(O2547&lt;20,1,IF(O2547&gt;1000,10,MATCH(O2547,Cargas,1))),Coluna_fih,1,1))*(PI()*(fi_h/1000)^2/4)*SQRT(2*9.81*(O2547/100-fi_h/2/1000))*1000))</f>
        <v>6.7439484787019932</v>
      </c>
      <c r="Q2547" s="38">
        <f ca="1">IF(O2547="","",IF(Tipo_Vertedor="Retangular",IF(O2547&lt;=cota_s*100,0,IF(Tipo_Vertedor="Retangular",Cd_sr*Lef_sr*((O2547/100-cota_s)^(3/2))*1000)),IF(O2547&lt;=cota_s*100+fi_s/20,0,(OFFSET('Base de dados'!$A$4,IF(O2547&lt;20,1,IF(O2547&gt;1000,10,MATCH(O2547,Cargas,1))),Coluna_fis,1,1))*(PI()*(fi_s/1000)^2/4)*(2*9.81*(O2547/100-cota_s-fi_s/2/1000))^0.5*1000)))</f>
        <v>6.0730977182250845</v>
      </c>
      <c r="R2547" s="38">
        <f t="shared" ca="1" si="285"/>
        <v>12.817046196927077</v>
      </c>
      <c r="S2547" s="38">
        <f t="shared" ca="1" si="286"/>
        <v>795.62500000000011</v>
      </c>
    </row>
    <row r="2548" spans="13:19">
      <c r="M2548" s="132">
        <f t="shared" ca="1" si="283"/>
        <v>808.7573487772554</v>
      </c>
      <c r="N2548" s="38">
        <f t="shared" si="284"/>
        <v>23.878124999999997</v>
      </c>
      <c r="O2548" s="36">
        <f t="shared" si="282"/>
        <v>636.75</v>
      </c>
      <c r="P2548" s="38">
        <f ca="1">IF(ISERROR(IF(O2548&lt;fi_h/20,0,(OFFSET('Base de dados'!$A$5,IF(O2548&lt;20,1,IF(O2548&gt;1000,10,MATCH(O2548,Cargas,1))),Coluna_fih,1,1))*(1+0.13*0.25)*(PI()*(fi_h/1000)^2/4)*SQRT(2*9.81*(O2548/100-fi_h/2/1000))*1000)),"",IF(O2548&lt;fi_h/20,0,(OFFSET('Base de dados'!$A$5,IF(O2548&lt;20,1,IF(O2548&gt;1000,10,MATCH(O2548,Cargas,1))),Coluna_fih,1,1))*(PI()*(fi_h/1000)^2/4)*SQRT(2*9.81*(O2548/100-fi_h/2/1000))*1000))</f>
        <v>6.7452764406555277</v>
      </c>
      <c r="Q2548" s="38">
        <f ca="1">IF(O2548="","",IF(Tipo_Vertedor="Retangular",IF(O2548&lt;=cota_s*100,0,IF(Tipo_Vertedor="Retangular",Cd_sr*Lef_sr*((O2548/100-cota_s)^(3/2))*1000)),IF(O2548&lt;=cota_s*100+fi_s/20,0,(OFFSET('Base de dados'!$A$4,IF(O2548&lt;20,1,IF(O2548&gt;1000,10,MATCH(O2548,Cargas,1))),Coluna_fis,1,1))*(PI()*(fi_s/1000)^2/4)*(2*9.81*(O2548/100-cota_s-fi_s/2/1000))^0.5*1000)))</f>
        <v>6.0745723366000277</v>
      </c>
      <c r="R2548" s="38">
        <f t="shared" ca="1" si="285"/>
        <v>12.819848777255554</v>
      </c>
      <c r="S2548" s="38">
        <f t="shared" ca="1" si="286"/>
        <v>795.93749999999989</v>
      </c>
    </row>
    <row r="2549" spans="13:19">
      <c r="M2549" s="132">
        <f t="shared" ca="1" si="283"/>
        <v>809.07265073831513</v>
      </c>
      <c r="N2549" s="38">
        <f t="shared" si="284"/>
        <v>23.887499999999999</v>
      </c>
      <c r="O2549" s="36">
        <f t="shared" si="282"/>
        <v>637</v>
      </c>
      <c r="P2549" s="38">
        <f ca="1">IF(ISERROR(IF(O2549&lt;fi_h/20,0,(OFFSET('Base de dados'!$A$5,IF(O2549&lt;20,1,IF(O2549&gt;1000,10,MATCH(O2549,Cargas,1))),Coluna_fih,1,1))*(1+0.13*0.25)*(PI()*(fi_h/1000)^2/4)*SQRT(2*9.81*(O2549/100-fi_h/2/1000))*1000)),"",IF(O2549&lt;fi_h/20,0,(OFFSET('Base de dados'!$A$5,IF(O2549&lt;20,1,IF(O2549&gt;1000,10,MATCH(O2549,Cargas,1))),Coluna_fih,1,1))*(PI()*(fi_h/1000)^2/4)*SQRT(2*9.81*(O2549/100-fi_h/2/1000))*1000))</f>
        <v>6.746604141220832</v>
      </c>
      <c r="Q2549" s="38">
        <f ca="1">IF(O2549="","",IF(Tipo_Vertedor="Retangular",IF(O2549&lt;=cota_s*100,0,IF(Tipo_Vertedor="Retangular",Cd_sr*Lef_sr*((O2549/100-cota_s)^(3/2))*1000)),IF(O2549&lt;=cota_s*100+fi_s/20,0,(OFFSET('Base de dados'!$A$4,IF(O2549&lt;20,1,IF(O2549&gt;1000,10,MATCH(O2549,Cargas,1))),Coluna_fis,1,1))*(PI()*(fi_s/1000)^2/4)*(2*9.81*(O2549/100-cota_s-fi_s/2/1000))^0.5*1000)))</f>
        <v>6.076046597094356</v>
      </c>
      <c r="R2549" s="38">
        <f t="shared" ca="1" si="285"/>
        <v>12.822650738315188</v>
      </c>
      <c r="S2549" s="38">
        <f t="shared" ca="1" si="286"/>
        <v>796.25</v>
      </c>
    </row>
    <row r="2550" spans="13:19">
      <c r="M2550" s="132">
        <f t="shared" ca="1" si="283"/>
        <v>809.38795208052056</v>
      </c>
      <c r="N2550" s="38">
        <f t="shared" si="284"/>
        <v>23.896874999999998</v>
      </c>
      <c r="O2550" s="36">
        <f t="shared" si="282"/>
        <v>637.25</v>
      </c>
      <c r="P2550" s="38">
        <f ca="1">IF(ISERROR(IF(O2550&lt;fi_h/20,0,(OFFSET('Base de dados'!$A$5,IF(O2550&lt;20,1,IF(O2550&gt;1000,10,MATCH(O2550,Cargas,1))),Coluna_fih,1,1))*(1+0.13*0.25)*(PI()*(fi_h/1000)^2/4)*SQRT(2*9.81*(O2550/100-fi_h/2/1000))*1000)),"",IF(O2550&lt;fi_h/20,0,(OFFSET('Base de dados'!$A$5,IF(O2550&lt;20,1,IF(O2550&gt;1000,10,MATCH(O2550,Cargas,1))),Coluna_fih,1,1))*(PI()*(fi_h/1000)^2/4)*SQRT(2*9.81*(O2550/100-fi_h/2/1000))*1000))</f>
        <v>6.747931580552196</v>
      </c>
      <c r="Q2550" s="38">
        <f ca="1">IF(O2550="","",IF(Tipo_Vertedor="Retangular",IF(O2550&lt;=cota_s*100,0,IF(Tipo_Vertedor="Retangular",Cd_sr*Lef_sr*((O2550/100-cota_s)^(3/2))*1000)),IF(O2550&lt;=cota_s*100+fi_s/20,0,(OFFSET('Base de dados'!$A$4,IF(O2550&lt;20,1,IF(O2550&gt;1000,10,MATCH(O2550,Cargas,1))),Coluna_fis,1,1))*(PI()*(fi_s/1000)^2/4)*(2*9.81*(O2550/100-cota_s-fi_s/2/1000))^0.5*1000)))</f>
        <v>6.0775204999685091</v>
      </c>
      <c r="R2550" s="38">
        <f t="shared" ca="1" si="285"/>
        <v>12.825452080520705</v>
      </c>
      <c r="S2550" s="38">
        <f t="shared" ca="1" si="286"/>
        <v>796.56249999999989</v>
      </c>
    </row>
    <row r="2551" spans="13:19">
      <c r="M2551" s="132">
        <f t="shared" ca="1" si="283"/>
        <v>809.70325280428642</v>
      </c>
      <c r="N2551" s="38">
        <f t="shared" si="284"/>
        <v>23.90625</v>
      </c>
      <c r="O2551" s="36">
        <f t="shared" si="282"/>
        <v>637.5</v>
      </c>
      <c r="P2551" s="38">
        <f ca="1">IF(ISERROR(IF(O2551&lt;fi_h/20,0,(OFFSET('Base de dados'!$A$5,IF(O2551&lt;20,1,IF(O2551&gt;1000,10,MATCH(O2551,Cargas,1))),Coluna_fih,1,1))*(1+0.13*0.25)*(PI()*(fi_h/1000)^2/4)*SQRT(2*9.81*(O2551/100-fi_h/2/1000))*1000)),"",IF(O2551&lt;fi_h/20,0,(OFFSET('Base de dados'!$A$5,IF(O2551&lt;20,1,IF(O2551&gt;1000,10,MATCH(O2551,Cargas,1))),Coluna_fih,1,1))*(PI()*(fi_h/1000)^2/4)*SQRT(2*9.81*(O2551/100-fi_h/2/1000))*1000))</f>
        <v>6.7492587588037578</v>
      </c>
      <c r="Q2551" s="38">
        <f ca="1">IF(O2551="","",IF(Tipo_Vertedor="Retangular",IF(O2551&lt;=cota_s*100,0,IF(Tipo_Vertedor="Retangular",Cd_sr*Lef_sr*((O2551/100-cota_s)^(3/2))*1000)),IF(O2551&lt;=cota_s*100+fi_s/20,0,(OFFSET('Base de dados'!$A$4,IF(O2551&lt;20,1,IF(O2551&gt;1000,10,MATCH(O2551,Cargas,1))),Coluna_fis,1,1))*(PI()*(fi_s/1000)^2/4)*(2*9.81*(O2551/100-cota_s-fi_s/2/1000))^0.5*1000)))</f>
        <v>6.0789940454826104</v>
      </c>
      <c r="R2551" s="38">
        <f t="shared" ca="1" si="285"/>
        <v>12.828252804286368</v>
      </c>
      <c r="S2551" s="38">
        <f t="shared" ca="1" si="286"/>
        <v>796.875</v>
      </c>
    </row>
    <row r="2552" spans="13:19">
      <c r="M2552" s="132">
        <f t="shared" ca="1" si="283"/>
        <v>810.01855291002607</v>
      </c>
      <c r="N2552" s="38">
        <f t="shared" si="284"/>
        <v>23.915625000000002</v>
      </c>
      <c r="O2552" s="36">
        <f t="shared" si="282"/>
        <v>637.75</v>
      </c>
      <c r="P2552" s="38">
        <f ca="1">IF(ISERROR(IF(O2552&lt;fi_h/20,0,(OFFSET('Base de dados'!$A$5,IF(O2552&lt;20,1,IF(O2552&gt;1000,10,MATCH(O2552,Cargas,1))),Coluna_fih,1,1))*(1+0.13*0.25)*(PI()*(fi_h/1000)^2/4)*SQRT(2*9.81*(O2552/100-fi_h/2/1000))*1000)),"",IF(O2552&lt;fi_h/20,0,(OFFSET('Base de dados'!$A$5,IF(O2552&lt;20,1,IF(O2552&gt;1000,10,MATCH(O2552,Cargas,1))),Coluna_fih,1,1))*(PI()*(fi_h/1000)^2/4)*SQRT(2*9.81*(O2552/100-fi_h/2/1000))*1000))</f>
        <v>6.7505856761295027</v>
      </c>
      <c r="Q2552" s="38">
        <f ca="1">IF(O2552="","",IF(Tipo_Vertedor="Retangular",IF(O2552&lt;=cota_s*100,0,IF(Tipo_Vertedor="Retangular",Cd_sr*Lef_sr*((O2552/100-cota_s)^(3/2))*1000)),IF(O2552&lt;=cota_s*100+fi_s/20,0,(OFFSET('Base de dados'!$A$4,IF(O2552&lt;20,1,IF(O2552&gt;1000,10,MATCH(O2552,Cargas,1))),Coluna_fis,1,1))*(PI()*(fi_s/1000)^2/4)*(2*9.81*(O2552/100-cota_s-fi_s/2/1000))^0.5*1000)))</f>
        <v>6.0804672338964725</v>
      </c>
      <c r="R2552" s="38">
        <f t="shared" ca="1" si="285"/>
        <v>12.831052910025974</v>
      </c>
      <c r="S2552" s="38">
        <f t="shared" ca="1" si="286"/>
        <v>797.18750000000011</v>
      </c>
    </row>
    <row r="2553" spans="13:19">
      <c r="M2553" s="132">
        <f t="shared" ca="1" si="283"/>
        <v>810.33385239815289</v>
      </c>
      <c r="N2553" s="38">
        <f t="shared" si="284"/>
        <v>23.925000000000001</v>
      </c>
      <c r="O2553" s="36">
        <f t="shared" si="282"/>
        <v>638</v>
      </c>
      <c r="P2553" s="38">
        <f ca="1">IF(ISERROR(IF(O2553&lt;fi_h/20,0,(OFFSET('Base de dados'!$A$5,IF(O2553&lt;20,1,IF(O2553&gt;1000,10,MATCH(O2553,Cargas,1))),Coluna_fih,1,1))*(1+0.13*0.25)*(PI()*(fi_h/1000)^2/4)*SQRT(2*9.81*(O2553/100-fi_h/2/1000))*1000)),"",IF(O2553&lt;fi_h/20,0,(OFFSET('Base de dados'!$A$5,IF(O2553&lt;20,1,IF(O2553&gt;1000,10,MATCH(O2553,Cargas,1))),Coluna_fih,1,1))*(PI()*(fi_h/1000)^2/4)*SQRT(2*9.81*(O2553/100-fi_h/2/1000))*1000))</f>
        <v>6.7519123326832657</v>
      </c>
      <c r="Q2553" s="38">
        <f ca="1">IF(O2553="","",IF(Tipo_Vertedor="Retangular",IF(O2553&lt;=cota_s*100,0,IF(Tipo_Vertedor="Retangular",Cd_sr*Lef_sr*((O2553/100-cota_s)^(3/2))*1000)),IF(O2553&lt;=cota_s*100+fi_s/20,0,(OFFSET('Base de dados'!$A$4,IF(O2553&lt;20,1,IF(O2553&gt;1000,10,MATCH(O2553,Cargas,1))),Coluna_fis,1,1))*(PI()*(fi_s/1000)^2/4)*(2*9.81*(O2553/100-cota_s-fi_s/2/1000))^0.5*1000)))</f>
        <v>6.0819400654695857</v>
      </c>
      <c r="R2553" s="38">
        <f t="shared" ca="1" si="285"/>
        <v>12.833852398152851</v>
      </c>
      <c r="S2553" s="38">
        <f t="shared" ca="1" si="286"/>
        <v>797.5</v>
      </c>
    </row>
    <row r="2554" spans="13:19">
      <c r="M2554" s="132">
        <f t="shared" ca="1" si="283"/>
        <v>810.64915126907999</v>
      </c>
      <c r="N2554" s="38">
        <f t="shared" si="284"/>
        <v>23.934375000000003</v>
      </c>
      <c r="O2554" s="36">
        <f t="shared" si="282"/>
        <v>638.25</v>
      </c>
      <c r="P2554" s="38">
        <f ca="1">IF(ISERROR(IF(O2554&lt;fi_h/20,0,(OFFSET('Base de dados'!$A$5,IF(O2554&lt;20,1,IF(O2554&gt;1000,10,MATCH(O2554,Cargas,1))),Coluna_fih,1,1))*(1+0.13*0.25)*(PI()*(fi_h/1000)^2/4)*SQRT(2*9.81*(O2554/100-fi_h/2/1000))*1000)),"",IF(O2554&lt;fi_h/20,0,(OFFSET('Base de dados'!$A$5,IF(O2554&lt;20,1,IF(O2554&gt;1000,10,MATCH(O2554,Cargas,1))),Coluna_fih,1,1))*(PI()*(fi_h/1000)^2/4)*SQRT(2*9.81*(O2554/100-fi_h/2/1000))*1000))</f>
        <v>6.753238728618733</v>
      </c>
      <c r="Q2554" s="38">
        <f ca="1">IF(O2554="","",IF(Tipo_Vertedor="Retangular",IF(O2554&lt;=cota_s*100,0,IF(Tipo_Vertedor="Retangular",Cd_sr*Lef_sr*((O2554/100-cota_s)^(3/2))*1000)),IF(O2554&lt;=cota_s*100+fi_s/20,0,(OFFSET('Base de dados'!$A$4,IF(O2554&lt;20,1,IF(O2554&gt;1000,10,MATCH(O2554,Cargas,1))),Coluna_fis,1,1))*(PI()*(fi_s/1000)^2/4)*(2*9.81*(O2554/100-cota_s-fi_s/2/1000))^0.5*1000)))</f>
        <v>6.0834125404611319</v>
      </c>
      <c r="R2554" s="38">
        <f t="shared" ca="1" si="285"/>
        <v>12.836651269079866</v>
      </c>
      <c r="S2554" s="38">
        <f t="shared" ca="1" si="286"/>
        <v>797.81250000000011</v>
      </c>
    </row>
    <row r="2555" spans="13:19">
      <c r="M2555" s="132">
        <f t="shared" ca="1" si="283"/>
        <v>810.96444952321929</v>
      </c>
      <c r="N2555" s="38">
        <f t="shared" si="284"/>
        <v>23.943749999999998</v>
      </c>
      <c r="O2555" s="36">
        <f t="shared" si="282"/>
        <v>638.5</v>
      </c>
      <c r="P2555" s="38">
        <f ca="1">IF(ISERROR(IF(O2555&lt;fi_h/20,0,(OFFSET('Base de dados'!$A$5,IF(O2555&lt;20,1,IF(O2555&gt;1000,10,MATCH(O2555,Cargas,1))),Coluna_fih,1,1))*(1+0.13*0.25)*(PI()*(fi_h/1000)^2/4)*SQRT(2*9.81*(O2555/100-fi_h/2/1000))*1000)),"",IF(O2555&lt;fi_h/20,0,(OFFSET('Base de dados'!$A$5,IF(O2555&lt;20,1,IF(O2555&gt;1000,10,MATCH(O2555,Cargas,1))),Coluna_fih,1,1))*(PI()*(fi_h/1000)^2/4)*SQRT(2*9.81*(O2555/100-fi_h/2/1000))*1000))</f>
        <v>6.7545648640894367</v>
      </c>
      <c r="Q2555" s="38">
        <f ca="1">IF(O2555="","",IF(Tipo_Vertedor="Retangular",IF(O2555&lt;=cota_s*100,0,IF(Tipo_Vertedor="Retangular",Cd_sr*Lef_sr*((O2555/100-cota_s)^(3/2))*1000)),IF(O2555&lt;=cota_s*100+fi_s/20,0,(OFFSET('Base de dados'!$A$4,IF(O2555&lt;20,1,IF(O2555&gt;1000,10,MATCH(O2555,Cargas,1))),Coluna_fis,1,1))*(PI()*(fi_s/1000)^2/4)*(2*9.81*(O2555/100-cota_s-fi_s/2/1000))^0.5*1000)))</f>
        <v>6.0848846591299779</v>
      </c>
      <c r="R2555" s="38">
        <f t="shared" ca="1" si="285"/>
        <v>12.839449523219415</v>
      </c>
      <c r="S2555" s="38">
        <f t="shared" ca="1" si="286"/>
        <v>798.12499999999989</v>
      </c>
    </row>
    <row r="2556" spans="13:19">
      <c r="M2556" s="132">
        <f t="shared" ca="1" si="283"/>
        <v>811.27974716098345</v>
      </c>
      <c r="N2556" s="38">
        <f t="shared" si="284"/>
        <v>23.953125</v>
      </c>
      <c r="O2556" s="36">
        <f t="shared" si="282"/>
        <v>638.75</v>
      </c>
      <c r="P2556" s="38">
        <f ca="1">IF(ISERROR(IF(O2556&lt;fi_h/20,0,(OFFSET('Base de dados'!$A$5,IF(O2556&lt;20,1,IF(O2556&gt;1000,10,MATCH(O2556,Cargas,1))),Coluna_fih,1,1))*(1+0.13*0.25)*(PI()*(fi_h/1000)^2/4)*SQRT(2*9.81*(O2556/100-fi_h/2/1000))*1000)),"",IF(O2556&lt;fi_h/20,0,(OFFSET('Base de dados'!$A$5,IF(O2556&lt;20,1,IF(O2556&gt;1000,10,MATCH(O2556,Cargas,1))),Coluna_fih,1,1))*(PI()*(fi_h/1000)^2/4)*SQRT(2*9.81*(O2556/100-fi_h/2/1000))*1000))</f>
        <v>6.7558907392487564</v>
      </c>
      <c r="Q2556" s="38">
        <f ca="1">IF(O2556="","",IF(Tipo_Vertedor="Retangular",IF(O2556&lt;=cota_s*100,0,IF(Tipo_Vertedor="Retangular",Cd_sr*Lef_sr*((O2556/100-cota_s)^(3/2))*1000)),IF(O2556&lt;=cota_s*100+fi_s/20,0,(OFFSET('Base de dados'!$A$4,IF(O2556&lt;20,1,IF(O2556&gt;1000,10,MATCH(O2556,Cargas,1))),Coluna_fis,1,1))*(PI()*(fi_s/1000)^2/4)*(2*9.81*(O2556/100-cota_s-fi_s/2/1000))^0.5*1000)))</f>
        <v>6.0863564217346751</v>
      </c>
      <c r="R2556" s="38">
        <f t="shared" ca="1" si="285"/>
        <v>12.842247160983431</v>
      </c>
      <c r="S2556" s="38">
        <f t="shared" ca="1" si="286"/>
        <v>798.4375</v>
      </c>
    </row>
    <row r="2557" spans="13:19">
      <c r="M2557" s="132">
        <f t="shared" ca="1" si="283"/>
        <v>811.59504418278334</v>
      </c>
      <c r="N2557" s="38">
        <f t="shared" si="284"/>
        <v>23.962499999999999</v>
      </c>
      <c r="O2557" s="36">
        <f t="shared" si="282"/>
        <v>639</v>
      </c>
      <c r="P2557" s="38">
        <f ca="1">IF(ISERROR(IF(O2557&lt;fi_h/20,0,(OFFSET('Base de dados'!$A$5,IF(O2557&lt;20,1,IF(O2557&gt;1000,10,MATCH(O2557,Cargas,1))),Coluna_fih,1,1))*(1+0.13*0.25)*(PI()*(fi_h/1000)^2/4)*SQRT(2*9.81*(O2557/100-fi_h/2/1000))*1000)),"",IF(O2557&lt;fi_h/20,0,(OFFSET('Base de dados'!$A$5,IF(O2557&lt;20,1,IF(O2557&gt;1000,10,MATCH(O2557,Cargas,1))),Coluna_fih,1,1))*(PI()*(fi_h/1000)^2/4)*SQRT(2*9.81*(O2557/100-fi_h/2/1000))*1000))</f>
        <v>6.7572163542499268</v>
      </c>
      <c r="Q2557" s="38">
        <f ca="1">IF(O2557="","",IF(Tipo_Vertedor="Retangular",IF(O2557&lt;=cota_s*100,0,IF(Tipo_Vertedor="Retangular",Cd_sr*Lef_sr*((O2557/100-cota_s)^(3/2))*1000)),IF(O2557&lt;=cota_s*100+fi_s/20,0,(OFFSET('Base de dados'!$A$4,IF(O2557&lt;20,1,IF(O2557&gt;1000,10,MATCH(O2557,Cargas,1))),Coluna_fis,1,1))*(PI()*(fi_s/1000)^2/4)*(2*9.81*(O2557/100-cota_s-fi_s/2/1000))^0.5*1000)))</f>
        <v>6.0878278285334657</v>
      </c>
      <c r="R2557" s="38">
        <f t="shared" ca="1" si="285"/>
        <v>12.845044182783393</v>
      </c>
      <c r="S2557" s="38">
        <f t="shared" ca="1" si="286"/>
        <v>798.75</v>
      </c>
    </row>
    <row r="2558" spans="13:19">
      <c r="M2558" s="132">
        <f t="shared" ca="1" si="283"/>
        <v>811.91034058903028</v>
      </c>
      <c r="N2558" s="38">
        <f t="shared" si="284"/>
        <v>23.971875000000001</v>
      </c>
      <c r="O2558" s="36">
        <f t="shared" si="282"/>
        <v>639.25</v>
      </c>
      <c r="P2558" s="38">
        <f ca="1">IF(ISERROR(IF(O2558&lt;fi_h/20,0,(OFFSET('Base de dados'!$A$5,IF(O2558&lt;20,1,IF(O2558&gt;1000,10,MATCH(O2558,Cargas,1))),Coluna_fih,1,1))*(1+0.13*0.25)*(PI()*(fi_h/1000)^2/4)*SQRT(2*9.81*(O2558/100-fi_h/2/1000))*1000)),"",IF(O2558&lt;fi_h/20,0,(OFFSET('Base de dados'!$A$5,IF(O2558&lt;20,1,IF(O2558&gt;1000,10,MATCH(O2558,Cargas,1))),Coluna_fih,1,1))*(PI()*(fi_h/1000)^2/4)*SQRT(2*9.81*(O2558/100-fi_h/2/1000))*1000))</f>
        <v>6.7585417092460309</v>
      </c>
      <c r="Q2558" s="38">
        <f ca="1">IF(O2558="","",IF(Tipo_Vertedor="Retangular",IF(O2558&lt;=cota_s*100,0,IF(Tipo_Vertedor="Retangular",Cd_sr*Lef_sr*((O2558/100-cota_s)^(3/2))*1000)),IF(O2558&lt;=cota_s*100+fi_s/20,0,(OFFSET('Base de dados'!$A$4,IF(O2558&lt;20,1,IF(O2558&gt;1000,10,MATCH(O2558,Cargas,1))),Coluna_fis,1,1))*(PI()*(fi_s/1000)^2/4)*(2*9.81*(O2558/100-cota_s-fi_s/2/1000))^0.5*1000)))</f>
        <v>6.0892988797842795</v>
      </c>
      <c r="R2558" s="38">
        <f t="shared" ca="1" si="285"/>
        <v>12.84784058903031</v>
      </c>
      <c r="S2558" s="38">
        <f t="shared" ca="1" si="286"/>
        <v>799.0625</v>
      </c>
    </row>
    <row r="2559" spans="13:19">
      <c r="M2559" s="132">
        <f t="shared" ca="1" si="283"/>
        <v>812.22563638013469</v>
      </c>
      <c r="N2559" s="38">
        <f t="shared" si="284"/>
        <v>23.981249999999999</v>
      </c>
      <c r="O2559" s="36">
        <f t="shared" si="282"/>
        <v>639.5</v>
      </c>
      <c r="P2559" s="38">
        <f ca="1">IF(ISERROR(IF(O2559&lt;fi_h/20,0,(OFFSET('Base de dados'!$A$5,IF(O2559&lt;20,1,IF(O2559&gt;1000,10,MATCH(O2559,Cargas,1))),Coluna_fih,1,1))*(1+0.13*0.25)*(PI()*(fi_h/1000)^2/4)*SQRT(2*9.81*(O2559/100-fi_h/2/1000))*1000)),"",IF(O2559&lt;fi_h/20,0,(OFFSET('Base de dados'!$A$5,IF(O2559&lt;20,1,IF(O2559&gt;1000,10,MATCH(O2559,Cargas,1))),Coluna_fih,1,1))*(PI()*(fi_h/1000)^2/4)*SQRT(2*9.81*(O2559/100-fi_h/2/1000))*1000))</f>
        <v>6.7598668043899979</v>
      </c>
      <c r="Q2559" s="38">
        <f ca="1">IF(O2559="","",IF(Tipo_Vertedor="Retangular",IF(O2559&lt;=cota_s*100,0,IF(Tipo_Vertedor="Retangular",Cd_sr*Lef_sr*((O2559/100-cota_s)^(3/2))*1000)),IF(O2559&lt;=cota_s*100+fi_s/20,0,(OFFSET('Base de dados'!$A$4,IF(O2559&lt;20,1,IF(O2559&gt;1000,10,MATCH(O2559,Cargas,1))),Coluna_fis,1,1))*(PI()*(fi_s/1000)^2/4)*(2*9.81*(O2559/100-cota_s-fi_s/2/1000))^0.5*1000)))</f>
        <v>6.0907695757447309</v>
      </c>
      <c r="R2559" s="38">
        <f t="shared" ca="1" si="285"/>
        <v>12.850636380134729</v>
      </c>
      <c r="S2559" s="38">
        <f t="shared" ca="1" si="286"/>
        <v>799.375</v>
      </c>
    </row>
    <row r="2560" spans="13:19">
      <c r="M2560" s="132">
        <f t="shared" ca="1" si="283"/>
        <v>812.54093155650673</v>
      </c>
      <c r="N2560" s="38">
        <f t="shared" si="284"/>
        <v>23.990625000000001</v>
      </c>
      <c r="O2560" s="36">
        <f t="shared" si="282"/>
        <v>639.75</v>
      </c>
      <c r="P2560" s="38">
        <f ca="1">IF(ISERROR(IF(O2560&lt;fi_h/20,0,(OFFSET('Base de dados'!$A$5,IF(O2560&lt;20,1,IF(O2560&gt;1000,10,MATCH(O2560,Cargas,1))),Coluna_fih,1,1))*(1+0.13*0.25)*(PI()*(fi_h/1000)^2/4)*SQRT(2*9.81*(O2560/100-fi_h/2/1000))*1000)),"",IF(O2560&lt;fi_h/20,0,(OFFSET('Base de dados'!$A$5,IF(O2560&lt;20,1,IF(O2560&gt;1000,10,MATCH(O2560,Cargas,1))),Coluna_fih,1,1))*(PI()*(fi_h/1000)^2/4)*SQRT(2*9.81*(O2560/100-fi_h/2/1000))*1000))</f>
        <v>6.7611916398346095</v>
      </c>
      <c r="Q2560" s="38">
        <f ca="1">IF(O2560="","",IF(Tipo_Vertedor="Retangular",IF(O2560&lt;=cota_s*100,0,IF(Tipo_Vertedor="Retangular",Cd_sr*Lef_sr*((O2560/100-cota_s)^(3/2))*1000)),IF(O2560&lt;=cota_s*100+fi_s/20,0,(OFFSET('Base de dados'!$A$4,IF(O2560&lt;20,1,IF(O2560&gt;1000,10,MATCH(O2560,Cargas,1))),Coluna_fis,1,1))*(PI()*(fi_s/1000)^2/4)*(2*9.81*(O2560/100-cota_s-fi_s/2/1000))^0.5*1000)))</f>
        <v>6.0922399166721277</v>
      </c>
      <c r="R2560" s="38">
        <f t="shared" ca="1" si="285"/>
        <v>12.853431556506738</v>
      </c>
      <c r="S2560" s="38">
        <f t="shared" ca="1" si="286"/>
        <v>799.6875</v>
      </c>
    </row>
    <row r="2561" spans="13:19">
      <c r="M2561" s="132">
        <f t="shared" ca="1" si="283"/>
        <v>812.85622611855592</v>
      </c>
      <c r="N2561" s="38">
        <f t="shared" si="284"/>
        <v>24</v>
      </c>
      <c r="O2561" s="36">
        <f t="shared" si="282"/>
        <v>640</v>
      </c>
      <c r="P2561" s="38">
        <f ca="1">IF(ISERROR(IF(O2561&lt;fi_h/20,0,(OFFSET('Base de dados'!$A$5,IF(O2561&lt;20,1,IF(O2561&gt;1000,10,MATCH(O2561,Cargas,1))),Coluna_fih,1,1))*(1+0.13*0.25)*(PI()*(fi_h/1000)^2/4)*SQRT(2*9.81*(O2561/100-fi_h/2/1000))*1000)),"",IF(O2561&lt;fi_h/20,0,(OFFSET('Base de dados'!$A$5,IF(O2561&lt;20,1,IF(O2561&gt;1000,10,MATCH(O2561,Cargas,1))),Coluna_fih,1,1))*(PI()*(fi_h/1000)^2/4)*SQRT(2*9.81*(O2561/100-fi_h/2/1000))*1000))</f>
        <v>6.7625162157324983</v>
      </c>
      <c r="Q2561" s="38">
        <f ca="1">IF(O2561="","",IF(Tipo_Vertedor="Retangular",IF(O2561&lt;=cota_s*100,0,IF(Tipo_Vertedor="Retangular",Cd_sr*Lef_sr*((O2561/100-cota_s)^(3/2))*1000)),IF(O2561&lt;=cota_s*100+fi_s/20,0,(OFFSET('Base de dados'!$A$4,IF(O2561&lt;20,1,IF(O2561&gt;1000,10,MATCH(O2561,Cargas,1))),Coluna_fis,1,1))*(PI()*(fi_s/1000)^2/4)*(2*9.81*(O2561/100-cota_s-fi_s/2/1000))^0.5*1000)))</f>
        <v>6.093709902823468</v>
      </c>
      <c r="R2561" s="38">
        <f t="shared" ca="1" si="285"/>
        <v>12.856226118555966</v>
      </c>
      <c r="S2561" s="38">
        <f t="shared" ca="1" si="286"/>
        <v>800</v>
      </c>
    </row>
    <row r="2562" spans="13:19">
      <c r="M2562" s="132">
        <f t="shared" ca="1" si="283"/>
        <v>813.17152006669153</v>
      </c>
      <c r="N2562" s="38">
        <f t="shared" si="284"/>
        <v>24.009374999999999</v>
      </c>
      <c r="O2562" s="36">
        <f t="shared" si="282"/>
        <v>640.25</v>
      </c>
      <c r="P2562" s="38">
        <f ca="1">IF(ISERROR(IF(O2562&lt;fi_h/20,0,(OFFSET('Base de dados'!$A$5,IF(O2562&lt;20,1,IF(O2562&gt;1000,10,MATCH(O2562,Cargas,1))),Coluna_fih,1,1))*(1+0.13*0.25)*(PI()*(fi_h/1000)^2/4)*SQRT(2*9.81*(O2562/100-fi_h/2/1000))*1000)),"",IF(O2562&lt;fi_h/20,0,(OFFSET('Base de dados'!$A$5,IF(O2562&lt;20,1,IF(O2562&gt;1000,10,MATCH(O2562,Cargas,1))),Coluna_fih,1,1))*(PI()*(fi_h/1000)^2/4)*SQRT(2*9.81*(O2562/100-fi_h/2/1000))*1000))</f>
        <v>6.7638405322361468</v>
      </c>
      <c r="Q2562" s="38">
        <f ca="1">IF(O2562="","",IF(Tipo_Vertedor="Retangular",IF(O2562&lt;=cota_s*100,0,IF(Tipo_Vertedor="Retangular",Cd_sr*Lef_sr*((O2562/100-cota_s)^(3/2))*1000)),IF(O2562&lt;=cota_s*100+fi_s/20,0,(OFFSET('Base de dados'!$A$4,IF(O2562&lt;20,1,IF(O2562&gt;1000,10,MATCH(O2562,Cargas,1))),Coluna_fis,1,1))*(PI()*(fi_s/1000)^2/4)*(2*9.81*(O2562/100-cota_s-fi_s/2/1000))^0.5*1000)))</f>
        <v>6.0951795344554336</v>
      </c>
      <c r="R2562" s="38">
        <f t="shared" ca="1" si="285"/>
        <v>12.859020066691581</v>
      </c>
      <c r="S2562" s="38">
        <f t="shared" ca="1" si="286"/>
        <v>800.3125</v>
      </c>
    </row>
    <row r="2563" spans="13:19">
      <c r="M2563" s="132">
        <f t="shared" ca="1" si="283"/>
        <v>813.48681340132225</v>
      </c>
      <c r="N2563" s="38">
        <f t="shared" si="284"/>
        <v>24.018750000000001</v>
      </c>
      <c r="O2563" s="36">
        <f t="shared" si="282"/>
        <v>640.5</v>
      </c>
      <c r="P2563" s="38">
        <f ca="1">IF(ISERROR(IF(O2563&lt;fi_h/20,0,(OFFSET('Base de dados'!$A$5,IF(O2563&lt;20,1,IF(O2563&gt;1000,10,MATCH(O2563,Cargas,1))),Coluna_fih,1,1))*(1+0.13*0.25)*(PI()*(fi_h/1000)^2/4)*SQRT(2*9.81*(O2563/100-fi_h/2/1000))*1000)),"",IF(O2563&lt;fi_h/20,0,(OFFSET('Base de dados'!$A$5,IF(O2563&lt;20,1,IF(O2563&gt;1000,10,MATCH(O2563,Cargas,1))),Coluna_fih,1,1))*(PI()*(fi_h/1000)^2/4)*SQRT(2*9.81*(O2563/100-fi_h/2/1000))*1000))</f>
        <v>6.7651645894978882</v>
      </c>
      <c r="Q2563" s="38">
        <f ca="1">IF(O2563="","",IF(Tipo_Vertedor="Retangular",IF(O2563&lt;=cota_s*100,0,IF(Tipo_Vertedor="Retangular",Cd_sr*Lef_sr*((O2563/100-cota_s)^(3/2))*1000)),IF(O2563&lt;=cota_s*100+fi_s/20,0,(OFFSET('Base de dados'!$A$4,IF(O2563&lt;20,1,IF(O2563&gt;1000,10,MATCH(O2563,Cargas,1))),Coluna_fis,1,1))*(PI()*(fi_s/1000)^2/4)*(2*9.81*(O2563/100-cota_s-fi_s/2/1000))^0.5*1000)))</f>
        <v>6.0966488118244069</v>
      </c>
      <c r="R2563" s="38">
        <f t="shared" ca="1" si="285"/>
        <v>12.861813401322294</v>
      </c>
      <c r="S2563" s="38">
        <f t="shared" ca="1" si="286"/>
        <v>800.625</v>
      </c>
    </row>
    <row r="2564" spans="13:19">
      <c r="M2564" s="132">
        <f t="shared" ca="1" si="283"/>
        <v>813.80210612285634</v>
      </c>
      <c r="N2564" s="38">
        <f t="shared" si="284"/>
        <v>24.028124999999999</v>
      </c>
      <c r="O2564" s="36">
        <f t="shared" si="282"/>
        <v>640.75</v>
      </c>
      <c r="P2564" s="38">
        <f ca="1">IF(ISERROR(IF(O2564&lt;fi_h/20,0,(OFFSET('Base de dados'!$A$5,IF(O2564&lt;20,1,IF(O2564&gt;1000,10,MATCH(O2564,Cargas,1))),Coluna_fih,1,1))*(1+0.13*0.25)*(PI()*(fi_h/1000)^2/4)*SQRT(2*9.81*(O2564/100-fi_h/2/1000))*1000)),"",IF(O2564&lt;fi_h/20,0,(OFFSET('Base de dados'!$A$5,IF(O2564&lt;20,1,IF(O2564&gt;1000,10,MATCH(O2564,Cargas,1))),Coluna_fih,1,1))*(PI()*(fi_h/1000)^2/4)*SQRT(2*9.81*(O2564/100-fi_h/2/1000))*1000))</f>
        <v>6.7664883876699085</v>
      </c>
      <c r="Q2564" s="38">
        <f ca="1">IF(O2564="","",IF(Tipo_Vertedor="Retangular",IF(O2564&lt;=cota_s*100,0,IF(Tipo_Vertedor="Retangular",Cd_sr*Lef_sr*((O2564/100-cota_s)^(3/2))*1000)),IF(O2564&lt;=cota_s*100+fi_s/20,0,(OFFSET('Base de dados'!$A$4,IF(O2564&lt;20,1,IF(O2564&gt;1000,10,MATCH(O2564,Cargas,1))),Coluna_fis,1,1))*(PI()*(fi_s/1000)^2/4)*(2*9.81*(O2564/100-cota_s-fi_s/2/1000))^0.5*1000)))</f>
        <v>6.0981177351864506</v>
      </c>
      <c r="R2564" s="38">
        <f t="shared" ca="1" si="285"/>
        <v>12.864606122856358</v>
      </c>
      <c r="S2564" s="38">
        <f t="shared" ca="1" si="286"/>
        <v>800.9375</v>
      </c>
    </row>
    <row r="2565" spans="13:19">
      <c r="M2565" s="132">
        <f t="shared" ca="1" si="283"/>
        <v>814.1173982317016</v>
      </c>
      <c r="N2565" s="38">
        <f t="shared" si="284"/>
        <v>24.037500000000001</v>
      </c>
      <c r="O2565" s="36">
        <f t="shared" si="282"/>
        <v>641</v>
      </c>
      <c r="P2565" s="38">
        <f ca="1">IF(ISERROR(IF(O2565&lt;fi_h/20,0,(OFFSET('Base de dados'!$A$5,IF(O2565&lt;20,1,IF(O2565&gt;1000,10,MATCH(O2565,Cargas,1))),Coluna_fih,1,1))*(1+0.13*0.25)*(PI()*(fi_h/1000)^2/4)*SQRT(2*9.81*(O2565/100-fi_h/2/1000))*1000)),"",IF(O2565&lt;fi_h/20,0,(OFFSET('Base de dados'!$A$5,IF(O2565&lt;20,1,IF(O2565&gt;1000,10,MATCH(O2565,Cargas,1))),Coluna_fih,1,1))*(PI()*(fi_h/1000)^2/4)*SQRT(2*9.81*(O2565/100-fi_h/2/1000))*1000))</f>
        <v>6.7678119269042414</v>
      </c>
      <c r="Q2565" s="38">
        <f ca="1">IF(O2565="","",IF(Tipo_Vertedor="Retangular",IF(O2565&lt;=cota_s*100,0,IF(Tipo_Vertedor="Retangular",Cd_sr*Lef_sr*((O2565/100-cota_s)^(3/2))*1000)),IF(O2565&lt;=cota_s*100+fi_s/20,0,(OFFSET('Base de dados'!$A$4,IF(O2565&lt;20,1,IF(O2565&gt;1000,10,MATCH(O2565,Cargas,1))),Coluna_fis,1,1))*(PI()*(fi_s/1000)^2/4)*(2*9.81*(O2565/100-cota_s-fi_s/2/1000))^0.5*1000)))</f>
        <v>6.0995863047973256</v>
      </c>
      <c r="R2565" s="38">
        <f t="shared" ca="1" si="285"/>
        <v>12.867398231701568</v>
      </c>
      <c r="S2565" s="38">
        <f t="shared" ca="1" si="286"/>
        <v>801.25</v>
      </c>
    </row>
    <row r="2566" spans="13:19">
      <c r="M2566" s="132">
        <f t="shared" ca="1" si="283"/>
        <v>814.43268972826525</v>
      </c>
      <c r="N2566" s="38">
        <f t="shared" si="284"/>
        <v>24.046875</v>
      </c>
      <c r="O2566" s="36">
        <f t="shared" si="282"/>
        <v>641.25</v>
      </c>
      <c r="P2566" s="38">
        <f ca="1">IF(ISERROR(IF(O2566&lt;fi_h/20,0,(OFFSET('Base de dados'!$A$5,IF(O2566&lt;20,1,IF(O2566&gt;1000,10,MATCH(O2566,Cargas,1))),Coluna_fih,1,1))*(1+0.13*0.25)*(PI()*(fi_h/1000)^2/4)*SQRT(2*9.81*(O2566/100-fi_h/2/1000))*1000)),"",IF(O2566&lt;fi_h/20,0,(OFFSET('Base de dados'!$A$5,IF(O2566&lt;20,1,IF(O2566&gt;1000,10,MATCH(O2566,Cargas,1))),Coluna_fih,1,1))*(PI()*(fi_h/1000)^2/4)*SQRT(2*9.81*(O2566/100-fi_h/2/1000))*1000))</f>
        <v>6.7691352073527726</v>
      </c>
      <c r="Q2566" s="38">
        <f ca="1">IF(O2566="","",IF(Tipo_Vertedor="Retangular",IF(O2566&lt;=cota_s*100,0,IF(Tipo_Vertedor="Retangular",Cd_sr*Lef_sr*((O2566/100-cota_s)^(3/2))*1000)),IF(O2566&lt;=cota_s*100+fi_s/20,0,(OFFSET('Base de dados'!$A$4,IF(O2566&lt;20,1,IF(O2566&gt;1000,10,MATCH(O2566,Cargas,1))),Coluna_fis,1,1))*(PI()*(fi_s/1000)^2/4)*(2*9.81*(O2566/100-cota_s-fi_s/2/1000))^0.5*1000)))</f>
        <v>6.1010545209124851</v>
      </c>
      <c r="R2566" s="38">
        <f t="shared" ca="1" si="285"/>
        <v>12.870189728265258</v>
      </c>
      <c r="S2566" s="38">
        <f t="shared" ca="1" si="286"/>
        <v>801.5625</v>
      </c>
    </row>
    <row r="2567" spans="13:19">
      <c r="M2567" s="132">
        <f t="shared" ca="1" si="283"/>
        <v>814.74798061295428</v>
      </c>
      <c r="N2567" s="38">
        <f t="shared" si="284"/>
        <v>24.056249999999999</v>
      </c>
      <c r="O2567" s="36">
        <f t="shared" si="282"/>
        <v>641.5</v>
      </c>
      <c r="P2567" s="38">
        <f ca="1">IF(ISERROR(IF(O2567&lt;fi_h/20,0,(OFFSET('Base de dados'!$A$5,IF(O2567&lt;20,1,IF(O2567&gt;1000,10,MATCH(O2567,Cargas,1))),Coluna_fih,1,1))*(1+0.13*0.25)*(PI()*(fi_h/1000)^2/4)*SQRT(2*9.81*(O2567/100-fi_h/2/1000))*1000)),"",IF(O2567&lt;fi_h/20,0,(OFFSET('Base de dados'!$A$5,IF(O2567&lt;20,1,IF(O2567&gt;1000,10,MATCH(O2567,Cargas,1))),Coluna_fih,1,1))*(PI()*(fi_h/1000)^2/4)*SQRT(2*9.81*(O2567/100-fi_h/2/1000))*1000))</f>
        <v>6.770458229167243</v>
      </c>
      <c r="Q2567" s="38">
        <f ca="1">IF(O2567="","",IF(Tipo_Vertedor="Retangular",IF(O2567&lt;=cota_s*100,0,IF(Tipo_Vertedor="Retangular",Cd_sr*Lef_sr*((O2567/100-cota_s)^(3/2))*1000)),IF(O2567&lt;=cota_s*100+fi_s/20,0,(OFFSET('Base de dados'!$A$4,IF(O2567&lt;20,1,IF(O2567&gt;1000,10,MATCH(O2567,Cargas,1))),Coluna_fis,1,1))*(PI()*(fi_s/1000)^2/4)*(2*9.81*(O2567/100-cota_s-fi_s/2/1000))^0.5*1000)))</f>
        <v>6.1025223837870728</v>
      </c>
      <c r="R2567" s="38">
        <f t="shared" ca="1" si="285"/>
        <v>12.872980612954315</v>
      </c>
      <c r="S2567" s="38">
        <f t="shared" ca="1" si="286"/>
        <v>801.875</v>
      </c>
    </row>
    <row r="2568" spans="13:19">
      <c r="M2568" s="132">
        <f t="shared" ca="1" si="283"/>
        <v>815.06327088617513</v>
      </c>
      <c r="N2568" s="38">
        <f t="shared" si="284"/>
        <v>24.065625000000001</v>
      </c>
      <c r="O2568" s="36">
        <f t="shared" si="282"/>
        <v>641.75</v>
      </c>
      <c r="P2568" s="38">
        <f ca="1">IF(ISERROR(IF(O2568&lt;fi_h/20,0,(OFFSET('Base de dados'!$A$5,IF(O2568&lt;20,1,IF(O2568&gt;1000,10,MATCH(O2568,Cargas,1))),Coluna_fih,1,1))*(1+0.13*0.25)*(PI()*(fi_h/1000)^2/4)*SQRT(2*9.81*(O2568/100-fi_h/2/1000))*1000)),"",IF(O2568&lt;fi_h/20,0,(OFFSET('Base de dados'!$A$5,IF(O2568&lt;20,1,IF(O2568&gt;1000,10,MATCH(O2568,Cargas,1))),Coluna_fih,1,1))*(PI()*(fi_h/1000)^2/4)*SQRT(2*9.81*(O2568/100-fi_h/2/1000))*1000))</f>
        <v>6.7717809924992425</v>
      </c>
      <c r="Q2568" s="38">
        <f ca="1">IF(O2568="","",IF(Tipo_Vertedor="Retangular",IF(O2568&lt;=cota_s*100,0,IF(Tipo_Vertedor="Retangular",Cd_sr*Lef_sr*((O2568/100-cota_s)^(3/2))*1000)),IF(O2568&lt;=cota_s*100+fi_s/20,0,(OFFSET('Base de dados'!$A$4,IF(O2568&lt;20,1,IF(O2568&gt;1000,10,MATCH(O2568,Cargas,1))),Coluna_fis,1,1))*(PI()*(fi_s/1000)^2/4)*(2*9.81*(O2568/100-cota_s-fi_s/2/1000))^0.5*1000)))</f>
        <v>6.1039898936759238</v>
      </c>
      <c r="R2568" s="38">
        <f t="shared" ca="1" si="285"/>
        <v>12.875770886175166</v>
      </c>
      <c r="S2568" s="38">
        <f t="shared" ca="1" si="286"/>
        <v>802.1875</v>
      </c>
    </row>
    <row r="2569" spans="13:19">
      <c r="M2569" s="132">
        <f t="shared" ca="1" si="283"/>
        <v>815.37856054833378</v>
      </c>
      <c r="N2569" s="38">
        <f t="shared" si="284"/>
        <v>24.074999999999999</v>
      </c>
      <c r="O2569" s="36">
        <f t="shared" si="282"/>
        <v>642</v>
      </c>
      <c r="P2569" s="38">
        <f ca="1">IF(ISERROR(IF(O2569&lt;fi_h/20,0,(OFFSET('Base de dados'!$A$5,IF(O2569&lt;20,1,IF(O2569&gt;1000,10,MATCH(O2569,Cargas,1))),Coluna_fih,1,1))*(1+0.13*0.25)*(PI()*(fi_h/1000)^2/4)*SQRT(2*9.81*(O2569/100-fi_h/2/1000))*1000)),"",IF(O2569&lt;fi_h/20,0,(OFFSET('Base de dados'!$A$5,IF(O2569&lt;20,1,IF(O2569&gt;1000,10,MATCH(O2569,Cargas,1))),Coluna_fih,1,1))*(PI()*(fi_h/1000)^2/4)*SQRT(2*9.81*(O2569/100-fi_h/2/1000))*1000))</f>
        <v>6.7731034975002116</v>
      </c>
      <c r="Q2569" s="38">
        <f ca="1">IF(O2569="","",IF(Tipo_Vertedor="Retangular",IF(O2569&lt;=cota_s*100,0,IF(Tipo_Vertedor="Retangular",Cd_sr*Lef_sr*((O2569/100-cota_s)^(3/2))*1000)),IF(O2569&lt;=cota_s*100+fi_s/20,0,(OFFSET('Base de dados'!$A$4,IF(O2569&lt;20,1,IF(O2569&gt;1000,10,MATCH(O2569,Cargas,1))),Coluna_fis,1,1))*(PI()*(fi_s/1000)^2/4)*(2*9.81*(O2569/100-cota_s-fi_s/2/1000))^0.5*1000)))</f>
        <v>6.1054570508335742</v>
      </c>
      <c r="R2569" s="38">
        <f t="shared" ca="1" si="285"/>
        <v>12.878560548333786</v>
      </c>
      <c r="S2569" s="38">
        <f t="shared" ca="1" si="286"/>
        <v>802.5</v>
      </c>
    </row>
    <row r="2570" spans="13:19">
      <c r="M2570" s="132">
        <f t="shared" ca="1" si="283"/>
        <v>815.69384959983574</v>
      </c>
      <c r="N2570" s="38">
        <f t="shared" si="284"/>
        <v>24.084375000000001</v>
      </c>
      <c r="O2570" s="36">
        <f t="shared" si="282"/>
        <v>642.25</v>
      </c>
      <c r="P2570" s="38">
        <f ca="1">IF(ISERROR(IF(O2570&lt;fi_h/20,0,(OFFSET('Base de dados'!$A$5,IF(O2570&lt;20,1,IF(O2570&gt;1000,10,MATCH(O2570,Cargas,1))),Coluna_fih,1,1))*(1+0.13*0.25)*(PI()*(fi_h/1000)^2/4)*SQRT(2*9.81*(O2570/100-fi_h/2/1000))*1000)),"",IF(O2570&lt;fi_h/20,0,(OFFSET('Base de dados'!$A$5,IF(O2570&lt;20,1,IF(O2570&gt;1000,10,MATCH(O2570,Cargas,1))),Coluna_fih,1,1))*(PI()*(fi_h/1000)^2/4)*SQRT(2*9.81*(O2570/100-fi_h/2/1000))*1000))</f>
        <v>6.7744257443214453</v>
      </c>
      <c r="Q2570" s="38">
        <f ca="1">IF(O2570="","",IF(Tipo_Vertedor="Retangular",IF(O2570&lt;=cota_s*100,0,IF(Tipo_Vertedor="Retangular",Cd_sr*Lef_sr*((O2570/100-cota_s)^(3/2))*1000)),IF(O2570&lt;=cota_s*100+fi_s/20,0,(OFFSET('Base de dados'!$A$4,IF(O2570&lt;20,1,IF(O2570&gt;1000,10,MATCH(O2570,Cargas,1))),Coluna_fis,1,1))*(PI()*(fi_s/1000)^2/4)*(2*9.81*(O2570/100-cota_s-fi_s/2/1000))^0.5*1000)))</f>
        <v>6.1069238555142444</v>
      </c>
      <c r="R2570" s="38">
        <f t="shared" ca="1" si="285"/>
        <v>12.881349599835691</v>
      </c>
      <c r="S2570" s="38">
        <f t="shared" ca="1" si="286"/>
        <v>802.8125</v>
      </c>
    </row>
    <row r="2571" spans="13:19">
      <c r="M2571" s="132">
        <f t="shared" ca="1" si="283"/>
        <v>816.00913804108598</v>
      </c>
      <c r="N2571" s="38">
        <f t="shared" si="284"/>
        <v>24.09375</v>
      </c>
      <c r="O2571" s="36">
        <f t="shared" si="282"/>
        <v>642.5</v>
      </c>
      <c r="P2571" s="38">
        <f ca="1">IF(ISERROR(IF(O2571&lt;fi_h/20,0,(OFFSET('Base de dados'!$A$5,IF(O2571&lt;20,1,IF(O2571&gt;1000,10,MATCH(O2571,Cargas,1))),Coluna_fih,1,1))*(1+0.13*0.25)*(PI()*(fi_h/1000)^2/4)*SQRT(2*9.81*(O2571/100-fi_h/2/1000))*1000)),"",IF(O2571&lt;fi_h/20,0,(OFFSET('Base de dados'!$A$5,IF(O2571&lt;20,1,IF(O2571&gt;1000,10,MATCH(O2571,Cargas,1))),Coluna_fih,1,1))*(PI()*(fi_h/1000)^2/4)*SQRT(2*9.81*(O2571/100-fi_h/2/1000))*1000))</f>
        <v>6.7757477331140903</v>
      </c>
      <c r="Q2571" s="38">
        <f ca="1">IF(O2571="","",IF(Tipo_Vertedor="Retangular",IF(O2571&lt;=cota_s*100,0,IF(Tipo_Vertedor="Retangular",Cd_sr*Lef_sr*((O2571/100-cota_s)^(3/2))*1000)),IF(O2571&lt;=cota_s*100+fi_s/20,0,(OFFSET('Base de dados'!$A$4,IF(O2571&lt;20,1,IF(O2571&gt;1000,10,MATCH(O2571,Cargas,1))),Coluna_fis,1,1))*(PI()*(fi_s/1000)^2/4)*(2*9.81*(O2571/100-cota_s-fi_s/2/1000))^0.5*1000)))</f>
        <v>6.1083903079718596</v>
      </c>
      <c r="R2571" s="38">
        <f t="shared" ca="1" si="285"/>
        <v>12.884138041085951</v>
      </c>
      <c r="S2571" s="38">
        <f t="shared" ca="1" si="286"/>
        <v>803.125</v>
      </c>
    </row>
    <row r="2572" spans="13:19">
      <c r="M2572" s="132">
        <f t="shared" ca="1" si="283"/>
        <v>816.32442587248931</v>
      </c>
      <c r="N2572" s="38">
        <f t="shared" si="284"/>
        <v>24.103125000000002</v>
      </c>
      <c r="O2572" s="36">
        <f t="shared" si="282"/>
        <v>642.75</v>
      </c>
      <c r="P2572" s="38">
        <f ca="1">IF(ISERROR(IF(O2572&lt;fi_h/20,0,(OFFSET('Base de dados'!$A$5,IF(O2572&lt;20,1,IF(O2572&gt;1000,10,MATCH(O2572,Cargas,1))),Coluna_fih,1,1))*(1+0.13*0.25)*(PI()*(fi_h/1000)^2/4)*SQRT(2*9.81*(O2572/100-fi_h/2/1000))*1000)),"",IF(O2572&lt;fi_h/20,0,(OFFSET('Base de dados'!$A$5,IF(O2572&lt;20,1,IF(O2572&gt;1000,10,MATCH(O2572,Cargas,1))),Coluna_fih,1,1))*(PI()*(fi_h/1000)^2/4)*SQRT(2*9.81*(O2572/100-fi_h/2/1000))*1000))</f>
        <v>6.7770694640291484</v>
      </c>
      <c r="Q2572" s="38">
        <f ca="1">IF(O2572="","",IF(Tipo_Vertedor="Retangular",IF(O2572&lt;=cota_s*100,0,IF(Tipo_Vertedor="Retangular",Cd_sr*Lef_sr*((O2572/100-cota_s)^(3/2))*1000)),IF(O2572&lt;=cota_s*100+fi_s/20,0,(OFFSET('Base de dados'!$A$4,IF(O2572&lt;20,1,IF(O2572&gt;1000,10,MATCH(O2572,Cargas,1))),Coluna_fis,1,1))*(PI()*(fi_s/1000)^2/4)*(2*9.81*(O2572/100-cota_s-fi_s/2/1000))^0.5*1000)))</f>
        <v>6.1098564084600318</v>
      </c>
      <c r="R2572" s="38">
        <f t="shared" ca="1" si="285"/>
        <v>12.886925872489179</v>
      </c>
      <c r="S2572" s="38">
        <f t="shared" ca="1" si="286"/>
        <v>803.43750000000011</v>
      </c>
    </row>
    <row r="2573" spans="13:19">
      <c r="M2573" s="132">
        <f t="shared" ca="1" si="283"/>
        <v>816.63971309444946</v>
      </c>
      <c r="N2573" s="38">
        <f t="shared" si="284"/>
        <v>24.112499999999997</v>
      </c>
      <c r="O2573" s="36">
        <f t="shared" si="282"/>
        <v>643</v>
      </c>
      <c r="P2573" s="38">
        <f ca="1">IF(ISERROR(IF(O2573&lt;fi_h/20,0,(OFFSET('Base de dados'!$A$5,IF(O2573&lt;20,1,IF(O2573&gt;1000,10,MATCH(O2573,Cargas,1))),Coluna_fih,1,1))*(1+0.13*0.25)*(PI()*(fi_h/1000)^2/4)*SQRT(2*9.81*(O2573/100-fi_h/2/1000))*1000)),"",IF(O2573&lt;fi_h/20,0,(OFFSET('Base de dados'!$A$5,IF(O2573&lt;20,1,IF(O2573&gt;1000,10,MATCH(O2573,Cargas,1))),Coluna_fih,1,1))*(PI()*(fi_h/1000)^2/4)*SQRT(2*9.81*(O2573/100-fi_h/2/1000))*1000))</f>
        <v>6.7783909372174671</v>
      </c>
      <c r="Q2573" s="38">
        <f ca="1">IF(O2573="","",IF(Tipo_Vertedor="Retangular",IF(O2573&lt;=cota_s*100,0,IF(Tipo_Vertedor="Retangular",Cd_sr*Lef_sr*((O2573/100-cota_s)^(3/2))*1000)),IF(O2573&lt;=cota_s*100+fi_s/20,0,(OFFSET('Base de dados'!$A$4,IF(O2573&lt;20,1,IF(O2573&gt;1000,10,MATCH(O2573,Cargas,1))),Coluna_fis,1,1))*(PI()*(fi_s/1000)^2/4)*(2*9.81*(O2573/100-cota_s-fi_s/2/1000))^0.5*1000)))</f>
        <v>6.1113221572320739</v>
      </c>
      <c r="R2573" s="38">
        <f t="shared" ca="1" si="285"/>
        <v>12.88971309444954</v>
      </c>
      <c r="S2573" s="38">
        <f t="shared" ca="1" si="286"/>
        <v>803.74999999999989</v>
      </c>
    </row>
    <row r="2574" spans="13:19">
      <c r="M2574" s="132">
        <f t="shared" ca="1" si="283"/>
        <v>816.9549997073708</v>
      </c>
      <c r="N2574" s="38">
        <f t="shared" si="284"/>
        <v>24.121874999999999</v>
      </c>
      <c r="O2574" s="36">
        <f t="shared" si="282"/>
        <v>643.25</v>
      </c>
      <c r="P2574" s="38">
        <f ca="1">IF(ISERROR(IF(O2574&lt;fi_h/20,0,(OFFSET('Base de dados'!$A$5,IF(O2574&lt;20,1,IF(O2574&gt;1000,10,MATCH(O2574,Cargas,1))),Coluna_fih,1,1))*(1+0.13*0.25)*(PI()*(fi_h/1000)^2/4)*SQRT(2*9.81*(O2574/100-fi_h/2/1000))*1000)),"",IF(O2574&lt;fi_h/20,0,(OFFSET('Base de dados'!$A$5,IF(O2574&lt;20,1,IF(O2574&gt;1000,10,MATCH(O2574,Cargas,1))),Coluna_fih,1,1))*(PI()*(fi_h/1000)^2/4)*SQRT(2*9.81*(O2574/100-fi_h/2/1000))*1000))</f>
        <v>6.779712152829755</v>
      </c>
      <c r="Q2574" s="38">
        <f ca="1">IF(O2574="","",IF(Tipo_Vertedor="Retangular",IF(O2574&lt;=cota_s*100,0,IF(Tipo_Vertedor="Retangular",Cd_sr*Lef_sr*((O2574/100-cota_s)^(3/2))*1000)),IF(O2574&lt;=cota_s*100+fi_s/20,0,(OFFSET('Base de dados'!$A$4,IF(O2574&lt;20,1,IF(O2574&gt;1000,10,MATCH(O2574,Cargas,1))),Coluna_fis,1,1))*(PI()*(fi_s/1000)^2/4)*(2*9.81*(O2574/100-cota_s-fi_s/2/1000))^0.5*1000)))</f>
        <v>6.1127875545409953</v>
      </c>
      <c r="R2574" s="38">
        <f t="shared" ca="1" si="285"/>
        <v>12.892499707370749</v>
      </c>
      <c r="S2574" s="38">
        <f t="shared" ca="1" si="286"/>
        <v>804.0625</v>
      </c>
    </row>
    <row r="2575" spans="13:19">
      <c r="M2575" s="132">
        <f t="shared" ca="1" si="283"/>
        <v>817.2702857116559</v>
      </c>
      <c r="N2575" s="38">
        <f t="shared" si="284"/>
        <v>24.131249999999998</v>
      </c>
      <c r="O2575" s="36">
        <f t="shared" si="282"/>
        <v>643.5</v>
      </c>
      <c r="P2575" s="38">
        <f ca="1">IF(ISERROR(IF(O2575&lt;fi_h/20,0,(OFFSET('Base de dados'!$A$5,IF(O2575&lt;20,1,IF(O2575&gt;1000,10,MATCH(O2575,Cargas,1))),Coluna_fih,1,1))*(1+0.13*0.25)*(PI()*(fi_h/1000)^2/4)*SQRT(2*9.81*(O2575/100-fi_h/2/1000))*1000)),"",IF(O2575&lt;fi_h/20,0,(OFFSET('Base de dados'!$A$5,IF(O2575&lt;20,1,IF(O2575&gt;1000,10,MATCH(O2575,Cargas,1))),Coluna_fih,1,1))*(PI()*(fi_h/1000)^2/4)*SQRT(2*9.81*(O2575/100-fi_h/2/1000))*1000))</f>
        <v>6.7810331110165691</v>
      </c>
      <c r="Q2575" s="38">
        <f ca="1">IF(O2575="","",IF(Tipo_Vertedor="Retangular",IF(O2575&lt;=cota_s*100,0,IF(Tipo_Vertedor="Retangular",Cd_sr*Lef_sr*((O2575/100-cota_s)^(3/2))*1000)),IF(O2575&lt;=cota_s*100+fi_s/20,0,(OFFSET('Base de dados'!$A$4,IF(O2575&lt;20,1,IF(O2575&gt;1000,10,MATCH(O2575,Cargas,1))),Coluna_fis,1,1))*(PI()*(fi_s/1000)^2/4)*(2*9.81*(O2575/100-cota_s-fi_s/2/1000))^0.5*1000)))</f>
        <v>6.1142526006394959</v>
      </c>
      <c r="R2575" s="38">
        <f t="shared" ca="1" si="285"/>
        <v>12.895285711656065</v>
      </c>
      <c r="S2575" s="38">
        <f t="shared" ca="1" si="286"/>
        <v>804.37499999999989</v>
      </c>
    </row>
    <row r="2576" spans="13:19">
      <c r="M2576" s="132">
        <f t="shared" ca="1" si="283"/>
        <v>817.58557110770835</v>
      </c>
      <c r="N2576" s="38">
        <f t="shared" si="284"/>
        <v>24.140625</v>
      </c>
      <c r="O2576" s="36">
        <f t="shared" si="282"/>
        <v>643.75</v>
      </c>
      <c r="P2576" s="38">
        <f ca="1">IF(ISERROR(IF(O2576&lt;fi_h/20,0,(OFFSET('Base de dados'!$A$5,IF(O2576&lt;20,1,IF(O2576&gt;1000,10,MATCH(O2576,Cargas,1))),Coluna_fih,1,1))*(1+0.13*0.25)*(PI()*(fi_h/1000)^2/4)*SQRT(2*9.81*(O2576/100-fi_h/2/1000))*1000)),"",IF(O2576&lt;fi_h/20,0,(OFFSET('Base de dados'!$A$5,IF(O2576&lt;20,1,IF(O2576&gt;1000,10,MATCH(O2576,Cargas,1))),Coluna_fih,1,1))*(PI()*(fi_h/1000)^2/4)*SQRT(2*9.81*(O2576/100-fi_h/2/1000))*1000))</f>
        <v>6.7823538119283207</v>
      </c>
      <c r="Q2576" s="38">
        <f ca="1">IF(O2576="","",IF(Tipo_Vertedor="Retangular",IF(O2576&lt;=cota_s*100,0,IF(Tipo_Vertedor="Retangular",Cd_sr*Lef_sr*((O2576/100-cota_s)^(3/2))*1000)),IF(O2576&lt;=cota_s*100+fi_s/20,0,(OFFSET('Base de dados'!$A$4,IF(O2576&lt;20,1,IF(O2576&gt;1000,10,MATCH(O2576,Cargas,1))),Coluna_fis,1,1))*(PI()*(fi_s/1000)^2/4)*(2*9.81*(O2576/100-cota_s-fi_s/2/1000))^0.5*1000)))</f>
        <v>6.1157172957799828</v>
      </c>
      <c r="R2576" s="38">
        <f t="shared" ca="1" si="285"/>
        <v>12.898071107708304</v>
      </c>
      <c r="S2576" s="38">
        <f t="shared" ca="1" si="286"/>
        <v>804.6875</v>
      </c>
    </row>
    <row r="2577" spans="13:19">
      <c r="M2577" s="132">
        <f t="shared" ca="1" si="283"/>
        <v>817.90085589592991</v>
      </c>
      <c r="N2577" s="38">
        <f t="shared" si="284"/>
        <v>24.150000000000002</v>
      </c>
      <c r="O2577" s="36">
        <f t="shared" si="282"/>
        <v>644</v>
      </c>
      <c r="P2577" s="38">
        <f ca="1">IF(ISERROR(IF(O2577&lt;fi_h/20,0,(OFFSET('Base de dados'!$A$5,IF(O2577&lt;20,1,IF(O2577&gt;1000,10,MATCH(O2577,Cargas,1))),Coluna_fih,1,1))*(1+0.13*0.25)*(PI()*(fi_h/1000)^2/4)*SQRT(2*9.81*(O2577/100-fi_h/2/1000))*1000)),"",IF(O2577&lt;fi_h/20,0,(OFFSET('Base de dados'!$A$5,IF(O2577&lt;20,1,IF(O2577&gt;1000,10,MATCH(O2577,Cargas,1))),Coluna_fih,1,1))*(PI()*(fi_h/1000)^2/4)*SQRT(2*9.81*(O2577/100-fi_h/2/1000))*1000))</f>
        <v>6.7836742557152752</v>
      </c>
      <c r="Q2577" s="38">
        <f ca="1">IF(O2577="","",IF(Tipo_Vertedor="Retangular",IF(O2577&lt;=cota_s*100,0,IF(Tipo_Vertedor="Retangular",Cd_sr*Lef_sr*((O2577/100-cota_s)^(3/2))*1000)),IF(O2577&lt;=cota_s*100+fi_s/20,0,(OFFSET('Base de dados'!$A$4,IF(O2577&lt;20,1,IF(O2577&gt;1000,10,MATCH(O2577,Cargas,1))),Coluna_fis,1,1))*(PI()*(fi_s/1000)^2/4)*(2*9.81*(O2577/100-cota_s-fi_s/2/1000))^0.5*1000)))</f>
        <v>6.1171816402145529</v>
      </c>
      <c r="R2577" s="38">
        <f t="shared" ca="1" si="285"/>
        <v>12.900855895929828</v>
      </c>
      <c r="S2577" s="38">
        <f t="shared" ca="1" si="286"/>
        <v>805.00000000000011</v>
      </c>
    </row>
    <row r="2578" spans="13:19">
      <c r="M2578" s="132">
        <f t="shared" ca="1" si="283"/>
        <v>818.21614007672258</v>
      </c>
      <c r="N2578" s="38">
        <f t="shared" si="284"/>
        <v>24.159375000000001</v>
      </c>
      <c r="O2578" s="36">
        <f t="shared" si="282"/>
        <v>644.25</v>
      </c>
      <c r="P2578" s="38">
        <f ca="1">IF(ISERROR(IF(O2578&lt;fi_h/20,0,(OFFSET('Base de dados'!$A$5,IF(O2578&lt;20,1,IF(O2578&gt;1000,10,MATCH(O2578,Cargas,1))),Coluna_fih,1,1))*(1+0.13*0.25)*(PI()*(fi_h/1000)^2/4)*SQRT(2*9.81*(O2578/100-fi_h/2/1000))*1000)),"",IF(O2578&lt;fi_h/20,0,(OFFSET('Base de dados'!$A$5,IF(O2578&lt;20,1,IF(O2578&gt;1000,10,MATCH(O2578,Cargas,1))),Coluna_fih,1,1))*(PI()*(fi_h/1000)^2/4)*SQRT(2*9.81*(O2578/100-fi_h/2/1000))*1000))</f>
        <v>6.7849944425275526</v>
      </c>
      <c r="Q2578" s="38">
        <f ca="1">IF(O2578="","",IF(Tipo_Vertedor="Retangular",IF(O2578&lt;=cota_s*100,0,IF(Tipo_Vertedor="Retangular",Cd_sr*Lef_sr*((O2578/100-cota_s)^(3/2))*1000)),IF(O2578&lt;=cota_s*100+fi_s/20,0,(OFFSET('Base de dados'!$A$4,IF(O2578&lt;20,1,IF(O2578&gt;1000,10,MATCH(O2578,Cargas,1))),Coluna_fis,1,1))*(PI()*(fi_s/1000)^2/4)*(2*9.81*(O2578/100-cota_s-fi_s/2/1000))^0.5*1000)))</f>
        <v>6.1186456341950031</v>
      </c>
      <c r="R2578" s="38">
        <f t="shared" ca="1" si="285"/>
        <v>12.903640076722557</v>
      </c>
      <c r="S2578" s="38">
        <f t="shared" ca="1" si="286"/>
        <v>805.3125</v>
      </c>
    </row>
    <row r="2579" spans="13:19">
      <c r="M2579" s="132">
        <f t="shared" ca="1" si="283"/>
        <v>818.53142365048802</v>
      </c>
      <c r="N2579" s="38">
        <f t="shared" si="284"/>
        <v>24.168750000000003</v>
      </c>
      <c r="O2579" s="36">
        <f t="shared" ref="O2579:O2642" si="287">IF(ISERROR(IF(O2578+passo_altura&gt;h_max_puls*100,"",O2578+passo_altura)),"",IF(O2578+passo_altura&gt;h_max_puls*100,"",O2578+passo_altura))</f>
        <v>644.5</v>
      </c>
      <c r="P2579" s="38">
        <f ca="1">IF(ISERROR(IF(O2579&lt;fi_h/20,0,(OFFSET('Base de dados'!$A$5,IF(O2579&lt;20,1,IF(O2579&gt;1000,10,MATCH(O2579,Cargas,1))),Coluna_fih,1,1))*(1+0.13*0.25)*(PI()*(fi_h/1000)^2/4)*SQRT(2*9.81*(O2579/100-fi_h/2/1000))*1000)),"",IF(O2579&lt;fi_h/20,0,(OFFSET('Base de dados'!$A$5,IF(O2579&lt;20,1,IF(O2579&gt;1000,10,MATCH(O2579,Cargas,1))),Coluna_fih,1,1))*(PI()*(fi_h/1000)^2/4)*SQRT(2*9.81*(O2579/100-fi_h/2/1000))*1000))</f>
        <v>6.7863143725151245</v>
      </c>
      <c r="Q2579" s="38">
        <f ca="1">IF(O2579="","",IF(Tipo_Vertedor="Retangular",IF(O2579&lt;=cota_s*100,0,IF(Tipo_Vertedor="Retangular",Cd_sr*Lef_sr*((O2579/100-cota_s)^(3/2))*1000)),IF(O2579&lt;=cota_s*100+fi_s/20,0,(OFFSET('Base de dados'!$A$4,IF(O2579&lt;20,1,IF(O2579&gt;1000,10,MATCH(O2579,Cargas,1))),Coluna_fis,1,1))*(PI()*(fi_s/1000)^2/4)*(2*9.81*(O2579/100-cota_s-fi_s/2/1000))^0.5*1000)))</f>
        <v>6.1201092779728334</v>
      </c>
      <c r="R2579" s="38">
        <f t="shared" ca="1" si="285"/>
        <v>12.906423650487959</v>
      </c>
      <c r="S2579" s="38">
        <f t="shared" ca="1" si="286"/>
        <v>805.62500000000011</v>
      </c>
    </row>
    <row r="2580" spans="13:19">
      <c r="M2580" s="132">
        <f t="shared" ca="1" si="283"/>
        <v>818.84670661762698</v>
      </c>
      <c r="N2580" s="38">
        <f t="shared" si="284"/>
        <v>24.178124999999998</v>
      </c>
      <c r="O2580" s="36">
        <f t="shared" si="287"/>
        <v>644.75</v>
      </c>
      <c r="P2580" s="38">
        <f ca="1">IF(ISERROR(IF(O2580&lt;fi_h/20,0,(OFFSET('Base de dados'!$A$5,IF(O2580&lt;20,1,IF(O2580&gt;1000,10,MATCH(O2580,Cargas,1))),Coluna_fih,1,1))*(1+0.13*0.25)*(PI()*(fi_h/1000)^2/4)*SQRT(2*9.81*(O2580/100-fi_h/2/1000))*1000)),"",IF(O2580&lt;fi_h/20,0,(OFFSET('Base de dados'!$A$5,IF(O2580&lt;20,1,IF(O2580&gt;1000,10,MATCH(O2580,Cargas,1))),Coluna_fih,1,1))*(PI()*(fi_h/1000)^2/4)*SQRT(2*9.81*(O2580/100-fi_h/2/1000))*1000))</f>
        <v>6.7876340458278177</v>
      </c>
      <c r="Q2580" s="38">
        <f ca="1">IF(O2580="","",IF(Tipo_Vertedor="Retangular",IF(O2580&lt;=cota_s*100,0,IF(Tipo_Vertedor="Retangular",Cd_sr*Lef_sr*((O2580/100-cota_s)^(3/2))*1000)),IF(O2580&lt;=cota_s*100+fi_s/20,0,(OFFSET('Base de dados'!$A$4,IF(O2580&lt;20,1,IF(O2580&gt;1000,10,MATCH(O2580,Cargas,1))),Coluna_fis,1,1))*(PI()*(fi_s/1000)^2/4)*(2*9.81*(O2580/100-cota_s-fi_s/2/1000))^0.5*1000)))</f>
        <v>6.1215725717992369</v>
      </c>
      <c r="R2580" s="38">
        <f t="shared" ca="1" si="285"/>
        <v>12.909206617627055</v>
      </c>
      <c r="S2580" s="38">
        <f t="shared" ca="1" si="286"/>
        <v>805.93749999999989</v>
      </c>
    </row>
    <row r="2581" spans="13:19">
      <c r="M2581" s="132">
        <f t="shared" ca="1" si="283"/>
        <v>819.16198897854042</v>
      </c>
      <c r="N2581" s="38">
        <f t="shared" si="284"/>
        <v>24.1875</v>
      </c>
      <c r="O2581" s="36">
        <f t="shared" si="287"/>
        <v>645</v>
      </c>
      <c r="P2581" s="38">
        <f ca="1">IF(ISERROR(IF(O2581&lt;fi_h/20,0,(OFFSET('Base de dados'!$A$5,IF(O2581&lt;20,1,IF(O2581&gt;1000,10,MATCH(O2581,Cargas,1))),Coluna_fih,1,1))*(1+0.13*0.25)*(PI()*(fi_h/1000)^2/4)*SQRT(2*9.81*(O2581/100-fi_h/2/1000))*1000)),"",IF(O2581&lt;fi_h/20,0,(OFFSET('Base de dados'!$A$5,IF(O2581&lt;20,1,IF(O2581&gt;1000,10,MATCH(O2581,Cargas,1))),Coluna_fih,1,1))*(PI()*(fi_h/1000)^2/4)*SQRT(2*9.81*(O2581/100-fi_h/2/1000))*1000))</f>
        <v>6.788953462615317</v>
      </c>
      <c r="Q2581" s="38">
        <f ca="1">IF(O2581="","",IF(Tipo_Vertedor="Retangular",IF(O2581&lt;=cota_s*100,0,IF(Tipo_Vertedor="Retangular",Cd_sr*Lef_sr*((O2581/100-cota_s)^(3/2))*1000)),IF(O2581&lt;=cota_s*100+fi_s/20,0,(OFFSET('Base de dados'!$A$4,IF(O2581&lt;20,1,IF(O2581&gt;1000,10,MATCH(O2581,Cargas,1))),Coluna_fis,1,1))*(PI()*(fi_s/1000)^2/4)*(2*9.81*(O2581/100-cota_s-fi_s/2/1000))^0.5*1000)))</f>
        <v>6.1230355159251113</v>
      </c>
      <c r="R2581" s="38">
        <f t="shared" ca="1" si="285"/>
        <v>12.911988978540428</v>
      </c>
      <c r="S2581" s="38">
        <f t="shared" ca="1" si="286"/>
        <v>806.25</v>
      </c>
    </row>
    <row r="2582" spans="13:19">
      <c r="M2582" s="132">
        <f t="shared" ca="1" si="283"/>
        <v>819.47727073362819</v>
      </c>
      <c r="N2582" s="38">
        <f t="shared" si="284"/>
        <v>24.196874999999999</v>
      </c>
      <c r="O2582" s="36">
        <f t="shared" si="287"/>
        <v>645.25</v>
      </c>
      <c r="P2582" s="38">
        <f ca="1">IF(ISERROR(IF(O2582&lt;fi_h/20,0,(OFFSET('Base de dados'!$A$5,IF(O2582&lt;20,1,IF(O2582&gt;1000,10,MATCH(O2582,Cargas,1))),Coluna_fih,1,1))*(1+0.13*0.25)*(PI()*(fi_h/1000)^2/4)*SQRT(2*9.81*(O2582/100-fi_h/2/1000))*1000)),"",IF(O2582&lt;fi_h/20,0,(OFFSET('Base de dados'!$A$5,IF(O2582&lt;20,1,IF(O2582&gt;1000,10,MATCH(O2582,Cargas,1))),Coluna_fih,1,1))*(PI()*(fi_h/1000)^2/4)*SQRT(2*9.81*(O2582/100-fi_h/2/1000))*1000))</f>
        <v>6.7902726230271551</v>
      </c>
      <c r="Q2582" s="38">
        <f ca="1">IF(O2582="","",IF(Tipo_Vertedor="Retangular",IF(O2582&lt;=cota_s*100,0,IF(Tipo_Vertedor="Retangular",Cd_sr*Lef_sr*((O2582/100-cota_s)^(3/2))*1000)),IF(O2582&lt;=cota_s*100+fi_s/20,0,(OFFSET('Base de dados'!$A$4,IF(O2582&lt;20,1,IF(O2582&gt;1000,10,MATCH(O2582,Cargas,1))),Coluna_fis,1,1))*(PI()*(fi_s/1000)^2/4)*(2*9.81*(O2582/100-cota_s-fi_s/2/1000))^0.5*1000)))</f>
        <v>6.1244981106010545</v>
      </c>
      <c r="R2582" s="38">
        <f t="shared" ca="1" si="285"/>
        <v>12.91477073362821</v>
      </c>
      <c r="S2582" s="38">
        <f t="shared" ca="1" si="286"/>
        <v>806.5625</v>
      </c>
    </row>
    <row r="2583" spans="13:19">
      <c r="M2583" s="132">
        <f t="shared" ref="M2583:M2646" ca="1" si="288">IF(O2583="","",2*N2583*1000/(Passo*60)+R2583)</f>
        <v>819.79255188329012</v>
      </c>
      <c r="N2583" s="38">
        <f t="shared" ref="N2583:N2646" si="289">IF(O2583="","",b_0*(O2583/100)^c_0)</f>
        <v>24.206250000000001</v>
      </c>
      <c r="O2583" s="36">
        <f t="shared" si="287"/>
        <v>645.5</v>
      </c>
      <c r="P2583" s="38">
        <f ca="1">IF(ISERROR(IF(O2583&lt;fi_h/20,0,(OFFSET('Base de dados'!$A$5,IF(O2583&lt;20,1,IF(O2583&gt;1000,10,MATCH(O2583,Cargas,1))),Coluna_fih,1,1))*(1+0.13*0.25)*(PI()*(fi_h/1000)^2/4)*SQRT(2*9.81*(O2583/100-fi_h/2/1000))*1000)),"",IF(O2583&lt;fi_h/20,0,(OFFSET('Base de dados'!$A$5,IF(O2583&lt;20,1,IF(O2583&gt;1000,10,MATCH(O2583,Cargas,1))),Coluna_fih,1,1))*(PI()*(fi_h/1000)^2/4)*SQRT(2*9.81*(O2583/100-fi_h/2/1000))*1000))</f>
        <v>6.7915915272127227</v>
      </c>
      <c r="Q2583" s="38">
        <f ca="1">IF(O2583="","",IF(Tipo_Vertedor="Retangular",IF(O2583&lt;=cota_s*100,0,IF(Tipo_Vertedor="Retangular",Cd_sr*Lef_sr*((O2583/100-cota_s)^(3/2))*1000)),IF(O2583&lt;=cota_s*100+fi_s/20,0,(OFFSET('Base de dados'!$A$4,IF(O2583&lt;20,1,IF(O2583&gt;1000,10,MATCH(O2583,Cargas,1))),Coluna_fis,1,1))*(PI()*(fi_s/1000)^2/4)*(2*9.81*(O2583/100-cota_s-fi_s/2/1000))^0.5*1000)))</f>
        <v>6.1259603560773597</v>
      </c>
      <c r="R2583" s="38">
        <f t="shared" ref="R2583:R2646" ca="1" si="290">IF(O2583="","",Q2583+P2583)</f>
        <v>12.917551883290082</v>
      </c>
      <c r="S2583" s="38">
        <f t="shared" ref="S2583:S2646" ca="1" si="291">IF(M2583="","",2*N2583*1000/(Passo*60))</f>
        <v>806.875</v>
      </c>
    </row>
    <row r="2584" spans="13:19">
      <c r="M2584" s="132">
        <f t="shared" ca="1" si="288"/>
        <v>820.10783242792525</v>
      </c>
      <c r="N2584" s="38">
        <f t="shared" si="289"/>
        <v>24.215624999999999</v>
      </c>
      <c r="O2584" s="36">
        <f t="shared" si="287"/>
        <v>645.75</v>
      </c>
      <c r="P2584" s="38">
        <f ca="1">IF(ISERROR(IF(O2584&lt;fi_h/20,0,(OFFSET('Base de dados'!$A$5,IF(O2584&lt;20,1,IF(O2584&gt;1000,10,MATCH(O2584,Cargas,1))),Coluna_fih,1,1))*(1+0.13*0.25)*(PI()*(fi_h/1000)^2/4)*SQRT(2*9.81*(O2584/100-fi_h/2/1000))*1000)),"",IF(O2584&lt;fi_h/20,0,(OFFSET('Base de dados'!$A$5,IF(O2584&lt;20,1,IF(O2584&gt;1000,10,MATCH(O2584,Cargas,1))),Coluna_fih,1,1))*(PI()*(fi_h/1000)^2/4)*SQRT(2*9.81*(O2584/100-fi_h/2/1000))*1000))</f>
        <v>6.7929101753212677</v>
      </c>
      <c r="Q2584" s="38">
        <f ca="1">IF(O2584="","",IF(Tipo_Vertedor="Retangular",IF(O2584&lt;=cota_s*100,0,IF(Tipo_Vertedor="Retangular",Cd_sr*Lef_sr*((O2584/100-cota_s)^(3/2))*1000)),IF(O2584&lt;=cota_s*100+fi_s/20,0,(OFFSET('Base de dados'!$A$4,IF(O2584&lt;20,1,IF(O2584&gt;1000,10,MATCH(O2584,Cargas,1))),Coluna_fis,1,1))*(PI()*(fi_s/1000)^2/4)*(2*9.81*(O2584/100-cota_s-fi_s/2/1000))^0.5*1000)))</f>
        <v>6.1274222526040285</v>
      </c>
      <c r="R2584" s="38">
        <f t="shared" ca="1" si="290"/>
        <v>12.920332427925295</v>
      </c>
      <c r="S2584" s="38">
        <f t="shared" ca="1" si="291"/>
        <v>807.1875</v>
      </c>
    </row>
    <row r="2585" spans="13:19">
      <c r="M2585" s="132">
        <f t="shared" ca="1" si="288"/>
        <v>820.42311236793262</v>
      </c>
      <c r="N2585" s="38">
        <f t="shared" si="289"/>
        <v>24.225000000000001</v>
      </c>
      <c r="O2585" s="36">
        <f t="shared" si="287"/>
        <v>646</v>
      </c>
      <c r="P2585" s="38">
        <f ca="1">IF(ISERROR(IF(O2585&lt;fi_h/20,0,(OFFSET('Base de dados'!$A$5,IF(O2585&lt;20,1,IF(O2585&gt;1000,10,MATCH(O2585,Cargas,1))),Coluna_fih,1,1))*(1+0.13*0.25)*(PI()*(fi_h/1000)^2/4)*SQRT(2*9.81*(O2585/100-fi_h/2/1000))*1000)),"",IF(O2585&lt;fi_h/20,0,(OFFSET('Base de dados'!$A$5,IF(O2585&lt;20,1,IF(O2585&gt;1000,10,MATCH(O2585,Cargas,1))),Coluna_fih,1,1))*(PI()*(fi_h/1000)^2/4)*SQRT(2*9.81*(O2585/100-fi_h/2/1000))*1000))</f>
        <v>6.7942285675018912</v>
      </c>
      <c r="Q2585" s="38">
        <f ca="1">IF(O2585="","",IF(Tipo_Vertedor="Retangular",IF(O2585&lt;=cota_s*100,0,IF(Tipo_Vertedor="Retangular",Cd_sr*Lef_sr*((O2585/100-cota_s)^(3/2))*1000)),IF(O2585&lt;=cota_s*100+fi_s/20,0,(OFFSET('Base de dados'!$A$4,IF(O2585&lt;20,1,IF(O2585&gt;1000,10,MATCH(O2585,Cargas,1))),Coluna_fis,1,1))*(PI()*(fi_s/1000)^2/4)*(2*9.81*(O2585/100-cota_s-fi_s/2/1000))^0.5*1000)))</f>
        <v>6.1288838004307609</v>
      </c>
      <c r="R2585" s="38">
        <f t="shared" ca="1" si="290"/>
        <v>12.923112367932653</v>
      </c>
      <c r="S2585" s="38">
        <f t="shared" ca="1" si="291"/>
        <v>807.5</v>
      </c>
    </row>
    <row r="2586" spans="13:19">
      <c r="M2586" s="132">
        <f t="shared" ca="1" si="288"/>
        <v>820.73839170371048</v>
      </c>
      <c r="N2586" s="38">
        <f t="shared" si="289"/>
        <v>24.234375</v>
      </c>
      <c r="O2586" s="36">
        <f t="shared" si="287"/>
        <v>646.25</v>
      </c>
      <c r="P2586" s="38">
        <f ca="1">IF(ISERROR(IF(O2586&lt;fi_h/20,0,(OFFSET('Base de dados'!$A$5,IF(O2586&lt;20,1,IF(O2586&gt;1000,10,MATCH(O2586,Cargas,1))),Coluna_fih,1,1))*(1+0.13*0.25)*(PI()*(fi_h/1000)^2/4)*SQRT(2*9.81*(O2586/100-fi_h/2/1000))*1000)),"",IF(O2586&lt;fi_h/20,0,(OFFSET('Base de dados'!$A$5,IF(O2586&lt;20,1,IF(O2586&gt;1000,10,MATCH(O2586,Cargas,1))),Coluna_fih,1,1))*(PI()*(fi_h/1000)^2/4)*SQRT(2*9.81*(O2586/100-fi_h/2/1000))*1000))</f>
        <v>6.7955467039035478</v>
      </c>
      <c r="Q2586" s="38">
        <f ca="1">IF(O2586="","",IF(Tipo_Vertedor="Retangular",IF(O2586&lt;=cota_s*100,0,IF(Tipo_Vertedor="Retangular",Cd_sr*Lef_sr*((O2586/100-cota_s)^(3/2))*1000)),IF(O2586&lt;=cota_s*100+fi_s/20,0,(OFFSET('Base de dados'!$A$4,IF(O2586&lt;20,1,IF(O2586&gt;1000,10,MATCH(O2586,Cargas,1))),Coluna_fis,1,1))*(PI()*(fi_s/1000)^2/4)*(2*9.81*(O2586/100-cota_s-fi_s/2/1000))^0.5*1000)))</f>
        <v>6.130344999806959</v>
      </c>
      <c r="R2586" s="38">
        <f t="shared" ca="1" si="290"/>
        <v>12.925891703710507</v>
      </c>
      <c r="S2586" s="38">
        <f t="shared" ca="1" si="291"/>
        <v>807.8125</v>
      </c>
    </row>
    <row r="2587" spans="13:19">
      <c r="M2587" s="132">
        <f t="shared" ca="1" si="288"/>
        <v>821.05367043565673</v>
      </c>
      <c r="N2587" s="38">
        <f t="shared" si="289"/>
        <v>24.243749999999999</v>
      </c>
      <c r="O2587" s="36">
        <f t="shared" si="287"/>
        <v>646.5</v>
      </c>
      <c r="P2587" s="38">
        <f ca="1">IF(ISERROR(IF(O2587&lt;fi_h/20,0,(OFFSET('Base de dados'!$A$5,IF(O2587&lt;20,1,IF(O2587&gt;1000,10,MATCH(O2587,Cargas,1))),Coluna_fih,1,1))*(1+0.13*0.25)*(PI()*(fi_h/1000)^2/4)*SQRT(2*9.81*(O2587/100-fi_h/2/1000))*1000)),"",IF(O2587&lt;fi_h/20,0,(OFFSET('Base de dados'!$A$5,IF(O2587&lt;20,1,IF(O2587&gt;1000,10,MATCH(O2587,Cargas,1))),Coluna_fih,1,1))*(PI()*(fi_h/1000)^2/4)*SQRT(2*9.81*(O2587/100-fi_h/2/1000))*1000))</f>
        <v>6.7968645846750508</v>
      </c>
      <c r="Q2587" s="38">
        <f ca="1">IF(O2587="","",IF(Tipo_Vertedor="Retangular",IF(O2587&lt;=cota_s*100,0,IF(Tipo_Vertedor="Retangular",Cd_sr*Lef_sr*((O2587/100-cota_s)^(3/2))*1000)),IF(O2587&lt;=cota_s*100+fi_s/20,0,(OFFSET('Base de dados'!$A$4,IF(O2587&lt;20,1,IF(O2587&gt;1000,10,MATCH(O2587,Cargas,1))),Coluna_fis,1,1))*(PI()*(fi_s/1000)^2/4)*(2*9.81*(O2587/100-cota_s-fi_s/2/1000))^0.5*1000)))</f>
        <v>6.1318058509817286</v>
      </c>
      <c r="R2587" s="38">
        <f t="shared" ca="1" si="290"/>
        <v>12.92867043565678</v>
      </c>
      <c r="S2587" s="38">
        <f t="shared" ca="1" si="291"/>
        <v>808.125</v>
      </c>
    </row>
    <row r="2588" spans="13:19">
      <c r="M2588" s="132">
        <f t="shared" ca="1" si="288"/>
        <v>821.36894856416893</v>
      </c>
      <c r="N2588" s="38">
        <f t="shared" si="289"/>
        <v>24.253125000000001</v>
      </c>
      <c r="O2588" s="36">
        <f t="shared" si="287"/>
        <v>646.75</v>
      </c>
      <c r="P2588" s="38">
        <f ca="1">IF(ISERROR(IF(O2588&lt;fi_h/20,0,(OFFSET('Base de dados'!$A$5,IF(O2588&lt;20,1,IF(O2588&gt;1000,10,MATCH(O2588,Cargas,1))),Coluna_fih,1,1))*(1+0.13*0.25)*(PI()*(fi_h/1000)^2/4)*SQRT(2*9.81*(O2588/100-fi_h/2/1000))*1000)),"",IF(O2588&lt;fi_h/20,0,(OFFSET('Base de dados'!$A$5,IF(O2588&lt;20,1,IF(O2588&gt;1000,10,MATCH(O2588,Cargas,1))),Coluna_fih,1,1))*(PI()*(fi_h/1000)^2/4)*SQRT(2*9.81*(O2588/100-fi_h/2/1000))*1000))</f>
        <v>6.7981822099650682</v>
      </c>
      <c r="Q2588" s="38">
        <f ca="1">IF(O2588="","",IF(Tipo_Vertedor="Retangular",IF(O2588&lt;=cota_s*100,0,IF(Tipo_Vertedor="Retangular",Cd_sr*Lef_sr*((O2588/100-cota_s)^(3/2))*1000)),IF(O2588&lt;=cota_s*100+fi_s/20,0,(OFFSET('Base de dados'!$A$4,IF(O2588&lt;20,1,IF(O2588&gt;1000,10,MATCH(O2588,Cargas,1))),Coluna_fis,1,1))*(PI()*(fi_s/1000)^2/4)*(2*9.81*(O2588/100-cota_s-fi_s/2/1000))^0.5*1000)))</f>
        <v>6.1332663542038786</v>
      </c>
      <c r="R2588" s="38">
        <f t="shared" ca="1" si="290"/>
        <v>12.931448564168946</v>
      </c>
      <c r="S2588" s="38">
        <f t="shared" ca="1" si="291"/>
        <v>808.4375</v>
      </c>
    </row>
    <row r="2589" spans="13:19">
      <c r="M2589" s="132">
        <f t="shared" ca="1" si="288"/>
        <v>821.68422608964408</v>
      </c>
      <c r="N2589" s="38">
        <f t="shared" si="289"/>
        <v>24.262499999999999</v>
      </c>
      <c r="O2589" s="36">
        <f t="shared" si="287"/>
        <v>647</v>
      </c>
      <c r="P2589" s="38">
        <f ca="1">IF(ISERROR(IF(O2589&lt;fi_h/20,0,(OFFSET('Base de dados'!$A$5,IF(O2589&lt;20,1,IF(O2589&gt;1000,10,MATCH(O2589,Cargas,1))),Coluna_fih,1,1))*(1+0.13*0.25)*(PI()*(fi_h/1000)^2/4)*SQRT(2*9.81*(O2589/100-fi_h/2/1000))*1000)),"",IF(O2589&lt;fi_h/20,0,(OFFSET('Base de dados'!$A$5,IF(O2589&lt;20,1,IF(O2589&gt;1000,10,MATCH(O2589,Cargas,1))),Coluna_fih,1,1))*(PI()*(fi_h/1000)^2/4)*SQRT(2*9.81*(O2589/100-fi_h/2/1000))*1000))</f>
        <v>6.7994995799221201</v>
      </c>
      <c r="Q2589" s="38">
        <f ca="1">IF(O2589="","",IF(Tipo_Vertedor="Retangular",IF(O2589&lt;=cota_s*100,0,IF(Tipo_Vertedor="Retangular",Cd_sr*Lef_sr*((O2589/100-cota_s)^(3/2))*1000)),IF(O2589&lt;=cota_s*100+fi_s/20,0,(OFFSET('Base de dados'!$A$4,IF(O2589&lt;20,1,IF(O2589&gt;1000,10,MATCH(O2589,Cargas,1))),Coluna_fis,1,1))*(PI()*(fi_s/1000)^2/4)*(2*9.81*(O2589/100-cota_s-fi_s/2/1000))^0.5*1000)))</f>
        <v>6.1347265097219212</v>
      </c>
      <c r="R2589" s="38">
        <f t="shared" ca="1" si="290"/>
        <v>12.934226089644042</v>
      </c>
      <c r="S2589" s="38">
        <f t="shared" ca="1" si="291"/>
        <v>808.75</v>
      </c>
    </row>
    <row r="2590" spans="13:19">
      <c r="M2590" s="132">
        <f t="shared" ca="1" si="288"/>
        <v>821.99950301247861</v>
      </c>
      <c r="N2590" s="38">
        <f t="shared" si="289"/>
        <v>24.271875000000001</v>
      </c>
      <c r="O2590" s="36">
        <f t="shared" si="287"/>
        <v>647.25</v>
      </c>
      <c r="P2590" s="38">
        <f ca="1">IF(ISERROR(IF(O2590&lt;fi_h/20,0,(OFFSET('Base de dados'!$A$5,IF(O2590&lt;20,1,IF(O2590&gt;1000,10,MATCH(O2590,Cargas,1))),Coluna_fih,1,1))*(1+0.13*0.25)*(PI()*(fi_h/1000)^2/4)*SQRT(2*9.81*(O2590/100-fi_h/2/1000))*1000)),"",IF(O2590&lt;fi_h/20,0,(OFFSET('Base de dados'!$A$5,IF(O2590&lt;20,1,IF(O2590&gt;1000,10,MATCH(O2590,Cargas,1))),Coluna_fih,1,1))*(PI()*(fi_h/1000)^2/4)*SQRT(2*9.81*(O2590/100-fi_h/2/1000))*1000))</f>
        <v>6.8008166946945918</v>
      </c>
      <c r="Q2590" s="38">
        <f ca="1">IF(O2590="","",IF(Tipo_Vertedor="Retangular",IF(O2590&lt;=cota_s*100,0,IF(Tipo_Vertedor="Retangular",Cd_sr*Lef_sr*((O2590/100-cota_s)^(3/2))*1000)),IF(O2590&lt;=cota_s*100+fi_s/20,0,(OFFSET('Base de dados'!$A$4,IF(O2590&lt;20,1,IF(O2590&gt;1000,10,MATCH(O2590,Cargas,1))),Coluna_fis,1,1))*(PI()*(fi_s/1000)^2/4)*(2*9.81*(O2590/100-cota_s-fi_s/2/1000))^0.5*1000)))</f>
        <v>6.1361863177840741</v>
      </c>
      <c r="R2590" s="38">
        <f t="shared" ca="1" si="290"/>
        <v>12.937003012478666</v>
      </c>
      <c r="S2590" s="38">
        <f t="shared" ca="1" si="291"/>
        <v>809.0625</v>
      </c>
    </row>
    <row r="2591" spans="13:19">
      <c r="M2591" s="132">
        <f t="shared" ca="1" si="288"/>
        <v>822.31477933306894</v>
      </c>
      <c r="N2591" s="38">
        <f t="shared" si="289"/>
        <v>24.28125</v>
      </c>
      <c r="O2591" s="36">
        <f t="shared" si="287"/>
        <v>647.5</v>
      </c>
      <c r="P2591" s="38">
        <f ca="1">IF(ISERROR(IF(O2591&lt;fi_h/20,0,(OFFSET('Base de dados'!$A$5,IF(O2591&lt;20,1,IF(O2591&gt;1000,10,MATCH(O2591,Cargas,1))),Coluna_fih,1,1))*(1+0.13*0.25)*(PI()*(fi_h/1000)^2/4)*SQRT(2*9.81*(O2591/100-fi_h/2/1000))*1000)),"",IF(O2591&lt;fi_h/20,0,(OFFSET('Base de dados'!$A$5,IF(O2591&lt;20,1,IF(O2591&gt;1000,10,MATCH(O2591,Cargas,1))),Coluna_fih,1,1))*(PI()*(fi_h/1000)^2/4)*SQRT(2*9.81*(O2591/100-fi_h/2/1000))*1000))</f>
        <v>6.802133554430716</v>
      </c>
      <c r="Q2591" s="38">
        <f ca="1">IF(O2591="","",IF(Tipo_Vertedor="Retangular",IF(O2591&lt;=cota_s*100,0,IF(Tipo_Vertedor="Retangular",Cd_sr*Lef_sr*((O2591/100-cota_s)^(3/2))*1000)),IF(O2591&lt;=cota_s*100+fi_s/20,0,(OFFSET('Base de dados'!$A$4,IF(O2591&lt;20,1,IF(O2591&gt;1000,10,MATCH(O2591,Cargas,1))),Coluna_fis,1,1))*(PI()*(fi_s/1000)^2/4)*(2*9.81*(O2591/100-cota_s-fi_s/2/1000))^0.5*1000)))</f>
        <v>6.1376457786382606</v>
      </c>
      <c r="R2591" s="38">
        <f t="shared" ca="1" si="290"/>
        <v>12.939779333068977</v>
      </c>
      <c r="S2591" s="38">
        <f t="shared" ca="1" si="291"/>
        <v>809.375</v>
      </c>
    </row>
    <row r="2592" spans="13:19">
      <c r="M2592" s="132">
        <f t="shared" ca="1" si="288"/>
        <v>822.6300550518107</v>
      </c>
      <c r="N2592" s="38">
        <f t="shared" si="289"/>
        <v>24.290624999999999</v>
      </c>
      <c r="O2592" s="36">
        <f t="shared" si="287"/>
        <v>647.75</v>
      </c>
      <c r="P2592" s="38">
        <f ca="1">IF(ISERROR(IF(O2592&lt;fi_h/20,0,(OFFSET('Base de dados'!$A$5,IF(O2592&lt;20,1,IF(O2592&gt;1000,10,MATCH(O2592,Cargas,1))),Coluna_fih,1,1))*(1+0.13*0.25)*(PI()*(fi_h/1000)^2/4)*SQRT(2*9.81*(O2592/100-fi_h/2/1000))*1000)),"",IF(O2592&lt;fi_h/20,0,(OFFSET('Base de dados'!$A$5,IF(O2592&lt;20,1,IF(O2592&gt;1000,10,MATCH(O2592,Cargas,1))),Coluna_fih,1,1))*(PI()*(fi_h/1000)^2/4)*SQRT(2*9.81*(O2592/100-fi_h/2/1000))*1000))</f>
        <v>6.8034501592785865</v>
      </c>
      <c r="Q2592" s="38">
        <f ca="1">IF(O2592="","",IF(Tipo_Vertedor="Retangular",IF(O2592&lt;=cota_s*100,0,IF(Tipo_Vertedor="Retangular",Cd_sr*Lef_sr*((O2592/100-cota_s)^(3/2))*1000)),IF(O2592&lt;=cota_s*100+fi_s/20,0,(OFFSET('Base de dados'!$A$4,IF(O2592&lt;20,1,IF(O2592&gt;1000,10,MATCH(O2592,Cargas,1))),Coluna_fis,1,1))*(PI()*(fi_s/1000)^2/4)*(2*9.81*(O2592/100-cota_s-fi_s/2/1000))^0.5*1000)))</f>
        <v>6.1391048925321057</v>
      </c>
      <c r="R2592" s="38">
        <f t="shared" ca="1" si="290"/>
        <v>12.942555051810693</v>
      </c>
      <c r="S2592" s="38">
        <f t="shared" ca="1" si="291"/>
        <v>809.6875</v>
      </c>
    </row>
    <row r="2593" spans="13:19">
      <c r="M2593" s="132">
        <f t="shared" ca="1" si="288"/>
        <v>822.94533016909907</v>
      </c>
      <c r="N2593" s="38">
        <f t="shared" si="289"/>
        <v>24.3</v>
      </c>
      <c r="O2593" s="36">
        <f t="shared" si="287"/>
        <v>648</v>
      </c>
      <c r="P2593" s="38">
        <f ca="1">IF(ISERROR(IF(O2593&lt;fi_h/20,0,(OFFSET('Base de dados'!$A$5,IF(O2593&lt;20,1,IF(O2593&gt;1000,10,MATCH(O2593,Cargas,1))),Coluna_fih,1,1))*(1+0.13*0.25)*(PI()*(fi_h/1000)^2/4)*SQRT(2*9.81*(O2593/100-fi_h/2/1000))*1000)),"",IF(O2593&lt;fi_h/20,0,(OFFSET('Base de dados'!$A$5,IF(O2593&lt;20,1,IF(O2593&gt;1000,10,MATCH(O2593,Cargas,1))),Coluna_fih,1,1))*(PI()*(fi_h/1000)^2/4)*SQRT(2*9.81*(O2593/100-fi_h/2/1000))*1000))</f>
        <v>6.8047665093861536</v>
      </c>
      <c r="Q2593" s="38">
        <f ca="1">IF(O2593="","",IF(Tipo_Vertedor="Retangular",IF(O2593&lt;=cota_s*100,0,IF(Tipo_Vertedor="Retangular",Cd_sr*Lef_sr*((O2593/100-cota_s)^(3/2))*1000)),IF(O2593&lt;=cota_s*100+fi_s/20,0,(OFFSET('Base de dados'!$A$4,IF(O2593&lt;20,1,IF(O2593&gt;1000,10,MATCH(O2593,Cargas,1))),Coluna_fis,1,1))*(PI()*(fi_s/1000)^2/4)*(2*9.81*(O2593/100-cota_s-fi_s/2/1000))^0.5*1000)))</f>
        <v>6.1405636597129423</v>
      </c>
      <c r="R2593" s="38">
        <f t="shared" ca="1" si="290"/>
        <v>12.945330169099096</v>
      </c>
      <c r="S2593" s="38">
        <f t="shared" ca="1" si="291"/>
        <v>810</v>
      </c>
    </row>
    <row r="2594" spans="13:19">
      <c r="M2594" s="132">
        <f t="shared" ca="1" si="288"/>
        <v>823.26060468532899</v>
      </c>
      <c r="N2594" s="38">
        <f t="shared" si="289"/>
        <v>24.309374999999999</v>
      </c>
      <c r="O2594" s="36">
        <f t="shared" si="287"/>
        <v>648.25</v>
      </c>
      <c r="P2594" s="38">
        <f ca="1">IF(ISERROR(IF(O2594&lt;fi_h/20,0,(OFFSET('Base de dados'!$A$5,IF(O2594&lt;20,1,IF(O2594&gt;1000,10,MATCH(O2594,Cargas,1))),Coluna_fih,1,1))*(1+0.13*0.25)*(PI()*(fi_h/1000)^2/4)*SQRT(2*9.81*(O2594/100-fi_h/2/1000))*1000)),"",IF(O2594&lt;fi_h/20,0,(OFFSET('Base de dados'!$A$5,IF(O2594&lt;20,1,IF(O2594&gt;1000,10,MATCH(O2594,Cargas,1))),Coluna_fih,1,1))*(PI()*(fi_h/1000)^2/4)*SQRT(2*9.81*(O2594/100-fi_h/2/1000))*1000))</f>
        <v>6.8060826049012206</v>
      </c>
      <c r="Q2594" s="38">
        <f ca="1">IF(O2594="","",IF(Tipo_Vertedor="Retangular",IF(O2594&lt;=cota_s*100,0,IF(Tipo_Vertedor="Retangular",Cd_sr*Lef_sr*((O2594/100-cota_s)^(3/2))*1000)),IF(O2594&lt;=cota_s*100+fi_s/20,0,(OFFSET('Base de dados'!$A$4,IF(O2594&lt;20,1,IF(O2594&gt;1000,10,MATCH(O2594,Cargas,1))),Coluna_fis,1,1))*(PI()*(fi_s/1000)^2/4)*(2*9.81*(O2594/100-cota_s-fi_s/2/1000))^0.5*1000)))</f>
        <v>6.1420220804278127</v>
      </c>
      <c r="R2594" s="38">
        <f t="shared" ca="1" si="290"/>
        <v>12.948104685329033</v>
      </c>
      <c r="S2594" s="38">
        <f t="shared" ca="1" si="291"/>
        <v>810.3125</v>
      </c>
    </row>
    <row r="2595" spans="13:19">
      <c r="M2595" s="132">
        <f t="shared" ca="1" si="288"/>
        <v>823.57587860089495</v>
      </c>
      <c r="N2595" s="38">
        <f t="shared" si="289"/>
        <v>24.318750000000001</v>
      </c>
      <c r="O2595" s="36">
        <f t="shared" si="287"/>
        <v>648.5</v>
      </c>
      <c r="P2595" s="38">
        <f ca="1">IF(ISERROR(IF(O2595&lt;fi_h/20,0,(OFFSET('Base de dados'!$A$5,IF(O2595&lt;20,1,IF(O2595&gt;1000,10,MATCH(O2595,Cargas,1))),Coluna_fih,1,1))*(1+0.13*0.25)*(PI()*(fi_h/1000)^2/4)*SQRT(2*9.81*(O2595/100-fi_h/2/1000))*1000)),"",IF(O2595&lt;fi_h/20,0,(OFFSET('Base de dados'!$A$5,IF(O2595&lt;20,1,IF(O2595&gt;1000,10,MATCH(O2595,Cargas,1))),Coluna_fih,1,1))*(PI()*(fi_h/1000)^2/4)*SQRT(2*9.81*(O2595/100-fi_h/2/1000))*1000))</f>
        <v>6.8073984459714536</v>
      </c>
      <c r="Q2595" s="38">
        <f ca="1">IF(O2595="","",IF(Tipo_Vertedor="Retangular",IF(O2595&lt;=cota_s*100,0,IF(Tipo_Vertedor="Retangular",Cd_sr*Lef_sr*((O2595/100-cota_s)^(3/2))*1000)),IF(O2595&lt;=cota_s*100+fi_s/20,0,(OFFSET('Base de dados'!$A$4,IF(O2595&lt;20,1,IF(O2595&gt;1000,10,MATCH(O2595,Cargas,1))),Coluna_fis,1,1))*(PI()*(fi_s/1000)^2/4)*(2*9.81*(O2595/100-cota_s-fi_s/2/1000))^0.5*1000)))</f>
        <v>6.1434801549234583</v>
      </c>
      <c r="R2595" s="38">
        <f t="shared" ca="1" si="290"/>
        <v>12.950878600894912</v>
      </c>
      <c r="S2595" s="38">
        <f t="shared" ca="1" si="291"/>
        <v>810.625</v>
      </c>
    </row>
    <row r="2596" spans="13:19">
      <c r="M2596" s="132">
        <f t="shared" ca="1" si="288"/>
        <v>823.89115191619067</v>
      </c>
      <c r="N2596" s="38">
        <f t="shared" si="289"/>
        <v>24.328125</v>
      </c>
      <c r="O2596" s="36">
        <f t="shared" si="287"/>
        <v>648.75</v>
      </c>
      <c r="P2596" s="38">
        <f ca="1">IF(ISERROR(IF(O2596&lt;fi_h/20,0,(OFFSET('Base de dados'!$A$5,IF(O2596&lt;20,1,IF(O2596&gt;1000,10,MATCH(O2596,Cargas,1))),Coluna_fih,1,1))*(1+0.13*0.25)*(PI()*(fi_h/1000)^2/4)*SQRT(2*9.81*(O2596/100-fi_h/2/1000))*1000)),"",IF(O2596&lt;fi_h/20,0,(OFFSET('Base de dados'!$A$5,IF(O2596&lt;20,1,IF(O2596&gt;1000,10,MATCH(O2596,Cargas,1))),Coluna_fih,1,1))*(PI()*(fi_h/1000)^2/4)*SQRT(2*9.81*(O2596/100-fi_h/2/1000))*1000))</f>
        <v>6.8087140327443718</v>
      </c>
      <c r="Q2596" s="38">
        <f ca="1">IF(O2596="","",IF(Tipo_Vertedor="Retangular",IF(O2596&lt;=cota_s*100,0,IF(Tipo_Vertedor="Retangular",Cd_sr*Lef_sr*((O2596/100-cota_s)^(3/2))*1000)),IF(O2596&lt;=cota_s*100+fi_s/20,0,(OFFSET('Base de dados'!$A$4,IF(O2596&lt;20,1,IF(O2596&gt;1000,10,MATCH(O2596,Cargas,1))),Coluna_fis,1,1))*(PI()*(fi_s/1000)^2/4)*(2*9.81*(O2596/100-cota_s-fi_s/2/1000))^0.5*1000)))</f>
        <v>6.1449378834463353</v>
      </c>
      <c r="R2596" s="38">
        <f t="shared" ca="1" si="290"/>
        <v>12.953651916190708</v>
      </c>
      <c r="S2596" s="38">
        <f t="shared" ca="1" si="291"/>
        <v>810.9375</v>
      </c>
    </row>
    <row r="2597" spans="13:19">
      <c r="M2597" s="132">
        <f t="shared" ca="1" si="288"/>
        <v>824.20642463161005</v>
      </c>
      <c r="N2597" s="38">
        <f t="shared" si="289"/>
        <v>24.337500000000002</v>
      </c>
      <c r="O2597" s="36">
        <f t="shared" si="287"/>
        <v>649</v>
      </c>
      <c r="P2597" s="38">
        <f ca="1">IF(ISERROR(IF(O2597&lt;fi_h/20,0,(OFFSET('Base de dados'!$A$5,IF(O2597&lt;20,1,IF(O2597&gt;1000,10,MATCH(O2597,Cargas,1))),Coluna_fih,1,1))*(1+0.13*0.25)*(PI()*(fi_h/1000)^2/4)*SQRT(2*9.81*(O2597/100-fi_h/2/1000))*1000)),"",IF(O2597&lt;fi_h/20,0,(OFFSET('Base de dados'!$A$5,IF(O2597&lt;20,1,IF(O2597&gt;1000,10,MATCH(O2597,Cargas,1))),Coluna_fih,1,1))*(PI()*(fi_h/1000)^2/4)*SQRT(2*9.81*(O2597/100-fi_h/2/1000))*1000))</f>
        <v>6.8100293653673551</v>
      </c>
      <c r="Q2597" s="38">
        <f ca="1">IF(O2597="","",IF(Tipo_Vertedor="Retangular",IF(O2597&lt;=cota_s*100,0,IF(Tipo_Vertedor="Retangular",Cd_sr*Lef_sr*((O2597/100-cota_s)^(3/2))*1000)),IF(O2597&lt;=cota_s*100+fi_s/20,0,(OFFSET('Base de dados'!$A$4,IF(O2597&lt;20,1,IF(O2597&gt;1000,10,MATCH(O2597,Cargas,1))),Coluna_fis,1,1))*(PI()*(fi_s/1000)^2/4)*(2*9.81*(O2597/100-cota_s-fi_s/2/1000))^0.5*1000)))</f>
        <v>6.1463952662426058</v>
      </c>
      <c r="R2597" s="38">
        <f t="shared" ca="1" si="290"/>
        <v>12.956424631609961</v>
      </c>
      <c r="S2597" s="38">
        <f t="shared" ca="1" si="291"/>
        <v>811.25000000000011</v>
      </c>
    </row>
    <row r="2598" spans="13:19">
      <c r="M2598" s="132">
        <f t="shared" ca="1" si="288"/>
        <v>824.52169674754566</v>
      </c>
      <c r="N2598" s="38">
        <f t="shared" si="289"/>
        <v>24.346874999999997</v>
      </c>
      <c r="O2598" s="36">
        <f t="shared" si="287"/>
        <v>649.25</v>
      </c>
      <c r="P2598" s="38">
        <f ca="1">IF(ISERROR(IF(O2598&lt;fi_h/20,0,(OFFSET('Base de dados'!$A$5,IF(O2598&lt;20,1,IF(O2598&gt;1000,10,MATCH(O2598,Cargas,1))),Coluna_fih,1,1))*(1+0.13*0.25)*(PI()*(fi_h/1000)^2/4)*SQRT(2*9.81*(O2598/100-fi_h/2/1000))*1000)),"",IF(O2598&lt;fi_h/20,0,(OFFSET('Base de dados'!$A$5,IF(O2598&lt;20,1,IF(O2598&gt;1000,10,MATCH(O2598,Cargas,1))),Coluna_fih,1,1))*(PI()*(fi_h/1000)^2/4)*SQRT(2*9.81*(O2598/100-fi_h/2/1000))*1000))</f>
        <v>6.8113444439876396</v>
      </c>
      <c r="Q2598" s="38">
        <f ca="1">IF(O2598="","",IF(Tipo_Vertedor="Retangular",IF(O2598&lt;=cota_s*100,0,IF(Tipo_Vertedor="Retangular",Cd_sr*Lef_sr*((O2598/100-cota_s)^(3/2))*1000)),IF(O2598&lt;=cota_s*100+fi_s/20,0,(OFFSET('Base de dados'!$A$4,IF(O2598&lt;20,1,IF(O2598&gt;1000,10,MATCH(O2598,Cargas,1))),Coluna_fis,1,1))*(PI()*(fi_s/1000)^2/4)*(2*9.81*(O2598/100-cota_s-fi_s/2/1000))^0.5*1000)))</f>
        <v>6.1478523035581363</v>
      </c>
      <c r="R2598" s="38">
        <f t="shared" ca="1" si="290"/>
        <v>12.959196747545775</v>
      </c>
      <c r="S2598" s="38">
        <f t="shared" ca="1" si="291"/>
        <v>811.56249999999989</v>
      </c>
    </row>
    <row r="2599" spans="13:19">
      <c r="M2599" s="132">
        <f t="shared" ca="1" si="288"/>
        <v>824.83696826439086</v>
      </c>
      <c r="N2599" s="38">
        <f t="shared" si="289"/>
        <v>24.356249999999999</v>
      </c>
      <c r="O2599" s="36">
        <f t="shared" si="287"/>
        <v>649.5</v>
      </c>
      <c r="P2599" s="38">
        <f ca="1">IF(ISERROR(IF(O2599&lt;fi_h/20,0,(OFFSET('Base de dados'!$A$5,IF(O2599&lt;20,1,IF(O2599&gt;1000,10,MATCH(O2599,Cargas,1))),Coluna_fih,1,1))*(1+0.13*0.25)*(PI()*(fi_h/1000)^2/4)*SQRT(2*9.81*(O2599/100-fi_h/2/1000))*1000)),"",IF(O2599&lt;fi_h/20,0,(OFFSET('Base de dados'!$A$5,IF(O2599&lt;20,1,IF(O2599&gt;1000,10,MATCH(O2599,Cargas,1))),Coluna_fih,1,1))*(PI()*(fi_h/1000)^2/4)*SQRT(2*9.81*(O2599/100-fi_h/2/1000))*1000))</f>
        <v>6.8126592687523173</v>
      </c>
      <c r="Q2599" s="38">
        <f ca="1">IF(O2599="","",IF(Tipo_Vertedor="Retangular",IF(O2599&lt;=cota_s*100,0,IF(Tipo_Vertedor="Retangular",Cd_sr*Lef_sr*((O2599/100-cota_s)^(3/2))*1000)),IF(O2599&lt;=cota_s*100+fi_s/20,0,(OFFSET('Base de dados'!$A$4,IF(O2599&lt;20,1,IF(O2599&gt;1000,10,MATCH(O2599,Cargas,1))),Coluna_fis,1,1))*(PI()*(fi_s/1000)^2/4)*(2*9.81*(O2599/100-cota_s-fi_s/2/1000))^0.5*1000)))</f>
        <v>6.1493089956385072</v>
      </c>
      <c r="R2599" s="38">
        <f t="shared" ca="1" si="290"/>
        <v>12.961968264390825</v>
      </c>
      <c r="S2599" s="38">
        <f t="shared" ca="1" si="291"/>
        <v>811.875</v>
      </c>
    </row>
    <row r="2600" spans="13:19">
      <c r="M2600" s="132">
        <f t="shared" ca="1" si="288"/>
        <v>825.15223918253719</v>
      </c>
      <c r="N2600" s="38">
        <f t="shared" si="289"/>
        <v>24.365624999999998</v>
      </c>
      <c r="O2600" s="36">
        <f t="shared" si="287"/>
        <v>649.75</v>
      </c>
      <c r="P2600" s="38">
        <f ca="1">IF(ISERROR(IF(O2600&lt;fi_h/20,0,(OFFSET('Base de dados'!$A$5,IF(O2600&lt;20,1,IF(O2600&gt;1000,10,MATCH(O2600,Cargas,1))),Coluna_fih,1,1))*(1+0.13*0.25)*(PI()*(fi_h/1000)^2/4)*SQRT(2*9.81*(O2600/100-fi_h/2/1000))*1000)),"",IF(O2600&lt;fi_h/20,0,(OFFSET('Base de dados'!$A$5,IF(O2600&lt;20,1,IF(O2600&gt;1000,10,MATCH(O2600,Cargas,1))),Coluna_fih,1,1))*(PI()*(fi_h/1000)^2/4)*SQRT(2*9.81*(O2600/100-fi_h/2/1000))*1000))</f>
        <v>6.8139738398083409</v>
      </c>
      <c r="Q2600" s="38">
        <f ca="1">IF(O2600="","",IF(Tipo_Vertedor="Retangular",IF(O2600&lt;=cota_s*100,0,IF(Tipo_Vertedor="Retangular",Cd_sr*Lef_sr*((O2600/100-cota_s)^(3/2))*1000)),IF(O2600&lt;=cota_s*100+fi_s/20,0,(OFFSET('Base de dados'!$A$4,IF(O2600&lt;20,1,IF(O2600&gt;1000,10,MATCH(O2600,Cargas,1))),Coluna_fis,1,1))*(PI()*(fi_s/1000)^2/4)*(2*9.81*(O2600/100-cota_s-fi_s/2/1000))^0.5*1000)))</f>
        <v>6.1507653427290041</v>
      </c>
      <c r="R2600" s="38">
        <f t="shared" ca="1" si="290"/>
        <v>12.964739182537345</v>
      </c>
      <c r="S2600" s="38">
        <f t="shared" ca="1" si="291"/>
        <v>812.18749999999989</v>
      </c>
    </row>
    <row r="2601" spans="13:19">
      <c r="M2601" s="132">
        <f t="shared" ca="1" si="288"/>
        <v>825.4675095023772</v>
      </c>
      <c r="N2601" s="38">
        <f t="shared" si="289"/>
        <v>24.375</v>
      </c>
      <c r="O2601" s="36">
        <f t="shared" si="287"/>
        <v>650</v>
      </c>
      <c r="P2601" s="38">
        <f ca="1">IF(ISERROR(IF(O2601&lt;fi_h/20,0,(OFFSET('Base de dados'!$A$5,IF(O2601&lt;20,1,IF(O2601&gt;1000,10,MATCH(O2601,Cargas,1))),Coluna_fih,1,1))*(1+0.13*0.25)*(PI()*(fi_h/1000)^2/4)*SQRT(2*9.81*(O2601/100-fi_h/2/1000))*1000)),"",IF(O2601&lt;fi_h/20,0,(OFFSET('Base de dados'!$A$5,IF(O2601&lt;20,1,IF(O2601&gt;1000,10,MATCH(O2601,Cargas,1))),Coluna_fih,1,1))*(PI()*(fi_h/1000)^2/4)*SQRT(2*9.81*(O2601/100-fi_h/2/1000))*1000))</f>
        <v>6.8152881573025228</v>
      </c>
      <c r="Q2601" s="38">
        <f ca="1">IF(O2601="","",IF(Tipo_Vertedor="Retangular",IF(O2601&lt;=cota_s*100,0,IF(Tipo_Vertedor="Retangular",Cd_sr*Lef_sr*((O2601/100-cota_s)^(3/2))*1000)),IF(O2601&lt;=cota_s*100+fi_s/20,0,(OFFSET('Base de dados'!$A$4,IF(O2601&lt;20,1,IF(O2601&gt;1000,10,MATCH(O2601,Cargas,1))),Coluna_fis,1,1))*(PI()*(fi_s/1000)^2/4)*(2*9.81*(O2601/100-cota_s-fi_s/2/1000))^0.5*1000)))</f>
        <v>6.1522213450746239</v>
      </c>
      <c r="R2601" s="38">
        <f t="shared" ca="1" si="290"/>
        <v>12.967509502377148</v>
      </c>
      <c r="S2601" s="38">
        <f t="shared" ca="1" si="291"/>
        <v>812.5</v>
      </c>
    </row>
    <row r="2602" spans="13:19">
      <c r="M2602" s="132">
        <f t="shared" ca="1" si="288"/>
        <v>825.78277922430175</v>
      </c>
      <c r="N2602" s="38">
        <f t="shared" si="289"/>
        <v>24.384375000000002</v>
      </c>
      <c r="O2602" s="36">
        <f t="shared" si="287"/>
        <v>650.25</v>
      </c>
      <c r="P2602" s="38">
        <f ca="1">IF(ISERROR(IF(O2602&lt;fi_h/20,0,(OFFSET('Base de dados'!$A$5,IF(O2602&lt;20,1,IF(O2602&gt;1000,10,MATCH(O2602,Cargas,1))),Coluna_fih,1,1))*(1+0.13*0.25)*(PI()*(fi_h/1000)^2/4)*SQRT(2*9.81*(O2602/100-fi_h/2/1000))*1000)),"",IF(O2602&lt;fi_h/20,0,(OFFSET('Base de dados'!$A$5,IF(O2602&lt;20,1,IF(O2602&gt;1000,10,MATCH(O2602,Cargas,1))),Coluna_fih,1,1))*(PI()*(fi_h/1000)^2/4)*SQRT(2*9.81*(O2602/100-fi_h/2/1000))*1000))</f>
        <v>6.8166022213815287</v>
      </c>
      <c r="Q2602" s="38">
        <f ca="1">IF(O2602="","",IF(Tipo_Vertedor="Retangular",IF(O2602&lt;=cota_s*100,0,IF(Tipo_Vertedor="Retangular",Cd_sr*Lef_sr*((O2602/100-cota_s)^(3/2))*1000)),IF(O2602&lt;=cota_s*100+fi_s/20,0,(OFFSET('Base de dados'!$A$4,IF(O2602&lt;20,1,IF(O2602&gt;1000,10,MATCH(O2602,Cargas,1))),Coluna_fis,1,1))*(PI()*(fi_s/1000)^2/4)*(2*9.81*(O2602/100-cota_s-fi_s/2/1000))^0.5*1000)))</f>
        <v>6.1536770029200749</v>
      </c>
      <c r="R2602" s="38">
        <f t="shared" ca="1" si="290"/>
        <v>12.970279224301603</v>
      </c>
      <c r="S2602" s="38">
        <f t="shared" ca="1" si="291"/>
        <v>812.81250000000011</v>
      </c>
    </row>
    <row r="2603" spans="13:19">
      <c r="M2603" s="132">
        <f t="shared" ca="1" si="288"/>
        <v>826.0980483487017</v>
      </c>
      <c r="N2603" s="38">
        <f t="shared" si="289"/>
        <v>24.393750000000001</v>
      </c>
      <c r="O2603" s="36">
        <f t="shared" si="287"/>
        <v>650.5</v>
      </c>
      <c r="P2603" s="38">
        <f ca="1">IF(ISERROR(IF(O2603&lt;fi_h/20,0,(OFFSET('Base de dados'!$A$5,IF(O2603&lt;20,1,IF(O2603&gt;1000,10,MATCH(O2603,Cargas,1))),Coluna_fih,1,1))*(1+0.13*0.25)*(PI()*(fi_h/1000)^2/4)*SQRT(2*9.81*(O2603/100-fi_h/2/1000))*1000)),"",IF(O2603&lt;fi_h/20,0,(OFFSET('Base de dados'!$A$5,IF(O2603&lt;20,1,IF(O2603&gt;1000,10,MATCH(O2603,Cargas,1))),Coluna_fih,1,1))*(PI()*(fi_h/1000)^2/4)*SQRT(2*9.81*(O2603/100-fi_h/2/1000))*1000))</f>
        <v>6.8179160321918868</v>
      </c>
      <c r="Q2603" s="38">
        <f ca="1">IF(O2603="","",IF(Tipo_Vertedor="Retangular",IF(O2603&lt;=cota_s*100,0,IF(Tipo_Vertedor="Retangular",Cd_sr*Lef_sr*((O2603/100-cota_s)^(3/2))*1000)),IF(O2603&lt;=cota_s*100+fi_s/20,0,(OFFSET('Base de dados'!$A$4,IF(O2603&lt;20,1,IF(O2603&gt;1000,10,MATCH(O2603,Cargas,1))),Coluna_fis,1,1))*(PI()*(fi_s/1000)^2/4)*(2*9.81*(O2603/100-cota_s-fi_s/2/1000))^0.5*1000)))</f>
        <v>6.1551323165097731</v>
      </c>
      <c r="R2603" s="38">
        <f t="shared" ca="1" si="290"/>
        <v>12.97304834870166</v>
      </c>
      <c r="S2603" s="38">
        <f t="shared" ca="1" si="291"/>
        <v>813.125</v>
      </c>
    </row>
    <row r="2604" spans="13:19">
      <c r="M2604" s="132">
        <f t="shared" ca="1" si="288"/>
        <v>826.41331687596789</v>
      </c>
      <c r="N2604" s="38">
        <f t="shared" si="289"/>
        <v>24.403125000000003</v>
      </c>
      <c r="O2604" s="36">
        <f t="shared" si="287"/>
        <v>650.75</v>
      </c>
      <c r="P2604" s="38">
        <f ca="1">IF(ISERROR(IF(O2604&lt;fi_h/20,0,(OFFSET('Base de dados'!$A$5,IF(O2604&lt;20,1,IF(O2604&gt;1000,10,MATCH(O2604,Cargas,1))),Coluna_fih,1,1))*(1+0.13*0.25)*(PI()*(fi_h/1000)^2/4)*SQRT(2*9.81*(O2604/100-fi_h/2/1000))*1000)),"",IF(O2604&lt;fi_h/20,0,(OFFSET('Base de dados'!$A$5,IF(O2604&lt;20,1,IF(O2604&gt;1000,10,MATCH(O2604,Cargas,1))),Coluna_fih,1,1))*(PI()*(fi_h/1000)^2/4)*SQRT(2*9.81*(O2604/100-fi_h/2/1000))*1000))</f>
        <v>6.8192295898799848</v>
      </c>
      <c r="Q2604" s="38">
        <f ca="1">IF(O2604="","",IF(Tipo_Vertedor="Retangular",IF(O2604&lt;=cota_s*100,0,IF(Tipo_Vertedor="Retangular",Cd_sr*Lef_sr*((O2604/100-cota_s)^(3/2))*1000)),IF(O2604&lt;=cota_s*100+fi_s/20,0,(OFFSET('Base de dados'!$A$4,IF(O2604&lt;20,1,IF(O2604&gt;1000,10,MATCH(O2604,Cargas,1))),Coluna_fis,1,1))*(PI()*(fi_s/1000)^2/4)*(2*9.81*(O2604/100-cota_s-fi_s/2/1000))^0.5*1000)))</f>
        <v>6.1565872860878486</v>
      </c>
      <c r="R2604" s="38">
        <f t="shared" ca="1" si="290"/>
        <v>12.975816875967833</v>
      </c>
      <c r="S2604" s="38">
        <f t="shared" ca="1" si="291"/>
        <v>813.43750000000011</v>
      </c>
    </row>
    <row r="2605" spans="13:19">
      <c r="M2605" s="132">
        <f t="shared" ca="1" si="288"/>
        <v>826.72858480649006</v>
      </c>
      <c r="N2605" s="38">
        <f t="shared" si="289"/>
        <v>24.412499999999998</v>
      </c>
      <c r="O2605" s="36">
        <f t="shared" si="287"/>
        <v>651</v>
      </c>
      <c r="P2605" s="38">
        <f ca="1">IF(ISERROR(IF(O2605&lt;fi_h/20,0,(OFFSET('Base de dados'!$A$5,IF(O2605&lt;20,1,IF(O2605&gt;1000,10,MATCH(O2605,Cargas,1))),Coluna_fih,1,1))*(1+0.13*0.25)*(PI()*(fi_h/1000)^2/4)*SQRT(2*9.81*(O2605/100-fi_h/2/1000))*1000)),"",IF(O2605&lt;fi_h/20,0,(OFFSET('Base de dados'!$A$5,IF(O2605&lt;20,1,IF(O2605&gt;1000,10,MATCH(O2605,Cargas,1))),Coluna_fih,1,1))*(PI()*(fi_h/1000)^2/4)*SQRT(2*9.81*(O2605/100-fi_h/2/1000))*1000))</f>
        <v>6.820542894592065</v>
      </c>
      <c r="Q2605" s="38">
        <f ca="1">IF(O2605="","",IF(Tipo_Vertedor="Retangular",IF(O2605&lt;=cota_s*100,0,IF(Tipo_Vertedor="Retangular",Cd_sr*Lef_sr*((O2605/100-cota_s)^(3/2))*1000)),IF(O2605&lt;=cota_s*100+fi_s/20,0,(OFFSET('Base de dados'!$A$4,IF(O2605&lt;20,1,IF(O2605&gt;1000,10,MATCH(O2605,Cargas,1))),Coluna_fis,1,1))*(PI()*(fi_s/1000)^2/4)*(2*9.81*(O2605/100-cota_s-fi_s/2/1000))^0.5*1000)))</f>
        <v>6.1580419118981418</v>
      </c>
      <c r="R2605" s="38">
        <f t="shared" ca="1" si="290"/>
        <v>12.978584806490208</v>
      </c>
      <c r="S2605" s="38">
        <f t="shared" ca="1" si="291"/>
        <v>813.74999999999989</v>
      </c>
    </row>
    <row r="2606" spans="13:19">
      <c r="M2606" s="132">
        <f t="shared" ca="1" si="288"/>
        <v>827.04385214065849</v>
      </c>
      <c r="N2606" s="38">
        <f t="shared" si="289"/>
        <v>24.421875</v>
      </c>
      <c r="O2606" s="36">
        <f t="shared" si="287"/>
        <v>651.25</v>
      </c>
      <c r="P2606" s="38">
        <f ca="1">IF(ISERROR(IF(O2606&lt;fi_h/20,0,(OFFSET('Base de dados'!$A$5,IF(O2606&lt;20,1,IF(O2606&gt;1000,10,MATCH(O2606,Cargas,1))),Coluna_fih,1,1))*(1+0.13*0.25)*(PI()*(fi_h/1000)^2/4)*SQRT(2*9.81*(O2606/100-fi_h/2/1000))*1000)),"",IF(O2606&lt;fi_h/20,0,(OFFSET('Base de dados'!$A$5,IF(O2606&lt;20,1,IF(O2606&gt;1000,10,MATCH(O2606,Cargas,1))),Coluna_fih,1,1))*(PI()*(fi_h/1000)^2/4)*SQRT(2*9.81*(O2606/100-fi_h/2/1000))*1000))</f>
        <v>6.8218559464742361</v>
      </c>
      <c r="Q2606" s="38">
        <f ca="1">IF(O2606="","",IF(Tipo_Vertedor="Retangular",IF(O2606&lt;=cota_s*100,0,IF(Tipo_Vertedor="Retangular",Cd_sr*Lef_sr*((O2606/100-cota_s)^(3/2))*1000)),IF(O2606&lt;=cota_s*100+fi_s/20,0,(OFFSET('Base de dados'!$A$4,IF(O2606&lt;20,1,IF(O2606&gt;1000,10,MATCH(O2606,Cargas,1))),Coluna_fis,1,1))*(PI()*(fi_s/1000)^2/4)*(2*9.81*(O2606/100-cota_s-fi_s/2/1000))^0.5*1000)))</f>
        <v>6.1594961941842037</v>
      </c>
      <c r="R2606" s="38">
        <f t="shared" ca="1" si="290"/>
        <v>12.981352140658441</v>
      </c>
      <c r="S2606" s="38">
        <f t="shared" ca="1" si="291"/>
        <v>814.0625</v>
      </c>
    </row>
    <row r="2607" spans="13:19">
      <c r="M2607" s="132">
        <f t="shared" ca="1" si="288"/>
        <v>827.35911887886175</v>
      </c>
      <c r="N2607" s="38">
        <f t="shared" si="289"/>
        <v>24.431249999999999</v>
      </c>
      <c r="O2607" s="36">
        <f t="shared" si="287"/>
        <v>651.5</v>
      </c>
      <c r="P2607" s="38">
        <f ca="1">IF(ISERROR(IF(O2607&lt;fi_h/20,0,(OFFSET('Base de dados'!$A$5,IF(O2607&lt;20,1,IF(O2607&gt;1000,10,MATCH(O2607,Cargas,1))),Coluna_fih,1,1))*(1+0.13*0.25)*(PI()*(fi_h/1000)^2/4)*SQRT(2*9.81*(O2607/100-fi_h/2/1000))*1000)),"",IF(O2607&lt;fi_h/20,0,(OFFSET('Base de dados'!$A$5,IF(O2607&lt;20,1,IF(O2607&gt;1000,10,MATCH(O2607,Cargas,1))),Coluna_fih,1,1))*(PI()*(fi_h/1000)^2/4)*SQRT(2*9.81*(O2607/100-fi_h/2/1000))*1000))</f>
        <v>6.8231687456724579</v>
      </c>
      <c r="Q2607" s="38">
        <f ca="1">IF(O2607="","",IF(Tipo_Vertedor="Retangular",IF(O2607&lt;=cota_s*100,0,IF(Tipo_Vertedor="Retangular",Cd_sr*Lef_sr*((O2607/100-cota_s)^(3/2))*1000)),IF(O2607&lt;=cota_s*100+fi_s/20,0,(OFFSET('Base de dados'!$A$4,IF(O2607&lt;20,1,IF(O2607&gt;1000,10,MATCH(O2607,Cargas,1))),Coluna_fis,1,1))*(PI()*(fi_s/1000)^2/4)*(2*9.81*(O2607/100-cota_s-fi_s/2/1000))^0.5*1000)))</f>
        <v>6.1609501331893011</v>
      </c>
      <c r="R2607" s="38">
        <f t="shared" ca="1" si="290"/>
        <v>12.984118878861759</v>
      </c>
      <c r="S2607" s="38">
        <f t="shared" ca="1" si="291"/>
        <v>814.375</v>
      </c>
    </row>
    <row r="2608" spans="13:19">
      <c r="M2608" s="132">
        <f t="shared" ca="1" si="288"/>
        <v>827.674385021489</v>
      </c>
      <c r="N2608" s="38">
        <f t="shared" si="289"/>
        <v>24.440625000000001</v>
      </c>
      <c r="O2608" s="36">
        <f t="shared" si="287"/>
        <v>651.75</v>
      </c>
      <c r="P2608" s="38">
        <f ca="1">IF(ISERROR(IF(O2608&lt;fi_h/20,0,(OFFSET('Base de dados'!$A$5,IF(O2608&lt;20,1,IF(O2608&gt;1000,10,MATCH(O2608,Cargas,1))),Coluna_fih,1,1))*(1+0.13*0.25)*(PI()*(fi_h/1000)^2/4)*SQRT(2*9.81*(O2608/100-fi_h/2/1000))*1000)),"",IF(O2608&lt;fi_h/20,0,(OFFSET('Base de dados'!$A$5,IF(O2608&lt;20,1,IF(O2608&gt;1000,10,MATCH(O2608,Cargas,1))),Coluna_fih,1,1))*(PI()*(fi_h/1000)^2/4)*SQRT(2*9.81*(O2608/100-fi_h/2/1000))*1000))</f>
        <v>6.824481292332556</v>
      </c>
      <c r="Q2608" s="38">
        <f ca="1">IF(O2608="","",IF(Tipo_Vertedor="Retangular",IF(O2608&lt;=cota_s*100,0,IF(Tipo_Vertedor="Retangular",Cd_sr*Lef_sr*((O2608/100-cota_s)^(3/2))*1000)),IF(O2608&lt;=cota_s*100+fi_s/20,0,(OFFSET('Base de dados'!$A$4,IF(O2608&lt;20,1,IF(O2608&gt;1000,10,MATCH(O2608,Cargas,1))),Coluna_fis,1,1))*(PI()*(fi_s/1000)^2/4)*(2*9.81*(O2608/100-cota_s-fi_s/2/1000))^0.5*1000)))</f>
        <v>6.162403729156412</v>
      </c>
      <c r="R2608" s="38">
        <f t="shared" ca="1" si="290"/>
        <v>12.986885021488968</v>
      </c>
      <c r="S2608" s="38">
        <f t="shared" ca="1" si="291"/>
        <v>814.6875</v>
      </c>
    </row>
    <row r="2609" spans="13:19">
      <c r="M2609" s="132">
        <f t="shared" ca="1" si="288"/>
        <v>827.98965056892848</v>
      </c>
      <c r="N2609" s="38">
        <f t="shared" si="289"/>
        <v>24.45</v>
      </c>
      <c r="O2609" s="36">
        <f t="shared" si="287"/>
        <v>652</v>
      </c>
      <c r="P2609" s="38">
        <f ca="1">IF(ISERROR(IF(O2609&lt;fi_h/20,0,(OFFSET('Base de dados'!$A$5,IF(O2609&lt;20,1,IF(O2609&gt;1000,10,MATCH(O2609,Cargas,1))),Coluna_fih,1,1))*(1+0.13*0.25)*(PI()*(fi_h/1000)^2/4)*SQRT(2*9.81*(O2609/100-fi_h/2/1000))*1000)),"",IF(O2609&lt;fi_h/20,0,(OFFSET('Base de dados'!$A$5,IF(O2609&lt;20,1,IF(O2609&gt;1000,10,MATCH(O2609,Cargas,1))),Coluna_fih,1,1))*(PI()*(fi_h/1000)^2/4)*SQRT(2*9.81*(O2609/100-fi_h/2/1000))*1000))</f>
        <v>6.8257935866002137</v>
      </c>
      <c r="Q2609" s="38">
        <f ca="1">IF(O2609="","",IF(Tipo_Vertedor="Retangular",IF(O2609&lt;=cota_s*100,0,IF(Tipo_Vertedor="Retangular",Cd_sr*Lef_sr*((O2609/100-cota_s)^(3/2))*1000)),IF(O2609&lt;=cota_s*100+fi_s/20,0,(OFFSET('Base de dados'!$A$4,IF(O2609&lt;20,1,IF(O2609&gt;1000,10,MATCH(O2609,Cargas,1))),Coluna_fis,1,1))*(PI()*(fi_s/1000)^2/4)*(2*9.81*(O2609/100-cota_s-fi_s/2/1000))^0.5*1000)))</f>
        <v>6.1638569823282241</v>
      </c>
      <c r="R2609" s="38">
        <f t="shared" ca="1" si="290"/>
        <v>12.989650568928438</v>
      </c>
      <c r="S2609" s="38">
        <f t="shared" ca="1" si="291"/>
        <v>815</v>
      </c>
    </row>
    <row r="2610" spans="13:19">
      <c r="M2610" s="132">
        <f t="shared" ca="1" si="288"/>
        <v>828.30491552156809</v>
      </c>
      <c r="N2610" s="38">
        <f t="shared" si="289"/>
        <v>24.459375000000001</v>
      </c>
      <c r="O2610" s="36">
        <f t="shared" si="287"/>
        <v>652.25</v>
      </c>
      <c r="P2610" s="38">
        <f ca="1">IF(ISERROR(IF(O2610&lt;fi_h/20,0,(OFFSET('Base de dados'!$A$5,IF(O2610&lt;20,1,IF(O2610&gt;1000,10,MATCH(O2610,Cargas,1))),Coluna_fih,1,1))*(1+0.13*0.25)*(PI()*(fi_h/1000)^2/4)*SQRT(2*9.81*(O2610/100-fi_h/2/1000))*1000)),"",IF(O2610&lt;fi_h/20,0,(OFFSET('Base de dados'!$A$5,IF(O2610&lt;20,1,IF(O2610&gt;1000,10,MATCH(O2610,Cargas,1))),Coluna_fih,1,1))*(PI()*(fi_h/1000)^2/4)*SQRT(2*9.81*(O2610/100-fi_h/2/1000))*1000))</f>
        <v>6.8271056286209735</v>
      </c>
      <c r="Q2610" s="38">
        <f ca="1">IF(O2610="","",IF(Tipo_Vertedor="Retangular",IF(O2610&lt;=cota_s*100,0,IF(Tipo_Vertedor="Retangular",Cd_sr*Lef_sr*((O2610/100-cota_s)^(3/2))*1000)),IF(O2610&lt;=cota_s*100+fi_s/20,0,(OFFSET('Base de dados'!$A$4,IF(O2610&lt;20,1,IF(O2610&gt;1000,10,MATCH(O2610,Cargas,1))),Coluna_fis,1,1))*(PI()*(fi_s/1000)^2/4)*(2*9.81*(O2610/100-cota_s-fi_s/2/1000))^0.5*1000)))</f>
        <v>6.1653098929471497</v>
      </c>
      <c r="R2610" s="38">
        <f t="shared" ca="1" si="290"/>
        <v>12.992415521568123</v>
      </c>
      <c r="S2610" s="38">
        <f t="shared" ca="1" si="291"/>
        <v>815.3125</v>
      </c>
    </row>
    <row r="2611" spans="13:19">
      <c r="M2611" s="132">
        <f t="shared" ca="1" si="288"/>
        <v>828.6201798797955</v>
      </c>
      <c r="N2611" s="38">
        <f t="shared" si="289"/>
        <v>24.46875</v>
      </c>
      <c r="O2611" s="36">
        <f t="shared" si="287"/>
        <v>652.5</v>
      </c>
      <c r="P2611" s="38">
        <f ca="1">IF(ISERROR(IF(O2611&lt;fi_h/20,0,(OFFSET('Base de dados'!$A$5,IF(O2611&lt;20,1,IF(O2611&gt;1000,10,MATCH(O2611,Cargas,1))),Coluna_fih,1,1))*(1+0.13*0.25)*(PI()*(fi_h/1000)^2/4)*SQRT(2*9.81*(O2611/100-fi_h/2/1000))*1000)),"",IF(O2611&lt;fi_h/20,0,(OFFSET('Base de dados'!$A$5,IF(O2611&lt;20,1,IF(O2611&gt;1000,10,MATCH(O2611,Cargas,1))),Coluna_fih,1,1))*(PI()*(fi_h/1000)^2/4)*SQRT(2*9.81*(O2611/100-fi_h/2/1000))*1000))</f>
        <v>6.8284174185402406</v>
      </c>
      <c r="Q2611" s="38">
        <f ca="1">IF(O2611="","",IF(Tipo_Vertedor="Retangular",IF(O2611&lt;=cota_s*100,0,IF(Tipo_Vertedor="Retangular",Cd_sr*Lef_sr*((O2611/100-cota_s)^(3/2))*1000)),IF(O2611&lt;=cota_s*100+fi_s/20,0,(OFFSET('Base de dados'!$A$4,IF(O2611&lt;20,1,IF(O2611&gt;1000,10,MATCH(O2611,Cargas,1))),Coluna_fis,1,1))*(PI()*(fi_s/1000)^2/4)*(2*9.81*(O2611/100-cota_s-fi_s/2/1000))^0.5*1000)))</f>
        <v>6.1667624612553036</v>
      </c>
      <c r="R2611" s="38">
        <f t="shared" ca="1" si="290"/>
        <v>12.995179879795543</v>
      </c>
      <c r="S2611" s="38">
        <f t="shared" ca="1" si="291"/>
        <v>815.625</v>
      </c>
    </row>
    <row r="2612" spans="13:19">
      <c r="M2612" s="132">
        <f t="shared" ca="1" si="288"/>
        <v>828.93544364399781</v>
      </c>
      <c r="N2612" s="38">
        <f t="shared" si="289"/>
        <v>24.478124999999999</v>
      </c>
      <c r="O2612" s="36">
        <f t="shared" si="287"/>
        <v>652.75</v>
      </c>
      <c r="P2612" s="38">
        <f ca="1">IF(ISERROR(IF(O2612&lt;fi_h/20,0,(OFFSET('Base de dados'!$A$5,IF(O2612&lt;20,1,IF(O2612&gt;1000,10,MATCH(O2612,Cargas,1))),Coluna_fih,1,1))*(1+0.13*0.25)*(PI()*(fi_h/1000)^2/4)*SQRT(2*9.81*(O2612/100-fi_h/2/1000))*1000)),"",IF(O2612&lt;fi_h/20,0,(OFFSET('Base de dados'!$A$5,IF(O2612&lt;20,1,IF(O2612&gt;1000,10,MATCH(O2612,Cargas,1))),Coluna_fih,1,1))*(PI()*(fi_h/1000)^2/4)*SQRT(2*9.81*(O2612/100-fi_h/2/1000))*1000))</f>
        <v>6.8297289565032768</v>
      </c>
      <c r="Q2612" s="38">
        <f ca="1">IF(O2612="","",IF(Tipo_Vertedor="Retangular",IF(O2612&lt;=cota_s*100,0,IF(Tipo_Vertedor="Retangular",Cd_sr*Lef_sr*((O2612/100-cota_s)^(3/2))*1000)),IF(O2612&lt;=cota_s*100+fi_s/20,0,(OFFSET('Base de dados'!$A$4,IF(O2612&lt;20,1,IF(O2612&gt;1000,10,MATCH(O2612,Cargas,1))),Coluna_fis,1,1))*(PI()*(fi_s/1000)^2/4)*(2*9.81*(O2612/100-cota_s-fi_s/2/1000))^0.5*1000)))</f>
        <v>6.1682146874945216</v>
      </c>
      <c r="R2612" s="38">
        <f t="shared" ca="1" si="290"/>
        <v>12.997943643997798</v>
      </c>
      <c r="S2612" s="38">
        <f t="shared" ca="1" si="291"/>
        <v>815.9375</v>
      </c>
    </row>
    <row r="2613" spans="13:19">
      <c r="M2613" s="132">
        <f t="shared" ca="1" si="288"/>
        <v>829.25070681456157</v>
      </c>
      <c r="N2613" s="38">
        <f t="shared" si="289"/>
        <v>24.487500000000001</v>
      </c>
      <c r="O2613" s="36">
        <f t="shared" si="287"/>
        <v>653</v>
      </c>
      <c r="P2613" s="38">
        <f ca="1">IF(ISERROR(IF(O2613&lt;fi_h/20,0,(OFFSET('Base de dados'!$A$5,IF(O2613&lt;20,1,IF(O2613&gt;1000,10,MATCH(O2613,Cargas,1))),Coluna_fih,1,1))*(1+0.13*0.25)*(PI()*(fi_h/1000)^2/4)*SQRT(2*9.81*(O2613/100-fi_h/2/1000))*1000)),"",IF(O2613&lt;fi_h/20,0,(OFFSET('Base de dados'!$A$5,IF(O2613&lt;20,1,IF(O2613&gt;1000,10,MATCH(O2613,Cargas,1))),Coluna_fih,1,1))*(PI()*(fi_h/1000)^2/4)*SQRT(2*9.81*(O2613/100-fi_h/2/1000))*1000))</f>
        <v>6.8310402426552077</v>
      </c>
      <c r="Q2613" s="38">
        <f ca="1">IF(O2613="","",IF(Tipo_Vertedor="Retangular",IF(O2613&lt;=cota_s*100,0,IF(Tipo_Vertedor="Retangular",Cd_sr*Lef_sr*((O2613/100-cota_s)^(3/2))*1000)),IF(O2613&lt;=cota_s*100+fi_s/20,0,(OFFSET('Base de dados'!$A$4,IF(O2613&lt;20,1,IF(O2613&gt;1000,10,MATCH(O2613,Cargas,1))),Coluna_fis,1,1))*(PI()*(fi_s/1000)^2/4)*(2*9.81*(O2613/100-cota_s-fi_s/2/1000))^0.5*1000)))</f>
        <v>6.1696665719063555</v>
      </c>
      <c r="R2613" s="38">
        <f t="shared" ca="1" si="290"/>
        <v>13.000706814561564</v>
      </c>
      <c r="S2613" s="38">
        <f t="shared" ca="1" si="291"/>
        <v>816.25</v>
      </c>
    </row>
    <row r="2614" spans="13:19">
      <c r="M2614" s="132">
        <f t="shared" ca="1" si="288"/>
        <v>829.56596939187307</v>
      </c>
      <c r="N2614" s="38">
        <f t="shared" si="289"/>
        <v>24.496874999999999</v>
      </c>
      <c r="O2614" s="36">
        <f t="shared" si="287"/>
        <v>653.25</v>
      </c>
      <c r="P2614" s="38">
        <f ca="1">IF(ISERROR(IF(O2614&lt;fi_h/20,0,(OFFSET('Base de dados'!$A$5,IF(O2614&lt;20,1,IF(O2614&gt;1000,10,MATCH(O2614,Cargas,1))),Coluna_fih,1,1))*(1+0.13*0.25)*(PI()*(fi_h/1000)^2/4)*SQRT(2*9.81*(O2614/100-fi_h/2/1000))*1000)),"",IF(O2614&lt;fi_h/20,0,(OFFSET('Base de dados'!$A$5,IF(O2614&lt;20,1,IF(O2614&gt;1000,10,MATCH(O2614,Cargas,1))),Coluna_fih,1,1))*(PI()*(fi_h/1000)^2/4)*SQRT(2*9.81*(O2614/100-fi_h/2/1000))*1000))</f>
        <v>6.8323512771410169</v>
      </c>
      <c r="Q2614" s="38">
        <f ca="1">IF(O2614="","",IF(Tipo_Vertedor="Retangular",IF(O2614&lt;=cota_s*100,0,IF(Tipo_Vertedor="Retangular",Cd_sr*Lef_sr*((O2614/100-cota_s)^(3/2))*1000)),IF(O2614&lt;=cota_s*100+fi_s/20,0,(OFFSET('Base de dados'!$A$4,IF(O2614&lt;20,1,IF(O2614&gt;1000,10,MATCH(O2614,Cargas,1))),Coluna_fis,1,1))*(PI()*(fi_s/1000)^2/4)*(2*9.81*(O2614/100-cota_s-fi_s/2/1000))^0.5*1000)))</f>
        <v>6.1711181147320699</v>
      </c>
      <c r="R2614" s="38">
        <f t="shared" ca="1" si="290"/>
        <v>13.003469391873086</v>
      </c>
      <c r="S2614" s="38">
        <f t="shared" ca="1" si="291"/>
        <v>816.5625</v>
      </c>
    </row>
    <row r="2615" spans="13:19">
      <c r="M2615" s="132">
        <f t="shared" ca="1" si="288"/>
        <v>829.88123137631817</v>
      </c>
      <c r="N2615" s="38">
        <f t="shared" si="289"/>
        <v>24.506250000000001</v>
      </c>
      <c r="O2615" s="36">
        <f t="shared" si="287"/>
        <v>653.5</v>
      </c>
      <c r="P2615" s="38">
        <f ca="1">IF(ISERROR(IF(O2615&lt;fi_h/20,0,(OFFSET('Base de dados'!$A$5,IF(O2615&lt;20,1,IF(O2615&gt;1000,10,MATCH(O2615,Cargas,1))),Coluna_fih,1,1))*(1+0.13*0.25)*(PI()*(fi_h/1000)^2/4)*SQRT(2*9.81*(O2615/100-fi_h/2/1000))*1000)),"",IF(O2615&lt;fi_h/20,0,(OFFSET('Base de dados'!$A$5,IF(O2615&lt;20,1,IF(O2615&gt;1000,10,MATCH(O2615,Cargas,1))),Coluna_fih,1,1))*(PI()*(fi_h/1000)^2/4)*SQRT(2*9.81*(O2615/100-fi_h/2/1000))*1000))</f>
        <v>6.833662060105552</v>
      </c>
      <c r="Q2615" s="38">
        <f ca="1">IF(O2615="","",IF(Tipo_Vertedor="Retangular",IF(O2615&lt;=cota_s*100,0,IF(Tipo_Vertedor="Retangular",Cd_sr*Lef_sr*((O2615/100-cota_s)^(3/2))*1000)),IF(O2615&lt;=cota_s*100+fi_s/20,0,(OFFSET('Base de dados'!$A$4,IF(O2615&lt;20,1,IF(O2615&gt;1000,10,MATCH(O2615,Cargas,1))),Coluna_fis,1,1))*(PI()*(fi_s/1000)^2/4)*(2*9.81*(O2615/100-cota_s-fi_s/2/1000))^0.5*1000)))</f>
        <v>6.1725693162126474</v>
      </c>
      <c r="R2615" s="38">
        <f t="shared" ca="1" si="290"/>
        <v>13.006231376318199</v>
      </c>
      <c r="S2615" s="38">
        <f t="shared" ca="1" si="291"/>
        <v>816.875</v>
      </c>
    </row>
    <row r="2616" spans="13:19">
      <c r="M2616" s="132">
        <f t="shared" ca="1" si="288"/>
        <v>830.19649276828227</v>
      </c>
      <c r="N2616" s="38">
        <f t="shared" si="289"/>
        <v>24.515625</v>
      </c>
      <c r="O2616" s="36">
        <f t="shared" si="287"/>
        <v>653.75</v>
      </c>
      <c r="P2616" s="38">
        <f ca="1">IF(ISERROR(IF(O2616&lt;fi_h/20,0,(OFFSET('Base de dados'!$A$5,IF(O2616&lt;20,1,IF(O2616&gt;1000,10,MATCH(O2616,Cargas,1))),Coluna_fih,1,1))*(1+0.13*0.25)*(PI()*(fi_h/1000)^2/4)*SQRT(2*9.81*(O2616/100-fi_h/2/1000))*1000)),"",IF(O2616&lt;fi_h/20,0,(OFFSET('Base de dados'!$A$5,IF(O2616&lt;20,1,IF(O2616&gt;1000,10,MATCH(O2616,Cargas,1))),Coluna_fih,1,1))*(PI()*(fi_h/1000)^2/4)*SQRT(2*9.81*(O2616/100-fi_h/2/1000))*1000))</f>
        <v>6.8349725916935196</v>
      </c>
      <c r="Q2616" s="38">
        <f ca="1">IF(O2616="","",IF(Tipo_Vertedor="Retangular",IF(O2616&lt;=cota_s*100,0,IF(Tipo_Vertedor="Retangular",Cd_sr*Lef_sr*((O2616/100-cota_s)^(3/2))*1000)),IF(O2616&lt;=cota_s*100+fi_s/20,0,(OFFSET('Base de dados'!$A$4,IF(O2616&lt;20,1,IF(O2616&gt;1000,10,MATCH(O2616,Cargas,1))),Coluna_fis,1,1))*(PI()*(fi_s/1000)^2/4)*(2*9.81*(O2616/100-cota_s-fi_s/2/1000))^0.5*1000)))</f>
        <v>6.1740201765887877</v>
      </c>
      <c r="R2616" s="38">
        <f t="shared" ca="1" si="290"/>
        <v>13.008992768282308</v>
      </c>
      <c r="S2616" s="38">
        <f t="shared" ca="1" si="291"/>
        <v>817.1875</v>
      </c>
    </row>
    <row r="2617" spans="13:19">
      <c r="M2617" s="132">
        <f t="shared" ca="1" si="288"/>
        <v>830.51175356815043</v>
      </c>
      <c r="N2617" s="38">
        <f t="shared" si="289"/>
        <v>24.524999999999999</v>
      </c>
      <c r="O2617" s="36">
        <f t="shared" si="287"/>
        <v>654</v>
      </c>
      <c r="P2617" s="38">
        <f ca="1">IF(ISERROR(IF(O2617&lt;fi_h/20,0,(OFFSET('Base de dados'!$A$5,IF(O2617&lt;20,1,IF(O2617&gt;1000,10,MATCH(O2617,Cargas,1))),Coluna_fih,1,1))*(1+0.13*0.25)*(PI()*(fi_h/1000)^2/4)*SQRT(2*9.81*(O2617/100-fi_h/2/1000))*1000)),"",IF(O2617&lt;fi_h/20,0,(OFFSET('Base de dados'!$A$5,IF(O2617&lt;20,1,IF(O2617&gt;1000,10,MATCH(O2617,Cargas,1))),Coluna_fih,1,1))*(PI()*(fi_h/1000)^2/4)*SQRT(2*9.81*(O2617/100-fi_h/2/1000))*1000))</f>
        <v>6.8362828720494893</v>
      </c>
      <c r="Q2617" s="38">
        <f ca="1">IF(O2617="","",IF(Tipo_Vertedor="Retangular",IF(O2617&lt;=cota_s*100,0,IF(Tipo_Vertedor="Retangular",Cd_sr*Lef_sr*((O2617/100-cota_s)^(3/2))*1000)),IF(O2617&lt;=cota_s*100+fi_s/20,0,(OFFSET('Base de dados'!$A$4,IF(O2617&lt;20,1,IF(O2617&gt;1000,10,MATCH(O2617,Cargas,1))),Coluna_fis,1,1))*(PI()*(fi_s/1000)^2/4)*(2*9.81*(O2617/100-cota_s-fi_s/2/1000))^0.5*1000)))</f>
        <v>6.1754706961009065</v>
      </c>
      <c r="R2617" s="38">
        <f t="shared" ca="1" si="290"/>
        <v>13.011753568150397</v>
      </c>
      <c r="S2617" s="38">
        <f t="shared" ca="1" si="291"/>
        <v>817.5</v>
      </c>
    </row>
    <row r="2618" spans="13:19">
      <c r="M2618" s="132">
        <f t="shared" ca="1" si="288"/>
        <v>830.82701377630701</v>
      </c>
      <c r="N2618" s="38">
        <f t="shared" si="289"/>
        <v>24.534375000000001</v>
      </c>
      <c r="O2618" s="36">
        <f t="shared" si="287"/>
        <v>654.25</v>
      </c>
      <c r="P2618" s="38">
        <f ca="1">IF(ISERROR(IF(O2618&lt;fi_h/20,0,(OFFSET('Base de dados'!$A$5,IF(O2618&lt;20,1,IF(O2618&gt;1000,10,MATCH(O2618,Cargas,1))),Coluna_fih,1,1))*(1+0.13*0.25)*(PI()*(fi_h/1000)^2/4)*SQRT(2*9.81*(O2618/100-fi_h/2/1000))*1000)),"",IF(O2618&lt;fi_h/20,0,(OFFSET('Base de dados'!$A$5,IF(O2618&lt;20,1,IF(O2618&gt;1000,10,MATCH(O2618,Cargas,1))),Coluna_fih,1,1))*(PI()*(fi_h/1000)^2/4)*SQRT(2*9.81*(O2618/100-fi_h/2/1000))*1000))</f>
        <v>6.8375929013178895</v>
      </c>
      <c r="Q2618" s="38">
        <f ca="1">IF(O2618="","",IF(Tipo_Vertedor="Retangular",IF(O2618&lt;=cota_s*100,0,IF(Tipo_Vertedor="Retangular",Cd_sr*Lef_sr*((O2618/100-cota_s)^(3/2))*1000)),IF(O2618&lt;=cota_s*100+fi_s/20,0,(OFFSET('Base de dados'!$A$4,IF(O2618&lt;20,1,IF(O2618&gt;1000,10,MATCH(O2618,Cargas,1))),Coluna_fis,1,1))*(PI()*(fi_s/1000)^2/4)*(2*9.81*(O2618/100-cota_s-fi_s/2/1000))^0.5*1000)))</f>
        <v>6.1769208749891389</v>
      </c>
      <c r="R2618" s="38">
        <f t="shared" ca="1" si="290"/>
        <v>13.014513776307028</v>
      </c>
      <c r="S2618" s="38">
        <f t="shared" ca="1" si="291"/>
        <v>817.8125</v>
      </c>
    </row>
    <row r="2619" spans="13:19">
      <c r="M2619" s="132">
        <f t="shared" ca="1" si="288"/>
        <v>831.14227339313629</v>
      </c>
      <c r="N2619" s="38">
        <f t="shared" si="289"/>
        <v>24.543749999999999</v>
      </c>
      <c r="O2619" s="36">
        <f t="shared" si="287"/>
        <v>654.5</v>
      </c>
      <c r="P2619" s="38">
        <f ca="1">IF(ISERROR(IF(O2619&lt;fi_h/20,0,(OFFSET('Base de dados'!$A$5,IF(O2619&lt;20,1,IF(O2619&gt;1000,10,MATCH(O2619,Cargas,1))),Coluna_fih,1,1))*(1+0.13*0.25)*(PI()*(fi_h/1000)^2/4)*SQRT(2*9.81*(O2619/100-fi_h/2/1000))*1000)),"",IF(O2619&lt;fi_h/20,0,(OFFSET('Base de dados'!$A$5,IF(O2619&lt;20,1,IF(O2619&gt;1000,10,MATCH(O2619,Cargas,1))),Coluna_fih,1,1))*(PI()*(fi_h/1000)^2/4)*SQRT(2*9.81*(O2619/100-fi_h/2/1000))*1000))</f>
        <v>6.8389026796430112</v>
      </c>
      <c r="Q2619" s="38">
        <f ca="1">IF(O2619="","",IF(Tipo_Vertedor="Retangular",IF(O2619&lt;=cota_s*100,0,IF(Tipo_Vertedor="Retangular",Cd_sr*Lef_sr*((O2619/100-cota_s)^(3/2))*1000)),IF(O2619&lt;=cota_s*100+fi_s/20,0,(OFFSET('Base de dados'!$A$4,IF(O2619&lt;20,1,IF(O2619&gt;1000,10,MATCH(O2619,Cargas,1))),Coluna_fis,1,1))*(PI()*(fi_s/1000)^2/4)*(2*9.81*(O2619/100-cota_s-fi_s/2/1000))^0.5*1000)))</f>
        <v>6.1783707134933374</v>
      </c>
      <c r="R2619" s="38">
        <f t="shared" ca="1" si="290"/>
        <v>13.01727339313635</v>
      </c>
      <c r="S2619" s="38">
        <f t="shared" ca="1" si="291"/>
        <v>818.125</v>
      </c>
    </row>
    <row r="2620" spans="13:19">
      <c r="M2620" s="132">
        <f t="shared" ca="1" si="288"/>
        <v>831.45753241902207</v>
      </c>
      <c r="N2620" s="38">
        <f t="shared" si="289"/>
        <v>24.553125000000001</v>
      </c>
      <c r="O2620" s="36">
        <f t="shared" si="287"/>
        <v>654.75</v>
      </c>
      <c r="P2620" s="38">
        <f ca="1">IF(ISERROR(IF(O2620&lt;fi_h/20,0,(OFFSET('Base de dados'!$A$5,IF(O2620&lt;20,1,IF(O2620&gt;1000,10,MATCH(O2620,Cargas,1))),Coluna_fih,1,1))*(1+0.13*0.25)*(PI()*(fi_h/1000)^2/4)*SQRT(2*9.81*(O2620/100-fi_h/2/1000))*1000)),"",IF(O2620&lt;fi_h/20,0,(OFFSET('Base de dados'!$A$5,IF(O2620&lt;20,1,IF(O2620&gt;1000,10,MATCH(O2620,Cargas,1))),Coluna_fih,1,1))*(PI()*(fi_h/1000)^2/4)*SQRT(2*9.81*(O2620/100-fi_h/2/1000))*1000))</f>
        <v>6.8402122071690101</v>
      </c>
      <c r="Q2620" s="38">
        <f ca="1">IF(O2620="","",IF(Tipo_Vertedor="Retangular",IF(O2620&lt;=cota_s*100,0,IF(Tipo_Vertedor="Retangular",Cd_sr*Lef_sr*((O2620/100-cota_s)^(3/2))*1000)),IF(O2620&lt;=cota_s*100+fi_s/20,0,(OFFSET('Base de dados'!$A$4,IF(O2620&lt;20,1,IF(O2620&gt;1000,10,MATCH(O2620,Cargas,1))),Coluna_fis,1,1))*(PI()*(fi_s/1000)^2/4)*(2*9.81*(O2620/100-cota_s-fi_s/2/1000))^0.5*1000)))</f>
        <v>6.1798202118530723</v>
      </c>
      <c r="R2620" s="38">
        <f t="shared" ca="1" si="290"/>
        <v>13.020032419022083</v>
      </c>
      <c r="S2620" s="38">
        <f t="shared" ca="1" si="291"/>
        <v>818.4375</v>
      </c>
    </row>
    <row r="2621" spans="13:19">
      <c r="M2621" s="132">
        <f t="shared" ca="1" si="288"/>
        <v>831.77279085434748</v>
      </c>
      <c r="N2621" s="38">
        <f t="shared" si="289"/>
        <v>24.5625</v>
      </c>
      <c r="O2621" s="36">
        <f t="shared" si="287"/>
        <v>655</v>
      </c>
      <c r="P2621" s="38">
        <f ca="1">IF(ISERROR(IF(O2621&lt;fi_h/20,0,(OFFSET('Base de dados'!$A$5,IF(O2621&lt;20,1,IF(O2621&gt;1000,10,MATCH(O2621,Cargas,1))),Coluna_fih,1,1))*(1+0.13*0.25)*(PI()*(fi_h/1000)^2/4)*SQRT(2*9.81*(O2621/100-fi_h/2/1000))*1000)),"",IF(O2621&lt;fi_h/20,0,(OFFSET('Base de dados'!$A$5,IF(O2621&lt;20,1,IF(O2621&gt;1000,10,MATCH(O2621,Cargas,1))),Coluna_fih,1,1))*(PI()*(fi_h/1000)^2/4)*SQRT(2*9.81*(O2621/100-fi_h/2/1000))*1000))</f>
        <v>6.8415214840399008</v>
      </c>
      <c r="Q2621" s="38">
        <f ca="1">IF(O2621="","",IF(Tipo_Vertedor="Retangular",IF(O2621&lt;=cota_s*100,0,IF(Tipo_Vertedor="Retangular",Cd_sr*Lef_sr*((O2621/100-cota_s)^(3/2))*1000)),IF(O2621&lt;=cota_s*100+fi_s/20,0,(OFFSET('Base de dados'!$A$4,IF(O2621&lt;20,1,IF(O2621&gt;1000,10,MATCH(O2621,Cargas,1))),Coluna_fis,1,1))*(PI()*(fi_s/1000)^2/4)*(2*9.81*(O2621/100-cota_s-fi_s/2/1000))^0.5*1000)))</f>
        <v>6.181269370307632</v>
      </c>
      <c r="R2621" s="38">
        <f t="shared" ca="1" si="290"/>
        <v>13.022790854347534</v>
      </c>
      <c r="S2621" s="38">
        <f t="shared" ca="1" si="291"/>
        <v>818.75</v>
      </c>
    </row>
    <row r="2622" spans="13:19">
      <c r="M2622" s="132">
        <f t="shared" ca="1" si="288"/>
        <v>832.08804869949574</v>
      </c>
      <c r="N2622" s="38">
        <f t="shared" si="289"/>
        <v>24.571875000000002</v>
      </c>
      <c r="O2622" s="36">
        <f t="shared" si="287"/>
        <v>655.25</v>
      </c>
      <c r="P2622" s="38">
        <f ca="1">IF(ISERROR(IF(O2622&lt;fi_h/20,0,(OFFSET('Base de dados'!$A$5,IF(O2622&lt;20,1,IF(O2622&gt;1000,10,MATCH(O2622,Cargas,1))),Coluna_fih,1,1))*(1+0.13*0.25)*(PI()*(fi_h/1000)^2/4)*SQRT(2*9.81*(O2622/100-fi_h/2/1000))*1000)),"",IF(O2622&lt;fi_h/20,0,(OFFSET('Base de dados'!$A$5,IF(O2622&lt;20,1,IF(O2622&gt;1000,10,MATCH(O2622,Cargas,1))),Coluna_fih,1,1))*(PI()*(fi_h/1000)^2/4)*SQRT(2*9.81*(O2622/100-fi_h/2/1000))*1000))</f>
        <v>6.8428305103995593</v>
      </c>
      <c r="Q2622" s="38">
        <f ca="1">IF(O2622="","",IF(Tipo_Vertedor="Retangular",IF(O2622&lt;=cota_s*100,0,IF(Tipo_Vertedor="Retangular",Cd_sr*Lef_sr*((O2622/100-cota_s)^(3/2))*1000)),IF(O2622&lt;=cota_s*100+fi_s/20,0,(OFFSET('Base de dados'!$A$4,IF(O2622&lt;20,1,IF(O2622&gt;1000,10,MATCH(O2622,Cargas,1))),Coluna_fis,1,1))*(PI()*(fi_s/1000)^2/4)*(2*9.81*(O2622/100-cota_s-fi_s/2/1000))^0.5*1000)))</f>
        <v>6.1827181890960299</v>
      </c>
      <c r="R2622" s="38">
        <f t="shared" ca="1" si="290"/>
        <v>13.025548699495589</v>
      </c>
      <c r="S2622" s="38">
        <f t="shared" ca="1" si="291"/>
        <v>819.06250000000011</v>
      </c>
    </row>
    <row r="2623" spans="13:19">
      <c r="M2623" s="132">
        <f t="shared" ca="1" si="288"/>
        <v>832.40330595484863</v>
      </c>
      <c r="N2623" s="38">
        <f t="shared" si="289"/>
        <v>24.581249999999997</v>
      </c>
      <c r="O2623" s="36">
        <f t="shared" si="287"/>
        <v>655.5</v>
      </c>
      <c r="P2623" s="38">
        <f ca="1">IF(ISERROR(IF(O2623&lt;fi_h/20,0,(OFFSET('Base de dados'!$A$5,IF(O2623&lt;20,1,IF(O2623&gt;1000,10,MATCH(O2623,Cargas,1))),Coluna_fih,1,1))*(1+0.13*0.25)*(PI()*(fi_h/1000)^2/4)*SQRT(2*9.81*(O2623/100-fi_h/2/1000))*1000)),"",IF(O2623&lt;fi_h/20,0,(OFFSET('Base de dados'!$A$5,IF(O2623&lt;20,1,IF(O2623&gt;1000,10,MATCH(O2623,Cargas,1))),Coluna_fih,1,1))*(PI()*(fi_h/1000)^2/4)*SQRT(2*9.81*(O2623/100-fi_h/2/1000))*1000))</f>
        <v>6.8441392863917274</v>
      </c>
      <c r="Q2623" s="38">
        <f ca="1">IF(O2623="","",IF(Tipo_Vertedor="Retangular",IF(O2623&lt;=cota_s*100,0,IF(Tipo_Vertedor="Retangular",Cd_sr*Lef_sr*((O2623/100-cota_s)^(3/2))*1000)),IF(O2623&lt;=cota_s*100+fi_s/20,0,(OFFSET('Base de dados'!$A$4,IF(O2623&lt;20,1,IF(O2623&gt;1000,10,MATCH(O2623,Cargas,1))),Coluna_fis,1,1))*(PI()*(fi_s/1000)^2/4)*(2*9.81*(O2623/100-cota_s-fi_s/2/1000))^0.5*1000)))</f>
        <v>6.1841666684569931</v>
      </c>
      <c r="R2623" s="38">
        <f t="shared" ca="1" si="290"/>
        <v>13.028305954848721</v>
      </c>
      <c r="S2623" s="38">
        <f t="shared" ca="1" si="291"/>
        <v>819.37499999999989</v>
      </c>
    </row>
    <row r="2624" spans="13:19">
      <c r="M2624" s="132">
        <f t="shared" ca="1" si="288"/>
        <v>832.71856262078893</v>
      </c>
      <c r="N2624" s="38">
        <f t="shared" si="289"/>
        <v>24.590624999999999</v>
      </c>
      <c r="O2624" s="36">
        <f t="shared" si="287"/>
        <v>655.75</v>
      </c>
      <c r="P2624" s="38">
        <f ca="1">IF(ISERROR(IF(O2624&lt;fi_h/20,0,(OFFSET('Base de dados'!$A$5,IF(O2624&lt;20,1,IF(O2624&gt;1000,10,MATCH(O2624,Cargas,1))),Coluna_fih,1,1))*(1+0.13*0.25)*(PI()*(fi_h/1000)^2/4)*SQRT(2*9.81*(O2624/100-fi_h/2/1000))*1000)),"",IF(O2624&lt;fi_h/20,0,(OFFSET('Base de dados'!$A$5,IF(O2624&lt;20,1,IF(O2624&gt;1000,10,MATCH(O2624,Cargas,1))),Coluna_fih,1,1))*(PI()*(fi_h/1000)^2/4)*SQRT(2*9.81*(O2624/100-fi_h/2/1000))*1000))</f>
        <v>6.8454478121600078</v>
      </c>
      <c r="Q2624" s="38">
        <f ca="1">IF(O2624="","",IF(Tipo_Vertedor="Retangular",IF(O2624&lt;=cota_s*100,0,IF(Tipo_Vertedor="Retangular",Cd_sr*Lef_sr*((O2624/100-cota_s)^(3/2))*1000)),IF(O2624&lt;=cota_s*100+fi_s/20,0,(OFFSET('Base de dados'!$A$4,IF(O2624&lt;20,1,IF(O2624&gt;1000,10,MATCH(O2624,Cargas,1))),Coluna_fis,1,1))*(PI()*(fi_s/1000)^2/4)*(2*9.81*(O2624/100-cota_s-fi_s/2/1000))^0.5*1000)))</f>
        <v>6.1856148086289737</v>
      </c>
      <c r="R2624" s="38">
        <f t="shared" ca="1" si="290"/>
        <v>13.031062620788981</v>
      </c>
      <c r="S2624" s="38">
        <f t="shared" ca="1" si="291"/>
        <v>819.6875</v>
      </c>
    </row>
    <row r="2625" spans="13:19">
      <c r="M2625" s="132">
        <f t="shared" ca="1" si="288"/>
        <v>833.03381869769794</v>
      </c>
      <c r="N2625" s="38">
        <f t="shared" si="289"/>
        <v>24.599999999999998</v>
      </c>
      <c r="O2625" s="36">
        <f t="shared" si="287"/>
        <v>656</v>
      </c>
      <c r="P2625" s="38">
        <f ca="1">IF(ISERROR(IF(O2625&lt;fi_h/20,0,(OFFSET('Base de dados'!$A$5,IF(O2625&lt;20,1,IF(O2625&gt;1000,10,MATCH(O2625,Cargas,1))),Coluna_fih,1,1))*(1+0.13*0.25)*(PI()*(fi_h/1000)^2/4)*SQRT(2*9.81*(O2625/100-fi_h/2/1000))*1000)),"",IF(O2625&lt;fi_h/20,0,(OFFSET('Base de dados'!$A$5,IF(O2625&lt;20,1,IF(O2625&gt;1000,10,MATCH(O2625,Cargas,1))),Coluna_fih,1,1))*(PI()*(fi_h/1000)^2/4)*SQRT(2*9.81*(O2625/100-fi_h/2/1000))*1000))</f>
        <v>6.8467560878478659</v>
      </c>
      <c r="Q2625" s="38">
        <f ca="1">IF(O2625="","",IF(Tipo_Vertedor="Retangular",IF(O2625&lt;=cota_s*100,0,IF(Tipo_Vertedor="Retangular",Cd_sr*Lef_sr*((O2625/100-cota_s)^(3/2))*1000)),IF(O2625&lt;=cota_s*100+fi_s/20,0,(OFFSET('Base de dados'!$A$4,IF(O2625&lt;20,1,IF(O2625&gt;1000,10,MATCH(O2625,Cargas,1))),Coluna_fis,1,1))*(PI()*(fi_s/1000)^2/4)*(2*9.81*(O2625/100-cota_s-fi_s/2/1000))^0.5*1000)))</f>
        <v>6.1870626098501402</v>
      </c>
      <c r="R2625" s="38">
        <f t="shared" ca="1" si="290"/>
        <v>13.033818697698006</v>
      </c>
      <c r="S2625" s="38">
        <f t="shared" ca="1" si="291"/>
        <v>819.99999999999989</v>
      </c>
    </row>
    <row r="2626" spans="13:19">
      <c r="M2626" s="132">
        <f t="shared" ca="1" si="288"/>
        <v>833.34907418595697</v>
      </c>
      <c r="N2626" s="38">
        <f t="shared" si="289"/>
        <v>24.609375</v>
      </c>
      <c r="O2626" s="36">
        <f t="shared" si="287"/>
        <v>656.25</v>
      </c>
      <c r="P2626" s="38">
        <f ca="1">IF(ISERROR(IF(O2626&lt;fi_h/20,0,(OFFSET('Base de dados'!$A$5,IF(O2626&lt;20,1,IF(O2626&gt;1000,10,MATCH(O2626,Cargas,1))),Coluna_fih,1,1))*(1+0.13*0.25)*(PI()*(fi_h/1000)^2/4)*SQRT(2*9.81*(O2626/100-fi_h/2/1000))*1000)),"",IF(O2626&lt;fi_h/20,0,(OFFSET('Base de dados'!$A$5,IF(O2626&lt;20,1,IF(O2626&gt;1000,10,MATCH(O2626,Cargas,1))),Coluna_fih,1,1))*(PI()*(fi_h/1000)^2/4)*SQRT(2*9.81*(O2626/100-fi_h/2/1000))*1000))</f>
        <v>6.8480641135986309</v>
      </c>
      <c r="Q2626" s="38">
        <f ca="1">IF(O2626="","",IF(Tipo_Vertedor="Retangular",IF(O2626&lt;=cota_s*100,0,IF(Tipo_Vertedor="Retangular",Cd_sr*Lef_sr*((O2626/100-cota_s)^(3/2))*1000)),IF(O2626&lt;=cota_s*100+fi_s/20,0,(OFFSET('Base de dados'!$A$4,IF(O2626&lt;20,1,IF(O2626&gt;1000,10,MATCH(O2626,Cargas,1))),Coluna_fis,1,1))*(PI()*(fi_s/1000)^2/4)*(2*9.81*(O2626/100-cota_s-fi_s/2/1000))^0.5*1000)))</f>
        <v>6.1885100723583859</v>
      </c>
      <c r="R2626" s="38">
        <f t="shared" ca="1" si="290"/>
        <v>13.036574185957017</v>
      </c>
      <c r="S2626" s="38">
        <f t="shared" ca="1" si="291"/>
        <v>820.3125</v>
      </c>
    </row>
    <row r="2627" spans="13:19">
      <c r="M2627" s="132">
        <f t="shared" ca="1" si="288"/>
        <v>833.66432908594697</v>
      </c>
      <c r="N2627" s="38">
        <f t="shared" si="289"/>
        <v>24.618750000000002</v>
      </c>
      <c r="O2627" s="36">
        <f t="shared" si="287"/>
        <v>656.5</v>
      </c>
      <c r="P2627" s="38">
        <f ca="1">IF(ISERROR(IF(O2627&lt;fi_h/20,0,(OFFSET('Base de dados'!$A$5,IF(O2627&lt;20,1,IF(O2627&gt;1000,10,MATCH(O2627,Cargas,1))),Coluna_fih,1,1))*(1+0.13*0.25)*(PI()*(fi_h/1000)^2/4)*SQRT(2*9.81*(O2627/100-fi_h/2/1000))*1000)),"",IF(O2627&lt;fi_h/20,0,(OFFSET('Base de dados'!$A$5,IF(O2627&lt;20,1,IF(O2627&gt;1000,10,MATCH(O2627,Cargas,1))),Coluna_fih,1,1))*(PI()*(fi_h/1000)^2/4)*SQRT(2*9.81*(O2627/100-fi_h/2/1000))*1000))</f>
        <v>6.8493718895554929</v>
      </c>
      <c r="Q2627" s="38">
        <f ca="1">IF(O2627="","",IF(Tipo_Vertedor="Retangular",IF(O2627&lt;=cota_s*100,0,IF(Tipo_Vertedor="Retangular",Cd_sr*Lef_sr*((O2627/100-cota_s)^(3/2))*1000)),IF(O2627&lt;=cota_s*100+fi_s/20,0,(OFFSET('Base de dados'!$A$4,IF(O2627&lt;20,1,IF(O2627&gt;1000,10,MATCH(O2627,Cargas,1))),Coluna_fis,1,1))*(PI()*(fi_s/1000)^2/4)*(2*9.81*(O2627/100-cota_s-fi_s/2/1000))^0.5*1000)))</f>
        <v>6.189957196391326</v>
      </c>
      <c r="R2627" s="38">
        <f t="shared" ca="1" si="290"/>
        <v>13.039329085946818</v>
      </c>
      <c r="S2627" s="38">
        <f t="shared" ca="1" si="291"/>
        <v>820.62500000000011</v>
      </c>
    </row>
    <row r="2628" spans="13:19">
      <c r="M2628" s="132">
        <f t="shared" ca="1" si="288"/>
        <v>833.97958339804779</v>
      </c>
      <c r="N2628" s="38">
        <f t="shared" si="289"/>
        <v>24.628125000000001</v>
      </c>
      <c r="O2628" s="36">
        <f t="shared" si="287"/>
        <v>656.75</v>
      </c>
      <c r="P2628" s="38">
        <f ca="1">IF(ISERROR(IF(O2628&lt;fi_h/20,0,(OFFSET('Base de dados'!$A$5,IF(O2628&lt;20,1,IF(O2628&gt;1000,10,MATCH(O2628,Cargas,1))),Coluna_fih,1,1))*(1+0.13*0.25)*(PI()*(fi_h/1000)^2/4)*SQRT(2*9.81*(O2628/100-fi_h/2/1000))*1000)),"",IF(O2628&lt;fi_h/20,0,(OFFSET('Base de dados'!$A$5,IF(O2628&lt;20,1,IF(O2628&gt;1000,10,MATCH(O2628,Cargas,1))),Coluna_fih,1,1))*(PI()*(fi_h/1000)^2/4)*SQRT(2*9.81*(O2628/100-fi_h/2/1000))*1000))</f>
        <v>6.8506794158615056</v>
      </c>
      <c r="Q2628" s="38">
        <f ca="1">IF(O2628="","",IF(Tipo_Vertedor="Retangular",IF(O2628&lt;=cota_s*100,0,IF(Tipo_Vertedor="Retangular",Cd_sr*Lef_sr*((O2628/100-cota_s)^(3/2))*1000)),IF(O2628&lt;=cota_s*100+fi_s/20,0,(OFFSET('Base de dados'!$A$4,IF(O2628&lt;20,1,IF(O2628&gt;1000,10,MATCH(O2628,Cargas,1))),Coluna_fis,1,1))*(PI()*(fi_s/1000)^2/4)*(2*9.81*(O2628/100-cota_s-fi_s/2/1000))^0.5*1000)))</f>
        <v>6.1914039821862978</v>
      </c>
      <c r="R2628" s="38">
        <f t="shared" ca="1" si="290"/>
        <v>13.042083398047804</v>
      </c>
      <c r="S2628" s="38">
        <f t="shared" ca="1" si="291"/>
        <v>820.9375</v>
      </c>
    </row>
    <row r="2629" spans="13:19">
      <c r="M2629" s="132">
        <f t="shared" ca="1" si="288"/>
        <v>834.29483712264005</v>
      </c>
      <c r="N2629" s="38">
        <f t="shared" si="289"/>
        <v>24.637500000000003</v>
      </c>
      <c r="O2629" s="36">
        <f t="shared" si="287"/>
        <v>657</v>
      </c>
      <c r="P2629" s="38">
        <f ca="1">IF(ISERROR(IF(O2629&lt;fi_h/20,0,(OFFSET('Base de dados'!$A$5,IF(O2629&lt;20,1,IF(O2629&gt;1000,10,MATCH(O2629,Cargas,1))),Coluna_fih,1,1))*(1+0.13*0.25)*(PI()*(fi_h/1000)^2/4)*SQRT(2*9.81*(O2629/100-fi_h/2/1000))*1000)),"",IF(O2629&lt;fi_h/20,0,(OFFSET('Base de dados'!$A$5,IF(O2629&lt;20,1,IF(O2629&gt;1000,10,MATCH(O2629,Cargas,1))),Coluna_fih,1,1))*(PI()*(fi_h/1000)^2/4)*SQRT(2*9.81*(O2629/100-fi_h/2/1000))*1000))</f>
        <v>6.8519866926595911</v>
      </c>
      <c r="Q2629" s="38">
        <f ca="1">IF(O2629="","",IF(Tipo_Vertedor="Retangular",IF(O2629&lt;=cota_s*100,0,IF(Tipo_Vertedor="Retangular",Cd_sr*Lef_sr*((O2629/100-cota_s)^(3/2))*1000)),IF(O2629&lt;=cota_s*100+fi_s/20,0,(OFFSET('Base de dados'!$A$4,IF(O2629&lt;20,1,IF(O2629&gt;1000,10,MATCH(O2629,Cargas,1))),Coluna_fis,1,1))*(PI()*(fi_s/1000)^2/4)*(2*9.81*(O2629/100-cota_s-fi_s/2/1000))^0.5*1000)))</f>
        <v>6.1928504299803588</v>
      </c>
      <c r="R2629" s="38">
        <f t="shared" ca="1" si="290"/>
        <v>13.044837122639951</v>
      </c>
      <c r="S2629" s="38">
        <f t="shared" ca="1" si="291"/>
        <v>821.25000000000011</v>
      </c>
    </row>
    <row r="2630" spans="13:19">
      <c r="M2630" s="132">
        <f t="shared" ca="1" si="288"/>
        <v>834.61009026010265</v>
      </c>
      <c r="N2630" s="38">
        <f t="shared" si="289"/>
        <v>24.646874999999998</v>
      </c>
      <c r="O2630" s="36">
        <f t="shared" si="287"/>
        <v>657.25</v>
      </c>
      <c r="P2630" s="38">
        <f ca="1">IF(ISERROR(IF(O2630&lt;fi_h/20,0,(OFFSET('Base de dados'!$A$5,IF(O2630&lt;20,1,IF(O2630&gt;1000,10,MATCH(O2630,Cargas,1))),Coluna_fih,1,1))*(1+0.13*0.25)*(PI()*(fi_h/1000)^2/4)*SQRT(2*9.81*(O2630/100-fi_h/2/1000))*1000)),"",IF(O2630&lt;fi_h/20,0,(OFFSET('Base de dados'!$A$5,IF(O2630&lt;20,1,IF(O2630&gt;1000,10,MATCH(O2630,Cargas,1))),Coluna_fih,1,1))*(PI()*(fi_h/1000)^2/4)*SQRT(2*9.81*(O2630/100-fi_h/2/1000))*1000))</f>
        <v>6.8532937200925286</v>
      </c>
      <c r="Q2630" s="38">
        <f ca="1">IF(O2630="","",IF(Tipo_Vertedor="Retangular",IF(O2630&lt;=cota_s*100,0,IF(Tipo_Vertedor="Retangular",Cd_sr*Lef_sr*((O2630/100-cota_s)^(3/2))*1000)),IF(O2630&lt;=cota_s*100+fi_s/20,0,(OFFSET('Base de dados'!$A$4,IF(O2630&lt;20,1,IF(O2630&gt;1000,10,MATCH(O2630,Cargas,1))),Coluna_fis,1,1))*(PI()*(fi_s/1000)^2/4)*(2*9.81*(O2630/100-cota_s-fi_s/2/1000))^0.5*1000)))</f>
        <v>6.1942965400102938</v>
      </c>
      <c r="R2630" s="38">
        <f t="shared" ca="1" si="290"/>
        <v>13.047590260102822</v>
      </c>
      <c r="S2630" s="38">
        <f t="shared" ca="1" si="291"/>
        <v>821.56249999999989</v>
      </c>
    </row>
    <row r="2631" spans="13:19">
      <c r="M2631" s="132">
        <f t="shared" ca="1" si="288"/>
        <v>834.92534281081555</v>
      </c>
      <c r="N2631" s="38">
        <f t="shared" si="289"/>
        <v>24.65625</v>
      </c>
      <c r="O2631" s="36">
        <f t="shared" si="287"/>
        <v>657.5</v>
      </c>
      <c r="P2631" s="38">
        <f ca="1">IF(ISERROR(IF(O2631&lt;fi_h/20,0,(OFFSET('Base de dados'!$A$5,IF(O2631&lt;20,1,IF(O2631&gt;1000,10,MATCH(O2631,Cargas,1))),Coluna_fih,1,1))*(1+0.13*0.25)*(PI()*(fi_h/1000)^2/4)*SQRT(2*9.81*(O2631/100-fi_h/2/1000))*1000)),"",IF(O2631&lt;fi_h/20,0,(OFFSET('Base de dados'!$A$5,IF(O2631&lt;20,1,IF(O2631&gt;1000,10,MATCH(O2631,Cargas,1))),Coluna_fih,1,1))*(PI()*(fi_h/1000)^2/4)*SQRT(2*9.81*(O2631/100-fi_h/2/1000))*1000))</f>
        <v>6.8546004983029665</v>
      </c>
      <c r="Q2631" s="38">
        <f ca="1">IF(O2631="","",IF(Tipo_Vertedor="Retangular",IF(O2631&lt;=cota_s*100,0,IF(Tipo_Vertedor="Retangular",Cd_sr*Lef_sr*((O2631/100-cota_s)^(3/2))*1000)),IF(O2631&lt;=cota_s*100+fi_s/20,0,(OFFSET('Base de dados'!$A$4,IF(O2631&lt;20,1,IF(O2631&gt;1000,10,MATCH(O2631,Cargas,1))),Coluna_fis,1,1))*(PI()*(fi_s/1000)^2/4)*(2*9.81*(O2631/100-cota_s-fi_s/2/1000))^0.5*1000)))</f>
        <v>6.1957423125126079</v>
      </c>
      <c r="R2631" s="38">
        <f t="shared" ca="1" si="290"/>
        <v>13.050342810815575</v>
      </c>
      <c r="S2631" s="38">
        <f t="shared" ca="1" si="291"/>
        <v>821.875</v>
      </c>
    </row>
    <row r="2632" spans="13:19">
      <c r="M2632" s="132">
        <f t="shared" ca="1" si="288"/>
        <v>835.24059477515698</v>
      </c>
      <c r="N2632" s="38">
        <f t="shared" si="289"/>
        <v>24.665624999999999</v>
      </c>
      <c r="O2632" s="36">
        <f t="shared" si="287"/>
        <v>657.75</v>
      </c>
      <c r="P2632" s="38">
        <f ca="1">IF(ISERROR(IF(O2632&lt;fi_h/20,0,(OFFSET('Base de dados'!$A$5,IF(O2632&lt;20,1,IF(O2632&gt;1000,10,MATCH(O2632,Cargas,1))),Coluna_fih,1,1))*(1+0.13*0.25)*(PI()*(fi_h/1000)^2/4)*SQRT(2*9.81*(O2632/100-fi_h/2/1000))*1000)),"",IF(O2632&lt;fi_h/20,0,(OFFSET('Base de dados'!$A$5,IF(O2632&lt;20,1,IF(O2632&gt;1000,10,MATCH(O2632,Cargas,1))),Coluna_fih,1,1))*(PI()*(fi_h/1000)^2/4)*SQRT(2*9.81*(O2632/100-fi_h/2/1000))*1000))</f>
        <v>6.8559070274334122</v>
      </c>
      <c r="Q2632" s="38">
        <f ca="1">IF(O2632="","",IF(Tipo_Vertedor="Retangular",IF(O2632&lt;=cota_s*100,0,IF(Tipo_Vertedor="Retangular",Cd_sr*Lef_sr*((O2632/100-cota_s)^(3/2))*1000)),IF(O2632&lt;=cota_s*100+fi_s/20,0,(OFFSET('Base de dados'!$A$4,IF(O2632&lt;20,1,IF(O2632&gt;1000,10,MATCH(O2632,Cargas,1))),Coluna_fis,1,1))*(PI()*(fi_s/1000)^2/4)*(2*9.81*(O2632/100-cota_s-fi_s/2/1000))^0.5*1000)))</f>
        <v>6.1971877477235306</v>
      </c>
      <c r="R2632" s="38">
        <f t="shared" ca="1" si="290"/>
        <v>13.053094775156943</v>
      </c>
      <c r="S2632" s="38">
        <f t="shared" ca="1" si="291"/>
        <v>822.1875</v>
      </c>
    </row>
    <row r="2633" spans="13:19">
      <c r="M2633" s="132">
        <f t="shared" ca="1" si="288"/>
        <v>835.55584615350529</v>
      </c>
      <c r="N2633" s="38">
        <f t="shared" si="289"/>
        <v>24.675000000000001</v>
      </c>
      <c r="O2633" s="36">
        <f t="shared" si="287"/>
        <v>658</v>
      </c>
      <c r="P2633" s="38">
        <f ca="1">IF(ISERROR(IF(O2633&lt;fi_h/20,0,(OFFSET('Base de dados'!$A$5,IF(O2633&lt;20,1,IF(O2633&gt;1000,10,MATCH(O2633,Cargas,1))),Coluna_fih,1,1))*(1+0.13*0.25)*(PI()*(fi_h/1000)^2/4)*SQRT(2*9.81*(O2633/100-fi_h/2/1000))*1000)),"",IF(O2633&lt;fi_h/20,0,(OFFSET('Base de dados'!$A$5,IF(O2633&lt;20,1,IF(O2633&gt;1000,10,MATCH(O2633,Cargas,1))),Coluna_fih,1,1))*(PI()*(fi_h/1000)^2/4)*SQRT(2*9.81*(O2633/100-fi_h/2/1000))*1000))</f>
        <v>6.8572133076262416</v>
      </c>
      <c r="Q2633" s="38">
        <f ca="1">IF(O2633="","",IF(Tipo_Vertedor="Retangular",IF(O2633&lt;=cota_s*100,0,IF(Tipo_Vertedor="Retangular",Cd_sr*Lef_sr*((O2633/100-cota_s)^(3/2))*1000)),IF(O2633&lt;=cota_s*100+fi_s/20,0,(OFFSET('Base de dados'!$A$4,IF(O2633&lt;20,1,IF(O2633&gt;1000,10,MATCH(O2633,Cargas,1))),Coluna_fis,1,1))*(PI()*(fi_s/1000)^2/4)*(2*9.81*(O2633/100-cota_s-fi_s/2/1000))^0.5*1000)))</f>
        <v>6.1986328458790183</v>
      </c>
      <c r="R2633" s="38">
        <f t="shared" ca="1" si="290"/>
        <v>13.055846153505261</v>
      </c>
      <c r="S2633" s="38">
        <f t="shared" ca="1" si="291"/>
        <v>822.5</v>
      </c>
    </row>
    <row r="2634" spans="13:19">
      <c r="M2634" s="132">
        <f t="shared" ca="1" si="288"/>
        <v>835.87109694623848</v>
      </c>
      <c r="N2634" s="38">
        <f t="shared" si="289"/>
        <v>24.684374999999999</v>
      </c>
      <c r="O2634" s="36">
        <f t="shared" si="287"/>
        <v>658.25</v>
      </c>
      <c r="P2634" s="38">
        <f ca="1">IF(ISERROR(IF(O2634&lt;fi_h/20,0,(OFFSET('Base de dados'!$A$5,IF(O2634&lt;20,1,IF(O2634&gt;1000,10,MATCH(O2634,Cargas,1))),Coluna_fih,1,1))*(1+0.13*0.25)*(PI()*(fi_h/1000)^2/4)*SQRT(2*9.81*(O2634/100-fi_h/2/1000))*1000)),"",IF(O2634&lt;fi_h/20,0,(OFFSET('Base de dados'!$A$5,IF(O2634&lt;20,1,IF(O2634&gt;1000,10,MATCH(O2634,Cargas,1))),Coluna_fih,1,1))*(PI()*(fi_h/1000)^2/4)*SQRT(2*9.81*(O2634/100-fi_h/2/1000))*1000))</f>
        <v>6.858519339023692</v>
      </c>
      <c r="Q2634" s="38">
        <f ca="1">IF(O2634="","",IF(Tipo_Vertedor="Retangular",IF(O2634&lt;=cota_s*100,0,IF(Tipo_Vertedor="Retangular",Cd_sr*Lef_sr*((O2634/100-cota_s)^(3/2))*1000)),IF(O2634&lt;=cota_s*100+fi_s/20,0,(OFFSET('Base de dados'!$A$4,IF(O2634&lt;20,1,IF(O2634&gt;1000,10,MATCH(O2634,Cargas,1))),Coluna_fis,1,1))*(PI()*(fi_s/1000)^2/4)*(2*9.81*(O2634/100-cota_s-fi_s/2/1000))^0.5*1000)))</f>
        <v>6.2000776072147517</v>
      </c>
      <c r="R2634" s="38">
        <f t="shared" ca="1" si="290"/>
        <v>13.058596946238444</v>
      </c>
      <c r="S2634" s="38">
        <f t="shared" ca="1" si="291"/>
        <v>822.8125</v>
      </c>
    </row>
    <row r="2635" spans="13:19">
      <c r="M2635" s="132">
        <f t="shared" ca="1" si="288"/>
        <v>836.186347153734</v>
      </c>
      <c r="N2635" s="38">
        <f t="shared" si="289"/>
        <v>24.693750000000001</v>
      </c>
      <c r="O2635" s="36">
        <f t="shared" si="287"/>
        <v>658.5</v>
      </c>
      <c r="P2635" s="38">
        <f ca="1">IF(ISERROR(IF(O2635&lt;fi_h/20,0,(OFFSET('Base de dados'!$A$5,IF(O2635&lt;20,1,IF(O2635&gt;1000,10,MATCH(O2635,Cargas,1))),Coluna_fih,1,1))*(1+0.13*0.25)*(PI()*(fi_h/1000)^2/4)*SQRT(2*9.81*(O2635/100-fi_h/2/1000))*1000)),"",IF(O2635&lt;fi_h/20,0,(OFFSET('Base de dados'!$A$5,IF(O2635&lt;20,1,IF(O2635&gt;1000,10,MATCH(O2635,Cargas,1))),Coluna_fih,1,1))*(PI()*(fi_h/1000)^2/4)*SQRT(2*9.81*(O2635/100-fi_h/2/1000))*1000))</f>
        <v>6.8598251217678703</v>
      </c>
      <c r="Q2635" s="38">
        <f ca="1">IF(O2635="","",IF(Tipo_Vertedor="Retangular",IF(O2635&lt;=cota_s*100,0,IF(Tipo_Vertedor="Retangular",Cd_sr*Lef_sr*((O2635/100-cota_s)^(3/2))*1000)),IF(O2635&lt;=cota_s*100+fi_s/20,0,(OFFSET('Base de dados'!$A$4,IF(O2635&lt;20,1,IF(O2635&gt;1000,10,MATCH(O2635,Cargas,1))),Coluna_fis,1,1))*(PI()*(fi_s/1000)^2/4)*(2*9.81*(O2635/100-cota_s-fi_s/2/1000))^0.5*1000)))</f>
        <v>6.2015220319661344</v>
      </c>
      <c r="R2635" s="38">
        <f t="shared" ca="1" si="290"/>
        <v>13.061347153734005</v>
      </c>
      <c r="S2635" s="38">
        <f t="shared" ca="1" si="291"/>
        <v>823.125</v>
      </c>
    </row>
    <row r="2636" spans="13:19">
      <c r="M2636" s="132">
        <f t="shared" ca="1" si="288"/>
        <v>836.50159677636907</v>
      </c>
      <c r="N2636" s="38">
        <f t="shared" si="289"/>
        <v>24.703125</v>
      </c>
      <c r="O2636" s="36">
        <f t="shared" si="287"/>
        <v>658.75</v>
      </c>
      <c r="P2636" s="38">
        <f ca="1">IF(ISERROR(IF(O2636&lt;fi_h/20,0,(OFFSET('Base de dados'!$A$5,IF(O2636&lt;20,1,IF(O2636&gt;1000,10,MATCH(O2636,Cargas,1))),Coluna_fih,1,1))*(1+0.13*0.25)*(PI()*(fi_h/1000)^2/4)*SQRT(2*9.81*(O2636/100-fi_h/2/1000))*1000)),"",IF(O2636&lt;fi_h/20,0,(OFFSET('Base de dados'!$A$5,IF(O2636&lt;20,1,IF(O2636&gt;1000,10,MATCH(O2636,Cargas,1))),Coluna_fih,1,1))*(PI()*(fi_h/1000)^2/4)*SQRT(2*9.81*(O2636/100-fi_h/2/1000))*1000))</f>
        <v>6.861130656000741</v>
      </c>
      <c r="Q2636" s="38">
        <f ca="1">IF(O2636="","",IF(Tipo_Vertedor="Retangular",IF(O2636&lt;=cota_s*100,0,IF(Tipo_Vertedor="Retangular",Cd_sr*Lef_sr*((O2636/100-cota_s)^(3/2))*1000)),IF(O2636&lt;=cota_s*100+fi_s/20,0,(OFFSET('Base de dados'!$A$4,IF(O2636&lt;20,1,IF(O2636&gt;1000,10,MATCH(O2636,Cargas,1))),Coluna_fis,1,1))*(PI()*(fi_s/1000)^2/4)*(2*9.81*(O2636/100-cota_s-fi_s/2/1000))^0.5*1000)))</f>
        <v>6.2029661203682993</v>
      </c>
      <c r="R2636" s="38">
        <f t="shared" ca="1" si="290"/>
        <v>13.064096776369041</v>
      </c>
      <c r="S2636" s="38">
        <f t="shared" ca="1" si="291"/>
        <v>823.4375</v>
      </c>
    </row>
    <row r="2637" spans="13:19">
      <c r="M2637" s="132">
        <f t="shared" ca="1" si="288"/>
        <v>836.81684581452021</v>
      </c>
      <c r="N2637" s="38">
        <f t="shared" si="289"/>
        <v>24.712499999999999</v>
      </c>
      <c r="O2637" s="36">
        <f t="shared" si="287"/>
        <v>659</v>
      </c>
      <c r="P2637" s="38">
        <f ca="1">IF(ISERROR(IF(O2637&lt;fi_h/20,0,(OFFSET('Base de dados'!$A$5,IF(O2637&lt;20,1,IF(O2637&gt;1000,10,MATCH(O2637,Cargas,1))),Coluna_fih,1,1))*(1+0.13*0.25)*(PI()*(fi_h/1000)^2/4)*SQRT(2*9.81*(O2637/100-fi_h/2/1000))*1000)),"",IF(O2637&lt;fi_h/20,0,(OFFSET('Base de dados'!$A$5,IF(O2637&lt;20,1,IF(O2637&gt;1000,10,MATCH(O2637,Cargas,1))),Coluna_fih,1,1))*(PI()*(fi_h/1000)^2/4)*SQRT(2*9.81*(O2637/100-fi_h/2/1000))*1000))</f>
        <v>6.8624359418641365</v>
      </c>
      <c r="Q2637" s="38">
        <f ca="1">IF(O2637="","",IF(Tipo_Vertedor="Retangular",IF(O2637&lt;=cota_s*100,0,IF(Tipo_Vertedor="Retangular",Cd_sr*Lef_sr*((O2637/100-cota_s)^(3/2))*1000)),IF(O2637&lt;=cota_s*100+fi_s/20,0,(OFFSET('Base de dados'!$A$4,IF(O2637&lt;20,1,IF(O2637&gt;1000,10,MATCH(O2637,Cargas,1))),Coluna_fis,1,1))*(PI()*(fi_s/1000)^2/4)*(2*9.81*(O2637/100-cota_s-fi_s/2/1000))^0.5*1000)))</f>
        <v>6.2044098726561039</v>
      </c>
      <c r="R2637" s="38">
        <f t="shared" ca="1" si="290"/>
        <v>13.06684581452024</v>
      </c>
      <c r="S2637" s="38">
        <f t="shared" ca="1" si="291"/>
        <v>823.75</v>
      </c>
    </row>
    <row r="2638" spans="13:19">
      <c r="M2638" s="132">
        <f t="shared" ca="1" si="288"/>
        <v>837.13209426856383</v>
      </c>
      <c r="N2638" s="38">
        <f t="shared" si="289"/>
        <v>24.721875000000001</v>
      </c>
      <c r="O2638" s="36">
        <f t="shared" si="287"/>
        <v>659.25</v>
      </c>
      <c r="P2638" s="38">
        <f ca="1">IF(ISERROR(IF(O2638&lt;fi_h/20,0,(OFFSET('Base de dados'!$A$5,IF(O2638&lt;20,1,IF(O2638&gt;1000,10,MATCH(O2638,Cargas,1))),Coluna_fih,1,1))*(1+0.13*0.25)*(PI()*(fi_h/1000)^2/4)*SQRT(2*9.81*(O2638/100-fi_h/2/1000))*1000)),"",IF(O2638&lt;fi_h/20,0,(OFFSET('Base de dados'!$A$5,IF(O2638&lt;20,1,IF(O2638&gt;1000,10,MATCH(O2638,Cargas,1))),Coluna_fih,1,1))*(PI()*(fi_h/1000)^2/4)*SQRT(2*9.81*(O2638/100-fi_h/2/1000))*1000))</f>
        <v>6.8637409794997586</v>
      </c>
      <c r="Q2638" s="38">
        <f ca="1">IF(O2638="","",IF(Tipo_Vertedor="Retangular",IF(O2638&lt;=cota_s*100,0,IF(Tipo_Vertedor="Retangular",Cd_sr*Lef_sr*((O2638/100-cota_s)^(3/2))*1000)),IF(O2638&lt;=cota_s*100+fi_s/20,0,(OFFSET('Base de dados'!$A$4,IF(O2638&lt;20,1,IF(O2638&gt;1000,10,MATCH(O2638,Cargas,1))),Coluna_fis,1,1))*(PI()*(fi_s/1000)^2/4)*(2*9.81*(O2638/100-cota_s-fi_s/2/1000))^0.5*1000)))</f>
        <v>6.205853289064132</v>
      </c>
      <c r="R2638" s="38">
        <f t="shared" ca="1" si="290"/>
        <v>13.06959426856389</v>
      </c>
      <c r="S2638" s="38">
        <f t="shared" ca="1" si="291"/>
        <v>824.0625</v>
      </c>
    </row>
    <row r="2639" spans="13:19">
      <c r="M2639" s="132">
        <f t="shared" ca="1" si="288"/>
        <v>837.44734213887591</v>
      </c>
      <c r="N2639" s="38">
        <f t="shared" si="289"/>
        <v>24.731249999999999</v>
      </c>
      <c r="O2639" s="36">
        <f t="shared" si="287"/>
        <v>659.5</v>
      </c>
      <c r="P2639" s="38">
        <f ca="1">IF(ISERROR(IF(O2639&lt;fi_h/20,0,(OFFSET('Base de dados'!$A$5,IF(O2639&lt;20,1,IF(O2639&gt;1000,10,MATCH(O2639,Cargas,1))),Coluna_fih,1,1))*(1+0.13*0.25)*(PI()*(fi_h/1000)^2/4)*SQRT(2*9.81*(O2639/100-fi_h/2/1000))*1000)),"",IF(O2639&lt;fi_h/20,0,(OFFSET('Base de dados'!$A$5,IF(O2639&lt;20,1,IF(O2639&gt;1000,10,MATCH(O2639,Cargas,1))),Coluna_fih,1,1))*(PI()*(fi_h/1000)^2/4)*SQRT(2*9.81*(O2639/100-fi_h/2/1000))*1000))</f>
        <v>6.8650457690491677</v>
      </c>
      <c r="Q2639" s="38">
        <f ca="1">IF(O2639="","",IF(Tipo_Vertedor="Retangular",IF(O2639&lt;=cota_s*100,0,IF(Tipo_Vertedor="Retangular",Cd_sr*Lef_sr*((O2639/100-cota_s)^(3/2))*1000)),IF(O2639&lt;=cota_s*100+fi_s/20,0,(OFFSET('Base de dados'!$A$4,IF(O2639&lt;20,1,IF(O2639&gt;1000,10,MATCH(O2639,Cargas,1))),Coluna_fis,1,1))*(PI()*(fi_s/1000)^2/4)*(2*9.81*(O2639/100-cota_s-fi_s/2/1000))^0.5*1000)))</f>
        <v>6.2072963698266959</v>
      </c>
      <c r="R2639" s="38">
        <f t="shared" ca="1" si="290"/>
        <v>13.072342138875864</v>
      </c>
      <c r="S2639" s="38">
        <f t="shared" ca="1" si="291"/>
        <v>824.375</v>
      </c>
    </row>
    <row r="2640" spans="13:19">
      <c r="M2640" s="132">
        <f t="shared" ca="1" si="288"/>
        <v>837.76258942583161</v>
      </c>
      <c r="N2640" s="38">
        <f t="shared" si="289"/>
        <v>24.740625000000001</v>
      </c>
      <c r="O2640" s="36">
        <f t="shared" si="287"/>
        <v>659.75</v>
      </c>
      <c r="P2640" s="38">
        <f ca="1">IF(ISERROR(IF(O2640&lt;fi_h/20,0,(OFFSET('Base de dados'!$A$5,IF(O2640&lt;20,1,IF(O2640&gt;1000,10,MATCH(O2640,Cargas,1))),Coluna_fih,1,1))*(1+0.13*0.25)*(PI()*(fi_h/1000)^2/4)*SQRT(2*9.81*(O2640/100-fi_h/2/1000))*1000)),"",IF(O2640&lt;fi_h/20,0,(OFFSET('Base de dados'!$A$5,IF(O2640&lt;20,1,IF(O2640&gt;1000,10,MATCH(O2640,Cargas,1))),Coluna_fih,1,1))*(PI()*(fi_h/1000)^2/4)*SQRT(2*9.81*(O2640/100-fi_h/2/1000))*1000))</f>
        <v>6.866350310653794</v>
      </c>
      <c r="Q2640" s="38">
        <f ca="1">IF(O2640="","",IF(Tipo_Vertedor="Retangular",IF(O2640&lt;=cota_s*100,0,IF(Tipo_Vertedor="Retangular",Cd_sr*Lef_sr*((O2640/100-cota_s)^(3/2))*1000)),IF(O2640&lt;=cota_s*100+fi_s/20,0,(OFFSET('Base de dados'!$A$4,IF(O2640&lt;20,1,IF(O2640&gt;1000,10,MATCH(O2640,Cargas,1))),Coluna_fis,1,1))*(PI()*(fi_s/1000)^2/4)*(2*9.81*(O2640/100-cota_s-fi_s/2/1000))^0.5*1000)))</f>
        <v>6.2087391151778357</v>
      </c>
      <c r="R2640" s="38">
        <f t="shared" ca="1" si="290"/>
        <v>13.07508942583163</v>
      </c>
      <c r="S2640" s="38">
        <f t="shared" ca="1" si="291"/>
        <v>824.6875</v>
      </c>
    </row>
    <row r="2641" spans="13:19">
      <c r="M2641" s="132">
        <f t="shared" ca="1" si="288"/>
        <v>838.0778361298062</v>
      </c>
      <c r="N2641" s="38">
        <f t="shared" si="289"/>
        <v>24.75</v>
      </c>
      <c r="O2641" s="36">
        <f t="shared" si="287"/>
        <v>660</v>
      </c>
      <c r="P2641" s="38">
        <f ca="1">IF(ISERROR(IF(O2641&lt;fi_h/20,0,(OFFSET('Base de dados'!$A$5,IF(O2641&lt;20,1,IF(O2641&gt;1000,10,MATCH(O2641,Cargas,1))),Coluna_fih,1,1))*(1+0.13*0.25)*(PI()*(fi_h/1000)^2/4)*SQRT(2*9.81*(O2641/100-fi_h/2/1000))*1000)),"",IF(O2641&lt;fi_h/20,0,(OFFSET('Base de dados'!$A$5,IF(O2641&lt;20,1,IF(O2641&gt;1000,10,MATCH(O2641,Cargas,1))),Coluna_fih,1,1))*(PI()*(fi_h/1000)^2/4)*SQRT(2*9.81*(O2641/100-fi_h/2/1000))*1000))</f>
        <v>6.8676546044549314</v>
      </c>
      <c r="Q2641" s="38">
        <f ca="1">IF(O2641="","",IF(Tipo_Vertedor="Retangular",IF(O2641&lt;=cota_s*100,0,IF(Tipo_Vertedor="Retangular",Cd_sr*Lef_sr*((O2641/100-cota_s)^(3/2))*1000)),IF(O2641&lt;=cota_s*100+fi_s/20,0,(OFFSET('Base de dados'!$A$4,IF(O2641&lt;20,1,IF(O2641&gt;1000,10,MATCH(O2641,Cargas,1))),Coluna_fis,1,1))*(PI()*(fi_s/1000)^2/4)*(2*9.81*(O2641/100-cota_s-fi_s/2/1000))^0.5*1000)))</f>
        <v>6.2101815253513184</v>
      </c>
      <c r="R2641" s="38">
        <f t="shared" ca="1" si="290"/>
        <v>13.077836129806251</v>
      </c>
      <c r="S2641" s="38">
        <f t="shared" ca="1" si="291"/>
        <v>825</v>
      </c>
    </row>
    <row r="2642" spans="13:19">
      <c r="M2642" s="132">
        <f t="shared" ca="1" si="288"/>
        <v>838.39308225117441</v>
      </c>
      <c r="N2642" s="38">
        <f t="shared" si="289"/>
        <v>24.759374999999999</v>
      </c>
      <c r="O2642" s="36">
        <f t="shared" si="287"/>
        <v>660.25</v>
      </c>
      <c r="P2642" s="38">
        <f ca="1">IF(ISERROR(IF(O2642&lt;fi_h/20,0,(OFFSET('Base de dados'!$A$5,IF(O2642&lt;20,1,IF(O2642&gt;1000,10,MATCH(O2642,Cargas,1))),Coluna_fih,1,1))*(1+0.13*0.25)*(PI()*(fi_h/1000)^2/4)*SQRT(2*9.81*(O2642/100-fi_h/2/1000))*1000)),"",IF(O2642&lt;fi_h/20,0,(OFFSET('Base de dados'!$A$5,IF(O2642&lt;20,1,IF(O2642&gt;1000,10,MATCH(O2642,Cargas,1))),Coluna_fih,1,1))*(PI()*(fi_h/1000)^2/4)*SQRT(2*9.81*(O2642/100-fi_h/2/1000))*1000))</f>
        <v>6.8689586505937417</v>
      </c>
      <c r="Q2642" s="38">
        <f ca="1">IF(O2642="","",IF(Tipo_Vertedor="Retangular",IF(O2642&lt;=cota_s*100,0,IF(Tipo_Vertedor="Retangular",Cd_sr*Lef_sr*((O2642/100-cota_s)^(3/2))*1000)),IF(O2642&lt;=cota_s*100+fi_s/20,0,(OFFSET('Base de dados'!$A$4,IF(O2642&lt;20,1,IF(O2642&gt;1000,10,MATCH(O2642,Cargas,1))),Coluna_fis,1,1))*(PI()*(fi_s/1000)^2/4)*(2*9.81*(O2642/100-cota_s-fi_s/2/1000))^0.5*1000)))</f>
        <v>6.2116236005806407</v>
      </c>
      <c r="R2642" s="38">
        <f t="shared" ca="1" si="290"/>
        <v>13.080582251174382</v>
      </c>
      <c r="S2642" s="38">
        <f t="shared" ca="1" si="291"/>
        <v>825.3125</v>
      </c>
    </row>
    <row r="2643" spans="13:19">
      <c r="M2643" s="132">
        <f t="shared" ca="1" si="288"/>
        <v>838.70832779031025</v>
      </c>
      <c r="N2643" s="38">
        <f t="shared" si="289"/>
        <v>24.768750000000001</v>
      </c>
      <c r="O2643" s="36">
        <f t="shared" ref="O2643:O2706" si="292">IF(ISERROR(IF(O2642+passo_altura&gt;h_max_puls*100,"",O2642+passo_altura)),"",IF(O2642+passo_altura&gt;h_max_puls*100,"",O2642+passo_altura))</f>
        <v>660.5</v>
      </c>
      <c r="P2643" s="38">
        <f ca="1">IF(ISERROR(IF(O2643&lt;fi_h/20,0,(OFFSET('Base de dados'!$A$5,IF(O2643&lt;20,1,IF(O2643&gt;1000,10,MATCH(O2643,Cargas,1))),Coluna_fih,1,1))*(1+0.13*0.25)*(PI()*(fi_h/1000)^2/4)*SQRT(2*9.81*(O2643/100-fi_h/2/1000))*1000)),"",IF(O2643&lt;fi_h/20,0,(OFFSET('Base de dados'!$A$5,IF(O2643&lt;20,1,IF(O2643&gt;1000,10,MATCH(O2643,Cargas,1))),Coluna_fih,1,1))*(PI()*(fi_h/1000)^2/4)*SQRT(2*9.81*(O2643/100-fi_h/2/1000))*1000))</f>
        <v>6.8702624492112507</v>
      </c>
      <c r="Q2643" s="38">
        <f ca="1">IF(O2643="","",IF(Tipo_Vertedor="Retangular",IF(O2643&lt;=cota_s*100,0,IF(Tipo_Vertedor="Retangular",Cd_sr*Lef_sr*((O2643/100-cota_s)^(3/2))*1000)),IF(O2643&lt;=cota_s*100+fi_s/20,0,(OFFSET('Base de dados'!$A$4,IF(O2643&lt;20,1,IF(O2643&gt;1000,10,MATCH(O2643,Cargas,1))),Coluna_fis,1,1))*(PI()*(fi_s/1000)^2/4)*(2*9.81*(O2643/100-cota_s-fi_s/2/1000))^0.5*1000)))</f>
        <v>6.2130653410990275</v>
      </c>
      <c r="R2643" s="38">
        <f t="shared" ca="1" si="290"/>
        <v>13.083327790310278</v>
      </c>
      <c r="S2643" s="38">
        <f t="shared" ca="1" si="291"/>
        <v>825.625</v>
      </c>
    </row>
    <row r="2644" spans="13:19">
      <c r="M2644" s="132">
        <f t="shared" ca="1" si="288"/>
        <v>839.02357274758776</v>
      </c>
      <c r="N2644" s="38">
        <f t="shared" si="289"/>
        <v>24.778124999999999</v>
      </c>
      <c r="O2644" s="36">
        <f t="shared" si="292"/>
        <v>660.75</v>
      </c>
      <c r="P2644" s="38">
        <f ca="1">IF(ISERROR(IF(O2644&lt;fi_h/20,0,(OFFSET('Base de dados'!$A$5,IF(O2644&lt;20,1,IF(O2644&gt;1000,10,MATCH(O2644,Cargas,1))),Coluna_fih,1,1))*(1+0.13*0.25)*(PI()*(fi_h/1000)^2/4)*SQRT(2*9.81*(O2644/100-fi_h/2/1000))*1000)),"",IF(O2644&lt;fi_h/20,0,(OFFSET('Base de dados'!$A$5,IF(O2644&lt;20,1,IF(O2644&gt;1000,10,MATCH(O2644,Cargas,1))),Coluna_fih,1,1))*(PI()*(fi_h/1000)^2/4)*SQRT(2*9.81*(O2644/100-fi_h/2/1000))*1000))</f>
        <v>6.8715660004483512</v>
      </c>
      <c r="Q2644" s="38">
        <f ca="1">IF(O2644="","",IF(Tipo_Vertedor="Retangular",IF(O2644&lt;=cota_s*100,0,IF(Tipo_Vertedor="Retangular",Cd_sr*Lef_sr*((O2644/100-cota_s)^(3/2))*1000)),IF(O2644&lt;=cota_s*100+fi_s/20,0,(OFFSET('Base de dados'!$A$4,IF(O2644&lt;20,1,IF(O2644&gt;1000,10,MATCH(O2644,Cargas,1))),Coluna_fis,1,1))*(PI()*(fi_s/1000)^2/4)*(2*9.81*(O2644/100-cota_s-fi_s/2/1000))^0.5*1000)))</f>
        <v>6.2145067471394331</v>
      </c>
      <c r="R2644" s="38">
        <f t="shared" ca="1" si="290"/>
        <v>13.086072747587785</v>
      </c>
      <c r="S2644" s="38">
        <f t="shared" ca="1" si="291"/>
        <v>825.9375</v>
      </c>
    </row>
    <row r="2645" spans="13:19">
      <c r="M2645" s="132">
        <f t="shared" ca="1" si="288"/>
        <v>839.3388171233803</v>
      </c>
      <c r="N2645" s="38">
        <f t="shared" si="289"/>
        <v>24.787500000000001</v>
      </c>
      <c r="O2645" s="36">
        <f t="shared" si="292"/>
        <v>661</v>
      </c>
      <c r="P2645" s="38">
        <f ca="1">IF(ISERROR(IF(O2645&lt;fi_h/20,0,(OFFSET('Base de dados'!$A$5,IF(O2645&lt;20,1,IF(O2645&gt;1000,10,MATCH(O2645,Cargas,1))),Coluna_fih,1,1))*(1+0.13*0.25)*(PI()*(fi_h/1000)^2/4)*SQRT(2*9.81*(O2645/100-fi_h/2/1000))*1000)),"",IF(O2645&lt;fi_h/20,0,(OFFSET('Base de dados'!$A$5,IF(O2645&lt;20,1,IF(O2645&gt;1000,10,MATCH(O2645,Cargas,1))),Coluna_fih,1,1))*(PI()*(fi_h/1000)^2/4)*SQRT(2*9.81*(O2645/100-fi_h/2/1000))*1000))</f>
        <v>6.8728693044458034</v>
      </c>
      <c r="Q2645" s="38">
        <f ca="1">IF(O2645="","",IF(Tipo_Vertedor="Retangular",IF(O2645&lt;=cota_s*100,0,IF(Tipo_Vertedor="Retangular",Cd_sr*Lef_sr*((O2645/100-cota_s)^(3/2))*1000)),IF(O2645&lt;=cota_s*100+fi_s/20,0,(OFFSET('Base de dados'!$A$4,IF(O2645&lt;20,1,IF(O2645&gt;1000,10,MATCH(O2645,Cargas,1))),Coluna_fis,1,1))*(PI()*(fi_s/1000)^2/4)*(2*9.81*(O2645/100-cota_s-fi_s/2/1000))^0.5*1000)))</f>
        <v>6.215947818934545</v>
      </c>
      <c r="R2645" s="38">
        <f t="shared" ca="1" si="290"/>
        <v>13.088817123380348</v>
      </c>
      <c r="S2645" s="38">
        <f t="shared" ca="1" si="291"/>
        <v>826.25</v>
      </c>
    </row>
    <row r="2646" spans="13:19">
      <c r="M2646" s="132">
        <f t="shared" ca="1" si="288"/>
        <v>839.65406091806096</v>
      </c>
      <c r="N2646" s="38">
        <f t="shared" si="289"/>
        <v>24.796875</v>
      </c>
      <c r="O2646" s="36">
        <f t="shared" si="292"/>
        <v>661.25</v>
      </c>
      <c r="P2646" s="38">
        <f ca="1">IF(ISERROR(IF(O2646&lt;fi_h/20,0,(OFFSET('Base de dados'!$A$5,IF(O2646&lt;20,1,IF(O2646&gt;1000,10,MATCH(O2646,Cargas,1))),Coluna_fih,1,1))*(1+0.13*0.25)*(PI()*(fi_h/1000)^2/4)*SQRT(2*9.81*(O2646/100-fi_h/2/1000))*1000)),"",IF(O2646&lt;fi_h/20,0,(OFFSET('Base de dados'!$A$5,IF(O2646&lt;20,1,IF(O2646&gt;1000,10,MATCH(O2646,Cargas,1))),Coluna_fih,1,1))*(PI()*(fi_h/1000)^2/4)*SQRT(2*9.81*(O2646/100-fi_h/2/1000))*1000))</f>
        <v>6.8741723613442289</v>
      </c>
      <c r="Q2646" s="38">
        <f ca="1">IF(O2646="","",IF(Tipo_Vertedor="Retangular",IF(O2646&lt;=cota_s*100,0,IF(Tipo_Vertedor="Retangular",Cd_sr*Lef_sr*((O2646/100-cota_s)^(3/2))*1000)),IF(O2646&lt;=cota_s*100+fi_s/20,0,(OFFSET('Base de dados'!$A$4,IF(O2646&lt;20,1,IF(O2646&gt;1000,10,MATCH(O2646,Cargas,1))),Coluna_fis,1,1))*(PI()*(fi_s/1000)^2/4)*(2*9.81*(O2646/100-cota_s-fi_s/2/1000))^0.5*1000)))</f>
        <v>6.2173885567167746</v>
      </c>
      <c r="R2646" s="38">
        <f t="shared" ca="1" si="290"/>
        <v>13.091560918061003</v>
      </c>
      <c r="S2646" s="38">
        <f t="shared" ca="1" si="291"/>
        <v>826.5625</v>
      </c>
    </row>
    <row r="2647" spans="13:19">
      <c r="M2647" s="132">
        <f t="shared" ref="M2647:M2710" ca="1" si="293">IF(O2647="","",2*N2647*1000/(Passo*60)+R2647)</f>
        <v>839.96930413200255</v>
      </c>
      <c r="N2647" s="38">
        <f t="shared" ref="N2647:N2710" si="294">IF(O2647="","",b_0*(O2647/100)^c_0)</f>
        <v>24.806250000000002</v>
      </c>
      <c r="O2647" s="36">
        <f t="shared" si="292"/>
        <v>661.5</v>
      </c>
      <c r="P2647" s="38">
        <f ca="1">IF(ISERROR(IF(O2647&lt;fi_h/20,0,(OFFSET('Base de dados'!$A$5,IF(O2647&lt;20,1,IF(O2647&gt;1000,10,MATCH(O2647,Cargas,1))),Coluna_fih,1,1))*(1+0.13*0.25)*(PI()*(fi_h/1000)^2/4)*SQRT(2*9.81*(O2647/100-fi_h/2/1000))*1000)),"",IF(O2647&lt;fi_h/20,0,(OFFSET('Base de dados'!$A$5,IF(O2647&lt;20,1,IF(O2647&gt;1000,10,MATCH(O2647,Cargas,1))),Coluna_fih,1,1))*(PI()*(fi_h/1000)^2/4)*SQRT(2*9.81*(O2647/100-fi_h/2/1000))*1000))</f>
        <v>6.8754751712841253</v>
      </c>
      <c r="Q2647" s="38">
        <f ca="1">IF(O2647="","",IF(Tipo_Vertedor="Retangular",IF(O2647&lt;=cota_s*100,0,IF(Tipo_Vertedor="Retangular",Cd_sr*Lef_sr*((O2647/100-cota_s)^(3/2))*1000)),IF(O2647&lt;=cota_s*100+fi_s/20,0,(OFFSET('Base de dados'!$A$4,IF(O2647&lt;20,1,IF(O2647&gt;1000,10,MATCH(O2647,Cargas,1))),Coluna_fis,1,1))*(PI()*(fi_s/1000)^2/4)*(2*9.81*(O2647/100-cota_s-fi_s/2/1000))^0.5*1000)))</f>
        <v>6.2188289607182705</v>
      </c>
      <c r="R2647" s="38">
        <f t="shared" ref="R2647:R2710" ca="1" si="295">IF(O2647="","",Q2647+P2647)</f>
        <v>13.094304132002396</v>
      </c>
      <c r="S2647" s="38">
        <f t="shared" ref="S2647:S2710" ca="1" si="296">IF(M2647="","",2*N2647*1000/(Passo*60))</f>
        <v>826.87500000000011</v>
      </c>
    </row>
    <row r="2648" spans="13:19">
      <c r="M2648" s="132">
        <f t="shared" ca="1" si="293"/>
        <v>840.28454676557669</v>
      </c>
      <c r="N2648" s="38">
        <f t="shared" si="294"/>
        <v>24.815624999999997</v>
      </c>
      <c r="O2648" s="36">
        <f t="shared" si="292"/>
        <v>661.75</v>
      </c>
      <c r="P2648" s="38">
        <f ca="1">IF(ISERROR(IF(O2648&lt;fi_h/20,0,(OFFSET('Base de dados'!$A$5,IF(O2648&lt;20,1,IF(O2648&gt;1000,10,MATCH(O2648,Cargas,1))),Coluna_fih,1,1))*(1+0.13*0.25)*(PI()*(fi_h/1000)^2/4)*SQRT(2*9.81*(O2648/100-fi_h/2/1000))*1000)),"",IF(O2648&lt;fi_h/20,0,(OFFSET('Base de dados'!$A$5,IF(O2648&lt;20,1,IF(O2648&gt;1000,10,MATCH(O2648,Cargas,1))),Coluna_fih,1,1))*(PI()*(fi_h/1000)^2/4)*SQRT(2*9.81*(O2648/100-fi_h/2/1000))*1000))</f>
        <v>6.8767777344058496</v>
      </c>
      <c r="Q2648" s="38">
        <f ca="1">IF(O2648="","",IF(Tipo_Vertedor="Retangular",IF(O2648&lt;=cota_s*100,0,IF(Tipo_Vertedor="Retangular",Cd_sr*Lef_sr*((O2648/100-cota_s)^(3/2))*1000)),IF(O2648&lt;=cota_s*100+fi_s/20,0,(OFFSET('Base de dados'!$A$4,IF(O2648&lt;20,1,IF(O2648&gt;1000,10,MATCH(O2648,Cargas,1))),Coluna_fis,1,1))*(PI()*(fi_s/1000)^2/4)*(2*9.81*(O2648/100-cota_s-fi_s/2/1000))^0.5*1000)))</f>
        <v>6.2202690311709068</v>
      </c>
      <c r="R2648" s="38">
        <f t="shared" ca="1" si="295"/>
        <v>13.097046765576756</v>
      </c>
      <c r="S2648" s="38">
        <f t="shared" ca="1" si="296"/>
        <v>827.18749999999989</v>
      </c>
    </row>
    <row r="2649" spans="13:19">
      <c r="M2649" s="132">
        <f t="shared" ca="1" si="293"/>
        <v>840.59978881915595</v>
      </c>
      <c r="N2649" s="38">
        <f t="shared" si="294"/>
        <v>24.824999999999999</v>
      </c>
      <c r="O2649" s="36">
        <f t="shared" si="292"/>
        <v>662</v>
      </c>
      <c r="P2649" s="38">
        <f ca="1">IF(ISERROR(IF(O2649&lt;fi_h/20,0,(OFFSET('Base de dados'!$A$5,IF(O2649&lt;20,1,IF(O2649&gt;1000,10,MATCH(O2649,Cargas,1))),Coluna_fih,1,1))*(1+0.13*0.25)*(PI()*(fi_h/1000)^2/4)*SQRT(2*9.81*(O2649/100-fi_h/2/1000))*1000)),"",IF(O2649&lt;fi_h/20,0,(OFFSET('Base de dados'!$A$5,IF(O2649&lt;20,1,IF(O2649&gt;1000,10,MATCH(O2649,Cargas,1))),Coluna_fih,1,1))*(PI()*(fi_h/1000)^2/4)*SQRT(2*9.81*(O2649/100-fi_h/2/1000))*1000))</f>
        <v>6.8780800508496291</v>
      </c>
      <c r="Q2649" s="38">
        <f ca="1">IF(O2649="","",IF(Tipo_Vertedor="Retangular",IF(O2649&lt;=cota_s*100,0,IF(Tipo_Vertedor="Retangular",Cd_sr*Lef_sr*((O2649/100-cota_s)^(3/2))*1000)),IF(O2649&lt;=cota_s*100+fi_s/20,0,(OFFSET('Base de dados'!$A$4,IF(O2649&lt;20,1,IF(O2649&gt;1000,10,MATCH(O2649,Cargas,1))),Coluna_fis,1,1))*(PI()*(fi_s/1000)^2/4)*(2*9.81*(O2649/100-cota_s-fi_s/2/1000))^0.5*1000)))</f>
        <v>6.2217087683062955</v>
      </c>
      <c r="R2649" s="38">
        <f t="shared" ca="1" si="295"/>
        <v>13.099788819155926</v>
      </c>
      <c r="S2649" s="38">
        <f t="shared" ca="1" si="296"/>
        <v>827.5</v>
      </c>
    </row>
    <row r="2650" spans="13:19">
      <c r="M2650" s="132">
        <f t="shared" ca="1" si="293"/>
        <v>840.91503029311116</v>
      </c>
      <c r="N2650" s="38">
        <f t="shared" si="294"/>
        <v>24.834374999999998</v>
      </c>
      <c r="O2650" s="36">
        <f t="shared" si="292"/>
        <v>662.25</v>
      </c>
      <c r="P2650" s="38">
        <f ca="1">IF(ISERROR(IF(O2650&lt;fi_h/20,0,(OFFSET('Base de dados'!$A$5,IF(O2650&lt;20,1,IF(O2650&gt;1000,10,MATCH(O2650,Cargas,1))),Coluna_fih,1,1))*(1+0.13*0.25)*(PI()*(fi_h/1000)^2/4)*SQRT(2*9.81*(O2650/100-fi_h/2/1000))*1000)),"",IF(O2650&lt;fi_h/20,0,(OFFSET('Base de dados'!$A$5,IF(O2650&lt;20,1,IF(O2650&gt;1000,10,MATCH(O2650,Cargas,1))),Coluna_fih,1,1))*(PI()*(fi_h/1000)^2/4)*SQRT(2*9.81*(O2650/100-fi_h/2/1000))*1000))</f>
        <v>6.8793821207555546</v>
      </c>
      <c r="Q2650" s="38">
        <f ca="1">IF(O2650="","",IF(Tipo_Vertedor="Retangular",IF(O2650&lt;=cota_s*100,0,IF(Tipo_Vertedor="Retangular",Cd_sr*Lef_sr*((O2650/100-cota_s)^(3/2))*1000)),IF(O2650&lt;=cota_s*100+fi_s/20,0,(OFFSET('Base de dados'!$A$4,IF(O2650&lt;20,1,IF(O2650&gt;1000,10,MATCH(O2650,Cargas,1))),Coluna_fis,1,1))*(PI()*(fi_s/1000)^2/4)*(2*9.81*(O2650/100-cota_s-fi_s/2/1000))^0.5*1000)))</f>
        <v>6.2231481723557733</v>
      </c>
      <c r="R2650" s="38">
        <f t="shared" ca="1" si="295"/>
        <v>13.102530293111329</v>
      </c>
      <c r="S2650" s="38">
        <f t="shared" ca="1" si="296"/>
        <v>827.81249999999989</v>
      </c>
    </row>
    <row r="2651" spans="13:19">
      <c r="M2651" s="132">
        <f t="shared" ca="1" si="293"/>
        <v>841.23027118781397</v>
      </c>
      <c r="N2651" s="38">
        <f t="shared" si="294"/>
        <v>24.84375</v>
      </c>
      <c r="O2651" s="36">
        <f t="shared" si="292"/>
        <v>662.5</v>
      </c>
      <c r="P2651" s="38">
        <f ca="1">IF(ISERROR(IF(O2651&lt;fi_h/20,0,(OFFSET('Base de dados'!$A$5,IF(O2651&lt;20,1,IF(O2651&gt;1000,10,MATCH(O2651,Cargas,1))),Coluna_fih,1,1))*(1+0.13*0.25)*(PI()*(fi_h/1000)^2/4)*SQRT(2*9.81*(O2651/100-fi_h/2/1000))*1000)),"",IF(O2651&lt;fi_h/20,0,(OFFSET('Base de dados'!$A$5,IF(O2651&lt;20,1,IF(O2651&gt;1000,10,MATCH(O2651,Cargas,1))),Coluna_fih,1,1))*(PI()*(fi_h/1000)^2/4)*SQRT(2*9.81*(O2651/100-fi_h/2/1000))*1000))</f>
        <v>6.8806839442635921</v>
      </c>
      <c r="Q2651" s="38">
        <f ca="1">IF(O2651="","",IF(Tipo_Vertedor="Retangular",IF(O2651&lt;=cota_s*100,0,IF(Tipo_Vertedor="Retangular",Cd_sr*Lef_sr*((O2651/100-cota_s)^(3/2))*1000)),IF(O2651&lt;=cota_s*100+fi_s/20,0,(OFFSET('Base de dados'!$A$4,IF(O2651&lt;20,1,IF(O2651&gt;1000,10,MATCH(O2651,Cargas,1))),Coluna_fis,1,1))*(PI()*(fi_s/1000)^2/4)*(2*9.81*(O2651/100-cota_s-fi_s/2/1000))^0.5*1000)))</f>
        <v>6.2245872435504168</v>
      </c>
      <c r="R2651" s="38">
        <f t="shared" ca="1" si="295"/>
        <v>13.105271187814008</v>
      </c>
      <c r="S2651" s="38">
        <f t="shared" ca="1" si="296"/>
        <v>828.125</v>
      </c>
    </row>
    <row r="2652" spans="13:19">
      <c r="M2652" s="132">
        <f t="shared" ca="1" si="293"/>
        <v>841.54551150363477</v>
      </c>
      <c r="N2652" s="38">
        <f t="shared" si="294"/>
        <v>24.853125000000002</v>
      </c>
      <c r="O2652" s="36">
        <f t="shared" si="292"/>
        <v>662.75</v>
      </c>
      <c r="P2652" s="38">
        <f ca="1">IF(ISERROR(IF(O2652&lt;fi_h/20,0,(OFFSET('Base de dados'!$A$5,IF(O2652&lt;20,1,IF(O2652&gt;1000,10,MATCH(O2652,Cargas,1))),Coluna_fih,1,1))*(1+0.13*0.25)*(PI()*(fi_h/1000)^2/4)*SQRT(2*9.81*(O2652/100-fi_h/2/1000))*1000)),"",IF(O2652&lt;fi_h/20,0,(OFFSET('Base de dados'!$A$5,IF(O2652&lt;20,1,IF(O2652&gt;1000,10,MATCH(O2652,Cargas,1))),Coluna_fih,1,1))*(PI()*(fi_h/1000)^2/4)*SQRT(2*9.81*(O2652/100-fi_h/2/1000))*1000))</f>
        <v>6.8819855215135677</v>
      </c>
      <c r="Q2652" s="38">
        <f ca="1">IF(O2652="","",IF(Tipo_Vertedor="Retangular",IF(O2652&lt;=cota_s*100,0,IF(Tipo_Vertedor="Retangular",Cd_sr*Lef_sr*((O2652/100-cota_s)^(3/2))*1000)),IF(O2652&lt;=cota_s*100+fi_s/20,0,(OFFSET('Base de dados'!$A$4,IF(O2652&lt;20,1,IF(O2652&gt;1000,10,MATCH(O2652,Cargas,1))),Coluna_fis,1,1))*(PI()*(fi_s/1000)^2/4)*(2*9.81*(O2652/100-cota_s-fi_s/2/1000))^0.5*1000)))</f>
        <v>6.2260259821210315</v>
      </c>
      <c r="R2652" s="38">
        <f t="shared" ca="1" si="295"/>
        <v>13.1080115036346</v>
      </c>
      <c r="S2652" s="38">
        <f t="shared" ca="1" si="296"/>
        <v>828.43750000000011</v>
      </c>
    </row>
    <row r="2653" spans="13:19">
      <c r="M2653" s="132">
        <f t="shared" ca="1" si="293"/>
        <v>841.86075124094339</v>
      </c>
      <c r="N2653" s="38">
        <f t="shared" si="294"/>
        <v>24.862500000000001</v>
      </c>
      <c r="O2653" s="36">
        <f t="shared" si="292"/>
        <v>663</v>
      </c>
      <c r="P2653" s="38">
        <f ca="1">IF(ISERROR(IF(O2653&lt;fi_h/20,0,(OFFSET('Base de dados'!$A$5,IF(O2653&lt;20,1,IF(O2653&gt;1000,10,MATCH(O2653,Cargas,1))),Coluna_fih,1,1))*(1+0.13*0.25)*(PI()*(fi_h/1000)^2/4)*SQRT(2*9.81*(O2653/100-fi_h/2/1000))*1000)),"",IF(O2653&lt;fi_h/20,0,(OFFSET('Base de dados'!$A$5,IF(O2653&lt;20,1,IF(O2653&gt;1000,10,MATCH(O2653,Cargas,1))),Coluna_fih,1,1))*(PI()*(fi_h/1000)^2/4)*SQRT(2*9.81*(O2653/100-fi_h/2/1000))*1000))</f>
        <v>6.8832868526451758</v>
      </c>
      <c r="Q2653" s="38">
        <f ca="1">IF(O2653="","",IF(Tipo_Vertedor="Retangular",IF(O2653&lt;=cota_s*100,0,IF(Tipo_Vertedor="Retangular",Cd_sr*Lef_sr*((O2653/100-cota_s)^(3/2))*1000)),IF(O2653&lt;=cota_s*100+fi_s/20,0,(OFFSET('Base de dados'!$A$4,IF(O2653&lt;20,1,IF(O2653&gt;1000,10,MATCH(O2653,Cargas,1))),Coluna_fis,1,1))*(PI()*(fi_s/1000)^2/4)*(2*9.81*(O2653/100-cota_s-fi_s/2/1000))^0.5*1000)))</f>
        <v>6.2274643882981566</v>
      </c>
      <c r="R2653" s="38">
        <f t="shared" ca="1" si="295"/>
        <v>13.110751240943333</v>
      </c>
      <c r="S2653" s="38">
        <f t="shared" ca="1" si="296"/>
        <v>828.75</v>
      </c>
    </row>
    <row r="2654" spans="13:19">
      <c r="M2654" s="132">
        <f t="shared" ca="1" si="293"/>
        <v>842.17599040011021</v>
      </c>
      <c r="N2654" s="38">
        <f t="shared" si="294"/>
        <v>24.871875000000003</v>
      </c>
      <c r="O2654" s="36">
        <f t="shared" si="292"/>
        <v>663.25</v>
      </c>
      <c r="P2654" s="38">
        <f ca="1">IF(ISERROR(IF(O2654&lt;fi_h/20,0,(OFFSET('Base de dados'!$A$5,IF(O2654&lt;20,1,IF(O2654&gt;1000,10,MATCH(O2654,Cargas,1))),Coluna_fih,1,1))*(1+0.13*0.25)*(PI()*(fi_h/1000)^2/4)*SQRT(2*9.81*(O2654/100-fi_h/2/1000))*1000)),"",IF(O2654&lt;fi_h/20,0,(OFFSET('Base de dados'!$A$5,IF(O2654&lt;20,1,IF(O2654&gt;1000,10,MATCH(O2654,Cargas,1))),Coluna_fih,1,1))*(PI()*(fi_h/1000)^2/4)*SQRT(2*9.81*(O2654/100-fi_h/2/1000))*1000))</f>
        <v>6.8845879377979848</v>
      </c>
      <c r="Q2654" s="38">
        <f ca="1">IF(O2654="","",IF(Tipo_Vertedor="Retangular",IF(O2654&lt;=cota_s*100,0,IF(Tipo_Vertedor="Retangular",Cd_sr*Lef_sr*((O2654/100-cota_s)^(3/2))*1000)),IF(O2654&lt;=cota_s*100+fi_s/20,0,(OFFSET('Base de dados'!$A$4,IF(O2654&lt;20,1,IF(O2654&gt;1000,10,MATCH(O2654,Cargas,1))),Coluna_fis,1,1))*(PI()*(fi_s/1000)^2/4)*(2*9.81*(O2654/100-cota_s-fi_s/2/1000))^0.5*1000)))</f>
        <v>6.2289024623120648</v>
      </c>
      <c r="R2654" s="38">
        <f t="shared" ca="1" si="295"/>
        <v>13.113490400110049</v>
      </c>
      <c r="S2654" s="38">
        <f t="shared" ca="1" si="296"/>
        <v>829.06250000000011</v>
      </c>
    </row>
    <row r="2655" spans="13:19">
      <c r="M2655" s="132">
        <f t="shared" ca="1" si="293"/>
        <v>842.49122898150404</v>
      </c>
      <c r="N2655" s="38">
        <f t="shared" si="294"/>
        <v>24.881249999999998</v>
      </c>
      <c r="O2655" s="36">
        <f t="shared" si="292"/>
        <v>663.5</v>
      </c>
      <c r="P2655" s="38">
        <f ca="1">IF(ISERROR(IF(O2655&lt;fi_h/20,0,(OFFSET('Base de dados'!$A$5,IF(O2655&lt;20,1,IF(O2655&gt;1000,10,MATCH(O2655,Cargas,1))),Coluna_fih,1,1))*(1+0.13*0.25)*(PI()*(fi_h/1000)^2/4)*SQRT(2*9.81*(O2655/100-fi_h/2/1000))*1000)),"",IF(O2655&lt;fi_h/20,0,(OFFSET('Base de dados'!$A$5,IF(O2655&lt;20,1,IF(O2655&gt;1000,10,MATCH(O2655,Cargas,1))),Coluna_fih,1,1))*(PI()*(fi_h/1000)^2/4)*SQRT(2*9.81*(O2655/100-fi_h/2/1000))*1000))</f>
        <v>6.8858887771114254</v>
      </c>
      <c r="Q2655" s="38">
        <f ca="1">IF(O2655="","",IF(Tipo_Vertedor="Retangular",IF(O2655&lt;=cota_s*100,0,IF(Tipo_Vertedor="Retangular",Cd_sr*Lef_sr*((O2655/100-cota_s)^(3/2))*1000)),IF(O2655&lt;=cota_s*100+fi_s/20,0,(OFFSET('Base de dados'!$A$4,IF(O2655&lt;20,1,IF(O2655&gt;1000,10,MATCH(O2655,Cargas,1))),Coluna_fis,1,1))*(PI()*(fi_s/1000)^2/4)*(2*9.81*(O2655/100-cota_s-fi_s/2/1000))^0.5*1000)))</f>
        <v>6.2303402043927649</v>
      </c>
      <c r="R2655" s="38">
        <f t="shared" ca="1" si="295"/>
        <v>13.116228981504189</v>
      </c>
      <c r="S2655" s="38">
        <f t="shared" ca="1" si="296"/>
        <v>829.37499999999989</v>
      </c>
    </row>
    <row r="2656" spans="13:19">
      <c r="M2656" s="132">
        <f t="shared" ca="1" si="293"/>
        <v>842.80646698549481</v>
      </c>
      <c r="N2656" s="38">
        <f t="shared" si="294"/>
        <v>24.890625</v>
      </c>
      <c r="O2656" s="36">
        <f t="shared" si="292"/>
        <v>663.75</v>
      </c>
      <c r="P2656" s="38">
        <f ca="1">IF(ISERROR(IF(O2656&lt;fi_h/20,0,(OFFSET('Base de dados'!$A$5,IF(O2656&lt;20,1,IF(O2656&gt;1000,10,MATCH(O2656,Cargas,1))),Coluna_fih,1,1))*(1+0.13*0.25)*(PI()*(fi_h/1000)^2/4)*SQRT(2*9.81*(O2656/100-fi_h/2/1000))*1000)),"",IF(O2656&lt;fi_h/20,0,(OFFSET('Base de dados'!$A$5,IF(O2656&lt;20,1,IF(O2656&gt;1000,10,MATCH(O2656,Cargas,1))),Coluna_fih,1,1))*(PI()*(fi_h/1000)^2/4)*SQRT(2*9.81*(O2656/100-fi_h/2/1000))*1000))</f>
        <v>6.8871893707247995</v>
      </c>
      <c r="Q2656" s="38">
        <f ca="1">IF(O2656="","",IF(Tipo_Vertedor="Retangular",IF(O2656&lt;=cota_s*100,0,IF(Tipo_Vertedor="Retangular",Cd_sr*Lef_sr*((O2656/100-cota_s)^(3/2))*1000)),IF(O2656&lt;=cota_s*100+fi_s/20,0,(OFFSET('Base de dados'!$A$4,IF(O2656&lt;20,1,IF(O2656&gt;1000,10,MATCH(O2656,Cargas,1))),Coluna_fis,1,1))*(PI()*(fi_s/1000)^2/4)*(2*9.81*(O2656/100-cota_s-fi_s/2/1000))^0.5*1000)))</f>
        <v>6.2317776147699986</v>
      </c>
      <c r="R2656" s="38">
        <f t="shared" ca="1" si="295"/>
        <v>13.118966985494797</v>
      </c>
      <c r="S2656" s="38">
        <f t="shared" ca="1" si="296"/>
        <v>829.6875</v>
      </c>
    </row>
    <row r="2657" spans="13:19">
      <c r="M2657" s="132">
        <f t="shared" ca="1" si="293"/>
        <v>843.12170441245053</v>
      </c>
      <c r="N2657" s="38">
        <f t="shared" si="294"/>
        <v>24.9</v>
      </c>
      <c r="O2657" s="36">
        <f t="shared" si="292"/>
        <v>664</v>
      </c>
      <c r="P2657" s="38">
        <f ca="1">IF(ISERROR(IF(O2657&lt;fi_h/20,0,(OFFSET('Base de dados'!$A$5,IF(O2657&lt;20,1,IF(O2657&gt;1000,10,MATCH(O2657,Cargas,1))),Coluna_fih,1,1))*(1+0.13*0.25)*(PI()*(fi_h/1000)^2/4)*SQRT(2*9.81*(O2657/100-fi_h/2/1000))*1000)),"",IF(O2657&lt;fi_h/20,0,(OFFSET('Base de dados'!$A$5,IF(O2657&lt;20,1,IF(O2657&gt;1000,10,MATCH(O2657,Cargas,1))),Coluna_fih,1,1))*(PI()*(fi_h/1000)^2/4)*SQRT(2*9.81*(O2657/100-fi_h/2/1000))*1000))</f>
        <v>6.8884897187772758</v>
      </c>
      <c r="Q2657" s="38">
        <f ca="1">IF(O2657="","",IF(Tipo_Vertedor="Retangular",IF(O2657&lt;=cota_s*100,0,IF(Tipo_Vertedor="Retangular",Cd_sr*Lef_sr*((O2657/100-cota_s)^(3/2))*1000)),IF(O2657&lt;=cota_s*100+fi_s/20,0,(OFFSET('Base de dados'!$A$4,IF(O2657&lt;20,1,IF(O2657&gt;1000,10,MATCH(O2657,Cargas,1))),Coluna_fis,1,1))*(PI()*(fi_s/1000)^2/4)*(2*9.81*(O2657/100-cota_s-fi_s/2/1000))^0.5*1000)))</f>
        <v>6.2332146936732435</v>
      </c>
      <c r="R2657" s="38">
        <f t="shared" ca="1" si="295"/>
        <v>13.121704412450519</v>
      </c>
      <c r="S2657" s="38">
        <f t="shared" ca="1" si="296"/>
        <v>830</v>
      </c>
    </row>
    <row r="2658" spans="13:19">
      <c r="M2658" s="132">
        <f t="shared" ca="1" si="293"/>
        <v>843.43694126273965</v>
      </c>
      <c r="N2658" s="38">
        <f t="shared" si="294"/>
        <v>24.909375000000001</v>
      </c>
      <c r="O2658" s="36">
        <f t="shared" si="292"/>
        <v>664.25</v>
      </c>
      <c r="P2658" s="38">
        <f ca="1">IF(ISERROR(IF(O2658&lt;fi_h/20,0,(OFFSET('Base de dados'!$A$5,IF(O2658&lt;20,1,IF(O2658&gt;1000,10,MATCH(O2658,Cargas,1))),Coluna_fih,1,1))*(1+0.13*0.25)*(PI()*(fi_h/1000)^2/4)*SQRT(2*9.81*(O2658/100-fi_h/2/1000))*1000)),"",IF(O2658&lt;fi_h/20,0,(OFFSET('Base de dados'!$A$5,IF(O2658&lt;20,1,IF(O2658&gt;1000,10,MATCH(O2658,Cargas,1))),Coluna_fih,1,1))*(PI()*(fi_h/1000)^2/4)*SQRT(2*9.81*(O2658/100-fi_h/2/1000))*1000))</f>
        <v>6.8897898214078932</v>
      </c>
      <c r="Q2658" s="38">
        <f ca="1">IF(O2658="","",IF(Tipo_Vertedor="Retangular",IF(O2658&lt;=cota_s*100,0,IF(Tipo_Vertedor="Retangular",Cd_sr*Lef_sr*((O2658/100-cota_s)^(3/2))*1000)),IF(O2658&lt;=cota_s*100+fi_s/20,0,(OFFSET('Base de dados'!$A$4,IF(O2658&lt;20,1,IF(O2658&gt;1000,10,MATCH(O2658,Cargas,1))),Coluna_fis,1,1))*(PI()*(fi_s/1000)^2/4)*(2*9.81*(O2658/100-cota_s-fi_s/2/1000))^0.5*1000)))</f>
        <v>6.2346514413317129</v>
      </c>
      <c r="R2658" s="38">
        <f t="shared" ca="1" si="295"/>
        <v>13.124441262739605</v>
      </c>
      <c r="S2658" s="38">
        <f t="shared" ca="1" si="296"/>
        <v>830.3125</v>
      </c>
    </row>
    <row r="2659" spans="13:19">
      <c r="M2659" s="132">
        <f t="shared" ca="1" si="293"/>
        <v>843.75217753672996</v>
      </c>
      <c r="N2659" s="38">
        <f t="shared" si="294"/>
        <v>24.918749999999999</v>
      </c>
      <c r="O2659" s="36">
        <f t="shared" si="292"/>
        <v>664.5</v>
      </c>
      <c r="P2659" s="38">
        <f ca="1">IF(ISERROR(IF(O2659&lt;fi_h/20,0,(OFFSET('Base de dados'!$A$5,IF(O2659&lt;20,1,IF(O2659&gt;1000,10,MATCH(O2659,Cargas,1))),Coluna_fih,1,1))*(1+0.13*0.25)*(PI()*(fi_h/1000)^2/4)*SQRT(2*9.81*(O2659/100-fi_h/2/1000))*1000)),"",IF(O2659&lt;fi_h/20,0,(OFFSET('Base de dados'!$A$5,IF(O2659&lt;20,1,IF(O2659&gt;1000,10,MATCH(O2659,Cargas,1))),Coluna_fih,1,1))*(PI()*(fi_h/1000)^2/4)*SQRT(2*9.81*(O2659/100-fi_h/2/1000))*1000))</f>
        <v>6.8910896787555576</v>
      </c>
      <c r="Q2659" s="38">
        <f ca="1">IF(O2659="","",IF(Tipo_Vertedor="Retangular",IF(O2659&lt;=cota_s*100,0,IF(Tipo_Vertedor="Retangular",Cd_sr*Lef_sr*((O2659/100-cota_s)^(3/2))*1000)),IF(O2659&lt;=cota_s*100+fi_s/20,0,(OFFSET('Base de dados'!$A$4,IF(O2659&lt;20,1,IF(O2659&gt;1000,10,MATCH(O2659,Cargas,1))),Coluna_fis,1,1))*(PI()*(fi_s/1000)^2/4)*(2*9.81*(O2659/100-cota_s-fi_s/2/1000))^0.5*1000)))</f>
        <v>6.2360878579743542</v>
      </c>
      <c r="R2659" s="38">
        <f t="shared" ca="1" si="295"/>
        <v>13.127177536729912</v>
      </c>
      <c r="S2659" s="38">
        <f t="shared" ca="1" si="296"/>
        <v>830.625</v>
      </c>
    </row>
    <row r="2660" spans="13:19">
      <c r="M2660" s="132">
        <f t="shared" ca="1" si="293"/>
        <v>844.06741323478889</v>
      </c>
      <c r="N2660" s="38">
        <f t="shared" si="294"/>
        <v>24.928125000000001</v>
      </c>
      <c r="O2660" s="36">
        <f t="shared" si="292"/>
        <v>664.75</v>
      </c>
      <c r="P2660" s="38">
        <f ca="1">IF(ISERROR(IF(O2660&lt;fi_h/20,0,(OFFSET('Base de dados'!$A$5,IF(O2660&lt;20,1,IF(O2660&gt;1000,10,MATCH(O2660,Cargas,1))),Coluna_fih,1,1))*(1+0.13*0.25)*(PI()*(fi_h/1000)^2/4)*SQRT(2*9.81*(O2660/100-fi_h/2/1000))*1000)),"",IF(O2660&lt;fi_h/20,0,(OFFSET('Base de dados'!$A$5,IF(O2660&lt;20,1,IF(O2660&gt;1000,10,MATCH(O2660,Cargas,1))),Coluna_fih,1,1))*(PI()*(fi_h/1000)^2/4)*SQRT(2*9.81*(O2660/100-fi_h/2/1000))*1000))</f>
        <v>6.8923892909590476</v>
      </c>
      <c r="Q2660" s="38">
        <f ca="1">IF(O2660="","",IF(Tipo_Vertedor="Retangular",IF(O2660&lt;=cota_s*100,0,IF(Tipo_Vertedor="Retangular",Cd_sr*Lef_sr*((O2660/100-cota_s)^(3/2))*1000)),IF(O2660&lt;=cota_s*100+fi_s/20,0,(OFFSET('Base de dados'!$A$4,IF(O2660&lt;20,1,IF(O2660&gt;1000,10,MATCH(O2660,Cargas,1))),Coluna_fis,1,1))*(PI()*(fi_s/1000)^2/4)*(2*9.81*(O2660/100-cota_s-fi_s/2/1000))^0.5*1000)))</f>
        <v>6.2375239438298564</v>
      </c>
      <c r="R2660" s="38">
        <f t="shared" ca="1" si="295"/>
        <v>13.129913234788905</v>
      </c>
      <c r="S2660" s="38">
        <f t="shared" ca="1" si="296"/>
        <v>830.9375</v>
      </c>
    </row>
    <row r="2661" spans="13:19">
      <c r="M2661" s="132">
        <f t="shared" ca="1" si="293"/>
        <v>844.38264835728364</v>
      </c>
      <c r="N2661" s="38">
        <f t="shared" si="294"/>
        <v>24.9375</v>
      </c>
      <c r="O2661" s="36">
        <f t="shared" si="292"/>
        <v>665</v>
      </c>
      <c r="P2661" s="38">
        <f ca="1">IF(ISERROR(IF(O2661&lt;fi_h/20,0,(OFFSET('Base de dados'!$A$5,IF(O2661&lt;20,1,IF(O2661&gt;1000,10,MATCH(O2661,Cargas,1))),Coluna_fih,1,1))*(1+0.13*0.25)*(PI()*(fi_h/1000)^2/4)*SQRT(2*9.81*(O2661/100-fi_h/2/1000))*1000)),"",IF(O2661&lt;fi_h/20,0,(OFFSET('Base de dados'!$A$5,IF(O2661&lt;20,1,IF(O2661&gt;1000,10,MATCH(O2661,Cargas,1))),Coluna_fih,1,1))*(PI()*(fi_h/1000)^2/4)*SQRT(2*9.81*(O2661/100-fi_h/2/1000))*1000))</f>
        <v>6.8936886581570054</v>
      </c>
      <c r="Q2661" s="38">
        <f ca="1">IF(O2661="","",IF(Tipo_Vertedor="Retangular",IF(O2661&lt;=cota_s*100,0,IF(Tipo_Vertedor="Retangular",Cd_sr*Lef_sr*((O2661/100-cota_s)^(3/2))*1000)),IF(O2661&lt;=cota_s*100+fi_s/20,0,(OFFSET('Base de dados'!$A$4,IF(O2661&lt;20,1,IF(O2661&gt;1000,10,MATCH(O2661,Cargas,1))),Coluna_fis,1,1))*(PI()*(fi_s/1000)^2/4)*(2*9.81*(O2661/100-cota_s-fi_s/2/1000))^0.5*1000)))</f>
        <v>6.2389596991266361</v>
      </c>
      <c r="R2661" s="38">
        <f t="shared" ca="1" si="295"/>
        <v>13.132648357283642</v>
      </c>
      <c r="S2661" s="38">
        <f t="shared" ca="1" si="296"/>
        <v>831.25</v>
      </c>
    </row>
    <row r="2662" spans="13:19">
      <c r="M2662" s="132">
        <f t="shared" ca="1" si="293"/>
        <v>844.69788290458075</v>
      </c>
      <c r="N2662" s="38">
        <f t="shared" si="294"/>
        <v>24.946874999999999</v>
      </c>
      <c r="O2662" s="36">
        <f t="shared" si="292"/>
        <v>665.25</v>
      </c>
      <c r="P2662" s="38">
        <f ca="1">IF(ISERROR(IF(O2662&lt;fi_h/20,0,(OFFSET('Base de dados'!$A$5,IF(O2662&lt;20,1,IF(O2662&gt;1000,10,MATCH(O2662,Cargas,1))),Coluna_fih,1,1))*(1+0.13*0.25)*(PI()*(fi_h/1000)^2/4)*SQRT(2*9.81*(O2662/100-fi_h/2/1000))*1000)),"",IF(O2662&lt;fi_h/20,0,(OFFSET('Base de dados'!$A$5,IF(O2662&lt;20,1,IF(O2662&gt;1000,10,MATCH(O2662,Cargas,1))),Coluna_fih,1,1))*(PI()*(fi_h/1000)^2/4)*SQRT(2*9.81*(O2662/100-fi_h/2/1000))*1000))</f>
        <v>6.8949877804879476</v>
      </c>
      <c r="Q2662" s="38">
        <f ca="1">IF(O2662="","",IF(Tipo_Vertedor="Retangular",IF(O2662&lt;=cota_s*100,0,IF(Tipo_Vertedor="Retangular",Cd_sr*Lef_sr*((O2662/100-cota_s)^(3/2))*1000)),IF(O2662&lt;=cota_s*100+fi_s/20,0,(OFFSET('Base de dados'!$A$4,IF(O2662&lt;20,1,IF(O2662&gt;1000,10,MATCH(O2662,Cargas,1))),Coluna_fis,1,1))*(PI()*(fi_s/1000)^2/4)*(2*9.81*(O2662/100-cota_s-fi_s/2/1000))^0.5*1000)))</f>
        <v>6.2403951240928563</v>
      </c>
      <c r="R2662" s="38">
        <f t="shared" ca="1" si="295"/>
        <v>13.135382904580805</v>
      </c>
      <c r="S2662" s="38">
        <f t="shared" ca="1" si="296"/>
        <v>831.5625</v>
      </c>
    </row>
    <row r="2663" spans="13:19">
      <c r="M2663" s="132">
        <f t="shared" ca="1" si="293"/>
        <v>845.01311687704663</v>
      </c>
      <c r="N2663" s="38">
        <f t="shared" si="294"/>
        <v>24.956250000000001</v>
      </c>
      <c r="O2663" s="36">
        <f t="shared" si="292"/>
        <v>665.5</v>
      </c>
      <c r="P2663" s="38">
        <f ca="1">IF(ISERROR(IF(O2663&lt;fi_h/20,0,(OFFSET('Base de dados'!$A$5,IF(O2663&lt;20,1,IF(O2663&gt;1000,10,MATCH(O2663,Cargas,1))),Coluna_fih,1,1))*(1+0.13*0.25)*(PI()*(fi_h/1000)^2/4)*SQRT(2*9.81*(O2663/100-fi_h/2/1000))*1000)),"",IF(O2663&lt;fi_h/20,0,(OFFSET('Base de dados'!$A$5,IF(O2663&lt;20,1,IF(O2663&gt;1000,10,MATCH(O2663,Cargas,1))),Coluna_fih,1,1))*(PI()*(fi_h/1000)^2/4)*SQRT(2*9.81*(O2663/100-fi_h/2/1000))*1000))</f>
        <v>6.8962866580902578</v>
      </c>
      <c r="Q2663" s="38">
        <f ca="1">IF(O2663="","",IF(Tipo_Vertedor="Retangular",IF(O2663&lt;=cota_s*100,0,IF(Tipo_Vertedor="Retangular",Cd_sr*Lef_sr*((O2663/100-cota_s)^(3/2))*1000)),IF(O2663&lt;=cota_s*100+fi_s/20,0,(OFFSET('Base de dados'!$A$4,IF(O2663&lt;20,1,IF(O2663&gt;1000,10,MATCH(O2663,Cargas,1))),Coluna_fis,1,1))*(PI()*(fi_s/1000)^2/4)*(2*9.81*(O2663/100-cota_s-fi_s/2/1000))^0.5*1000)))</f>
        <v>6.241830218956415</v>
      </c>
      <c r="R2663" s="38">
        <f t="shared" ca="1" si="295"/>
        <v>13.138116877046674</v>
      </c>
      <c r="S2663" s="38">
        <f t="shared" ca="1" si="296"/>
        <v>831.875</v>
      </c>
    </row>
    <row r="2664" spans="13:19">
      <c r="M2664" s="132">
        <f t="shared" ca="1" si="293"/>
        <v>845.32835027504711</v>
      </c>
      <c r="N2664" s="38">
        <f t="shared" si="294"/>
        <v>24.965624999999999</v>
      </c>
      <c r="O2664" s="36">
        <f t="shared" si="292"/>
        <v>665.75</v>
      </c>
      <c r="P2664" s="38">
        <f ca="1">IF(ISERROR(IF(O2664&lt;fi_h/20,0,(OFFSET('Base de dados'!$A$5,IF(O2664&lt;20,1,IF(O2664&gt;1000,10,MATCH(O2664,Cargas,1))),Coluna_fih,1,1))*(1+0.13*0.25)*(PI()*(fi_h/1000)^2/4)*SQRT(2*9.81*(O2664/100-fi_h/2/1000))*1000)),"",IF(O2664&lt;fi_h/20,0,(OFFSET('Base de dados'!$A$5,IF(O2664&lt;20,1,IF(O2664&gt;1000,10,MATCH(O2664,Cargas,1))),Coluna_fih,1,1))*(PI()*(fi_h/1000)^2/4)*SQRT(2*9.81*(O2664/100-fi_h/2/1000))*1000))</f>
        <v>6.897585291102188</v>
      </c>
      <c r="Q2664" s="38">
        <f ca="1">IF(O2664="","",IF(Tipo_Vertedor="Retangular",IF(O2664&lt;=cota_s*100,0,IF(Tipo_Vertedor="Retangular",Cd_sr*Lef_sr*((O2664/100-cota_s)^(3/2))*1000)),IF(O2664&lt;=cota_s*100+fi_s/20,0,(OFFSET('Base de dados'!$A$4,IF(O2664&lt;20,1,IF(O2664&gt;1000,10,MATCH(O2664,Cargas,1))),Coluna_fis,1,1))*(PI()*(fi_s/1000)^2/4)*(2*9.81*(O2664/100-cota_s-fi_s/2/1000))^0.5*1000)))</f>
        <v>6.2432649839449441</v>
      </c>
      <c r="R2664" s="38">
        <f t="shared" ca="1" si="295"/>
        <v>13.140850275047132</v>
      </c>
      <c r="S2664" s="38">
        <f t="shared" ca="1" si="296"/>
        <v>832.1875</v>
      </c>
    </row>
    <row r="2665" spans="13:19">
      <c r="M2665" s="132">
        <f t="shared" ca="1" si="293"/>
        <v>845.64358309894772</v>
      </c>
      <c r="N2665" s="38">
        <f t="shared" si="294"/>
        <v>24.975000000000001</v>
      </c>
      <c r="O2665" s="36">
        <f t="shared" si="292"/>
        <v>666</v>
      </c>
      <c r="P2665" s="38">
        <f ca="1">IF(ISERROR(IF(O2665&lt;fi_h/20,0,(OFFSET('Base de dados'!$A$5,IF(O2665&lt;20,1,IF(O2665&gt;1000,10,MATCH(O2665,Cargas,1))),Coluna_fih,1,1))*(1+0.13*0.25)*(PI()*(fi_h/1000)^2/4)*SQRT(2*9.81*(O2665/100-fi_h/2/1000))*1000)),"",IF(O2665&lt;fi_h/20,0,(OFFSET('Base de dados'!$A$5,IF(O2665&lt;20,1,IF(O2665&gt;1000,10,MATCH(O2665,Cargas,1))),Coluna_fih,1,1))*(PI()*(fi_h/1000)^2/4)*SQRT(2*9.81*(O2665/100-fi_h/2/1000))*1000))</f>
        <v>6.898883679661866</v>
      </c>
      <c r="Q2665" s="38">
        <f ca="1">IF(O2665="","",IF(Tipo_Vertedor="Retangular",IF(O2665&lt;=cota_s*100,0,IF(Tipo_Vertedor="Retangular",Cd_sr*Lef_sr*((O2665/100-cota_s)^(3/2))*1000)),IF(O2665&lt;=cota_s*100+fi_s/20,0,(OFFSET('Base de dados'!$A$4,IF(O2665&lt;20,1,IF(O2665&gt;1000,10,MATCH(O2665,Cargas,1))),Coluna_fis,1,1))*(PI()*(fi_s/1000)^2/4)*(2*9.81*(O2665/100-cota_s-fi_s/2/1000))^0.5*1000)))</f>
        <v>6.2446994192858183</v>
      </c>
      <c r="R2665" s="38">
        <f t="shared" ca="1" si="295"/>
        <v>13.143583098947683</v>
      </c>
      <c r="S2665" s="38">
        <f t="shared" ca="1" si="296"/>
        <v>832.5</v>
      </c>
    </row>
    <row r="2666" spans="13:19">
      <c r="M2666" s="132">
        <f t="shared" ca="1" si="293"/>
        <v>845.95881534911348</v>
      </c>
      <c r="N2666" s="38">
        <f t="shared" si="294"/>
        <v>24.984375</v>
      </c>
      <c r="O2666" s="36">
        <f t="shared" si="292"/>
        <v>666.25</v>
      </c>
      <c r="P2666" s="38">
        <f ca="1">IF(ISERROR(IF(O2666&lt;fi_h/20,0,(OFFSET('Base de dados'!$A$5,IF(O2666&lt;20,1,IF(O2666&gt;1000,10,MATCH(O2666,Cargas,1))),Coluna_fih,1,1))*(1+0.13*0.25)*(PI()*(fi_h/1000)^2/4)*SQRT(2*9.81*(O2666/100-fi_h/2/1000))*1000)),"",IF(O2666&lt;fi_h/20,0,(OFFSET('Base de dados'!$A$5,IF(O2666&lt;20,1,IF(O2666&gt;1000,10,MATCH(O2666,Cargas,1))),Coluna_fih,1,1))*(PI()*(fi_h/1000)^2/4)*SQRT(2*9.81*(O2666/100-fi_h/2/1000))*1000))</f>
        <v>6.900181823907281</v>
      </c>
      <c r="Q2666" s="38">
        <f ca="1">IF(O2666="","",IF(Tipo_Vertedor="Retangular",IF(O2666&lt;=cota_s*100,0,IF(Tipo_Vertedor="Retangular",Cd_sr*Lef_sr*((O2666/100-cota_s)^(3/2))*1000)),IF(O2666&lt;=cota_s*100+fi_s/20,0,(OFFSET('Base de dados'!$A$4,IF(O2666&lt;20,1,IF(O2666&gt;1000,10,MATCH(O2666,Cargas,1))),Coluna_fis,1,1))*(PI()*(fi_s/1000)^2/4)*(2*9.81*(O2666/100-cota_s-fi_s/2/1000))^0.5*1000)))</f>
        <v>6.2461335252061501</v>
      </c>
      <c r="R2666" s="38">
        <f t="shared" ca="1" si="295"/>
        <v>13.146315349113431</v>
      </c>
      <c r="S2666" s="38">
        <f t="shared" ca="1" si="296"/>
        <v>832.8125</v>
      </c>
    </row>
    <row r="2667" spans="13:19">
      <c r="M2667" s="132">
        <f t="shared" ca="1" si="293"/>
        <v>846.27404702590911</v>
      </c>
      <c r="N2667" s="38">
        <f t="shared" si="294"/>
        <v>24.993749999999999</v>
      </c>
      <c r="O2667" s="36">
        <f t="shared" si="292"/>
        <v>666.5</v>
      </c>
      <c r="P2667" s="38">
        <f ca="1">IF(ISERROR(IF(O2667&lt;fi_h/20,0,(OFFSET('Base de dados'!$A$5,IF(O2667&lt;20,1,IF(O2667&gt;1000,10,MATCH(O2667,Cargas,1))),Coluna_fih,1,1))*(1+0.13*0.25)*(PI()*(fi_h/1000)^2/4)*SQRT(2*9.81*(O2667/100-fi_h/2/1000))*1000)),"",IF(O2667&lt;fi_h/20,0,(OFFSET('Base de dados'!$A$5,IF(O2667&lt;20,1,IF(O2667&gt;1000,10,MATCH(O2667,Cargas,1))),Coluna_fih,1,1))*(PI()*(fi_h/1000)^2/4)*SQRT(2*9.81*(O2667/100-fi_h/2/1000))*1000))</f>
        <v>6.9014797239763004</v>
      </c>
      <c r="Q2667" s="38">
        <f ca="1">IF(O2667="","",IF(Tipo_Vertedor="Retangular",IF(O2667&lt;=cota_s*100,0,IF(Tipo_Vertedor="Retangular",Cd_sr*Lef_sr*((O2667/100-cota_s)^(3/2))*1000)),IF(O2667&lt;=cota_s*100+fi_s/20,0,(OFFSET('Base de dados'!$A$4,IF(O2667&lt;20,1,IF(O2667&gt;1000,10,MATCH(O2667,Cargas,1))),Coluna_fis,1,1))*(PI()*(fi_s/1000)^2/4)*(2*9.81*(O2667/100-cota_s-fi_s/2/1000))^0.5*1000)))</f>
        <v>6.2475673019327926</v>
      </c>
      <c r="R2667" s="38">
        <f t="shared" ca="1" si="295"/>
        <v>13.149047025909093</v>
      </c>
      <c r="S2667" s="38">
        <f t="shared" ca="1" si="296"/>
        <v>833.125</v>
      </c>
    </row>
    <row r="2668" spans="13:19">
      <c r="M2668" s="132">
        <f t="shared" ca="1" si="293"/>
        <v>846.58927812969898</v>
      </c>
      <c r="N2668" s="38">
        <f t="shared" si="294"/>
        <v>25.003125000000001</v>
      </c>
      <c r="O2668" s="36">
        <f t="shared" si="292"/>
        <v>666.75</v>
      </c>
      <c r="P2668" s="38">
        <f ca="1">IF(ISERROR(IF(O2668&lt;fi_h/20,0,(OFFSET('Base de dados'!$A$5,IF(O2668&lt;20,1,IF(O2668&gt;1000,10,MATCH(O2668,Cargas,1))),Coluna_fih,1,1))*(1+0.13*0.25)*(PI()*(fi_h/1000)^2/4)*SQRT(2*9.81*(O2668/100-fi_h/2/1000))*1000)),"",IF(O2668&lt;fi_h/20,0,(OFFSET('Base de dados'!$A$5,IF(O2668&lt;20,1,IF(O2668&gt;1000,10,MATCH(O2668,Cargas,1))),Coluna_fih,1,1))*(PI()*(fi_h/1000)^2/4)*SQRT(2*9.81*(O2668/100-fi_h/2/1000))*1000))</f>
        <v>6.9027773800066567</v>
      </c>
      <c r="Q2668" s="38">
        <f ca="1">IF(O2668="","",IF(Tipo_Vertedor="Retangular",IF(O2668&lt;=cota_s*100,0,IF(Tipo_Vertedor="Retangular",Cd_sr*Lef_sr*((O2668/100-cota_s)^(3/2))*1000)),IF(O2668&lt;=cota_s*100+fi_s/20,0,(OFFSET('Base de dados'!$A$4,IF(O2668&lt;20,1,IF(O2668&gt;1000,10,MATCH(O2668,Cargas,1))),Coluna_fis,1,1))*(PI()*(fi_s/1000)^2/4)*(2*9.81*(O2668/100-cota_s-fi_s/2/1000))^0.5*1000)))</f>
        <v>6.2490007496923354</v>
      </c>
      <c r="R2668" s="38">
        <f t="shared" ca="1" si="295"/>
        <v>13.151778129698993</v>
      </c>
      <c r="S2668" s="38">
        <f t="shared" ca="1" si="296"/>
        <v>833.4375</v>
      </c>
    </row>
    <row r="2669" spans="13:19">
      <c r="M2669" s="132">
        <f t="shared" ca="1" si="293"/>
        <v>846.90450866084711</v>
      </c>
      <c r="N2669" s="38">
        <f t="shared" si="294"/>
        <v>25.012499999999999</v>
      </c>
      <c r="O2669" s="36">
        <f t="shared" si="292"/>
        <v>667</v>
      </c>
      <c r="P2669" s="38">
        <f ca="1">IF(ISERROR(IF(O2669&lt;fi_h/20,0,(OFFSET('Base de dados'!$A$5,IF(O2669&lt;20,1,IF(O2669&gt;1000,10,MATCH(O2669,Cargas,1))),Coluna_fih,1,1))*(1+0.13*0.25)*(PI()*(fi_h/1000)^2/4)*SQRT(2*9.81*(O2669/100-fi_h/2/1000))*1000)),"",IF(O2669&lt;fi_h/20,0,(OFFSET('Base de dados'!$A$5,IF(O2669&lt;20,1,IF(O2669&gt;1000,10,MATCH(O2669,Cargas,1))),Coluna_fih,1,1))*(PI()*(fi_h/1000)^2/4)*SQRT(2*9.81*(O2669/100-fi_h/2/1000))*1000))</f>
        <v>6.9040747921359555</v>
      </c>
      <c r="Q2669" s="38">
        <f ca="1">IF(O2669="","",IF(Tipo_Vertedor="Retangular",IF(O2669&lt;=cota_s*100,0,IF(Tipo_Vertedor="Retangular",Cd_sr*Lef_sr*((O2669/100-cota_s)^(3/2))*1000)),IF(O2669&lt;=cota_s*100+fi_s/20,0,(OFFSET('Base de dados'!$A$4,IF(O2669&lt;20,1,IF(O2669&gt;1000,10,MATCH(O2669,Cargas,1))),Coluna_fis,1,1))*(PI()*(fi_s/1000)^2/4)*(2*9.81*(O2669/100-cota_s-fi_s/2/1000))^0.5*1000)))</f>
        <v>6.2504338687111094</v>
      </c>
      <c r="R2669" s="38">
        <f t="shared" ca="1" si="295"/>
        <v>13.154508660847064</v>
      </c>
      <c r="S2669" s="38">
        <f t="shared" ca="1" si="296"/>
        <v>833.75</v>
      </c>
    </row>
    <row r="2670" spans="13:19">
      <c r="M2670" s="132">
        <f t="shared" ca="1" si="293"/>
        <v>847.21973861971685</v>
      </c>
      <c r="N2670" s="38">
        <f t="shared" si="294"/>
        <v>25.021875000000001</v>
      </c>
      <c r="O2670" s="36">
        <f t="shared" si="292"/>
        <v>667.25</v>
      </c>
      <c r="P2670" s="38">
        <f ca="1">IF(ISERROR(IF(O2670&lt;fi_h/20,0,(OFFSET('Base de dados'!$A$5,IF(O2670&lt;20,1,IF(O2670&gt;1000,10,MATCH(O2670,Cargas,1))),Coluna_fih,1,1))*(1+0.13*0.25)*(PI()*(fi_h/1000)^2/4)*SQRT(2*9.81*(O2670/100-fi_h/2/1000))*1000)),"",IF(O2670&lt;fi_h/20,0,(OFFSET('Base de dados'!$A$5,IF(O2670&lt;20,1,IF(O2670&gt;1000,10,MATCH(O2670,Cargas,1))),Coluna_fih,1,1))*(PI()*(fi_h/1000)^2/4)*SQRT(2*9.81*(O2670/100-fi_h/2/1000))*1000))</f>
        <v>6.9053719605016726</v>
      </c>
      <c r="Q2670" s="38">
        <f ca="1">IF(O2670="","",IF(Tipo_Vertedor="Retangular",IF(O2670&lt;=cota_s*100,0,IF(Tipo_Vertedor="Retangular",Cd_sr*Lef_sr*((O2670/100-cota_s)^(3/2))*1000)),IF(O2670&lt;=cota_s*100+fi_s/20,0,(OFFSET('Base de dados'!$A$4,IF(O2670&lt;20,1,IF(O2670&gt;1000,10,MATCH(O2670,Cargas,1))),Coluna_fis,1,1))*(PI()*(fi_s/1000)^2/4)*(2*9.81*(O2670/100-cota_s-fi_s/2/1000))^0.5*1000)))</f>
        <v>6.2518666592151915</v>
      </c>
      <c r="R2670" s="38">
        <f t="shared" ca="1" si="295"/>
        <v>13.157238619716864</v>
      </c>
      <c r="S2670" s="38">
        <f t="shared" ca="1" si="296"/>
        <v>834.0625</v>
      </c>
    </row>
    <row r="2671" spans="13:19">
      <c r="M2671" s="132">
        <f t="shared" ca="1" si="293"/>
        <v>847.53496800667153</v>
      </c>
      <c r="N2671" s="38">
        <f t="shared" si="294"/>
        <v>25.03125</v>
      </c>
      <c r="O2671" s="36">
        <f t="shared" si="292"/>
        <v>667.5</v>
      </c>
      <c r="P2671" s="38">
        <f ca="1">IF(ISERROR(IF(O2671&lt;fi_h/20,0,(OFFSET('Base de dados'!$A$5,IF(O2671&lt;20,1,IF(O2671&gt;1000,10,MATCH(O2671,Cargas,1))),Coluna_fih,1,1))*(1+0.13*0.25)*(PI()*(fi_h/1000)^2/4)*SQRT(2*9.81*(O2671/100-fi_h/2/1000))*1000)),"",IF(O2671&lt;fi_h/20,0,(OFFSET('Base de dados'!$A$5,IF(O2671&lt;20,1,IF(O2671&gt;1000,10,MATCH(O2671,Cargas,1))),Coluna_fih,1,1))*(PI()*(fi_h/1000)^2/4)*SQRT(2*9.81*(O2671/100-fi_h/2/1000))*1000))</f>
        <v>6.9066688852411531</v>
      </c>
      <c r="Q2671" s="38">
        <f ca="1">IF(O2671="","",IF(Tipo_Vertedor="Retangular",IF(O2671&lt;=cota_s*100,0,IF(Tipo_Vertedor="Retangular",Cd_sr*Lef_sr*((O2671/100-cota_s)^(3/2))*1000)),IF(O2671&lt;=cota_s*100+fi_s/20,0,(OFFSET('Base de dados'!$A$4,IF(O2671&lt;20,1,IF(O2671&gt;1000,10,MATCH(O2671,Cargas,1))),Coluna_fis,1,1))*(PI()*(fi_s/1000)^2/4)*(2*9.81*(O2671/100-cota_s-fi_s/2/1000))^0.5*1000)))</f>
        <v>6.2532991214303895</v>
      </c>
      <c r="R2671" s="38">
        <f t="shared" ca="1" si="295"/>
        <v>13.159968006671543</v>
      </c>
      <c r="S2671" s="38">
        <f t="shared" ca="1" si="296"/>
        <v>834.375</v>
      </c>
    </row>
    <row r="2672" spans="13:19">
      <c r="M2672" s="132">
        <f t="shared" ca="1" si="293"/>
        <v>847.85019682207394</v>
      </c>
      <c r="N2672" s="38">
        <f t="shared" si="294"/>
        <v>25.040625000000002</v>
      </c>
      <c r="O2672" s="36">
        <f t="shared" si="292"/>
        <v>667.75</v>
      </c>
      <c r="P2672" s="38">
        <f ca="1">IF(ISERROR(IF(O2672&lt;fi_h/20,0,(OFFSET('Base de dados'!$A$5,IF(O2672&lt;20,1,IF(O2672&gt;1000,10,MATCH(O2672,Cargas,1))),Coluna_fih,1,1))*(1+0.13*0.25)*(PI()*(fi_h/1000)^2/4)*SQRT(2*9.81*(O2672/100-fi_h/2/1000))*1000)),"",IF(O2672&lt;fi_h/20,0,(OFFSET('Base de dados'!$A$5,IF(O2672&lt;20,1,IF(O2672&gt;1000,10,MATCH(O2672,Cargas,1))),Coluna_fih,1,1))*(PI()*(fi_h/1000)^2/4)*SQRT(2*9.81*(O2672/100-fi_h/2/1000))*1000))</f>
        <v>6.9079655664916189</v>
      </c>
      <c r="Q2672" s="38">
        <f ca="1">IF(O2672="","",IF(Tipo_Vertedor="Retangular",IF(O2672&lt;=cota_s*100,0,IF(Tipo_Vertedor="Retangular",Cd_sr*Lef_sr*((O2672/100-cota_s)^(3/2))*1000)),IF(O2672&lt;=cota_s*100+fi_s/20,0,(OFFSET('Base de dados'!$A$4,IF(O2672&lt;20,1,IF(O2672&gt;1000,10,MATCH(O2672,Cargas,1))),Coluna_fis,1,1))*(PI()*(fi_s/1000)^2/4)*(2*9.81*(O2672/100-cota_s-fi_s/2/1000))^0.5*1000)))</f>
        <v>6.2547312555822634</v>
      </c>
      <c r="R2672" s="38">
        <f t="shared" ca="1" si="295"/>
        <v>13.162696822073883</v>
      </c>
      <c r="S2672" s="38">
        <f t="shared" ca="1" si="296"/>
        <v>834.68750000000011</v>
      </c>
    </row>
    <row r="2673" spans="13:19">
      <c r="M2673" s="132">
        <f t="shared" ca="1" si="293"/>
        <v>848.16542506628616</v>
      </c>
      <c r="N2673" s="38">
        <f t="shared" si="294"/>
        <v>25.049999999999997</v>
      </c>
      <c r="O2673" s="36">
        <f t="shared" si="292"/>
        <v>668</v>
      </c>
      <c r="P2673" s="38">
        <f ca="1">IF(ISERROR(IF(O2673&lt;fi_h/20,0,(OFFSET('Base de dados'!$A$5,IF(O2673&lt;20,1,IF(O2673&gt;1000,10,MATCH(O2673,Cargas,1))),Coluna_fih,1,1))*(1+0.13*0.25)*(PI()*(fi_h/1000)^2/4)*SQRT(2*9.81*(O2673/100-fi_h/2/1000))*1000)),"",IF(O2673&lt;fi_h/20,0,(OFFSET('Base de dados'!$A$5,IF(O2673&lt;20,1,IF(O2673&gt;1000,10,MATCH(O2673,Cargas,1))),Coluna_fih,1,1))*(PI()*(fi_h/1000)^2/4)*SQRT(2*9.81*(O2673/100-fi_h/2/1000))*1000))</f>
        <v>6.9092620043901523</v>
      </c>
      <c r="Q2673" s="38">
        <f ca="1">IF(O2673="","",IF(Tipo_Vertedor="Retangular",IF(O2673&lt;=cota_s*100,0,IF(Tipo_Vertedor="Retangular",Cd_sr*Lef_sr*((O2673/100-cota_s)^(3/2))*1000)),IF(O2673&lt;=cota_s*100+fi_s/20,0,(OFFSET('Base de dados'!$A$4,IF(O2673&lt;20,1,IF(O2673&gt;1000,10,MATCH(O2673,Cargas,1))),Coluna_fis,1,1))*(PI()*(fi_s/1000)^2/4)*(2*9.81*(O2673/100-cota_s-fi_s/2/1000))^0.5*1000)))</f>
        <v>6.2561630618961042</v>
      </c>
      <c r="R2673" s="38">
        <f t="shared" ca="1" si="295"/>
        <v>13.165425066286257</v>
      </c>
      <c r="S2673" s="38">
        <f t="shared" ca="1" si="296"/>
        <v>834.99999999999989</v>
      </c>
    </row>
    <row r="2674" spans="13:19">
      <c r="M2674" s="132">
        <f t="shared" ca="1" si="293"/>
        <v>848.48065273967063</v>
      </c>
      <c r="N2674" s="38">
        <f t="shared" si="294"/>
        <v>25.059374999999999</v>
      </c>
      <c r="O2674" s="36">
        <f t="shared" si="292"/>
        <v>668.25</v>
      </c>
      <c r="P2674" s="38">
        <f ca="1">IF(ISERROR(IF(O2674&lt;fi_h/20,0,(OFFSET('Base de dados'!$A$5,IF(O2674&lt;20,1,IF(O2674&gt;1000,10,MATCH(O2674,Cargas,1))),Coluna_fih,1,1))*(1+0.13*0.25)*(PI()*(fi_h/1000)^2/4)*SQRT(2*9.81*(O2674/100-fi_h/2/1000))*1000)),"",IF(O2674&lt;fi_h/20,0,(OFFSET('Base de dados'!$A$5,IF(O2674&lt;20,1,IF(O2674&gt;1000,10,MATCH(O2674,Cargas,1))),Coluna_fih,1,1))*(PI()*(fi_h/1000)^2/4)*SQRT(2*9.81*(O2674/100-fi_h/2/1000))*1000))</f>
        <v>6.9105581990737202</v>
      </c>
      <c r="Q2674" s="38">
        <f ca="1">IF(O2674="","",IF(Tipo_Vertedor="Retangular",IF(O2674&lt;=cota_s*100,0,IF(Tipo_Vertedor="Retangular",Cd_sr*Lef_sr*((O2674/100-cota_s)^(3/2))*1000)),IF(O2674&lt;=cota_s*100+fi_s/20,0,(OFFSET('Base de dados'!$A$4,IF(O2674&lt;20,1,IF(O2674&gt;1000,10,MATCH(O2674,Cargas,1))),Coluna_fis,1,1))*(PI()*(fi_s/1000)^2/4)*(2*9.81*(O2674/100-cota_s-fi_s/2/1000))^0.5*1000)))</f>
        <v>6.2575945405969549</v>
      </c>
      <c r="R2674" s="38">
        <f t="shared" ca="1" si="295"/>
        <v>13.168152739670674</v>
      </c>
      <c r="S2674" s="38">
        <f t="shared" ca="1" si="296"/>
        <v>835.3125</v>
      </c>
    </row>
    <row r="2675" spans="13:19">
      <c r="M2675" s="132">
        <f t="shared" ca="1" si="293"/>
        <v>848.79587984258865</v>
      </c>
      <c r="N2675" s="38">
        <f t="shared" si="294"/>
        <v>25.068749999999998</v>
      </c>
      <c r="O2675" s="36">
        <f t="shared" si="292"/>
        <v>668.5</v>
      </c>
      <c r="P2675" s="38">
        <f ca="1">IF(ISERROR(IF(O2675&lt;fi_h/20,0,(OFFSET('Base de dados'!$A$5,IF(O2675&lt;20,1,IF(O2675&gt;1000,10,MATCH(O2675,Cargas,1))),Coluna_fih,1,1))*(1+0.13*0.25)*(PI()*(fi_h/1000)^2/4)*SQRT(2*9.81*(O2675/100-fi_h/2/1000))*1000)),"",IF(O2675&lt;fi_h/20,0,(OFFSET('Base de dados'!$A$5,IF(O2675&lt;20,1,IF(O2675&gt;1000,10,MATCH(O2675,Cargas,1))),Coluna_fih,1,1))*(PI()*(fi_h/1000)^2/4)*SQRT(2*9.81*(O2675/100-fi_h/2/1000))*1000))</f>
        <v>6.9118541506791491</v>
      </c>
      <c r="Q2675" s="38">
        <f ca="1">IF(O2675="","",IF(Tipo_Vertedor="Retangular",IF(O2675&lt;=cota_s*100,0,IF(Tipo_Vertedor="Retangular",Cd_sr*Lef_sr*((O2675/100-cota_s)^(3/2))*1000)),IF(O2675&lt;=cota_s*100+fi_s/20,0,(OFFSET('Base de dados'!$A$4,IF(O2675&lt;20,1,IF(O2675&gt;1000,10,MATCH(O2675,Cargas,1))),Coluna_fis,1,1))*(PI()*(fi_s/1000)^2/4)*(2*9.81*(O2675/100-cota_s-fi_s/2/1000))^0.5*1000)))</f>
        <v>6.2590256919095957</v>
      </c>
      <c r="R2675" s="38">
        <f t="shared" ca="1" si="295"/>
        <v>13.170879842588745</v>
      </c>
      <c r="S2675" s="38">
        <f t="shared" ca="1" si="296"/>
        <v>835.62499999999989</v>
      </c>
    </row>
    <row r="2676" spans="13:19">
      <c r="M2676" s="132">
        <f t="shared" ca="1" si="293"/>
        <v>849.11110637540173</v>
      </c>
      <c r="N2676" s="38">
        <f t="shared" si="294"/>
        <v>25.078125</v>
      </c>
      <c r="O2676" s="36">
        <f t="shared" si="292"/>
        <v>668.75</v>
      </c>
      <c r="P2676" s="38">
        <f ca="1">IF(ISERROR(IF(O2676&lt;fi_h/20,0,(OFFSET('Base de dados'!$A$5,IF(O2676&lt;20,1,IF(O2676&gt;1000,10,MATCH(O2676,Cargas,1))),Coluna_fih,1,1))*(1+0.13*0.25)*(PI()*(fi_h/1000)^2/4)*SQRT(2*9.81*(O2676/100-fi_h/2/1000))*1000)),"",IF(O2676&lt;fi_h/20,0,(OFFSET('Base de dados'!$A$5,IF(O2676&lt;20,1,IF(O2676&gt;1000,10,MATCH(O2676,Cargas,1))),Coluna_fih,1,1))*(PI()*(fi_h/1000)^2/4)*SQRT(2*9.81*(O2676/100-fi_h/2/1000))*1000))</f>
        <v>6.9131498593431457</v>
      </c>
      <c r="Q2676" s="38">
        <f ca="1">IF(O2676="","",IF(Tipo_Vertedor="Retangular",IF(O2676&lt;=cota_s*100,0,IF(Tipo_Vertedor="Retangular",Cd_sr*Lef_sr*((O2676/100-cota_s)^(3/2))*1000)),IF(O2676&lt;=cota_s*100+fi_s/20,0,(OFFSET('Base de dados'!$A$4,IF(O2676&lt;20,1,IF(O2676&gt;1000,10,MATCH(O2676,Cargas,1))),Coluna_fis,1,1))*(PI()*(fi_s/1000)^2/4)*(2*9.81*(O2676/100-cota_s-fi_s/2/1000))^0.5*1000)))</f>
        <v>6.260456516058551</v>
      </c>
      <c r="R2676" s="38">
        <f t="shared" ca="1" si="295"/>
        <v>13.173606375401697</v>
      </c>
      <c r="S2676" s="38">
        <f t="shared" ca="1" si="296"/>
        <v>835.9375</v>
      </c>
    </row>
    <row r="2677" spans="13:19">
      <c r="M2677" s="132">
        <f t="shared" ca="1" si="293"/>
        <v>849.4263323384705</v>
      </c>
      <c r="N2677" s="38">
        <f t="shared" si="294"/>
        <v>25.087500000000002</v>
      </c>
      <c r="O2677" s="36">
        <f t="shared" si="292"/>
        <v>669</v>
      </c>
      <c r="P2677" s="38">
        <f ca="1">IF(ISERROR(IF(O2677&lt;fi_h/20,0,(OFFSET('Base de dados'!$A$5,IF(O2677&lt;20,1,IF(O2677&gt;1000,10,MATCH(O2677,Cargas,1))),Coluna_fih,1,1))*(1+0.13*0.25)*(PI()*(fi_h/1000)^2/4)*SQRT(2*9.81*(O2677/100-fi_h/2/1000))*1000)),"",IF(O2677&lt;fi_h/20,0,(OFFSET('Base de dados'!$A$5,IF(O2677&lt;20,1,IF(O2677&gt;1000,10,MATCH(O2677,Cargas,1))),Coluna_fih,1,1))*(PI()*(fi_h/1000)^2/4)*SQRT(2*9.81*(O2677/100-fi_h/2/1000))*1000))</f>
        <v>6.9144453252022853</v>
      </c>
      <c r="Q2677" s="38">
        <f ca="1">IF(O2677="","",IF(Tipo_Vertedor="Retangular",IF(O2677&lt;=cota_s*100,0,IF(Tipo_Vertedor="Retangular",Cd_sr*Lef_sr*((O2677/100-cota_s)^(3/2))*1000)),IF(O2677&lt;=cota_s*100+fi_s/20,0,(OFFSET('Base de dados'!$A$4,IF(O2677&lt;20,1,IF(O2677&gt;1000,10,MATCH(O2677,Cargas,1))),Coluna_fis,1,1))*(PI()*(fi_s/1000)^2/4)*(2*9.81*(O2677/100-cota_s-fi_s/2/1000))^0.5*1000)))</f>
        <v>6.2618870132680886</v>
      </c>
      <c r="R2677" s="38">
        <f t="shared" ca="1" si="295"/>
        <v>13.176332338470374</v>
      </c>
      <c r="S2677" s="38">
        <f t="shared" ca="1" si="296"/>
        <v>836.25000000000011</v>
      </c>
    </row>
    <row r="2678" spans="13:19">
      <c r="M2678" s="132">
        <f t="shared" ca="1" si="293"/>
        <v>849.74155773215523</v>
      </c>
      <c r="N2678" s="38">
        <f t="shared" si="294"/>
        <v>25.096875000000001</v>
      </c>
      <c r="O2678" s="36">
        <f t="shared" si="292"/>
        <v>669.25</v>
      </c>
      <c r="P2678" s="38">
        <f ca="1">IF(ISERROR(IF(O2678&lt;fi_h/20,0,(OFFSET('Base de dados'!$A$5,IF(O2678&lt;20,1,IF(O2678&gt;1000,10,MATCH(O2678,Cargas,1))),Coluna_fih,1,1))*(1+0.13*0.25)*(PI()*(fi_h/1000)^2/4)*SQRT(2*9.81*(O2678/100-fi_h/2/1000))*1000)),"",IF(O2678&lt;fi_h/20,0,(OFFSET('Base de dados'!$A$5,IF(O2678&lt;20,1,IF(O2678&gt;1000,10,MATCH(O2678,Cargas,1))),Coluna_fih,1,1))*(PI()*(fi_h/1000)^2/4)*SQRT(2*9.81*(O2678/100-fi_h/2/1000))*1000))</f>
        <v>6.9157405483930141</v>
      </c>
      <c r="Q2678" s="38">
        <f ca="1">IF(O2678="","",IF(Tipo_Vertedor="Retangular",IF(O2678&lt;=cota_s*100,0,IF(Tipo_Vertedor="Retangular",Cd_sr*Lef_sr*((O2678/100-cota_s)^(3/2))*1000)),IF(O2678&lt;=cota_s*100+fi_s/20,0,(OFFSET('Base de dados'!$A$4,IF(O2678&lt;20,1,IF(O2678&gt;1000,10,MATCH(O2678,Cargas,1))),Coluna_fis,1,1))*(PI()*(fi_s/1000)^2/4)*(2*9.81*(O2678/100-cota_s-fi_s/2/1000))^0.5*1000)))</f>
        <v>6.2633171837622204</v>
      </c>
      <c r="R2678" s="38">
        <f t="shared" ca="1" si="295"/>
        <v>13.179057732155234</v>
      </c>
      <c r="S2678" s="38">
        <f t="shared" ca="1" si="296"/>
        <v>836.5625</v>
      </c>
    </row>
    <row r="2679" spans="13:19">
      <c r="M2679" s="132">
        <f t="shared" ca="1" si="293"/>
        <v>850.05678255681642</v>
      </c>
      <c r="N2679" s="38">
        <f t="shared" si="294"/>
        <v>25.106250000000003</v>
      </c>
      <c r="O2679" s="36">
        <f t="shared" si="292"/>
        <v>669.5</v>
      </c>
      <c r="P2679" s="38">
        <f ca="1">IF(ISERROR(IF(O2679&lt;fi_h/20,0,(OFFSET('Base de dados'!$A$5,IF(O2679&lt;20,1,IF(O2679&gt;1000,10,MATCH(O2679,Cargas,1))),Coluna_fih,1,1))*(1+0.13*0.25)*(PI()*(fi_h/1000)^2/4)*SQRT(2*9.81*(O2679/100-fi_h/2/1000))*1000)),"",IF(O2679&lt;fi_h/20,0,(OFFSET('Base de dados'!$A$5,IF(O2679&lt;20,1,IF(O2679&gt;1000,10,MATCH(O2679,Cargas,1))),Coluna_fih,1,1))*(PI()*(fi_h/1000)^2/4)*SQRT(2*9.81*(O2679/100-fi_h/2/1000))*1000))</f>
        <v>6.9170355290516543</v>
      </c>
      <c r="Q2679" s="38">
        <f ca="1">IF(O2679="","",IF(Tipo_Vertedor="Retangular",IF(O2679&lt;=cota_s*100,0,IF(Tipo_Vertedor="Retangular",Cd_sr*Lef_sr*((O2679/100-cota_s)^(3/2))*1000)),IF(O2679&lt;=cota_s*100+fi_s/20,0,(OFFSET('Base de dados'!$A$4,IF(O2679&lt;20,1,IF(O2679&gt;1000,10,MATCH(O2679,Cargas,1))),Coluna_fis,1,1))*(PI()*(fi_s/1000)^2/4)*(2*9.81*(O2679/100-cota_s-fi_s/2/1000))^0.5*1000)))</f>
        <v>6.2647470277647042</v>
      </c>
      <c r="R2679" s="38">
        <f t="shared" ca="1" si="295"/>
        <v>13.181782556816358</v>
      </c>
      <c r="S2679" s="38">
        <f t="shared" ca="1" si="296"/>
        <v>836.87500000000011</v>
      </c>
    </row>
    <row r="2680" spans="13:19">
      <c r="M2680" s="132">
        <f t="shared" ca="1" si="293"/>
        <v>850.37200681281331</v>
      </c>
      <c r="N2680" s="38">
        <f t="shared" si="294"/>
        <v>25.115624999999998</v>
      </c>
      <c r="O2680" s="36">
        <f t="shared" si="292"/>
        <v>669.75</v>
      </c>
      <c r="P2680" s="38">
        <f ca="1">IF(ISERROR(IF(O2680&lt;fi_h/20,0,(OFFSET('Base de dados'!$A$5,IF(O2680&lt;20,1,IF(O2680&gt;1000,10,MATCH(O2680,Cargas,1))),Coluna_fih,1,1))*(1+0.13*0.25)*(PI()*(fi_h/1000)^2/4)*SQRT(2*9.81*(O2680/100-fi_h/2/1000))*1000)),"",IF(O2680&lt;fi_h/20,0,(OFFSET('Base de dados'!$A$5,IF(O2680&lt;20,1,IF(O2680&gt;1000,10,MATCH(O2680,Cargas,1))),Coluna_fih,1,1))*(PI()*(fi_h/1000)^2/4)*SQRT(2*9.81*(O2680/100-fi_h/2/1000))*1000))</f>
        <v>6.9183302673143947</v>
      </c>
      <c r="Q2680" s="38">
        <f ca="1">IF(O2680="","",IF(Tipo_Vertedor="Retangular",IF(O2680&lt;=cota_s*100,0,IF(Tipo_Vertedor="Retangular",Cd_sr*Lef_sr*((O2680/100-cota_s)^(3/2))*1000)),IF(O2680&lt;=cota_s*100+fi_s/20,0,(OFFSET('Base de dados'!$A$4,IF(O2680&lt;20,1,IF(O2680&gt;1000,10,MATCH(O2680,Cargas,1))),Coluna_fis,1,1))*(PI()*(fi_s/1000)^2/4)*(2*9.81*(O2680/100-cota_s-fi_s/2/1000))^0.5*1000)))</f>
        <v>6.2661765454990395</v>
      </c>
      <c r="R2680" s="38">
        <f t="shared" ca="1" si="295"/>
        <v>13.184506812813435</v>
      </c>
      <c r="S2680" s="38">
        <f t="shared" ca="1" si="296"/>
        <v>837.18749999999989</v>
      </c>
    </row>
    <row r="2681" spans="13:19">
      <c r="M2681" s="132">
        <f t="shared" ca="1" si="293"/>
        <v>850.68723050050573</v>
      </c>
      <c r="N2681" s="38">
        <f t="shared" si="294"/>
        <v>25.125</v>
      </c>
      <c r="O2681" s="36">
        <f t="shared" si="292"/>
        <v>670</v>
      </c>
      <c r="P2681" s="38">
        <f ca="1">IF(ISERROR(IF(O2681&lt;fi_h/20,0,(OFFSET('Base de dados'!$A$5,IF(O2681&lt;20,1,IF(O2681&gt;1000,10,MATCH(O2681,Cargas,1))),Coluna_fih,1,1))*(1+0.13*0.25)*(PI()*(fi_h/1000)^2/4)*SQRT(2*9.81*(O2681/100-fi_h/2/1000))*1000)),"",IF(O2681&lt;fi_h/20,0,(OFFSET('Base de dados'!$A$5,IF(O2681&lt;20,1,IF(O2681&gt;1000,10,MATCH(O2681,Cargas,1))),Coluna_fih,1,1))*(PI()*(fi_h/1000)^2/4)*SQRT(2*9.81*(O2681/100-fi_h/2/1000))*1000))</f>
        <v>6.9196247633173025</v>
      </c>
      <c r="Q2681" s="38">
        <f ca="1">IF(O2681="","",IF(Tipo_Vertedor="Retangular",IF(O2681&lt;=cota_s*100,0,IF(Tipo_Vertedor="Retangular",Cd_sr*Lef_sr*((O2681/100-cota_s)^(3/2))*1000)),IF(O2681&lt;=cota_s*100+fi_s/20,0,(OFFSET('Base de dados'!$A$4,IF(O2681&lt;20,1,IF(O2681&gt;1000,10,MATCH(O2681,Cargas,1))),Coluna_fis,1,1))*(PI()*(fi_s/1000)^2/4)*(2*9.81*(O2681/100-cota_s-fi_s/2/1000))^0.5*1000)))</f>
        <v>6.2676057371884708</v>
      </c>
      <c r="R2681" s="38">
        <f t="shared" ca="1" si="295"/>
        <v>13.187230500505773</v>
      </c>
      <c r="S2681" s="38">
        <f t="shared" ca="1" si="296"/>
        <v>837.5</v>
      </c>
    </row>
    <row r="2682" spans="13:19">
      <c r="M2682" s="132">
        <f t="shared" ca="1" si="293"/>
        <v>851.00245362025225</v>
      </c>
      <c r="N2682" s="38">
        <f t="shared" si="294"/>
        <v>25.134374999999999</v>
      </c>
      <c r="O2682" s="36">
        <f t="shared" si="292"/>
        <v>670.25</v>
      </c>
      <c r="P2682" s="38">
        <f ca="1">IF(ISERROR(IF(O2682&lt;fi_h/20,0,(OFFSET('Base de dados'!$A$5,IF(O2682&lt;20,1,IF(O2682&gt;1000,10,MATCH(O2682,Cargas,1))),Coluna_fih,1,1))*(1+0.13*0.25)*(PI()*(fi_h/1000)^2/4)*SQRT(2*9.81*(O2682/100-fi_h/2/1000))*1000)),"",IF(O2682&lt;fi_h/20,0,(OFFSET('Base de dados'!$A$5,IF(O2682&lt;20,1,IF(O2682&gt;1000,10,MATCH(O2682,Cargas,1))),Coluna_fih,1,1))*(PI()*(fi_h/1000)^2/4)*SQRT(2*9.81*(O2682/100-fi_h/2/1000))*1000))</f>
        <v>6.9209190171963151</v>
      </c>
      <c r="Q2682" s="38">
        <f ca="1">IF(O2682="","",IF(Tipo_Vertedor="Retangular",IF(O2682&lt;=cota_s*100,0,IF(Tipo_Vertedor="Retangular",Cd_sr*Lef_sr*((O2682/100-cota_s)^(3/2))*1000)),IF(O2682&lt;=cota_s*100+fi_s/20,0,(OFFSET('Base de dados'!$A$4,IF(O2682&lt;20,1,IF(O2682&gt;1000,10,MATCH(O2682,Cargas,1))),Coluna_fis,1,1))*(PI()*(fi_s/1000)^2/4)*(2*9.81*(O2682/100-cota_s-fi_s/2/1000))^0.5*1000)))</f>
        <v>6.269034603055994</v>
      </c>
      <c r="R2682" s="38">
        <f t="shared" ca="1" si="295"/>
        <v>13.189953620252309</v>
      </c>
      <c r="S2682" s="38">
        <f t="shared" ca="1" si="296"/>
        <v>837.8125</v>
      </c>
    </row>
    <row r="2683" spans="13:19">
      <c r="M2683" s="132">
        <f t="shared" ca="1" si="293"/>
        <v>851.31767617241155</v>
      </c>
      <c r="N2683" s="38">
        <f t="shared" si="294"/>
        <v>25.143750000000001</v>
      </c>
      <c r="O2683" s="36">
        <f t="shared" si="292"/>
        <v>670.5</v>
      </c>
      <c r="P2683" s="38">
        <f ca="1">IF(ISERROR(IF(O2683&lt;fi_h/20,0,(OFFSET('Base de dados'!$A$5,IF(O2683&lt;20,1,IF(O2683&gt;1000,10,MATCH(O2683,Cargas,1))),Coluna_fih,1,1))*(1+0.13*0.25)*(PI()*(fi_h/1000)^2/4)*SQRT(2*9.81*(O2683/100-fi_h/2/1000))*1000)),"",IF(O2683&lt;fi_h/20,0,(OFFSET('Base de dados'!$A$5,IF(O2683&lt;20,1,IF(O2683&gt;1000,10,MATCH(O2683,Cargas,1))),Coluna_fih,1,1))*(PI()*(fi_h/1000)^2/4)*SQRT(2*9.81*(O2683/100-fi_h/2/1000))*1000))</f>
        <v>6.9222130290872439</v>
      </c>
      <c r="Q2683" s="38">
        <f ca="1">IF(O2683="","",IF(Tipo_Vertedor="Retangular",IF(O2683&lt;=cota_s*100,0,IF(Tipo_Vertedor="Retangular",Cd_sr*Lef_sr*((O2683/100-cota_s)^(3/2))*1000)),IF(O2683&lt;=cota_s*100+fi_s/20,0,(OFFSET('Base de dados'!$A$4,IF(O2683&lt;20,1,IF(O2683&gt;1000,10,MATCH(O2683,Cargas,1))),Coluna_fis,1,1))*(PI()*(fi_s/1000)^2/4)*(2*9.81*(O2683/100-cota_s-fi_s/2/1000))^0.5*1000)))</f>
        <v>6.2704631433243421</v>
      </c>
      <c r="R2683" s="38">
        <f t="shared" ca="1" si="295"/>
        <v>13.192676172411586</v>
      </c>
      <c r="S2683" s="38">
        <f t="shared" ca="1" si="296"/>
        <v>838.125</v>
      </c>
    </row>
    <row r="2684" spans="13:19">
      <c r="M2684" s="132">
        <f t="shared" ca="1" si="293"/>
        <v>851.63289815734174</v>
      </c>
      <c r="N2684" s="38">
        <f t="shared" si="294"/>
        <v>25.153124999999999</v>
      </c>
      <c r="O2684" s="36">
        <f t="shared" si="292"/>
        <v>670.75</v>
      </c>
      <c r="P2684" s="38">
        <f ca="1">IF(ISERROR(IF(O2684&lt;fi_h/20,0,(OFFSET('Base de dados'!$A$5,IF(O2684&lt;20,1,IF(O2684&gt;1000,10,MATCH(O2684,Cargas,1))),Coluna_fih,1,1))*(1+0.13*0.25)*(PI()*(fi_h/1000)^2/4)*SQRT(2*9.81*(O2684/100-fi_h/2/1000))*1000)),"",IF(O2684&lt;fi_h/20,0,(OFFSET('Base de dados'!$A$5,IF(O2684&lt;20,1,IF(O2684&gt;1000,10,MATCH(O2684,Cargas,1))),Coluna_fih,1,1))*(PI()*(fi_h/1000)^2/4)*SQRT(2*9.81*(O2684/100-fi_h/2/1000))*1000))</f>
        <v>6.9235067991257706</v>
      </c>
      <c r="Q2684" s="38">
        <f ca="1">IF(O2684="","",IF(Tipo_Vertedor="Retangular",IF(O2684&lt;=cota_s*100,0,IF(Tipo_Vertedor="Retangular",Cd_sr*Lef_sr*((O2684/100-cota_s)^(3/2))*1000)),IF(O2684&lt;=cota_s*100+fi_s/20,0,(OFFSET('Base de dados'!$A$4,IF(O2684&lt;20,1,IF(O2684&gt;1000,10,MATCH(O2684,Cargas,1))),Coluna_fis,1,1))*(PI()*(fi_s/1000)^2/4)*(2*9.81*(O2684/100-cota_s-fi_s/2/1000))^0.5*1000)))</f>
        <v>6.2718913582160027</v>
      </c>
      <c r="R2684" s="38">
        <f t="shared" ca="1" si="295"/>
        <v>13.195398157341774</v>
      </c>
      <c r="S2684" s="38">
        <f t="shared" ca="1" si="296"/>
        <v>838.4375</v>
      </c>
    </row>
    <row r="2685" spans="13:19">
      <c r="M2685" s="132">
        <f t="shared" ca="1" si="293"/>
        <v>851.94811957540071</v>
      </c>
      <c r="N2685" s="38">
        <f t="shared" si="294"/>
        <v>25.162500000000001</v>
      </c>
      <c r="O2685" s="36">
        <f t="shared" si="292"/>
        <v>671</v>
      </c>
      <c r="P2685" s="38">
        <f ca="1">IF(ISERROR(IF(O2685&lt;fi_h/20,0,(OFFSET('Base de dados'!$A$5,IF(O2685&lt;20,1,IF(O2685&gt;1000,10,MATCH(O2685,Cargas,1))),Coluna_fih,1,1))*(1+0.13*0.25)*(PI()*(fi_h/1000)^2/4)*SQRT(2*9.81*(O2685/100-fi_h/2/1000))*1000)),"",IF(O2685&lt;fi_h/20,0,(OFFSET('Base de dados'!$A$5,IF(O2685&lt;20,1,IF(O2685&gt;1000,10,MATCH(O2685,Cargas,1))),Coluna_fih,1,1))*(PI()*(fi_h/1000)^2/4)*SQRT(2*9.81*(O2685/100-fi_h/2/1000))*1000))</f>
        <v>6.9248003274474526</v>
      </c>
      <c r="Q2685" s="38">
        <f ca="1">IF(O2685="","",IF(Tipo_Vertedor="Retangular",IF(O2685&lt;=cota_s*100,0,IF(Tipo_Vertedor="Retangular",Cd_sr*Lef_sr*((O2685/100-cota_s)^(3/2))*1000)),IF(O2685&lt;=cota_s*100+fi_s/20,0,(OFFSET('Base de dados'!$A$4,IF(O2685&lt;20,1,IF(O2685&gt;1000,10,MATCH(O2685,Cargas,1))),Coluna_fis,1,1))*(PI()*(fi_s/1000)^2/4)*(2*9.81*(O2685/100-cota_s-fi_s/2/1000))^0.5*1000)))</f>
        <v>6.2733192479532045</v>
      </c>
      <c r="R2685" s="38">
        <f t="shared" ca="1" si="295"/>
        <v>13.198119575400657</v>
      </c>
      <c r="S2685" s="38">
        <f t="shared" ca="1" si="296"/>
        <v>838.75</v>
      </c>
    </row>
    <row r="2686" spans="13:19">
      <c r="M2686" s="132">
        <f t="shared" ca="1" si="293"/>
        <v>852.26334042694566</v>
      </c>
      <c r="N2686" s="38">
        <f t="shared" si="294"/>
        <v>25.171875</v>
      </c>
      <c r="O2686" s="36">
        <f t="shared" si="292"/>
        <v>671.25</v>
      </c>
      <c r="P2686" s="38">
        <f ca="1">IF(ISERROR(IF(O2686&lt;fi_h/20,0,(OFFSET('Base de dados'!$A$5,IF(O2686&lt;20,1,IF(O2686&gt;1000,10,MATCH(O2686,Cargas,1))),Coluna_fih,1,1))*(1+0.13*0.25)*(PI()*(fi_h/1000)^2/4)*SQRT(2*9.81*(O2686/100-fi_h/2/1000))*1000)),"",IF(O2686&lt;fi_h/20,0,(OFFSET('Base de dados'!$A$5,IF(O2686&lt;20,1,IF(O2686&gt;1000,10,MATCH(O2686,Cargas,1))),Coluna_fih,1,1))*(PI()*(fi_h/1000)^2/4)*SQRT(2*9.81*(O2686/100-fi_h/2/1000))*1000))</f>
        <v>6.926093614187721</v>
      </c>
      <c r="Q2686" s="38">
        <f ca="1">IF(O2686="","",IF(Tipo_Vertedor="Retangular",IF(O2686&lt;=cota_s*100,0,IF(Tipo_Vertedor="Retangular",Cd_sr*Lef_sr*((O2686/100-cota_s)^(3/2))*1000)),IF(O2686&lt;=cota_s*100+fi_s/20,0,(OFFSET('Base de dados'!$A$4,IF(O2686&lt;20,1,IF(O2686&gt;1000,10,MATCH(O2686,Cargas,1))),Coluna_fis,1,1))*(PI()*(fi_s/1000)^2/4)*(2*9.81*(O2686/100-cota_s-fi_s/2/1000))^0.5*1000)))</f>
        <v>6.2747468127579236</v>
      </c>
      <c r="R2686" s="38">
        <f t="shared" ca="1" si="295"/>
        <v>13.200840426945645</v>
      </c>
      <c r="S2686" s="38">
        <f t="shared" ca="1" si="296"/>
        <v>839.0625</v>
      </c>
    </row>
    <row r="2687" spans="13:19">
      <c r="M2687" s="132">
        <f t="shared" ca="1" si="293"/>
        <v>852.5785607123338</v>
      </c>
      <c r="N2687" s="38">
        <f t="shared" si="294"/>
        <v>25.181249999999999</v>
      </c>
      <c r="O2687" s="36">
        <f t="shared" si="292"/>
        <v>671.5</v>
      </c>
      <c r="P2687" s="38">
        <f ca="1">IF(ISERROR(IF(O2687&lt;fi_h/20,0,(OFFSET('Base de dados'!$A$5,IF(O2687&lt;20,1,IF(O2687&gt;1000,10,MATCH(O2687,Cargas,1))),Coluna_fih,1,1))*(1+0.13*0.25)*(PI()*(fi_h/1000)^2/4)*SQRT(2*9.81*(O2687/100-fi_h/2/1000))*1000)),"",IF(O2687&lt;fi_h/20,0,(OFFSET('Base de dados'!$A$5,IF(O2687&lt;20,1,IF(O2687&gt;1000,10,MATCH(O2687,Cargas,1))),Coluna_fih,1,1))*(PI()*(fi_h/1000)^2/4)*SQRT(2*9.81*(O2687/100-fi_h/2/1000))*1000))</f>
        <v>6.9273866594818774</v>
      </c>
      <c r="Q2687" s="38">
        <f ca="1">IF(O2687="","",IF(Tipo_Vertedor="Retangular",IF(O2687&lt;=cota_s*100,0,IF(Tipo_Vertedor="Retangular",Cd_sr*Lef_sr*((O2687/100-cota_s)^(3/2))*1000)),IF(O2687&lt;=cota_s*100+fi_s/20,0,(OFFSET('Base de dados'!$A$4,IF(O2687&lt;20,1,IF(O2687&gt;1000,10,MATCH(O2687,Cargas,1))),Coluna_fis,1,1))*(PI()*(fi_s/1000)^2/4)*(2*9.81*(O2687/100-cota_s-fi_s/2/1000))^0.5*1000)))</f>
        <v>6.2761740528518875</v>
      </c>
      <c r="R2687" s="38">
        <f t="shared" ca="1" si="295"/>
        <v>13.203560712333765</v>
      </c>
      <c r="S2687" s="38">
        <f t="shared" ca="1" si="296"/>
        <v>839.375</v>
      </c>
    </row>
    <row r="2688" spans="13:19">
      <c r="M2688" s="132">
        <f t="shared" ca="1" si="293"/>
        <v>852.89378043192164</v>
      </c>
      <c r="N2688" s="38">
        <f t="shared" si="294"/>
        <v>25.190625000000001</v>
      </c>
      <c r="O2688" s="36">
        <f t="shared" si="292"/>
        <v>671.75</v>
      </c>
      <c r="P2688" s="38">
        <f ca="1">IF(ISERROR(IF(O2688&lt;fi_h/20,0,(OFFSET('Base de dados'!$A$5,IF(O2688&lt;20,1,IF(O2688&gt;1000,10,MATCH(O2688,Cargas,1))),Coluna_fih,1,1))*(1+0.13*0.25)*(PI()*(fi_h/1000)^2/4)*SQRT(2*9.81*(O2688/100-fi_h/2/1000))*1000)),"",IF(O2688&lt;fi_h/20,0,(OFFSET('Base de dados'!$A$5,IF(O2688&lt;20,1,IF(O2688&gt;1000,10,MATCH(O2688,Cargas,1))),Coluna_fih,1,1))*(PI()*(fi_h/1000)^2/4)*SQRT(2*9.81*(O2688/100-fi_h/2/1000))*1000))</f>
        <v>6.9286794634651034</v>
      </c>
      <c r="Q2688" s="38">
        <f ca="1">IF(O2688="","",IF(Tipo_Vertedor="Retangular",IF(O2688&lt;=cota_s*100,0,IF(Tipo_Vertedor="Retangular",Cd_sr*Lef_sr*((O2688/100-cota_s)^(3/2))*1000)),IF(O2688&lt;=cota_s*100+fi_s/20,0,(OFFSET('Base de dados'!$A$4,IF(O2688&lt;20,1,IF(O2688&gt;1000,10,MATCH(O2688,Cargas,1))),Coluna_fis,1,1))*(PI()*(fi_s/1000)^2/4)*(2*9.81*(O2688/100-cota_s-fi_s/2/1000))^0.5*1000)))</f>
        <v>6.2776009684565706</v>
      </c>
      <c r="R2688" s="38">
        <f t="shared" ca="1" si="295"/>
        <v>13.206280431921673</v>
      </c>
      <c r="S2688" s="38">
        <f t="shared" ca="1" si="296"/>
        <v>839.6875</v>
      </c>
    </row>
    <row r="2689" spans="13:19">
      <c r="M2689" s="132">
        <f t="shared" ca="1" si="293"/>
        <v>853.2089995860656</v>
      </c>
      <c r="N2689" s="38">
        <f t="shared" si="294"/>
        <v>25.2</v>
      </c>
      <c r="O2689" s="36">
        <f t="shared" si="292"/>
        <v>672</v>
      </c>
      <c r="P2689" s="38">
        <f ca="1">IF(ISERROR(IF(O2689&lt;fi_h/20,0,(OFFSET('Base de dados'!$A$5,IF(O2689&lt;20,1,IF(O2689&gt;1000,10,MATCH(O2689,Cargas,1))),Coluna_fih,1,1))*(1+0.13*0.25)*(PI()*(fi_h/1000)^2/4)*SQRT(2*9.81*(O2689/100-fi_h/2/1000))*1000)),"",IF(O2689&lt;fi_h/20,0,(OFFSET('Base de dados'!$A$5,IF(O2689&lt;20,1,IF(O2689&gt;1000,10,MATCH(O2689,Cargas,1))),Coluna_fih,1,1))*(PI()*(fi_h/1000)^2/4)*SQRT(2*9.81*(O2689/100-fi_h/2/1000))*1000))</f>
        <v>6.9299720262724467</v>
      </c>
      <c r="Q2689" s="38">
        <f ca="1">IF(O2689="","",IF(Tipo_Vertedor="Retangular",IF(O2689&lt;=cota_s*100,0,IF(Tipo_Vertedor="Retangular",Cd_sr*Lef_sr*((O2689/100-cota_s)^(3/2))*1000)),IF(O2689&lt;=cota_s*100+fi_s/20,0,(OFFSET('Base de dados'!$A$4,IF(O2689&lt;20,1,IF(O2689&gt;1000,10,MATCH(O2689,Cargas,1))),Coluna_fis,1,1))*(PI()*(fi_s/1000)^2/4)*(2*9.81*(O2689/100-cota_s-fi_s/2/1000))^0.5*1000)))</f>
        <v>6.2790275597931924</v>
      </c>
      <c r="R2689" s="38">
        <f t="shared" ca="1" si="295"/>
        <v>13.208999586065639</v>
      </c>
      <c r="S2689" s="38">
        <f t="shared" ca="1" si="296"/>
        <v>840</v>
      </c>
    </row>
    <row r="2690" spans="13:19">
      <c r="M2690" s="132">
        <f t="shared" ca="1" si="293"/>
        <v>853.52421817512152</v>
      </c>
      <c r="N2690" s="38">
        <f t="shared" si="294"/>
        <v>25.209375000000001</v>
      </c>
      <c r="O2690" s="36">
        <f t="shared" si="292"/>
        <v>672.25</v>
      </c>
      <c r="P2690" s="38">
        <f ca="1">IF(ISERROR(IF(O2690&lt;fi_h/20,0,(OFFSET('Base de dados'!$A$5,IF(O2690&lt;20,1,IF(O2690&gt;1000,10,MATCH(O2690,Cargas,1))),Coluna_fih,1,1))*(1+0.13*0.25)*(PI()*(fi_h/1000)^2/4)*SQRT(2*9.81*(O2690/100-fi_h/2/1000))*1000)),"",IF(O2690&lt;fi_h/20,0,(OFFSET('Base de dados'!$A$5,IF(O2690&lt;20,1,IF(O2690&gt;1000,10,MATCH(O2690,Cargas,1))),Coluna_fih,1,1))*(PI()*(fi_h/1000)^2/4)*SQRT(2*9.81*(O2690/100-fi_h/2/1000))*1000))</f>
        <v>6.9312643480388338</v>
      </c>
      <c r="Q2690" s="38">
        <f ca="1">IF(O2690="","",IF(Tipo_Vertedor="Retangular",IF(O2690&lt;=cota_s*100,0,IF(Tipo_Vertedor="Retangular",Cd_sr*Lef_sr*((O2690/100-cota_s)^(3/2))*1000)),IF(O2690&lt;=cota_s*100+fi_s/20,0,(OFFSET('Base de dados'!$A$4,IF(O2690&lt;20,1,IF(O2690&gt;1000,10,MATCH(O2690,Cargas,1))),Coluna_fis,1,1))*(PI()*(fi_s/1000)^2/4)*(2*9.81*(O2690/100-cota_s-fi_s/2/1000))^0.5*1000)))</f>
        <v>6.2804538270827228</v>
      </c>
      <c r="R2690" s="38">
        <f t="shared" ca="1" si="295"/>
        <v>13.211718175121558</v>
      </c>
      <c r="S2690" s="38">
        <f t="shared" ca="1" si="296"/>
        <v>840.3125</v>
      </c>
    </row>
    <row r="2691" spans="13:19">
      <c r="M2691" s="132">
        <f t="shared" ca="1" si="293"/>
        <v>853.839436199445</v>
      </c>
      <c r="N2691" s="38">
        <f t="shared" si="294"/>
        <v>25.21875</v>
      </c>
      <c r="O2691" s="36">
        <f t="shared" si="292"/>
        <v>672.5</v>
      </c>
      <c r="P2691" s="38">
        <f ca="1">IF(ISERROR(IF(O2691&lt;fi_h/20,0,(OFFSET('Base de dados'!$A$5,IF(O2691&lt;20,1,IF(O2691&gt;1000,10,MATCH(O2691,Cargas,1))),Coluna_fih,1,1))*(1+0.13*0.25)*(PI()*(fi_h/1000)^2/4)*SQRT(2*9.81*(O2691/100-fi_h/2/1000))*1000)),"",IF(O2691&lt;fi_h/20,0,(OFFSET('Base de dados'!$A$5,IF(O2691&lt;20,1,IF(O2691&gt;1000,10,MATCH(O2691,Cargas,1))),Coluna_fih,1,1))*(PI()*(fi_h/1000)^2/4)*SQRT(2*9.81*(O2691/100-fi_h/2/1000))*1000))</f>
        <v>6.9325564288990673</v>
      </c>
      <c r="Q2691" s="38">
        <f ca="1">IF(O2691="","",IF(Tipo_Vertedor="Retangular",IF(O2691&lt;=cota_s*100,0,IF(Tipo_Vertedor="Retangular",Cd_sr*Lef_sr*((O2691/100-cota_s)^(3/2))*1000)),IF(O2691&lt;=cota_s*100+fi_s/20,0,(OFFSET('Base de dados'!$A$4,IF(O2691&lt;20,1,IF(O2691&gt;1000,10,MATCH(O2691,Cargas,1))),Coluna_fis,1,1))*(PI()*(fi_s/1000)^2/4)*(2*9.81*(O2691/100-cota_s-fi_s/2/1000))^0.5*1000)))</f>
        <v>6.2818797705458831</v>
      </c>
      <c r="R2691" s="38">
        <f t="shared" ca="1" si="295"/>
        <v>13.21443619944495</v>
      </c>
      <c r="S2691" s="38">
        <f t="shared" ca="1" si="296"/>
        <v>840.625</v>
      </c>
    </row>
    <row r="2692" spans="13:19">
      <c r="M2692" s="132">
        <f t="shared" ca="1" si="293"/>
        <v>854.15465365939099</v>
      </c>
      <c r="N2692" s="38">
        <f t="shared" si="294"/>
        <v>25.228124999999999</v>
      </c>
      <c r="O2692" s="36">
        <f t="shared" si="292"/>
        <v>672.75</v>
      </c>
      <c r="P2692" s="38">
        <f ca="1">IF(ISERROR(IF(O2692&lt;fi_h/20,0,(OFFSET('Base de dados'!$A$5,IF(O2692&lt;20,1,IF(O2692&gt;1000,10,MATCH(O2692,Cargas,1))),Coluna_fih,1,1))*(1+0.13*0.25)*(PI()*(fi_h/1000)^2/4)*SQRT(2*9.81*(O2692/100-fi_h/2/1000))*1000)),"",IF(O2692&lt;fi_h/20,0,(OFFSET('Base de dados'!$A$5,IF(O2692&lt;20,1,IF(O2692&gt;1000,10,MATCH(O2692,Cargas,1))),Coluna_fih,1,1))*(PI()*(fi_h/1000)^2/4)*SQRT(2*9.81*(O2692/100-fi_h/2/1000))*1000))</f>
        <v>6.9338482689878189</v>
      </c>
      <c r="Q2692" s="38">
        <f ca="1">IF(O2692="","",IF(Tipo_Vertedor="Retangular",IF(O2692&lt;=cota_s*100,0,IF(Tipo_Vertedor="Retangular",Cd_sr*Lef_sr*((O2692/100-cota_s)^(3/2))*1000)),IF(O2692&lt;=cota_s*100+fi_s/20,0,(OFFSET('Base de dados'!$A$4,IF(O2692&lt;20,1,IF(O2692&gt;1000,10,MATCH(O2692,Cargas,1))),Coluna_fis,1,1))*(PI()*(fi_s/1000)^2/4)*(2*9.81*(O2692/100-cota_s-fi_s/2/1000))^0.5*1000)))</f>
        <v>6.2833053904031413</v>
      </c>
      <c r="R2692" s="38">
        <f t="shared" ca="1" si="295"/>
        <v>13.217153659390959</v>
      </c>
      <c r="S2692" s="38">
        <f t="shared" ca="1" si="296"/>
        <v>840.9375</v>
      </c>
    </row>
    <row r="2693" spans="13:19">
      <c r="M2693" s="132">
        <f t="shared" ca="1" si="293"/>
        <v>854.4698705553144</v>
      </c>
      <c r="N2693" s="38">
        <f t="shared" si="294"/>
        <v>25.237500000000001</v>
      </c>
      <c r="O2693" s="36">
        <f t="shared" si="292"/>
        <v>673</v>
      </c>
      <c r="P2693" s="38">
        <f ca="1">IF(ISERROR(IF(O2693&lt;fi_h/20,0,(OFFSET('Base de dados'!$A$5,IF(O2693&lt;20,1,IF(O2693&gt;1000,10,MATCH(O2693,Cargas,1))),Coluna_fih,1,1))*(1+0.13*0.25)*(PI()*(fi_h/1000)^2/4)*SQRT(2*9.81*(O2693/100-fi_h/2/1000))*1000)),"",IF(O2693&lt;fi_h/20,0,(OFFSET('Base de dados'!$A$5,IF(O2693&lt;20,1,IF(O2693&gt;1000,10,MATCH(O2693,Cargas,1))),Coluna_fih,1,1))*(PI()*(fi_h/1000)^2/4)*SQRT(2*9.81*(O2693/100-fi_h/2/1000))*1000))</f>
        <v>6.935139868439637</v>
      </c>
      <c r="Q2693" s="38">
        <f ca="1">IF(O2693="","",IF(Tipo_Vertedor="Retangular",IF(O2693&lt;=cota_s*100,0,IF(Tipo_Vertedor="Retangular",Cd_sr*Lef_sr*((O2693/100-cota_s)^(3/2))*1000)),IF(O2693&lt;=cota_s*100+fi_s/20,0,(OFFSET('Base de dados'!$A$4,IF(O2693&lt;20,1,IF(O2693&gt;1000,10,MATCH(O2693,Cargas,1))),Coluna_fis,1,1))*(PI()*(fi_s/1000)^2/4)*(2*9.81*(O2693/100-cota_s-fi_s/2/1000))^0.5*1000)))</f>
        <v>6.2847306868747177</v>
      </c>
      <c r="R2693" s="38">
        <f t="shared" ca="1" si="295"/>
        <v>13.219870555314355</v>
      </c>
      <c r="S2693" s="38">
        <f t="shared" ca="1" si="296"/>
        <v>841.25</v>
      </c>
    </row>
    <row r="2694" spans="13:19">
      <c r="M2694" s="132">
        <f t="shared" ca="1" si="293"/>
        <v>854.78508688756949</v>
      </c>
      <c r="N2694" s="38">
        <f t="shared" si="294"/>
        <v>25.246874999999999</v>
      </c>
      <c r="O2694" s="36">
        <f t="shared" si="292"/>
        <v>673.25</v>
      </c>
      <c r="P2694" s="38">
        <f ca="1">IF(ISERROR(IF(O2694&lt;fi_h/20,0,(OFFSET('Base de dados'!$A$5,IF(O2694&lt;20,1,IF(O2694&gt;1000,10,MATCH(O2694,Cargas,1))),Coluna_fih,1,1))*(1+0.13*0.25)*(PI()*(fi_h/1000)^2/4)*SQRT(2*9.81*(O2694/100-fi_h/2/1000))*1000)),"",IF(O2694&lt;fi_h/20,0,(OFFSET('Base de dados'!$A$5,IF(O2694&lt;20,1,IF(O2694&gt;1000,10,MATCH(O2694,Cargas,1))),Coluna_fih,1,1))*(PI()*(fi_h/1000)^2/4)*SQRT(2*9.81*(O2694/100-fi_h/2/1000))*1000))</f>
        <v>6.9364312273889457</v>
      </c>
      <c r="Q2694" s="38">
        <f ca="1">IF(O2694="","",IF(Tipo_Vertedor="Retangular",IF(O2694&lt;=cota_s*100,0,IF(Tipo_Vertedor="Retangular",Cd_sr*Lef_sr*((O2694/100-cota_s)^(3/2))*1000)),IF(O2694&lt;=cota_s*100+fi_s/20,0,(OFFSET('Base de dados'!$A$4,IF(O2694&lt;20,1,IF(O2694&gt;1000,10,MATCH(O2694,Cargas,1))),Coluna_fis,1,1))*(PI()*(fi_s/1000)^2/4)*(2*9.81*(O2694/100-cota_s-fi_s/2/1000))^0.5*1000)))</f>
        <v>6.2861556601805786</v>
      </c>
      <c r="R2694" s="38">
        <f t="shared" ca="1" si="295"/>
        <v>13.222586887569523</v>
      </c>
      <c r="S2694" s="38">
        <f t="shared" ca="1" si="296"/>
        <v>841.5625</v>
      </c>
    </row>
    <row r="2695" spans="13:19">
      <c r="M2695" s="132">
        <f t="shared" ca="1" si="293"/>
        <v>855.10030265651051</v>
      </c>
      <c r="N2695" s="38">
        <f t="shared" si="294"/>
        <v>25.256250000000001</v>
      </c>
      <c r="O2695" s="36">
        <f t="shared" si="292"/>
        <v>673.5</v>
      </c>
      <c r="P2695" s="38">
        <f ca="1">IF(ISERROR(IF(O2695&lt;fi_h/20,0,(OFFSET('Base de dados'!$A$5,IF(O2695&lt;20,1,IF(O2695&gt;1000,10,MATCH(O2695,Cargas,1))),Coluna_fih,1,1))*(1+0.13*0.25)*(PI()*(fi_h/1000)^2/4)*SQRT(2*9.81*(O2695/100-fi_h/2/1000))*1000)),"",IF(O2695&lt;fi_h/20,0,(OFFSET('Base de dados'!$A$5,IF(O2695&lt;20,1,IF(O2695&gt;1000,10,MATCH(O2695,Cargas,1))),Coluna_fih,1,1))*(PI()*(fi_h/1000)^2/4)*SQRT(2*9.81*(O2695/100-fi_h/2/1000))*1000))</f>
        <v>6.9377223459700446</v>
      </c>
      <c r="Q2695" s="38">
        <f ca="1">IF(O2695="","",IF(Tipo_Vertedor="Retangular",IF(O2695&lt;=cota_s*100,0,IF(Tipo_Vertedor="Retangular",Cd_sr*Lef_sr*((O2695/100-cota_s)^(3/2))*1000)),IF(O2695&lt;=cota_s*100+fi_s/20,0,(OFFSET('Base de dados'!$A$4,IF(O2695&lt;20,1,IF(O2695&gt;1000,10,MATCH(O2695,Cargas,1))),Coluna_fis,1,1))*(PI()*(fi_s/1000)^2/4)*(2*9.81*(O2695/100-cota_s-fi_s/2/1000))^0.5*1000)))</f>
        <v>6.2875803105404469</v>
      </c>
      <c r="R2695" s="38">
        <f t="shared" ca="1" si="295"/>
        <v>13.225302656510491</v>
      </c>
      <c r="S2695" s="38">
        <f t="shared" ca="1" si="296"/>
        <v>841.875</v>
      </c>
    </row>
    <row r="2696" spans="13:19">
      <c r="M2696" s="132">
        <f t="shared" ca="1" si="293"/>
        <v>855.4155178624909</v>
      </c>
      <c r="N2696" s="38">
        <f t="shared" si="294"/>
        <v>25.265625</v>
      </c>
      <c r="O2696" s="36">
        <f t="shared" si="292"/>
        <v>673.75</v>
      </c>
      <c r="P2696" s="38">
        <f ca="1">IF(ISERROR(IF(O2696&lt;fi_h/20,0,(OFFSET('Base de dados'!$A$5,IF(O2696&lt;20,1,IF(O2696&gt;1000,10,MATCH(O2696,Cargas,1))),Coluna_fih,1,1))*(1+0.13*0.25)*(PI()*(fi_h/1000)^2/4)*SQRT(2*9.81*(O2696/100-fi_h/2/1000))*1000)),"",IF(O2696&lt;fi_h/20,0,(OFFSET('Base de dados'!$A$5,IF(O2696&lt;20,1,IF(O2696&gt;1000,10,MATCH(O2696,Cargas,1))),Coluna_fih,1,1))*(PI()*(fi_h/1000)^2/4)*SQRT(2*9.81*(O2696/100-fi_h/2/1000))*1000))</f>
        <v>6.9390132243171054</v>
      </c>
      <c r="Q2696" s="38">
        <f ca="1">IF(O2696="","",IF(Tipo_Vertedor="Retangular",IF(O2696&lt;=cota_s*100,0,IF(Tipo_Vertedor="Retangular",Cd_sr*Lef_sr*((O2696/100-cota_s)^(3/2))*1000)),IF(O2696&lt;=cota_s*100+fi_s/20,0,(OFFSET('Base de dados'!$A$4,IF(O2696&lt;20,1,IF(O2696&gt;1000,10,MATCH(O2696,Cargas,1))),Coluna_fis,1,1))*(PI()*(fi_s/1000)^2/4)*(2*9.81*(O2696/100-cota_s-fi_s/2/1000))^0.5*1000)))</f>
        <v>6.2890046381737923</v>
      </c>
      <c r="R2696" s="38">
        <f t="shared" ca="1" si="295"/>
        <v>13.228017862490898</v>
      </c>
      <c r="S2696" s="38">
        <f t="shared" ca="1" si="296"/>
        <v>842.1875</v>
      </c>
    </row>
    <row r="2697" spans="13:19">
      <c r="M2697" s="132">
        <f t="shared" ca="1" si="293"/>
        <v>855.73073250586413</v>
      </c>
      <c r="N2697" s="38">
        <f t="shared" si="294"/>
        <v>25.275000000000002</v>
      </c>
      <c r="O2697" s="36">
        <f t="shared" si="292"/>
        <v>674</v>
      </c>
      <c r="P2697" s="38">
        <f ca="1">IF(ISERROR(IF(O2697&lt;fi_h/20,0,(OFFSET('Base de dados'!$A$5,IF(O2697&lt;20,1,IF(O2697&gt;1000,10,MATCH(O2697,Cargas,1))),Coluna_fih,1,1))*(1+0.13*0.25)*(PI()*(fi_h/1000)^2/4)*SQRT(2*9.81*(O2697/100-fi_h/2/1000))*1000)),"",IF(O2697&lt;fi_h/20,0,(OFFSET('Base de dados'!$A$5,IF(O2697&lt;20,1,IF(O2697&gt;1000,10,MATCH(O2697,Cargas,1))),Coluna_fih,1,1))*(PI()*(fi_h/1000)^2/4)*SQRT(2*9.81*(O2697/100-fi_h/2/1000))*1000))</f>
        <v>6.9403038625641784</v>
      </c>
      <c r="Q2697" s="38">
        <f ca="1">IF(O2697="","",IF(Tipo_Vertedor="Retangular",IF(O2697&lt;=cota_s*100,0,IF(Tipo_Vertedor="Retangular",Cd_sr*Lef_sr*((O2697/100-cota_s)^(3/2))*1000)),IF(O2697&lt;=cota_s*100+fi_s/20,0,(OFFSET('Base de dados'!$A$4,IF(O2697&lt;20,1,IF(O2697&gt;1000,10,MATCH(O2697,Cargas,1))),Coluna_fis,1,1))*(PI()*(fi_s/1000)^2/4)*(2*9.81*(O2697/100-cota_s-fi_s/2/1000))^0.5*1000)))</f>
        <v>6.2904286432998386</v>
      </c>
      <c r="R2697" s="38">
        <f t="shared" ca="1" si="295"/>
        <v>13.230732505864017</v>
      </c>
      <c r="S2697" s="38">
        <f t="shared" ca="1" si="296"/>
        <v>842.50000000000011</v>
      </c>
    </row>
    <row r="2698" spans="13:19">
      <c r="M2698" s="132">
        <f t="shared" ca="1" si="293"/>
        <v>856.04594658698261</v>
      </c>
      <c r="N2698" s="38">
        <f t="shared" si="294"/>
        <v>25.284374999999997</v>
      </c>
      <c r="O2698" s="36">
        <f t="shared" si="292"/>
        <v>674.25</v>
      </c>
      <c r="P2698" s="38">
        <f ca="1">IF(ISERROR(IF(O2698&lt;fi_h/20,0,(OFFSET('Base de dados'!$A$5,IF(O2698&lt;20,1,IF(O2698&gt;1000,10,MATCH(O2698,Cargas,1))),Coluna_fih,1,1))*(1+0.13*0.25)*(PI()*(fi_h/1000)^2/4)*SQRT(2*9.81*(O2698/100-fi_h/2/1000))*1000)),"",IF(O2698&lt;fi_h/20,0,(OFFSET('Base de dados'!$A$5,IF(O2698&lt;20,1,IF(O2698&gt;1000,10,MATCH(O2698,Cargas,1))),Coluna_fih,1,1))*(PI()*(fi_h/1000)^2/4)*SQRT(2*9.81*(O2698/100-fi_h/2/1000))*1000))</f>
        <v>6.9415942608451857</v>
      </c>
      <c r="Q2698" s="38">
        <f ca="1">IF(O2698="","",IF(Tipo_Vertedor="Retangular",IF(O2698&lt;=cota_s*100,0,IF(Tipo_Vertedor="Retangular",Cd_sr*Lef_sr*((O2698/100-cota_s)^(3/2))*1000)),IF(O2698&lt;=cota_s*100+fi_s/20,0,(OFFSET('Base de dados'!$A$4,IF(O2698&lt;20,1,IF(O2698&gt;1000,10,MATCH(O2698,Cargas,1))),Coluna_fis,1,1))*(PI()*(fi_s/1000)^2/4)*(2*9.81*(O2698/100-cota_s-fi_s/2/1000))^0.5*1000)))</f>
        <v>6.2918523261375601</v>
      </c>
      <c r="R2698" s="38">
        <f t="shared" ca="1" si="295"/>
        <v>13.233446586982746</v>
      </c>
      <c r="S2698" s="38">
        <f t="shared" ca="1" si="296"/>
        <v>842.81249999999989</v>
      </c>
    </row>
    <row r="2699" spans="13:19">
      <c r="M2699" s="132">
        <f t="shared" ca="1" si="293"/>
        <v>856.36116010619958</v>
      </c>
      <c r="N2699" s="38">
        <f t="shared" si="294"/>
        <v>25.293749999999999</v>
      </c>
      <c r="O2699" s="36">
        <f t="shared" si="292"/>
        <v>674.5</v>
      </c>
      <c r="P2699" s="38">
        <f ca="1">IF(ISERROR(IF(O2699&lt;fi_h/20,0,(OFFSET('Base de dados'!$A$5,IF(O2699&lt;20,1,IF(O2699&gt;1000,10,MATCH(O2699,Cargas,1))),Coluna_fih,1,1))*(1+0.13*0.25)*(PI()*(fi_h/1000)^2/4)*SQRT(2*9.81*(O2699/100-fi_h/2/1000))*1000)),"",IF(O2699&lt;fi_h/20,0,(OFFSET('Base de dados'!$A$5,IF(O2699&lt;20,1,IF(O2699&gt;1000,10,MATCH(O2699,Cargas,1))),Coluna_fih,1,1))*(PI()*(fi_h/1000)^2/4)*SQRT(2*9.81*(O2699/100-fi_h/2/1000))*1000))</f>
        <v>6.9428844192939296</v>
      </c>
      <c r="Q2699" s="38">
        <f ca="1">IF(O2699="","",IF(Tipo_Vertedor="Retangular",IF(O2699&lt;=cota_s*100,0,IF(Tipo_Vertedor="Retangular",Cd_sr*Lef_sr*((O2699/100-cota_s)^(3/2))*1000)),IF(O2699&lt;=cota_s*100+fi_s/20,0,(OFFSET('Base de dados'!$A$4,IF(O2699&lt;20,1,IF(O2699&gt;1000,10,MATCH(O2699,Cargas,1))),Coluna_fis,1,1))*(PI()*(fi_s/1000)^2/4)*(2*9.81*(O2699/100-cota_s-fi_s/2/1000))^0.5*1000)))</f>
        <v>6.2932756869056847</v>
      </c>
      <c r="R2699" s="38">
        <f t="shared" ca="1" si="295"/>
        <v>13.236160106199614</v>
      </c>
      <c r="S2699" s="38">
        <f t="shared" ca="1" si="296"/>
        <v>843.125</v>
      </c>
    </row>
    <row r="2700" spans="13:19">
      <c r="M2700" s="132">
        <f t="shared" ca="1" si="293"/>
        <v>856.67637306386666</v>
      </c>
      <c r="N2700" s="38">
        <f t="shared" si="294"/>
        <v>25.303124999999998</v>
      </c>
      <c r="O2700" s="36">
        <f t="shared" si="292"/>
        <v>674.75</v>
      </c>
      <c r="P2700" s="38">
        <f ca="1">IF(ISERROR(IF(O2700&lt;fi_h/20,0,(OFFSET('Base de dados'!$A$5,IF(O2700&lt;20,1,IF(O2700&gt;1000,10,MATCH(O2700,Cargas,1))),Coluna_fih,1,1))*(1+0.13*0.25)*(PI()*(fi_h/1000)^2/4)*SQRT(2*9.81*(O2700/100-fi_h/2/1000))*1000)),"",IF(O2700&lt;fi_h/20,0,(OFFSET('Base de dados'!$A$5,IF(O2700&lt;20,1,IF(O2700&gt;1000,10,MATCH(O2700,Cargas,1))),Coluna_fih,1,1))*(PI()*(fi_h/1000)^2/4)*SQRT(2*9.81*(O2700/100-fi_h/2/1000))*1000))</f>
        <v>6.9441743380440819</v>
      </c>
      <c r="Q2700" s="38">
        <f ca="1">IF(O2700="","",IF(Tipo_Vertedor="Retangular",IF(O2700&lt;=cota_s*100,0,IF(Tipo_Vertedor="Retangular",Cd_sr*Lef_sr*((O2700/100-cota_s)^(3/2))*1000)),IF(O2700&lt;=cota_s*100+fi_s/20,0,(OFFSET('Base de dados'!$A$4,IF(O2700&lt;20,1,IF(O2700&gt;1000,10,MATCH(O2700,Cargas,1))),Coluna_fis,1,1))*(PI()*(fi_s/1000)^2/4)*(2*9.81*(O2700/100-cota_s-fi_s/2/1000))^0.5*1000)))</f>
        <v>6.2946987258226885</v>
      </c>
      <c r="R2700" s="38">
        <f t="shared" ca="1" si="295"/>
        <v>13.23887306386677</v>
      </c>
      <c r="S2700" s="38">
        <f t="shared" ca="1" si="296"/>
        <v>843.43749999999989</v>
      </c>
    </row>
    <row r="2701" spans="13:19">
      <c r="M2701" s="132">
        <f t="shared" ca="1" si="293"/>
        <v>856.99158546033595</v>
      </c>
      <c r="N2701" s="38">
        <f t="shared" si="294"/>
        <v>25.3125</v>
      </c>
      <c r="O2701" s="36">
        <f t="shared" si="292"/>
        <v>675</v>
      </c>
      <c r="P2701" s="38">
        <f ca="1">IF(ISERROR(IF(O2701&lt;fi_h/20,0,(OFFSET('Base de dados'!$A$5,IF(O2701&lt;20,1,IF(O2701&gt;1000,10,MATCH(O2701,Cargas,1))),Coluna_fih,1,1))*(1+0.13*0.25)*(PI()*(fi_h/1000)^2/4)*SQRT(2*9.81*(O2701/100-fi_h/2/1000))*1000)),"",IF(O2701&lt;fi_h/20,0,(OFFSET('Base de dados'!$A$5,IF(O2701&lt;20,1,IF(O2701&gt;1000,10,MATCH(O2701,Cargas,1))),Coluna_fih,1,1))*(PI()*(fi_h/1000)^2/4)*SQRT(2*9.81*(O2701/100-fi_h/2/1000))*1000))</f>
        <v>6.9454640172291979</v>
      </c>
      <c r="Q2701" s="38">
        <f ca="1">IF(O2701="","",IF(Tipo_Vertedor="Retangular",IF(O2701&lt;=cota_s*100,0,IF(Tipo_Vertedor="Retangular",Cd_sr*Lef_sr*((O2701/100-cota_s)^(3/2))*1000)),IF(O2701&lt;=cota_s*100+fi_s/20,0,(OFFSET('Base de dados'!$A$4,IF(O2701&lt;20,1,IF(O2701&gt;1000,10,MATCH(O2701,Cargas,1))),Coluna_fis,1,1))*(PI()*(fi_s/1000)^2/4)*(2*9.81*(O2701/100-cota_s-fi_s/2/1000))^0.5*1000)))</f>
        <v>6.2961214431068075</v>
      </c>
      <c r="R2701" s="38">
        <f t="shared" ca="1" si="295"/>
        <v>13.241585460336005</v>
      </c>
      <c r="S2701" s="38">
        <f t="shared" ca="1" si="296"/>
        <v>843.75</v>
      </c>
    </row>
    <row r="2702" spans="13:19">
      <c r="M2702" s="132">
        <f t="shared" ca="1" si="293"/>
        <v>857.30679729595886</v>
      </c>
      <c r="N2702" s="38">
        <f t="shared" si="294"/>
        <v>25.321875000000002</v>
      </c>
      <c r="O2702" s="36">
        <f t="shared" si="292"/>
        <v>675.25</v>
      </c>
      <c r="P2702" s="38">
        <f ca="1">IF(ISERROR(IF(O2702&lt;fi_h/20,0,(OFFSET('Base de dados'!$A$5,IF(O2702&lt;20,1,IF(O2702&gt;1000,10,MATCH(O2702,Cargas,1))),Coluna_fih,1,1))*(1+0.13*0.25)*(PI()*(fi_h/1000)^2/4)*SQRT(2*9.81*(O2702/100-fi_h/2/1000))*1000)),"",IF(O2702&lt;fi_h/20,0,(OFFSET('Base de dados'!$A$5,IF(O2702&lt;20,1,IF(O2702&gt;1000,10,MATCH(O2702,Cargas,1))),Coluna_fih,1,1))*(PI()*(fi_h/1000)^2/4)*SQRT(2*9.81*(O2702/100-fi_h/2/1000))*1000))</f>
        <v>6.9467534569827025</v>
      </c>
      <c r="Q2702" s="38">
        <f ca="1">IF(O2702="","",IF(Tipo_Vertedor="Retangular",IF(O2702&lt;=cota_s*100,0,IF(Tipo_Vertedor="Retangular",Cd_sr*Lef_sr*((O2702/100-cota_s)^(3/2))*1000)),IF(O2702&lt;=cota_s*100+fi_s/20,0,(OFFSET('Base de dados'!$A$4,IF(O2702&lt;20,1,IF(O2702&gt;1000,10,MATCH(O2702,Cargas,1))),Coluna_fis,1,1))*(PI()*(fi_s/1000)^2/4)*(2*9.81*(O2702/100-cota_s-fi_s/2/1000))^0.5*1000)))</f>
        <v>6.2975438389760274</v>
      </c>
      <c r="R2702" s="38">
        <f t="shared" ca="1" si="295"/>
        <v>13.244297295958731</v>
      </c>
      <c r="S2702" s="38">
        <f t="shared" ca="1" si="296"/>
        <v>844.06250000000011</v>
      </c>
    </row>
    <row r="2703" spans="13:19">
      <c r="M2703" s="132">
        <f t="shared" ca="1" si="293"/>
        <v>857.62200857108598</v>
      </c>
      <c r="N2703" s="38">
        <f t="shared" si="294"/>
        <v>25.331250000000001</v>
      </c>
      <c r="O2703" s="36">
        <f t="shared" si="292"/>
        <v>675.5</v>
      </c>
      <c r="P2703" s="38">
        <f ca="1">IF(ISERROR(IF(O2703&lt;fi_h/20,0,(OFFSET('Base de dados'!$A$5,IF(O2703&lt;20,1,IF(O2703&gt;1000,10,MATCH(O2703,Cargas,1))),Coluna_fih,1,1))*(1+0.13*0.25)*(PI()*(fi_h/1000)^2/4)*SQRT(2*9.81*(O2703/100-fi_h/2/1000))*1000)),"",IF(O2703&lt;fi_h/20,0,(OFFSET('Base de dados'!$A$5,IF(O2703&lt;20,1,IF(O2703&gt;1000,10,MATCH(O2703,Cargas,1))),Coluna_fih,1,1))*(PI()*(fi_h/1000)^2/4)*SQRT(2*9.81*(O2703/100-fi_h/2/1000))*1000))</f>
        <v>6.948042657437898</v>
      </c>
      <c r="Q2703" s="38">
        <f ca="1">IF(O2703="","",IF(Tipo_Vertedor="Retangular",IF(O2703&lt;=cota_s*100,0,IF(Tipo_Vertedor="Retangular",Cd_sr*Lef_sr*((O2703/100-cota_s)^(3/2))*1000)),IF(O2703&lt;=cota_s*100+fi_s/20,0,(OFFSET('Base de dados'!$A$4,IF(O2703&lt;20,1,IF(O2703&gt;1000,10,MATCH(O2703,Cargas,1))),Coluna_fis,1,1))*(PI()*(fi_s/1000)^2/4)*(2*9.81*(O2703/100-cota_s-fi_s/2/1000))^0.5*1000)))</f>
        <v>6.2989659136480887</v>
      </c>
      <c r="R2703" s="38">
        <f t="shared" ca="1" si="295"/>
        <v>13.247008571085987</v>
      </c>
      <c r="S2703" s="38">
        <f t="shared" ca="1" si="296"/>
        <v>844.375</v>
      </c>
    </row>
    <row r="2704" spans="13:19">
      <c r="M2704" s="132">
        <f t="shared" ca="1" si="293"/>
        <v>857.93721928606851</v>
      </c>
      <c r="N2704" s="38">
        <f t="shared" si="294"/>
        <v>25.340625000000003</v>
      </c>
      <c r="O2704" s="36">
        <f t="shared" si="292"/>
        <v>675.75</v>
      </c>
      <c r="P2704" s="38">
        <f ca="1">IF(ISERROR(IF(O2704&lt;fi_h/20,0,(OFFSET('Base de dados'!$A$5,IF(O2704&lt;20,1,IF(O2704&gt;1000,10,MATCH(O2704,Cargas,1))),Coluna_fih,1,1))*(1+0.13*0.25)*(PI()*(fi_h/1000)^2/4)*SQRT(2*9.81*(O2704/100-fi_h/2/1000))*1000)),"",IF(O2704&lt;fi_h/20,0,(OFFSET('Base de dados'!$A$5,IF(O2704&lt;20,1,IF(O2704&gt;1000,10,MATCH(O2704,Cargas,1))),Coluna_fih,1,1))*(PI()*(fi_h/1000)^2/4)*SQRT(2*9.81*(O2704/100-fi_h/2/1000))*1000))</f>
        <v>6.9493316187279675</v>
      </c>
      <c r="Q2704" s="38">
        <f ca="1">IF(O2704="","",IF(Tipo_Vertedor="Retangular",IF(O2704&lt;=cota_s*100,0,IF(Tipo_Vertedor="Retangular",Cd_sr*Lef_sr*((O2704/100-cota_s)^(3/2))*1000)),IF(O2704&lt;=cota_s*100+fi_s/20,0,(OFFSET('Base de dados'!$A$4,IF(O2704&lt;20,1,IF(O2704&gt;1000,10,MATCH(O2704,Cargas,1))),Coluna_fis,1,1))*(PI()*(fi_s/1000)^2/4)*(2*9.81*(O2704/100-cota_s-fi_s/2/1000))^0.5*1000)))</f>
        <v>6.3003876673404848</v>
      </c>
      <c r="R2704" s="38">
        <f t="shared" ca="1" si="295"/>
        <v>13.249719286068451</v>
      </c>
      <c r="S2704" s="38">
        <f t="shared" ca="1" si="296"/>
        <v>844.68750000000011</v>
      </c>
    </row>
    <row r="2705" spans="13:19">
      <c r="M2705" s="132">
        <f t="shared" ca="1" si="293"/>
        <v>858.25242944125637</v>
      </c>
      <c r="N2705" s="38">
        <f t="shared" si="294"/>
        <v>25.349999999999998</v>
      </c>
      <c r="O2705" s="36">
        <f t="shared" si="292"/>
        <v>676</v>
      </c>
      <c r="P2705" s="38">
        <f ca="1">IF(ISERROR(IF(O2705&lt;fi_h/20,0,(OFFSET('Base de dados'!$A$5,IF(O2705&lt;20,1,IF(O2705&gt;1000,10,MATCH(O2705,Cargas,1))),Coluna_fih,1,1))*(1+0.13*0.25)*(PI()*(fi_h/1000)^2/4)*SQRT(2*9.81*(O2705/100-fi_h/2/1000))*1000)),"",IF(O2705&lt;fi_h/20,0,(OFFSET('Base de dados'!$A$5,IF(O2705&lt;20,1,IF(O2705&gt;1000,10,MATCH(O2705,Cargas,1))),Coluna_fih,1,1))*(PI()*(fi_h/1000)^2/4)*SQRT(2*9.81*(O2705/100-fi_h/2/1000))*1000))</f>
        <v>6.9506203409859646</v>
      </c>
      <c r="Q2705" s="38">
        <f ca="1">IF(O2705="","",IF(Tipo_Vertedor="Retangular",IF(O2705&lt;=cota_s*100,0,IF(Tipo_Vertedor="Retangular",Cd_sr*Lef_sr*((O2705/100-cota_s)^(3/2))*1000)),IF(O2705&lt;=cota_s*100+fi_s/20,0,(OFFSET('Base de dados'!$A$4,IF(O2705&lt;20,1,IF(O2705&gt;1000,10,MATCH(O2705,Cargas,1))),Coluna_fis,1,1))*(PI()*(fi_s/1000)^2/4)*(2*9.81*(O2705/100-cota_s-fi_s/2/1000))^0.5*1000)))</f>
        <v>6.3018091002704653</v>
      </c>
      <c r="R2705" s="38">
        <f t="shared" ca="1" si="295"/>
        <v>13.25242944125643</v>
      </c>
      <c r="S2705" s="38">
        <f t="shared" ca="1" si="296"/>
        <v>844.99999999999989</v>
      </c>
    </row>
    <row r="2706" spans="13:19">
      <c r="M2706" s="132">
        <f t="shared" ca="1" si="293"/>
        <v>858.56763903699982</v>
      </c>
      <c r="N2706" s="38">
        <f t="shared" si="294"/>
        <v>25.359375</v>
      </c>
      <c r="O2706" s="36">
        <f t="shared" si="292"/>
        <v>676.25</v>
      </c>
      <c r="P2706" s="38">
        <f ca="1">IF(ISERROR(IF(O2706&lt;fi_h/20,0,(OFFSET('Base de dados'!$A$5,IF(O2706&lt;20,1,IF(O2706&gt;1000,10,MATCH(O2706,Cargas,1))),Coluna_fih,1,1))*(1+0.13*0.25)*(PI()*(fi_h/1000)^2/4)*SQRT(2*9.81*(O2706/100-fi_h/2/1000))*1000)),"",IF(O2706&lt;fi_h/20,0,(OFFSET('Base de dados'!$A$5,IF(O2706&lt;20,1,IF(O2706&gt;1000,10,MATCH(O2706,Cargas,1))),Coluna_fih,1,1))*(PI()*(fi_h/1000)^2/4)*SQRT(2*9.81*(O2706/100-fi_h/2/1000))*1000))</f>
        <v>6.9519088243448239</v>
      </c>
      <c r="Q2706" s="38">
        <f ca="1">IF(O2706="","",IF(Tipo_Vertedor="Retangular",IF(O2706&lt;=cota_s*100,0,IF(Tipo_Vertedor="Retangular",Cd_sr*Lef_sr*((O2706/100-cota_s)^(3/2))*1000)),IF(O2706&lt;=cota_s*100+fi_s/20,0,(OFFSET('Base de dados'!$A$4,IF(O2706&lt;20,1,IF(O2706&gt;1000,10,MATCH(O2706,Cargas,1))),Coluna_fis,1,1))*(PI()*(fi_s/1000)^2/4)*(2*9.81*(O2706/100-cota_s-fi_s/2/1000))^0.5*1000)))</f>
        <v>6.303230212655035</v>
      </c>
      <c r="R2706" s="38">
        <f t="shared" ca="1" si="295"/>
        <v>13.255139036999859</v>
      </c>
      <c r="S2706" s="38">
        <f t="shared" ca="1" si="296"/>
        <v>845.3125</v>
      </c>
    </row>
    <row r="2707" spans="13:19">
      <c r="M2707" s="132">
        <f t="shared" ca="1" si="293"/>
        <v>858.88284807364835</v>
      </c>
      <c r="N2707" s="38">
        <f t="shared" si="294"/>
        <v>25.368749999999999</v>
      </c>
      <c r="O2707" s="36">
        <f t="shared" ref="O2707:O2770" si="297">IF(ISERROR(IF(O2706+passo_altura&gt;h_max_puls*100,"",O2706+passo_altura)),"",IF(O2706+passo_altura&gt;h_max_puls*100,"",O2706+passo_altura))</f>
        <v>676.5</v>
      </c>
      <c r="P2707" s="38">
        <f ca="1">IF(ISERROR(IF(O2707&lt;fi_h/20,0,(OFFSET('Base de dados'!$A$5,IF(O2707&lt;20,1,IF(O2707&gt;1000,10,MATCH(O2707,Cargas,1))),Coluna_fih,1,1))*(1+0.13*0.25)*(PI()*(fi_h/1000)^2/4)*SQRT(2*9.81*(O2707/100-fi_h/2/1000))*1000)),"",IF(O2707&lt;fi_h/20,0,(OFFSET('Base de dados'!$A$5,IF(O2707&lt;20,1,IF(O2707&gt;1000,10,MATCH(O2707,Cargas,1))),Coluna_fih,1,1))*(PI()*(fi_h/1000)^2/4)*SQRT(2*9.81*(O2707/100-fi_h/2/1000))*1000))</f>
        <v>6.9531970689373539</v>
      </c>
      <c r="Q2707" s="38">
        <f ca="1">IF(O2707="","",IF(Tipo_Vertedor="Retangular",IF(O2707&lt;=cota_s*100,0,IF(Tipo_Vertedor="Retangular",Cd_sr*Lef_sr*((O2707/100-cota_s)^(3/2))*1000)),IF(O2707&lt;=cota_s*100+fi_s/20,0,(OFFSET('Base de dados'!$A$4,IF(O2707&lt;20,1,IF(O2707&gt;1000,10,MATCH(O2707,Cargas,1))),Coluna_fis,1,1))*(PI()*(fi_s/1000)^2/4)*(2*9.81*(O2707/100-cota_s-fi_s/2/1000))^0.5*1000)))</f>
        <v>6.3046510047109514</v>
      </c>
      <c r="R2707" s="38">
        <f t="shared" ca="1" si="295"/>
        <v>13.257848073648304</v>
      </c>
      <c r="S2707" s="38">
        <f t="shared" ca="1" si="296"/>
        <v>845.625</v>
      </c>
    </row>
    <row r="2708" spans="13:19">
      <c r="M2708" s="132">
        <f t="shared" ca="1" si="293"/>
        <v>859.19805655155096</v>
      </c>
      <c r="N2708" s="38">
        <f t="shared" si="294"/>
        <v>25.378125000000001</v>
      </c>
      <c r="O2708" s="36">
        <f t="shared" si="297"/>
        <v>676.75</v>
      </c>
      <c r="P2708" s="38">
        <f ca="1">IF(ISERROR(IF(O2708&lt;fi_h/20,0,(OFFSET('Base de dados'!$A$5,IF(O2708&lt;20,1,IF(O2708&gt;1000,10,MATCH(O2708,Cargas,1))),Coluna_fih,1,1))*(1+0.13*0.25)*(PI()*(fi_h/1000)^2/4)*SQRT(2*9.81*(O2708/100-fi_h/2/1000))*1000)),"",IF(O2708&lt;fi_h/20,0,(OFFSET('Base de dados'!$A$5,IF(O2708&lt;20,1,IF(O2708&gt;1000,10,MATCH(O2708,Cargas,1))),Coluna_fih,1,1))*(PI()*(fi_h/1000)^2/4)*SQRT(2*9.81*(O2708/100-fi_h/2/1000))*1000))</f>
        <v>6.9544850748962412</v>
      </c>
      <c r="Q2708" s="38">
        <f ca="1">IF(O2708="","",IF(Tipo_Vertedor="Retangular",IF(O2708&lt;=cota_s*100,0,IF(Tipo_Vertedor="Retangular",Cd_sr*Lef_sr*((O2708/100-cota_s)^(3/2))*1000)),IF(O2708&lt;=cota_s*100+fi_s/20,0,(OFFSET('Base de dados'!$A$4,IF(O2708&lt;20,1,IF(O2708&gt;1000,10,MATCH(O2708,Cargas,1))),Coluna_fis,1,1))*(PI()*(fi_s/1000)^2/4)*(2*9.81*(O2708/100-cota_s-fi_s/2/1000))^0.5*1000)))</f>
        <v>6.306071476654731</v>
      </c>
      <c r="R2708" s="38">
        <f t="shared" ca="1" si="295"/>
        <v>13.260556551550973</v>
      </c>
      <c r="S2708" s="38">
        <f t="shared" ca="1" si="296"/>
        <v>845.9375</v>
      </c>
    </row>
    <row r="2709" spans="13:19">
      <c r="M2709" s="132">
        <f t="shared" ca="1" si="293"/>
        <v>859.51326447105669</v>
      </c>
      <c r="N2709" s="38">
        <f t="shared" si="294"/>
        <v>25.387499999999999</v>
      </c>
      <c r="O2709" s="36">
        <f t="shared" si="297"/>
        <v>677</v>
      </c>
      <c r="P2709" s="38">
        <f ca="1">IF(ISERROR(IF(O2709&lt;fi_h/20,0,(OFFSET('Base de dados'!$A$5,IF(O2709&lt;20,1,IF(O2709&gt;1000,10,MATCH(O2709,Cargas,1))),Coluna_fih,1,1))*(1+0.13*0.25)*(PI()*(fi_h/1000)^2/4)*SQRT(2*9.81*(O2709/100-fi_h/2/1000))*1000)),"",IF(O2709&lt;fi_h/20,0,(OFFSET('Base de dados'!$A$5,IF(O2709&lt;20,1,IF(O2709&gt;1000,10,MATCH(O2709,Cargas,1))),Coluna_fih,1,1))*(PI()*(fi_h/1000)^2/4)*SQRT(2*9.81*(O2709/100-fi_h/2/1000))*1000))</f>
        <v>6.9557728423540501</v>
      </c>
      <c r="Q2709" s="38">
        <f ca="1">IF(O2709="","",IF(Tipo_Vertedor="Retangular",IF(O2709&lt;=cota_s*100,0,IF(Tipo_Vertedor="Retangular",Cd_sr*Lef_sr*((O2709/100-cota_s)^(3/2))*1000)),IF(O2709&lt;=cota_s*100+fi_s/20,0,(OFFSET('Base de dados'!$A$4,IF(O2709&lt;20,1,IF(O2709&gt;1000,10,MATCH(O2709,Cargas,1))),Coluna_fis,1,1))*(PI()*(fi_s/1000)^2/4)*(2*9.81*(O2709/100-cota_s-fi_s/2/1000))^0.5*1000)))</f>
        <v>6.3074916287026452</v>
      </c>
      <c r="R2709" s="38">
        <f t="shared" ca="1" si="295"/>
        <v>13.263264471056695</v>
      </c>
      <c r="S2709" s="38">
        <f t="shared" ca="1" si="296"/>
        <v>846.25</v>
      </c>
    </row>
    <row r="2710" spans="13:19">
      <c r="M2710" s="132">
        <f t="shared" ca="1" si="293"/>
        <v>859.82847183251397</v>
      </c>
      <c r="N2710" s="38">
        <f t="shared" si="294"/>
        <v>25.396875000000001</v>
      </c>
      <c r="O2710" s="36">
        <f t="shared" si="297"/>
        <v>677.25</v>
      </c>
      <c r="P2710" s="38">
        <f ca="1">IF(ISERROR(IF(O2710&lt;fi_h/20,0,(OFFSET('Base de dados'!$A$5,IF(O2710&lt;20,1,IF(O2710&gt;1000,10,MATCH(O2710,Cargas,1))),Coluna_fih,1,1))*(1+0.13*0.25)*(PI()*(fi_h/1000)^2/4)*SQRT(2*9.81*(O2710/100-fi_h/2/1000))*1000)),"",IF(O2710&lt;fi_h/20,0,(OFFSET('Base de dados'!$A$5,IF(O2710&lt;20,1,IF(O2710&gt;1000,10,MATCH(O2710,Cargas,1))),Coluna_fih,1,1))*(PI()*(fi_h/1000)^2/4)*SQRT(2*9.81*(O2710/100-fi_h/2/1000))*1000))</f>
        <v>6.957060371443224</v>
      </c>
      <c r="Q2710" s="38">
        <f ca="1">IF(O2710="","",IF(Tipo_Vertedor="Retangular",IF(O2710&lt;=cota_s*100,0,IF(Tipo_Vertedor="Retangular",Cd_sr*Lef_sr*((O2710/100-cota_s)^(3/2))*1000)),IF(O2710&lt;=cota_s*100+fi_s/20,0,(OFFSET('Base de dados'!$A$4,IF(O2710&lt;20,1,IF(O2710&gt;1000,10,MATCH(O2710,Cargas,1))),Coluna_fis,1,1))*(PI()*(fi_s/1000)^2/4)*(2*9.81*(O2710/100-cota_s-fi_s/2/1000))^0.5*1000)))</f>
        <v>6.308911461070724</v>
      </c>
      <c r="R2710" s="38">
        <f t="shared" ca="1" si="295"/>
        <v>13.265971832513948</v>
      </c>
      <c r="S2710" s="38">
        <f t="shared" ca="1" si="296"/>
        <v>846.5625</v>
      </c>
    </row>
    <row r="2711" spans="13:19">
      <c r="M2711" s="132">
        <f t="shared" ref="M2711:M2774" ca="1" si="298">IF(O2711="","",2*N2711*1000/(Passo*60)+R2711)</f>
        <v>860.14367863627081</v>
      </c>
      <c r="N2711" s="38">
        <f t="shared" ref="N2711:N2774" si="299">IF(O2711="","",b_0*(O2711/100)^c_0)</f>
        <v>25.40625</v>
      </c>
      <c r="O2711" s="36">
        <f t="shared" si="297"/>
        <v>677.5</v>
      </c>
      <c r="P2711" s="38">
        <f ca="1">IF(ISERROR(IF(O2711&lt;fi_h/20,0,(OFFSET('Base de dados'!$A$5,IF(O2711&lt;20,1,IF(O2711&gt;1000,10,MATCH(O2711,Cargas,1))),Coluna_fih,1,1))*(1+0.13*0.25)*(PI()*(fi_h/1000)^2/4)*SQRT(2*9.81*(O2711/100-fi_h/2/1000))*1000)),"",IF(O2711&lt;fi_h/20,0,(OFFSET('Base de dados'!$A$5,IF(O2711&lt;20,1,IF(O2711&gt;1000,10,MATCH(O2711,Cargas,1))),Coluna_fih,1,1))*(PI()*(fi_h/1000)^2/4)*SQRT(2*9.81*(O2711/100-fi_h/2/1000))*1000))</f>
        <v>6.9583476622960792</v>
      </c>
      <c r="Q2711" s="38">
        <f ca="1">IF(O2711="","",IF(Tipo_Vertedor="Retangular",IF(O2711&lt;=cota_s*100,0,IF(Tipo_Vertedor="Retangular",Cd_sr*Lef_sr*((O2711/100-cota_s)^(3/2))*1000)),IF(O2711&lt;=cota_s*100+fi_s/20,0,(OFFSET('Base de dados'!$A$4,IF(O2711&lt;20,1,IF(O2711&gt;1000,10,MATCH(O2711,Cargas,1))),Coluna_fis,1,1))*(PI()*(fi_s/1000)^2/4)*(2*9.81*(O2711/100-cota_s-fi_s/2/1000))^0.5*1000)))</f>
        <v>6.3103309739747502</v>
      </c>
      <c r="R2711" s="38">
        <f t="shared" ref="R2711:R2774" ca="1" si="300">IF(O2711="","",Q2711+P2711)</f>
        <v>13.268678636270829</v>
      </c>
      <c r="S2711" s="38">
        <f t="shared" ref="S2711:S2774" ca="1" si="301">IF(M2711="","",2*N2711*1000/(Passo*60))</f>
        <v>846.875</v>
      </c>
    </row>
    <row r="2712" spans="13:19">
      <c r="M2712" s="132">
        <f t="shared" ca="1" si="298"/>
        <v>860.45888488267508</v>
      </c>
      <c r="N2712" s="38">
        <f t="shared" si="299"/>
        <v>25.415624999999999</v>
      </c>
      <c r="O2712" s="36">
        <f t="shared" si="297"/>
        <v>677.75</v>
      </c>
      <c r="P2712" s="38">
        <f ca="1">IF(ISERROR(IF(O2712&lt;fi_h/20,0,(OFFSET('Base de dados'!$A$5,IF(O2712&lt;20,1,IF(O2712&gt;1000,10,MATCH(O2712,Cargas,1))),Coluna_fih,1,1))*(1+0.13*0.25)*(PI()*(fi_h/1000)^2/4)*SQRT(2*9.81*(O2712/100-fi_h/2/1000))*1000)),"",IF(O2712&lt;fi_h/20,0,(OFFSET('Base de dados'!$A$5,IF(O2712&lt;20,1,IF(O2712&gt;1000,10,MATCH(O2712,Cargas,1))),Coluna_fih,1,1))*(PI()*(fi_h/1000)^2/4)*SQRT(2*9.81*(O2712/100-fi_h/2/1000))*1000))</f>
        <v>6.9596347150448121</v>
      </c>
      <c r="Q2712" s="38">
        <f ca="1">IF(O2712="","",IF(Tipo_Vertedor="Retangular",IF(O2712&lt;=cota_s*100,0,IF(Tipo_Vertedor="Retangular",Cd_sr*Lef_sr*((O2712/100-cota_s)^(3/2))*1000)),IF(O2712&lt;=cota_s*100+fi_s/20,0,(OFFSET('Base de dados'!$A$4,IF(O2712&lt;20,1,IF(O2712&gt;1000,10,MATCH(O2712,Cargas,1))),Coluna_fis,1,1))*(PI()*(fi_s/1000)^2/4)*(2*9.81*(O2712/100-cota_s-fi_s/2/1000))^0.5*1000)))</f>
        <v>6.3117501676302652</v>
      </c>
      <c r="R2712" s="38">
        <f t="shared" ca="1" si="300"/>
        <v>13.271384882675077</v>
      </c>
      <c r="S2712" s="38">
        <f t="shared" ca="1" si="301"/>
        <v>847.1875</v>
      </c>
    </row>
    <row r="2713" spans="13:19">
      <c r="M2713" s="132">
        <f t="shared" ca="1" si="298"/>
        <v>860.7740905720741</v>
      </c>
      <c r="N2713" s="38">
        <f t="shared" si="299"/>
        <v>25.425000000000001</v>
      </c>
      <c r="O2713" s="36">
        <f t="shared" si="297"/>
        <v>678</v>
      </c>
      <c r="P2713" s="38">
        <f ca="1">IF(ISERROR(IF(O2713&lt;fi_h/20,0,(OFFSET('Base de dados'!$A$5,IF(O2713&lt;20,1,IF(O2713&gt;1000,10,MATCH(O2713,Cargas,1))),Coluna_fih,1,1))*(1+0.13*0.25)*(PI()*(fi_h/1000)^2/4)*SQRT(2*9.81*(O2713/100-fi_h/2/1000))*1000)),"",IF(O2713&lt;fi_h/20,0,(OFFSET('Base de dados'!$A$5,IF(O2713&lt;20,1,IF(O2713&gt;1000,10,MATCH(O2713,Cargas,1))),Coluna_fih,1,1))*(PI()*(fi_h/1000)^2/4)*SQRT(2*9.81*(O2713/100-fi_h/2/1000))*1000))</f>
        <v>6.9609215298214977</v>
      </c>
      <c r="Q2713" s="38">
        <f ca="1">IF(O2713="","",IF(Tipo_Vertedor="Retangular",IF(O2713&lt;=cota_s*100,0,IF(Tipo_Vertedor="Retangular",Cd_sr*Lef_sr*((O2713/100-cota_s)^(3/2))*1000)),IF(O2713&lt;=cota_s*100+fi_s/20,0,(OFFSET('Base de dados'!$A$4,IF(O2713&lt;20,1,IF(O2713&gt;1000,10,MATCH(O2713,Cargas,1))),Coluna_fis,1,1))*(PI()*(fi_s/1000)^2/4)*(2*9.81*(O2713/100-cota_s-fi_s/2/1000))^0.5*1000)))</f>
        <v>6.3131690422525715</v>
      </c>
      <c r="R2713" s="38">
        <f t="shared" ca="1" si="300"/>
        <v>13.274090572074069</v>
      </c>
      <c r="S2713" s="38">
        <f t="shared" ca="1" si="301"/>
        <v>847.5</v>
      </c>
    </row>
    <row r="2714" spans="13:19">
      <c r="M2714" s="132">
        <f t="shared" ca="1" si="298"/>
        <v>861.08929570481484</v>
      </c>
      <c r="N2714" s="38">
        <f t="shared" si="299"/>
        <v>25.434374999999999</v>
      </c>
      <c r="O2714" s="36">
        <f t="shared" si="297"/>
        <v>678.25</v>
      </c>
      <c r="P2714" s="38">
        <f ca="1">IF(ISERROR(IF(O2714&lt;fi_h/20,0,(OFFSET('Base de dados'!$A$5,IF(O2714&lt;20,1,IF(O2714&gt;1000,10,MATCH(O2714,Cargas,1))),Coluna_fih,1,1))*(1+0.13*0.25)*(PI()*(fi_h/1000)^2/4)*SQRT(2*9.81*(O2714/100-fi_h/2/1000))*1000)),"",IF(O2714&lt;fi_h/20,0,(OFFSET('Base de dados'!$A$5,IF(O2714&lt;20,1,IF(O2714&gt;1000,10,MATCH(O2714,Cargas,1))),Coluna_fih,1,1))*(PI()*(fi_h/1000)^2/4)*SQRT(2*9.81*(O2714/100-fi_h/2/1000))*1000))</f>
        <v>6.9622081067580872</v>
      </c>
      <c r="Q2714" s="38">
        <f ca="1">IF(O2714="","",IF(Tipo_Vertedor="Retangular",IF(O2714&lt;=cota_s*100,0,IF(Tipo_Vertedor="Retangular",Cd_sr*Lef_sr*((O2714/100-cota_s)^(3/2))*1000)),IF(O2714&lt;=cota_s*100+fi_s/20,0,(OFFSET('Base de dados'!$A$4,IF(O2714&lt;20,1,IF(O2714&gt;1000,10,MATCH(O2714,Cargas,1))),Coluna_fis,1,1))*(PI()*(fi_s/1000)^2/4)*(2*9.81*(O2714/100-cota_s-fi_s/2/1000))^0.5*1000)))</f>
        <v>6.3145875980567272</v>
      </c>
      <c r="R2714" s="38">
        <f t="shared" ca="1" si="300"/>
        <v>13.276795704814814</v>
      </c>
      <c r="S2714" s="38">
        <f t="shared" ca="1" si="301"/>
        <v>847.8125</v>
      </c>
    </row>
    <row r="2715" spans="13:19">
      <c r="M2715" s="132">
        <f t="shared" ca="1" si="298"/>
        <v>861.40450028124394</v>
      </c>
      <c r="N2715" s="38">
        <f t="shared" si="299"/>
        <v>25.443750000000001</v>
      </c>
      <c r="O2715" s="36">
        <f t="shared" si="297"/>
        <v>678.5</v>
      </c>
      <c r="P2715" s="38">
        <f ca="1">IF(ISERROR(IF(O2715&lt;fi_h/20,0,(OFFSET('Base de dados'!$A$5,IF(O2715&lt;20,1,IF(O2715&gt;1000,10,MATCH(O2715,Cargas,1))),Coluna_fih,1,1))*(1+0.13*0.25)*(PI()*(fi_h/1000)^2/4)*SQRT(2*9.81*(O2715/100-fi_h/2/1000))*1000)),"",IF(O2715&lt;fi_h/20,0,(OFFSET('Base de dados'!$A$5,IF(O2715&lt;20,1,IF(O2715&gt;1000,10,MATCH(O2715,Cargas,1))),Coluna_fih,1,1))*(PI()*(fi_h/1000)^2/4)*SQRT(2*9.81*(O2715/100-fi_h/2/1000))*1000))</f>
        <v>6.9634944459864112</v>
      </c>
      <c r="Q2715" s="38">
        <f ca="1">IF(O2715="","",IF(Tipo_Vertedor="Retangular",IF(O2715&lt;=cota_s*100,0,IF(Tipo_Vertedor="Retangular",Cd_sr*Lef_sr*((O2715/100-cota_s)^(3/2))*1000)),IF(O2715&lt;=cota_s*100+fi_s/20,0,(OFFSET('Base de dados'!$A$4,IF(O2715&lt;20,1,IF(O2715&gt;1000,10,MATCH(O2715,Cargas,1))),Coluna_fis,1,1))*(PI()*(fi_s/1000)^2/4)*(2*9.81*(O2715/100-cota_s-fi_s/2/1000))^0.5*1000)))</f>
        <v>6.316005835257549</v>
      </c>
      <c r="R2715" s="38">
        <f t="shared" ca="1" si="300"/>
        <v>13.27950028124396</v>
      </c>
      <c r="S2715" s="38">
        <f t="shared" ca="1" si="301"/>
        <v>848.125</v>
      </c>
    </row>
    <row r="2716" spans="13:19">
      <c r="M2716" s="132">
        <f t="shared" ca="1" si="298"/>
        <v>861.71970430170779</v>
      </c>
      <c r="N2716" s="38">
        <f t="shared" si="299"/>
        <v>25.453125</v>
      </c>
      <c r="O2716" s="36">
        <f t="shared" si="297"/>
        <v>678.75</v>
      </c>
      <c r="P2716" s="38">
        <f ca="1">IF(ISERROR(IF(O2716&lt;fi_h/20,0,(OFFSET('Base de dados'!$A$5,IF(O2716&lt;20,1,IF(O2716&gt;1000,10,MATCH(O2716,Cargas,1))),Coluna_fih,1,1))*(1+0.13*0.25)*(PI()*(fi_h/1000)^2/4)*SQRT(2*9.81*(O2716/100-fi_h/2/1000))*1000)),"",IF(O2716&lt;fi_h/20,0,(OFFSET('Base de dados'!$A$5,IF(O2716&lt;20,1,IF(O2716&gt;1000,10,MATCH(O2716,Cargas,1))),Coluna_fih,1,1))*(PI()*(fi_h/1000)^2/4)*SQRT(2*9.81*(O2716/100-fi_h/2/1000))*1000))</f>
        <v>6.9647805476381794</v>
      </c>
      <c r="Q2716" s="38">
        <f ca="1">IF(O2716="","",IF(Tipo_Vertedor="Retangular",IF(O2716&lt;=cota_s*100,0,IF(Tipo_Vertedor="Retangular",Cd_sr*Lef_sr*((O2716/100-cota_s)^(3/2))*1000)),IF(O2716&lt;=cota_s*100+fi_s/20,0,(OFFSET('Base de dados'!$A$4,IF(O2716&lt;20,1,IF(O2716&gt;1000,10,MATCH(O2716,Cargas,1))),Coluna_fis,1,1))*(PI()*(fi_s/1000)^2/4)*(2*9.81*(O2716/100-cota_s-fi_s/2/1000))^0.5*1000)))</f>
        <v>6.317423754069611</v>
      </c>
      <c r="R2716" s="38">
        <f t="shared" ca="1" si="300"/>
        <v>13.28220430170779</v>
      </c>
      <c r="S2716" s="38">
        <f t="shared" ca="1" si="301"/>
        <v>848.4375</v>
      </c>
    </row>
    <row r="2717" spans="13:19">
      <c r="M2717" s="132">
        <f t="shared" ca="1" si="298"/>
        <v>862.03490776655224</v>
      </c>
      <c r="N2717" s="38">
        <f t="shared" si="299"/>
        <v>25.462499999999999</v>
      </c>
      <c r="O2717" s="36">
        <f t="shared" si="297"/>
        <v>679</v>
      </c>
      <c r="P2717" s="38">
        <f ca="1">IF(ISERROR(IF(O2717&lt;fi_h/20,0,(OFFSET('Base de dados'!$A$5,IF(O2717&lt;20,1,IF(O2717&gt;1000,10,MATCH(O2717,Cargas,1))),Coluna_fih,1,1))*(1+0.13*0.25)*(PI()*(fi_h/1000)^2/4)*SQRT(2*9.81*(O2717/100-fi_h/2/1000))*1000)),"",IF(O2717&lt;fi_h/20,0,(OFFSET('Base de dados'!$A$5,IF(O2717&lt;20,1,IF(O2717&gt;1000,10,MATCH(O2717,Cargas,1))),Coluna_fih,1,1))*(PI()*(fi_h/1000)^2/4)*SQRT(2*9.81*(O2717/100-fi_h/2/1000))*1000))</f>
        <v>6.9660664118449773</v>
      </c>
      <c r="Q2717" s="38">
        <f ca="1">IF(O2717="","",IF(Tipo_Vertedor="Retangular",IF(O2717&lt;=cota_s*100,0,IF(Tipo_Vertedor="Retangular",Cd_sr*Lef_sr*((O2717/100-cota_s)^(3/2))*1000)),IF(O2717&lt;=cota_s*100+fi_s/20,0,(OFFSET('Base de dados'!$A$4,IF(O2717&lt;20,1,IF(O2717&gt;1000,10,MATCH(O2717,Cargas,1))),Coluna_fis,1,1))*(PI()*(fi_s/1000)^2/4)*(2*9.81*(O2717/100-cota_s-fi_s/2/1000))^0.5*1000)))</f>
        <v>6.3188413547072502</v>
      </c>
      <c r="R2717" s="38">
        <f t="shared" ca="1" si="300"/>
        <v>13.284907766552227</v>
      </c>
      <c r="S2717" s="38">
        <f t="shared" ca="1" si="301"/>
        <v>848.75</v>
      </c>
    </row>
    <row r="2718" spans="13:19">
      <c r="M2718" s="132">
        <f t="shared" ca="1" si="298"/>
        <v>862.35011067612288</v>
      </c>
      <c r="N2718" s="38">
        <f t="shared" si="299"/>
        <v>25.471875000000001</v>
      </c>
      <c r="O2718" s="36">
        <f t="shared" si="297"/>
        <v>679.25</v>
      </c>
      <c r="P2718" s="38">
        <f ca="1">IF(ISERROR(IF(O2718&lt;fi_h/20,0,(OFFSET('Base de dados'!$A$5,IF(O2718&lt;20,1,IF(O2718&gt;1000,10,MATCH(O2718,Cargas,1))),Coluna_fih,1,1))*(1+0.13*0.25)*(PI()*(fi_h/1000)^2/4)*SQRT(2*9.81*(O2718/100-fi_h/2/1000))*1000)),"",IF(O2718&lt;fi_h/20,0,(OFFSET('Base de dados'!$A$5,IF(O2718&lt;20,1,IF(O2718&gt;1000,10,MATCH(O2718,Cargas,1))),Coluna_fih,1,1))*(PI()*(fi_h/1000)^2/4)*SQRT(2*9.81*(O2718/100-fi_h/2/1000))*1000))</f>
        <v>6.9673520387382704</v>
      </c>
      <c r="Q2718" s="38">
        <f ca="1">IF(O2718="","",IF(Tipo_Vertedor="Retangular",IF(O2718&lt;=cota_s*100,0,IF(Tipo_Vertedor="Retangular",Cd_sr*Lef_sr*((O2718/100-cota_s)^(3/2))*1000)),IF(O2718&lt;=cota_s*100+fi_s/20,0,(OFFSET('Base de dados'!$A$4,IF(O2718&lt;20,1,IF(O2718&gt;1000,10,MATCH(O2718,Cargas,1))),Coluna_fis,1,1))*(PI()*(fi_s/1000)^2/4)*(2*9.81*(O2718/100-cota_s-fi_s/2/1000))^0.5*1000)))</f>
        <v>6.3202586373845593</v>
      </c>
      <c r="R2718" s="38">
        <f t="shared" ca="1" si="300"/>
        <v>13.28761067612283</v>
      </c>
      <c r="S2718" s="38">
        <f t="shared" ca="1" si="301"/>
        <v>849.0625</v>
      </c>
    </row>
    <row r="2719" spans="13:19">
      <c r="M2719" s="132">
        <f t="shared" ca="1" si="298"/>
        <v>862.66531303076476</v>
      </c>
      <c r="N2719" s="38">
        <f t="shared" si="299"/>
        <v>25.481249999999999</v>
      </c>
      <c r="O2719" s="36">
        <f t="shared" si="297"/>
        <v>679.5</v>
      </c>
      <c r="P2719" s="38">
        <f ca="1">IF(ISERROR(IF(O2719&lt;fi_h/20,0,(OFFSET('Base de dados'!$A$5,IF(O2719&lt;20,1,IF(O2719&gt;1000,10,MATCH(O2719,Cargas,1))),Coluna_fih,1,1))*(1+0.13*0.25)*(PI()*(fi_h/1000)^2/4)*SQRT(2*9.81*(O2719/100-fi_h/2/1000))*1000)),"",IF(O2719&lt;fi_h/20,0,(OFFSET('Base de dados'!$A$5,IF(O2719&lt;20,1,IF(O2719&gt;1000,10,MATCH(O2719,Cargas,1))),Coluna_fih,1,1))*(PI()*(fi_h/1000)^2/4)*SQRT(2*9.81*(O2719/100-fi_h/2/1000))*1000))</f>
        <v>6.9686374284494024</v>
      </c>
      <c r="Q2719" s="38">
        <f ca="1">IF(O2719="","",IF(Tipo_Vertedor="Retangular",IF(O2719&lt;=cota_s*100,0,IF(Tipo_Vertedor="Retangular",Cd_sr*Lef_sr*((O2719/100-cota_s)^(3/2))*1000)),IF(O2719&lt;=cota_s*100+fi_s/20,0,(OFFSET('Base de dados'!$A$4,IF(O2719&lt;20,1,IF(O2719&gt;1000,10,MATCH(O2719,Cargas,1))),Coluna_fis,1,1))*(PI()*(fi_s/1000)^2/4)*(2*9.81*(O2719/100-cota_s-fi_s/2/1000))^0.5*1000)))</f>
        <v>6.3216756023153948</v>
      </c>
      <c r="R2719" s="38">
        <f t="shared" ca="1" si="300"/>
        <v>13.290313030764796</v>
      </c>
      <c r="S2719" s="38">
        <f t="shared" ca="1" si="301"/>
        <v>849.375</v>
      </c>
    </row>
    <row r="2720" spans="13:19">
      <c r="M2720" s="132">
        <f t="shared" ca="1" si="298"/>
        <v>862.98051483082293</v>
      </c>
      <c r="N2720" s="38">
        <f t="shared" si="299"/>
        <v>25.490625000000001</v>
      </c>
      <c r="O2720" s="36">
        <f t="shared" si="297"/>
        <v>679.75</v>
      </c>
      <c r="P2720" s="38">
        <f ca="1">IF(ISERROR(IF(O2720&lt;fi_h/20,0,(OFFSET('Base de dados'!$A$5,IF(O2720&lt;20,1,IF(O2720&gt;1000,10,MATCH(O2720,Cargas,1))),Coluna_fih,1,1))*(1+0.13*0.25)*(PI()*(fi_h/1000)^2/4)*SQRT(2*9.81*(O2720/100-fi_h/2/1000))*1000)),"",IF(O2720&lt;fi_h/20,0,(OFFSET('Base de dados'!$A$5,IF(O2720&lt;20,1,IF(O2720&gt;1000,10,MATCH(O2720,Cargas,1))),Coluna_fih,1,1))*(PI()*(fi_h/1000)^2/4)*SQRT(2*9.81*(O2720/100-fi_h/2/1000))*1000))</f>
        <v>6.9699225811095982</v>
      </c>
      <c r="Q2720" s="38">
        <f ca="1">IF(O2720="","",IF(Tipo_Vertedor="Retangular",IF(O2720&lt;=cota_s*100,0,IF(Tipo_Vertedor="Retangular",Cd_sr*Lef_sr*((O2720/100-cota_s)^(3/2))*1000)),IF(O2720&lt;=cota_s*100+fi_s/20,0,(OFFSET('Base de dados'!$A$4,IF(O2720&lt;20,1,IF(O2720&gt;1000,10,MATCH(O2720,Cargas,1))),Coluna_fis,1,1))*(PI()*(fi_s/1000)^2/4)*(2*9.81*(O2720/100-cota_s-fi_s/2/1000))^0.5*1000)))</f>
        <v>6.3230922497133708</v>
      </c>
      <c r="R2720" s="38">
        <f t="shared" ca="1" si="300"/>
        <v>13.293014830822969</v>
      </c>
      <c r="S2720" s="38">
        <f t="shared" ca="1" si="301"/>
        <v>849.6875</v>
      </c>
    </row>
    <row r="2721" spans="13:19">
      <c r="M2721" s="132">
        <f t="shared" ca="1" si="298"/>
        <v>863.29571607664184</v>
      </c>
      <c r="N2721" s="38">
        <f t="shared" si="299"/>
        <v>25.5</v>
      </c>
      <c r="O2721" s="36">
        <f t="shared" si="297"/>
        <v>680</v>
      </c>
      <c r="P2721" s="38">
        <f ca="1">IF(ISERROR(IF(O2721&lt;fi_h/20,0,(OFFSET('Base de dados'!$A$5,IF(O2721&lt;20,1,IF(O2721&gt;1000,10,MATCH(O2721,Cargas,1))),Coluna_fih,1,1))*(1+0.13*0.25)*(PI()*(fi_h/1000)^2/4)*SQRT(2*9.81*(O2721/100-fi_h/2/1000))*1000)),"",IF(O2721&lt;fi_h/20,0,(OFFSET('Base de dados'!$A$5,IF(O2721&lt;20,1,IF(O2721&gt;1000,10,MATCH(O2721,Cargas,1))),Coluna_fih,1,1))*(PI()*(fi_h/1000)^2/4)*SQRT(2*9.81*(O2721/100-fi_h/2/1000))*1000))</f>
        <v>6.9712074968499582</v>
      </c>
      <c r="Q2721" s="38">
        <f ca="1">IF(O2721="","",IF(Tipo_Vertedor="Retangular",IF(O2721&lt;=cota_s*100,0,IF(Tipo_Vertedor="Retangular",Cd_sr*Lef_sr*((O2721/100-cota_s)^(3/2))*1000)),IF(O2721&lt;=cota_s*100+fi_s/20,0,(OFFSET('Base de dados'!$A$4,IF(O2721&lt;20,1,IF(O2721&gt;1000,10,MATCH(O2721,Cargas,1))),Coluna_fis,1,1))*(PI()*(fi_s/1000)^2/4)*(2*9.81*(O2721/100-cota_s-fi_s/2/1000))^0.5*1000)))</f>
        <v>6.3245085797918614</v>
      </c>
      <c r="R2721" s="38">
        <f t="shared" ca="1" si="300"/>
        <v>13.295716076641821</v>
      </c>
      <c r="S2721" s="38">
        <f t="shared" ca="1" si="301"/>
        <v>850</v>
      </c>
    </row>
    <row r="2722" spans="13:19">
      <c r="M2722" s="132">
        <f t="shared" ca="1" si="298"/>
        <v>863.61091676856563</v>
      </c>
      <c r="N2722" s="38">
        <f t="shared" si="299"/>
        <v>25.509375000000002</v>
      </c>
      <c r="O2722" s="36">
        <f t="shared" si="297"/>
        <v>680.25</v>
      </c>
      <c r="P2722" s="38">
        <f ca="1">IF(ISERROR(IF(O2722&lt;fi_h/20,0,(OFFSET('Base de dados'!$A$5,IF(O2722&lt;20,1,IF(O2722&gt;1000,10,MATCH(O2722,Cargas,1))),Coluna_fih,1,1))*(1+0.13*0.25)*(PI()*(fi_h/1000)^2/4)*SQRT(2*9.81*(O2722/100-fi_h/2/1000))*1000)),"",IF(O2722&lt;fi_h/20,0,(OFFSET('Base de dados'!$A$5,IF(O2722&lt;20,1,IF(O2722&gt;1000,10,MATCH(O2722,Cargas,1))),Coluna_fih,1,1))*(PI()*(fi_h/1000)^2/4)*SQRT(2*9.81*(O2722/100-fi_h/2/1000))*1000))</f>
        <v>6.9724921758014649</v>
      </c>
      <c r="Q2722" s="38">
        <f ca="1">IF(O2722="","",IF(Tipo_Vertedor="Retangular",IF(O2722&lt;=cota_s*100,0,IF(Tipo_Vertedor="Retangular",Cd_sr*Lef_sr*((O2722/100-cota_s)^(3/2))*1000)),IF(O2722&lt;=cota_s*100+fi_s/20,0,(OFFSET('Base de dados'!$A$4,IF(O2722&lt;20,1,IF(O2722&gt;1000,10,MATCH(O2722,Cargas,1))),Coluna_fis,1,1))*(PI()*(fi_s/1000)^2/4)*(2*9.81*(O2722/100-cota_s-fi_s/2/1000))^0.5*1000)))</f>
        <v>6.3259245927640047</v>
      </c>
      <c r="R2722" s="38">
        <f t="shared" ca="1" si="300"/>
        <v>13.29841676856547</v>
      </c>
      <c r="S2722" s="38">
        <f t="shared" ca="1" si="301"/>
        <v>850.31250000000011</v>
      </c>
    </row>
    <row r="2723" spans="13:19">
      <c r="M2723" s="132">
        <f t="shared" ca="1" si="298"/>
        <v>863.92611690693752</v>
      </c>
      <c r="N2723" s="38">
        <f t="shared" si="299"/>
        <v>25.518749999999997</v>
      </c>
      <c r="O2723" s="36">
        <f t="shared" si="297"/>
        <v>680.5</v>
      </c>
      <c r="P2723" s="38">
        <f ca="1">IF(ISERROR(IF(O2723&lt;fi_h/20,0,(OFFSET('Base de dados'!$A$5,IF(O2723&lt;20,1,IF(O2723&gt;1000,10,MATCH(O2723,Cargas,1))),Coluna_fih,1,1))*(1+0.13*0.25)*(PI()*(fi_h/1000)^2/4)*SQRT(2*9.81*(O2723/100-fi_h/2/1000))*1000)),"",IF(O2723&lt;fi_h/20,0,(OFFSET('Base de dados'!$A$5,IF(O2723&lt;20,1,IF(O2723&gt;1000,10,MATCH(O2723,Cargas,1))),Coluna_fih,1,1))*(PI()*(fi_h/1000)^2/4)*SQRT(2*9.81*(O2723/100-fi_h/2/1000))*1000))</f>
        <v>6.9737766180949761</v>
      </c>
      <c r="Q2723" s="38">
        <f ca="1">IF(O2723="","",IF(Tipo_Vertedor="Retangular",IF(O2723&lt;=cota_s*100,0,IF(Tipo_Vertedor="Retangular",Cd_sr*Lef_sr*((O2723/100-cota_s)^(3/2))*1000)),IF(O2723&lt;=cota_s*100+fi_s/20,0,(OFFSET('Base de dados'!$A$4,IF(O2723&lt;20,1,IF(O2723&gt;1000,10,MATCH(O2723,Cargas,1))),Coluna_fis,1,1))*(PI()*(fi_s/1000)^2/4)*(2*9.81*(O2723/100-cota_s-fi_s/2/1000))^0.5*1000)))</f>
        <v>6.3273402888426986</v>
      </c>
      <c r="R2723" s="38">
        <f t="shared" ca="1" si="300"/>
        <v>13.301116906937676</v>
      </c>
      <c r="S2723" s="38">
        <f t="shared" ca="1" si="301"/>
        <v>850.62499999999989</v>
      </c>
    </row>
    <row r="2724" spans="13:19">
      <c r="M2724" s="132">
        <f t="shared" ca="1" si="298"/>
        <v>864.24131649210187</v>
      </c>
      <c r="N2724" s="38">
        <f t="shared" si="299"/>
        <v>25.528124999999999</v>
      </c>
      <c r="O2724" s="36">
        <f t="shared" si="297"/>
        <v>680.75</v>
      </c>
      <c r="P2724" s="38">
        <f ca="1">IF(ISERROR(IF(O2724&lt;fi_h/20,0,(OFFSET('Base de dados'!$A$5,IF(O2724&lt;20,1,IF(O2724&gt;1000,10,MATCH(O2724,Cargas,1))),Coluna_fih,1,1))*(1+0.13*0.25)*(PI()*(fi_h/1000)^2/4)*SQRT(2*9.81*(O2724/100-fi_h/2/1000))*1000)),"",IF(O2724&lt;fi_h/20,0,(OFFSET('Base de dados'!$A$5,IF(O2724&lt;20,1,IF(O2724&gt;1000,10,MATCH(O2724,Cargas,1))),Coluna_fih,1,1))*(PI()*(fi_h/1000)^2/4)*SQRT(2*9.81*(O2724/100-fi_h/2/1000))*1000))</f>
        <v>6.9750608238612353</v>
      </c>
      <c r="Q2724" s="38">
        <f ca="1">IF(O2724="","",IF(Tipo_Vertedor="Retangular",IF(O2724&lt;=cota_s*100,0,IF(Tipo_Vertedor="Retangular",Cd_sr*Lef_sr*((O2724/100-cota_s)^(3/2))*1000)),IF(O2724&lt;=cota_s*100+fi_s/20,0,(OFFSET('Base de dados'!$A$4,IF(O2724&lt;20,1,IF(O2724&gt;1000,10,MATCH(O2724,Cargas,1))),Coluna_fis,1,1))*(PI()*(fi_s/1000)^2/4)*(2*9.81*(O2724/100-cota_s-fi_s/2/1000))^0.5*1000)))</f>
        <v>6.3287556682406043</v>
      </c>
      <c r="R2724" s="38">
        <f t="shared" ca="1" si="300"/>
        <v>13.30381649210184</v>
      </c>
      <c r="S2724" s="38">
        <f t="shared" ca="1" si="301"/>
        <v>850.9375</v>
      </c>
    </row>
    <row r="2725" spans="13:19">
      <c r="M2725" s="132">
        <f t="shared" ca="1" si="298"/>
        <v>864.55651552440088</v>
      </c>
      <c r="N2725" s="38">
        <f t="shared" si="299"/>
        <v>25.537499999999998</v>
      </c>
      <c r="O2725" s="36">
        <f t="shared" si="297"/>
        <v>681</v>
      </c>
      <c r="P2725" s="38">
        <f ca="1">IF(ISERROR(IF(O2725&lt;fi_h/20,0,(OFFSET('Base de dados'!$A$5,IF(O2725&lt;20,1,IF(O2725&gt;1000,10,MATCH(O2725,Cargas,1))),Coluna_fih,1,1))*(1+0.13*0.25)*(PI()*(fi_h/1000)^2/4)*SQRT(2*9.81*(O2725/100-fi_h/2/1000))*1000)),"",IF(O2725&lt;fi_h/20,0,(OFFSET('Base de dados'!$A$5,IF(O2725&lt;20,1,IF(O2725&gt;1000,10,MATCH(O2725,Cargas,1))),Coluna_fih,1,1))*(PI()*(fi_h/1000)^2/4)*SQRT(2*9.81*(O2725/100-fi_h/2/1000))*1000))</f>
        <v>6.9763447932308615</v>
      </c>
      <c r="Q2725" s="38">
        <f ca="1">IF(O2725="","",IF(Tipo_Vertedor="Retangular",IF(O2725&lt;=cota_s*100,0,IF(Tipo_Vertedor="Retangular",Cd_sr*Lef_sr*((O2725/100-cota_s)^(3/2))*1000)),IF(O2725&lt;=cota_s*100+fi_s/20,0,(OFFSET('Base de dados'!$A$4,IF(O2725&lt;20,1,IF(O2725&gt;1000,10,MATCH(O2725,Cargas,1))),Coluna_fis,1,1))*(PI()*(fi_s/1000)^2/4)*(2*9.81*(O2725/100-cota_s-fi_s/2/1000))^0.5*1000)))</f>
        <v>6.3301707311701438</v>
      </c>
      <c r="R2725" s="38">
        <f t="shared" ca="1" si="300"/>
        <v>13.306515524401005</v>
      </c>
      <c r="S2725" s="38">
        <f t="shared" ca="1" si="301"/>
        <v>851.24999999999989</v>
      </c>
    </row>
    <row r="2726" spans="13:19">
      <c r="M2726" s="132">
        <f t="shared" ca="1" si="298"/>
        <v>864.87171400417787</v>
      </c>
      <c r="N2726" s="38">
        <f t="shared" si="299"/>
        <v>25.546875</v>
      </c>
      <c r="O2726" s="36">
        <f t="shared" si="297"/>
        <v>681.25</v>
      </c>
      <c r="P2726" s="38">
        <f ca="1">IF(ISERROR(IF(O2726&lt;fi_h/20,0,(OFFSET('Base de dados'!$A$5,IF(O2726&lt;20,1,IF(O2726&gt;1000,10,MATCH(O2726,Cargas,1))),Coluna_fih,1,1))*(1+0.13*0.25)*(PI()*(fi_h/1000)^2/4)*SQRT(2*9.81*(O2726/100-fi_h/2/1000))*1000)),"",IF(O2726&lt;fi_h/20,0,(OFFSET('Base de dados'!$A$5,IF(O2726&lt;20,1,IF(O2726&gt;1000,10,MATCH(O2726,Cargas,1))),Coluna_fih,1,1))*(PI()*(fi_h/1000)^2/4)*SQRT(2*9.81*(O2726/100-fi_h/2/1000))*1000))</f>
        <v>6.977628526334354</v>
      </c>
      <c r="Q2726" s="38">
        <f ca="1">IF(O2726="","",IF(Tipo_Vertedor="Retangular",IF(O2726&lt;=cota_s*100,0,IF(Tipo_Vertedor="Retangular",Cd_sr*Lef_sr*((O2726/100-cota_s)^(3/2))*1000)),IF(O2726&lt;=cota_s*100+fi_s/20,0,(OFFSET('Base de dados'!$A$4,IF(O2726&lt;20,1,IF(O2726&gt;1000,10,MATCH(O2726,Cargas,1))),Coluna_fis,1,1))*(PI()*(fi_s/1000)^2/4)*(2*9.81*(O2726/100-cota_s-fi_s/2/1000))^0.5*1000)))</f>
        <v>6.3315854778435021</v>
      </c>
      <c r="R2726" s="38">
        <f t="shared" ca="1" si="300"/>
        <v>13.309214004177857</v>
      </c>
      <c r="S2726" s="38">
        <f t="shared" ca="1" si="301"/>
        <v>851.5625</v>
      </c>
    </row>
    <row r="2727" spans="13:19">
      <c r="M2727" s="132">
        <f t="shared" ca="1" si="298"/>
        <v>865.18691193177483</v>
      </c>
      <c r="N2727" s="38">
        <f t="shared" si="299"/>
        <v>25.556250000000002</v>
      </c>
      <c r="O2727" s="36">
        <f t="shared" si="297"/>
        <v>681.5</v>
      </c>
      <c r="P2727" s="38">
        <f ca="1">IF(ISERROR(IF(O2727&lt;fi_h/20,0,(OFFSET('Base de dados'!$A$5,IF(O2727&lt;20,1,IF(O2727&gt;1000,10,MATCH(O2727,Cargas,1))),Coluna_fih,1,1))*(1+0.13*0.25)*(PI()*(fi_h/1000)^2/4)*SQRT(2*9.81*(O2727/100-fi_h/2/1000))*1000)),"",IF(O2727&lt;fi_h/20,0,(OFFSET('Base de dados'!$A$5,IF(O2727&lt;20,1,IF(O2727&gt;1000,10,MATCH(O2727,Cargas,1))),Coluna_fih,1,1))*(PI()*(fi_h/1000)^2/4)*SQRT(2*9.81*(O2727/100-fi_h/2/1000))*1000))</f>
        <v>6.9789120233020929</v>
      </c>
      <c r="Q2727" s="38">
        <f ca="1">IF(O2727="","",IF(Tipo_Vertedor="Retangular",IF(O2727&lt;=cota_s*100,0,IF(Tipo_Vertedor="Retangular",Cd_sr*Lef_sr*((O2727/100-cota_s)^(3/2))*1000)),IF(O2727&lt;=cota_s*100+fi_s/20,0,(OFFSET('Base de dados'!$A$4,IF(O2727&lt;20,1,IF(O2727&gt;1000,10,MATCH(O2727,Cargas,1))),Coluna_fis,1,1))*(PI()*(fi_s/1000)^2/4)*(2*9.81*(O2727/100-cota_s-fi_s/2/1000))^0.5*1000)))</f>
        <v>6.3329999084726287</v>
      </c>
      <c r="R2727" s="38">
        <f t="shared" ca="1" si="300"/>
        <v>13.311911931774722</v>
      </c>
      <c r="S2727" s="38">
        <f t="shared" ca="1" si="301"/>
        <v>851.87500000000011</v>
      </c>
    </row>
    <row r="2728" spans="13:19">
      <c r="M2728" s="132">
        <f t="shared" ca="1" si="298"/>
        <v>865.5021093075336</v>
      </c>
      <c r="N2728" s="38">
        <f t="shared" si="299"/>
        <v>25.565625000000001</v>
      </c>
      <c r="O2728" s="36">
        <f t="shared" si="297"/>
        <v>681.75</v>
      </c>
      <c r="P2728" s="38">
        <f ca="1">IF(ISERROR(IF(O2728&lt;fi_h/20,0,(OFFSET('Base de dados'!$A$5,IF(O2728&lt;20,1,IF(O2728&gt;1000,10,MATCH(O2728,Cargas,1))),Coluna_fih,1,1))*(1+0.13*0.25)*(PI()*(fi_h/1000)^2/4)*SQRT(2*9.81*(O2728/100-fi_h/2/1000))*1000)),"",IF(O2728&lt;fi_h/20,0,(OFFSET('Base de dados'!$A$5,IF(O2728&lt;20,1,IF(O2728&gt;1000,10,MATCH(O2728,Cargas,1))),Coluna_fih,1,1))*(PI()*(fi_h/1000)^2/4)*SQRT(2*9.81*(O2728/100-fi_h/2/1000))*1000))</f>
        <v>6.9801952842643358</v>
      </c>
      <c r="Q2728" s="38">
        <f ca="1">IF(O2728="","",IF(Tipo_Vertedor="Retangular",IF(O2728&lt;=cota_s*100,0,IF(Tipo_Vertedor="Retangular",Cd_sr*Lef_sr*((O2728/100-cota_s)^(3/2))*1000)),IF(O2728&lt;=cota_s*100+fi_s/20,0,(OFFSET('Base de dados'!$A$4,IF(O2728&lt;20,1,IF(O2728&gt;1000,10,MATCH(O2728,Cargas,1))),Coluna_fis,1,1))*(PI()*(fi_s/1000)^2/4)*(2*9.81*(O2728/100-cota_s-fi_s/2/1000))^0.5*1000)))</f>
        <v>6.3344140232692308</v>
      </c>
      <c r="R2728" s="38">
        <f t="shared" ca="1" si="300"/>
        <v>13.314609307533566</v>
      </c>
      <c r="S2728" s="38">
        <f t="shared" ca="1" si="301"/>
        <v>852.1875</v>
      </c>
    </row>
    <row r="2729" spans="13:19">
      <c r="M2729" s="132">
        <f t="shared" ca="1" si="298"/>
        <v>865.81730613179616</v>
      </c>
      <c r="N2729" s="38">
        <f t="shared" si="299"/>
        <v>25.575000000000003</v>
      </c>
      <c r="O2729" s="36">
        <f t="shared" si="297"/>
        <v>682</v>
      </c>
      <c r="P2729" s="38">
        <f ca="1">IF(ISERROR(IF(O2729&lt;fi_h/20,0,(OFFSET('Base de dados'!$A$5,IF(O2729&lt;20,1,IF(O2729&gt;1000,10,MATCH(O2729,Cargas,1))),Coluna_fih,1,1))*(1+0.13*0.25)*(PI()*(fi_h/1000)^2/4)*SQRT(2*9.81*(O2729/100-fi_h/2/1000))*1000)),"",IF(O2729&lt;fi_h/20,0,(OFFSET('Base de dados'!$A$5,IF(O2729&lt;20,1,IF(O2729&gt;1000,10,MATCH(O2729,Cargas,1))),Coluna_fih,1,1))*(PI()*(fi_h/1000)^2/4)*SQRT(2*9.81*(O2729/100-fi_h/2/1000))*1000))</f>
        <v>6.9814783093512274</v>
      </c>
      <c r="Q2729" s="38">
        <f ca="1">IF(O2729="","",IF(Tipo_Vertedor="Retangular",IF(O2729&lt;=cota_s*100,0,IF(Tipo_Vertedor="Retangular",Cd_sr*Lef_sr*((O2729/100-cota_s)^(3/2))*1000)),IF(O2729&lt;=cota_s*100+fi_s/20,0,(OFFSET('Base de dados'!$A$4,IF(O2729&lt;20,1,IF(O2729&gt;1000,10,MATCH(O2729,Cargas,1))),Coluna_fis,1,1))*(PI()*(fi_s/1000)^2/4)*(2*9.81*(O2729/100-cota_s-fi_s/2/1000))^0.5*1000)))</f>
        <v>6.3358278224447888</v>
      </c>
      <c r="R2729" s="38">
        <f t="shared" ca="1" si="300"/>
        <v>13.317306131796016</v>
      </c>
      <c r="S2729" s="38">
        <f t="shared" ca="1" si="301"/>
        <v>852.50000000000011</v>
      </c>
    </row>
    <row r="2730" spans="13:19">
      <c r="M2730" s="132">
        <f t="shared" ca="1" si="298"/>
        <v>866.13250240490322</v>
      </c>
      <c r="N2730" s="38">
        <f t="shared" si="299"/>
        <v>25.584374999999998</v>
      </c>
      <c r="O2730" s="36">
        <f t="shared" si="297"/>
        <v>682.25</v>
      </c>
      <c r="P2730" s="38">
        <f ca="1">IF(ISERROR(IF(O2730&lt;fi_h/20,0,(OFFSET('Base de dados'!$A$5,IF(O2730&lt;20,1,IF(O2730&gt;1000,10,MATCH(O2730,Cargas,1))),Coluna_fih,1,1))*(1+0.13*0.25)*(PI()*(fi_h/1000)^2/4)*SQRT(2*9.81*(O2730/100-fi_h/2/1000))*1000)),"",IF(O2730&lt;fi_h/20,0,(OFFSET('Base de dados'!$A$5,IF(O2730&lt;20,1,IF(O2730&gt;1000,10,MATCH(O2730,Cargas,1))),Coluna_fih,1,1))*(PI()*(fi_h/1000)^2/4)*SQRT(2*9.81*(O2730/100-fi_h/2/1000))*1000))</f>
        <v>6.9827610986927819</v>
      </c>
      <c r="Q2730" s="38">
        <f ca="1">IF(O2730="","",IF(Tipo_Vertedor="Retangular",IF(O2730&lt;=cota_s*100,0,IF(Tipo_Vertedor="Retangular",Cd_sr*Lef_sr*((O2730/100-cota_s)^(3/2))*1000)),IF(O2730&lt;=cota_s*100+fi_s/20,0,(OFFSET('Base de dados'!$A$4,IF(O2730&lt;20,1,IF(O2730&gt;1000,10,MATCH(O2730,Cargas,1))),Coluna_fis,1,1))*(PI()*(fi_s/1000)^2/4)*(2*9.81*(O2730/100-cota_s-fi_s/2/1000))^0.5*1000)))</f>
        <v>6.3372413062105366</v>
      </c>
      <c r="R2730" s="38">
        <f t="shared" ca="1" si="300"/>
        <v>13.320002404903319</v>
      </c>
      <c r="S2730" s="38">
        <f t="shared" ca="1" si="301"/>
        <v>852.81249999999989</v>
      </c>
    </row>
    <row r="2731" spans="13:19">
      <c r="M2731" s="132">
        <f t="shared" ca="1" si="298"/>
        <v>866.44769812719642</v>
      </c>
      <c r="N2731" s="38">
        <f t="shared" si="299"/>
        <v>25.59375</v>
      </c>
      <c r="O2731" s="36">
        <f t="shared" si="297"/>
        <v>682.5</v>
      </c>
      <c r="P2731" s="38">
        <f ca="1">IF(ISERROR(IF(O2731&lt;fi_h/20,0,(OFFSET('Base de dados'!$A$5,IF(O2731&lt;20,1,IF(O2731&gt;1000,10,MATCH(O2731,Cargas,1))),Coluna_fih,1,1))*(1+0.13*0.25)*(PI()*(fi_h/1000)^2/4)*SQRT(2*9.81*(O2731/100-fi_h/2/1000))*1000)),"",IF(O2731&lt;fi_h/20,0,(OFFSET('Base de dados'!$A$5,IF(O2731&lt;20,1,IF(O2731&gt;1000,10,MATCH(O2731,Cargas,1))),Coluna_fih,1,1))*(PI()*(fi_h/1000)^2/4)*SQRT(2*9.81*(O2731/100-fi_h/2/1000))*1000))</f>
        <v>6.9840436524189062</v>
      </c>
      <c r="Q2731" s="38">
        <f ca="1">IF(O2731="","",IF(Tipo_Vertedor="Retangular",IF(O2731&lt;=cota_s*100,0,IF(Tipo_Vertedor="Retangular",Cd_sr*Lef_sr*((O2731/100-cota_s)^(3/2))*1000)),IF(O2731&lt;=cota_s*100+fi_s/20,0,(OFFSET('Base de dados'!$A$4,IF(O2731&lt;20,1,IF(O2731&gt;1000,10,MATCH(O2731,Cargas,1))),Coluna_fis,1,1))*(PI()*(fi_s/1000)^2/4)*(2*9.81*(O2731/100-cota_s-fi_s/2/1000))^0.5*1000)))</f>
        <v>6.338654474777484</v>
      </c>
      <c r="R2731" s="38">
        <f t="shared" ca="1" si="300"/>
        <v>13.322698127196389</v>
      </c>
      <c r="S2731" s="38">
        <f t="shared" ca="1" si="301"/>
        <v>853.125</v>
      </c>
    </row>
    <row r="2732" spans="13:19">
      <c r="M2732" s="132">
        <f t="shared" ca="1" si="298"/>
        <v>866.76289329901579</v>
      </c>
      <c r="N2732" s="38">
        <f t="shared" si="299"/>
        <v>25.603124999999999</v>
      </c>
      <c r="O2732" s="36">
        <f t="shared" si="297"/>
        <v>682.75</v>
      </c>
      <c r="P2732" s="38">
        <f ca="1">IF(ISERROR(IF(O2732&lt;fi_h/20,0,(OFFSET('Base de dados'!$A$5,IF(O2732&lt;20,1,IF(O2732&gt;1000,10,MATCH(O2732,Cargas,1))),Coluna_fih,1,1))*(1+0.13*0.25)*(PI()*(fi_h/1000)^2/4)*SQRT(2*9.81*(O2732/100-fi_h/2/1000))*1000)),"",IF(O2732&lt;fi_h/20,0,(OFFSET('Base de dados'!$A$5,IF(O2732&lt;20,1,IF(O2732&gt;1000,10,MATCH(O2732,Cargas,1))),Coluna_fih,1,1))*(PI()*(fi_h/1000)^2/4)*SQRT(2*9.81*(O2732/100-fi_h/2/1000))*1000))</f>
        <v>6.9853259706593782</v>
      </c>
      <c r="Q2732" s="38">
        <f ca="1">IF(O2732="","",IF(Tipo_Vertedor="Retangular",IF(O2732&lt;=cota_s*100,0,IF(Tipo_Vertedor="Retangular",Cd_sr*Lef_sr*((O2732/100-cota_s)^(3/2))*1000)),IF(O2732&lt;=cota_s*100+fi_s/20,0,(OFFSET('Base de dados'!$A$4,IF(O2732&lt;20,1,IF(O2732&gt;1000,10,MATCH(O2732,Cargas,1))),Coluna_fis,1,1))*(PI()*(fi_s/1000)^2/4)*(2*9.81*(O2732/100-cota_s-fi_s/2/1000))^0.5*1000)))</f>
        <v>6.3400673283563949</v>
      </c>
      <c r="R2732" s="38">
        <f t="shared" ca="1" si="300"/>
        <v>13.325393299015772</v>
      </c>
      <c r="S2732" s="38">
        <f t="shared" ca="1" si="301"/>
        <v>853.4375</v>
      </c>
    </row>
    <row r="2733" spans="13:19">
      <c r="M2733" s="132">
        <f t="shared" ca="1" si="298"/>
        <v>867.07808792070171</v>
      </c>
      <c r="N2733" s="38">
        <f t="shared" si="299"/>
        <v>25.612500000000001</v>
      </c>
      <c r="O2733" s="36">
        <f t="shared" si="297"/>
        <v>683</v>
      </c>
      <c r="P2733" s="38">
        <f ca="1">IF(ISERROR(IF(O2733&lt;fi_h/20,0,(OFFSET('Base de dados'!$A$5,IF(O2733&lt;20,1,IF(O2733&gt;1000,10,MATCH(O2733,Cargas,1))),Coluna_fih,1,1))*(1+0.13*0.25)*(PI()*(fi_h/1000)^2/4)*SQRT(2*9.81*(O2733/100-fi_h/2/1000))*1000)),"",IF(O2733&lt;fi_h/20,0,(OFFSET('Base de dados'!$A$5,IF(O2733&lt;20,1,IF(O2733&gt;1000,10,MATCH(O2733,Cargas,1))),Coluna_fih,1,1))*(PI()*(fi_h/1000)^2/4)*SQRT(2*9.81*(O2733/100-fi_h/2/1000))*1000))</f>
        <v>6.9866080535438631</v>
      </c>
      <c r="Q2733" s="38">
        <f ca="1">IF(O2733="","",IF(Tipo_Vertedor="Retangular",IF(O2733&lt;=cota_s*100,0,IF(Tipo_Vertedor="Retangular",Cd_sr*Lef_sr*((O2733/100-cota_s)^(3/2))*1000)),IF(O2733&lt;=cota_s*100+fi_s/20,0,(OFFSET('Base de dados'!$A$4,IF(O2733&lt;20,1,IF(O2733&gt;1000,10,MATCH(O2733,Cargas,1))),Coluna_fis,1,1))*(PI()*(fi_s/1000)^2/4)*(2*9.81*(O2733/100-cota_s-fi_s/2/1000))^0.5*1000)))</f>
        <v>6.3414798671578048</v>
      </c>
      <c r="R2733" s="38">
        <f t="shared" ca="1" si="300"/>
        <v>13.328087920701668</v>
      </c>
      <c r="S2733" s="38">
        <f t="shared" ca="1" si="301"/>
        <v>853.75</v>
      </c>
    </row>
    <row r="2734" spans="13:19">
      <c r="M2734" s="132">
        <f t="shared" ca="1" si="298"/>
        <v>867.39328199259387</v>
      </c>
      <c r="N2734" s="38">
        <f t="shared" si="299"/>
        <v>25.621874999999999</v>
      </c>
      <c r="O2734" s="36">
        <f t="shared" si="297"/>
        <v>683.25</v>
      </c>
      <c r="P2734" s="38">
        <f ca="1">IF(ISERROR(IF(O2734&lt;fi_h/20,0,(OFFSET('Base de dados'!$A$5,IF(O2734&lt;20,1,IF(O2734&gt;1000,10,MATCH(O2734,Cargas,1))),Coluna_fih,1,1))*(1+0.13*0.25)*(PI()*(fi_h/1000)^2/4)*SQRT(2*9.81*(O2734/100-fi_h/2/1000))*1000)),"",IF(O2734&lt;fi_h/20,0,(OFFSET('Base de dados'!$A$5,IF(O2734&lt;20,1,IF(O2734&gt;1000,10,MATCH(O2734,Cargas,1))),Coluna_fih,1,1))*(PI()*(fi_h/1000)^2/4)*SQRT(2*9.81*(O2734/100-fi_h/2/1000))*1000))</f>
        <v>6.9878899012019025</v>
      </c>
      <c r="Q2734" s="38">
        <f ca="1">IF(O2734="","",IF(Tipo_Vertedor="Retangular",IF(O2734&lt;=cota_s*100,0,IF(Tipo_Vertedor="Retangular",Cd_sr*Lef_sr*((O2734/100-cota_s)^(3/2))*1000)),IF(O2734&lt;=cota_s*100+fi_s/20,0,(OFFSET('Base de dados'!$A$4,IF(O2734&lt;20,1,IF(O2734&gt;1000,10,MATCH(O2734,Cargas,1))),Coluna_fis,1,1))*(PI()*(fi_s/1000)^2/4)*(2*9.81*(O2734/100-cota_s-fi_s/2/1000))^0.5*1000)))</f>
        <v>6.342892091392013</v>
      </c>
      <c r="R2734" s="38">
        <f t="shared" ca="1" si="300"/>
        <v>13.330781992593916</v>
      </c>
      <c r="S2734" s="38">
        <f t="shared" ca="1" si="301"/>
        <v>854.0625</v>
      </c>
    </row>
    <row r="2735" spans="13:19">
      <c r="M2735" s="132">
        <f t="shared" ca="1" si="298"/>
        <v>867.70847551503198</v>
      </c>
      <c r="N2735" s="38">
        <f t="shared" si="299"/>
        <v>25.631250000000001</v>
      </c>
      <c r="O2735" s="36">
        <f t="shared" si="297"/>
        <v>683.5</v>
      </c>
      <c r="P2735" s="38">
        <f ca="1">IF(ISERROR(IF(O2735&lt;fi_h/20,0,(OFFSET('Base de dados'!$A$5,IF(O2735&lt;20,1,IF(O2735&gt;1000,10,MATCH(O2735,Cargas,1))),Coluna_fih,1,1))*(1+0.13*0.25)*(PI()*(fi_h/1000)^2/4)*SQRT(2*9.81*(O2735/100-fi_h/2/1000))*1000)),"",IF(O2735&lt;fi_h/20,0,(OFFSET('Base de dados'!$A$5,IF(O2735&lt;20,1,IF(O2735&gt;1000,10,MATCH(O2735,Cargas,1))),Coluna_fih,1,1))*(PI()*(fi_h/1000)^2/4)*SQRT(2*9.81*(O2735/100-fi_h/2/1000))*1000))</f>
        <v>6.9891715137629236</v>
      </c>
      <c r="Q2735" s="38">
        <f ca="1">IF(O2735="","",IF(Tipo_Vertedor="Retangular",IF(O2735&lt;=cota_s*100,0,IF(Tipo_Vertedor="Retangular",Cd_sr*Lef_sr*((O2735/100-cota_s)^(3/2))*1000)),IF(O2735&lt;=cota_s*100+fi_s/20,0,(OFFSET('Base de dados'!$A$4,IF(O2735&lt;20,1,IF(O2735&gt;1000,10,MATCH(O2735,Cargas,1))),Coluna_fis,1,1))*(PI()*(fi_s/1000)^2/4)*(2*9.81*(O2735/100-cota_s-fi_s/2/1000))^0.5*1000)))</f>
        <v>6.3443040012690837</v>
      </c>
      <c r="R2735" s="38">
        <f t="shared" ca="1" si="300"/>
        <v>13.333475515032006</v>
      </c>
      <c r="S2735" s="38">
        <f t="shared" ca="1" si="301"/>
        <v>854.375</v>
      </c>
    </row>
    <row r="2736" spans="13:19">
      <c r="M2736" s="132">
        <f t="shared" ca="1" si="298"/>
        <v>868.02366848835504</v>
      </c>
      <c r="N2736" s="38">
        <f t="shared" si="299"/>
        <v>25.640625</v>
      </c>
      <c r="O2736" s="36">
        <f t="shared" si="297"/>
        <v>683.75</v>
      </c>
      <c r="P2736" s="38">
        <f ca="1">IF(ISERROR(IF(O2736&lt;fi_h/20,0,(OFFSET('Base de dados'!$A$5,IF(O2736&lt;20,1,IF(O2736&gt;1000,10,MATCH(O2736,Cargas,1))),Coluna_fih,1,1))*(1+0.13*0.25)*(PI()*(fi_h/1000)^2/4)*SQRT(2*9.81*(O2736/100-fi_h/2/1000))*1000)),"",IF(O2736&lt;fi_h/20,0,(OFFSET('Base de dados'!$A$5,IF(O2736&lt;20,1,IF(O2736&gt;1000,10,MATCH(O2736,Cargas,1))),Coluna_fih,1,1))*(PI()*(fi_h/1000)^2/4)*SQRT(2*9.81*(O2736/100-fi_h/2/1000))*1000))</f>
        <v>6.9904528913562309</v>
      </c>
      <c r="Q2736" s="38">
        <f ca="1">IF(O2736="","",IF(Tipo_Vertedor="Retangular",IF(O2736&lt;=cota_s*100,0,IF(Tipo_Vertedor="Retangular",Cd_sr*Lef_sr*((O2736/100-cota_s)^(3/2))*1000)),IF(O2736&lt;=cota_s*100+fi_s/20,0,(OFFSET('Base de dados'!$A$4,IF(O2736&lt;20,1,IF(O2736&gt;1000,10,MATCH(O2736,Cargas,1))),Coluna_fis,1,1))*(PI()*(fi_s/1000)^2/4)*(2*9.81*(O2736/100-cota_s-fi_s/2/1000))^0.5*1000)))</f>
        <v>6.3457155969988523</v>
      </c>
      <c r="R2736" s="38">
        <f t="shared" ca="1" si="300"/>
        <v>13.336168488355083</v>
      </c>
      <c r="S2736" s="38">
        <f t="shared" ca="1" si="301"/>
        <v>854.6875</v>
      </c>
    </row>
    <row r="2737" spans="13:19">
      <c r="M2737" s="132">
        <f t="shared" ca="1" si="298"/>
        <v>868.33886091290196</v>
      </c>
      <c r="N2737" s="38">
        <f t="shared" si="299"/>
        <v>25.65</v>
      </c>
      <c r="O2737" s="36">
        <f t="shared" si="297"/>
        <v>684</v>
      </c>
      <c r="P2737" s="38">
        <f ca="1">IF(ISERROR(IF(O2737&lt;fi_h/20,0,(OFFSET('Base de dados'!$A$5,IF(O2737&lt;20,1,IF(O2737&gt;1000,10,MATCH(O2737,Cargas,1))),Coluna_fih,1,1))*(1+0.13*0.25)*(PI()*(fi_h/1000)^2/4)*SQRT(2*9.81*(O2737/100-fi_h/2/1000))*1000)),"",IF(O2737&lt;fi_h/20,0,(OFFSET('Base de dados'!$A$5,IF(O2737&lt;20,1,IF(O2737&gt;1000,10,MATCH(O2737,Cargas,1))),Coluna_fih,1,1))*(PI()*(fi_h/1000)^2/4)*SQRT(2*9.81*(O2737/100-fi_h/2/1000))*1000))</f>
        <v>6.9917340341110137</v>
      </c>
      <c r="Q2737" s="38">
        <f ca="1">IF(O2737="","",IF(Tipo_Vertedor="Retangular",IF(O2737&lt;=cota_s*100,0,IF(Tipo_Vertedor="Retangular",Cd_sr*Lef_sr*((O2737/100-cota_s)^(3/2))*1000)),IF(O2737&lt;=cota_s*100+fi_s/20,0,(OFFSET('Base de dados'!$A$4,IF(O2737&lt;20,1,IF(O2737&gt;1000,10,MATCH(O2737,Cargas,1))),Coluna_fis,1,1))*(PI()*(fi_s/1000)^2/4)*(2*9.81*(O2737/100-cota_s-fi_s/2/1000))^0.5*1000)))</f>
        <v>6.3471268787909123</v>
      </c>
      <c r="R2737" s="38">
        <f t="shared" ca="1" si="300"/>
        <v>13.338860912901925</v>
      </c>
      <c r="S2737" s="38">
        <f t="shared" ca="1" si="301"/>
        <v>855</v>
      </c>
    </row>
    <row r="2738" spans="13:19">
      <c r="M2738" s="132">
        <f t="shared" ca="1" si="298"/>
        <v>868.65405278901096</v>
      </c>
      <c r="N2738" s="38">
        <f t="shared" si="299"/>
        <v>25.659375000000001</v>
      </c>
      <c r="O2738" s="36">
        <f t="shared" si="297"/>
        <v>684.25</v>
      </c>
      <c r="P2738" s="38">
        <f ca="1">IF(ISERROR(IF(O2738&lt;fi_h/20,0,(OFFSET('Base de dados'!$A$5,IF(O2738&lt;20,1,IF(O2738&gt;1000,10,MATCH(O2738,Cargas,1))),Coluna_fih,1,1))*(1+0.13*0.25)*(PI()*(fi_h/1000)^2/4)*SQRT(2*9.81*(O2738/100-fi_h/2/1000))*1000)),"",IF(O2738&lt;fi_h/20,0,(OFFSET('Base de dados'!$A$5,IF(O2738&lt;20,1,IF(O2738&gt;1000,10,MATCH(O2738,Cargas,1))),Coluna_fih,1,1))*(PI()*(fi_h/1000)^2/4)*SQRT(2*9.81*(O2738/100-fi_h/2/1000))*1000))</f>
        <v>6.9930149421563392</v>
      </c>
      <c r="Q2738" s="38">
        <f ca="1">IF(O2738="","",IF(Tipo_Vertedor="Retangular",IF(O2738&lt;=cota_s*100,0,IF(Tipo_Vertedor="Retangular",Cd_sr*Lef_sr*((O2738/100-cota_s)^(3/2))*1000)),IF(O2738&lt;=cota_s*100+fi_s/20,0,(OFFSET('Base de dados'!$A$4,IF(O2738&lt;20,1,IF(O2738&gt;1000,10,MATCH(O2738,Cargas,1))),Coluna_fis,1,1))*(PI()*(fi_s/1000)^2/4)*(2*9.81*(O2738/100-cota_s-fi_s/2/1000))^0.5*1000)))</f>
        <v>6.3485378468546321</v>
      </c>
      <c r="R2738" s="38">
        <f t="shared" ca="1" si="300"/>
        <v>13.341552789010972</v>
      </c>
      <c r="S2738" s="38">
        <f t="shared" ca="1" si="301"/>
        <v>855.3125</v>
      </c>
    </row>
    <row r="2739" spans="13:19">
      <c r="M2739" s="132">
        <f t="shared" ca="1" si="298"/>
        <v>868.96924411702025</v>
      </c>
      <c r="N2739" s="38">
        <f t="shared" si="299"/>
        <v>25.668749999999999</v>
      </c>
      <c r="O2739" s="36">
        <f t="shared" si="297"/>
        <v>684.5</v>
      </c>
      <c r="P2739" s="38">
        <f ca="1">IF(ISERROR(IF(O2739&lt;fi_h/20,0,(OFFSET('Base de dados'!$A$5,IF(O2739&lt;20,1,IF(O2739&gt;1000,10,MATCH(O2739,Cargas,1))),Coluna_fih,1,1))*(1+0.13*0.25)*(PI()*(fi_h/1000)^2/4)*SQRT(2*9.81*(O2739/100-fi_h/2/1000))*1000)),"",IF(O2739&lt;fi_h/20,0,(OFFSET('Base de dados'!$A$5,IF(O2739&lt;20,1,IF(O2739&gt;1000,10,MATCH(O2739,Cargas,1))),Coluna_fih,1,1))*(PI()*(fi_h/1000)^2/4)*SQRT(2*9.81*(O2739/100-fi_h/2/1000))*1000))</f>
        <v>6.9942956156211622</v>
      </c>
      <c r="Q2739" s="38">
        <f ca="1">IF(O2739="","",IF(Tipo_Vertedor="Retangular",IF(O2739&lt;=cota_s*100,0,IF(Tipo_Vertedor="Retangular",Cd_sr*Lef_sr*((O2739/100-cota_s)^(3/2))*1000)),IF(O2739&lt;=cota_s*100+fi_s/20,0,(OFFSET('Base de dados'!$A$4,IF(O2739&lt;20,1,IF(O2739&gt;1000,10,MATCH(O2739,Cargas,1))),Coluna_fis,1,1))*(PI()*(fi_s/1000)^2/4)*(2*9.81*(O2739/100-cota_s-fi_s/2/1000))^0.5*1000)))</f>
        <v>6.3499485013991421</v>
      </c>
      <c r="R2739" s="38">
        <f t="shared" ca="1" si="300"/>
        <v>13.344244117020304</v>
      </c>
      <c r="S2739" s="38">
        <f t="shared" ca="1" si="301"/>
        <v>855.625</v>
      </c>
    </row>
    <row r="2740" spans="13:19">
      <c r="M2740" s="132">
        <f t="shared" ca="1" si="298"/>
        <v>869.28443489726772</v>
      </c>
      <c r="N2740" s="38">
        <f t="shared" si="299"/>
        <v>25.678125000000001</v>
      </c>
      <c r="O2740" s="36">
        <f t="shared" si="297"/>
        <v>684.75</v>
      </c>
      <c r="P2740" s="38">
        <f ca="1">IF(ISERROR(IF(O2740&lt;fi_h/20,0,(OFFSET('Base de dados'!$A$5,IF(O2740&lt;20,1,IF(O2740&gt;1000,10,MATCH(O2740,Cargas,1))),Coluna_fih,1,1))*(1+0.13*0.25)*(PI()*(fi_h/1000)^2/4)*SQRT(2*9.81*(O2740/100-fi_h/2/1000))*1000)),"",IF(O2740&lt;fi_h/20,0,(OFFSET('Base de dados'!$A$5,IF(O2740&lt;20,1,IF(O2740&gt;1000,10,MATCH(O2740,Cargas,1))),Coluna_fih,1,1))*(PI()*(fi_h/1000)^2/4)*SQRT(2*9.81*(O2740/100-fi_h/2/1000))*1000))</f>
        <v>6.9955760546343146</v>
      </c>
      <c r="Q2740" s="38">
        <f ca="1">IF(O2740="","",IF(Tipo_Vertedor="Retangular",IF(O2740&lt;=cota_s*100,0,IF(Tipo_Vertedor="Retangular",Cd_sr*Lef_sr*((O2740/100-cota_s)^(3/2))*1000)),IF(O2740&lt;=cota_s*100+fi_s/20,0,(OFFSET('Base de dados'!$A$4,IF(O2740&lt;20,1,IF(O2740&gt;1000,10,MATCH(O2740,Cargas,1))),Coluna_fis,1,1))*(PI()*(fi_s/1000)^2/4)*(2*9.81*(O2740/100-cota_s-fi_s/2/1000))^0.5*1000)))</f>
        <v>6.3513588426333456</v>
      </c>
      <c r="R2740" s="38">
        <f t="shared" ca="1" si="300"/>
        <v>13.34693489726766</v>
      </c>
      <c r="S2740" s="38">
        <f t="shared" ca="1" si="301"/>
        <v>855.9375</v>
      </c>
    </row>
    <row r="2741" spans="13:19">
      <c r="M2741" s="132">
        <f t="shared" ca="1" si="298"/>
        <v>869.59962513009043</v>
      </c>
      <c r="N2741" s="38">
        <f t="shared" si="299"/>
        <v>25.6875</v>
      </c>
      <c r="O2741" s="36">
        <f t="shared" si="297"/>
        <v>685</v>
      </c>
      <c r="P2741" s="38">
        <f ca="1">IF(ISERROR(IF(O2741&lt;fi_h/20,0,(OFFSET('Base de dados'!$A$5,IF(O2741&lt;20,1,IF(O2741&gt;1000,10,MATCH(O2741,Cargas,1))),Coluna_fih,1,1))*(1+0.13*0.25)*(PI()*(fi_h/1000)^2/4)*SQRT(2*9.81*(O2741/100-fi_h/2/1000))*1000)),"",IF(O2741&lt;fi_h/20,0,(OFFSET('Base de dados'!$A$5,IF(O2741&lt;20,1,IF(O2741&gt;1000,10,MATCH(O2741,Cargas,1))),Coluna_fih,1,1))*(PI()*(fi_h/1000)^2/4)*SQRT(2*9.81*(O2741/100-fi_h/2/1000))*1000))</f>
        <v>6.9968562593245096</v>
      </c>
      <c r="Q2741" s="38">
        <f ca="1">IF(O2741="","",IF(Tipo_Vertedor="Retangular",IF(O2741&lt;=cota_s*100,0,IF(Tipo_Vertedor="Retangular",Cd_sr*Lef_sr*((O2741/100-cota_s)^(3/2))*1000)),IF(O2741&lt;=cota_s*100+fi_s/20,0,(OFFSET('Base de dados'!$A$4,IF(O2741&lt;20,1,IF(O2741&gt;1000,10,MATCH(O2741,Cargas,1))),Coluna_fis,1,1))*(PI()*(fi_s/1000)^2/4)*(2*9.81*(O2741/100-cota_s-fi_s/2/1000))^0.5*1000)))</f>
        <v>6.3527688707659093</v>
      </c>
      <c r="R2741" s="38">
        <f t="shared" ca="1" si="300"/>
        <v>13.34962513009042</v>
      </c>
      <c r="S2741" s="38">
        <f t="shared" ca="1" si="301"/>
        <v>856.25</v>
      </c>
    </row>
    <row r="2742" spans="13:19">
      <c r="M2742" s="132">
        <f t="shared" ca="1" si="298"/>
        <v>869.91481481582559</v>
      </c>
      <c r="N2742" s="38">
        <f t="shared" si="299"/>
        <v>25.696874999999999</v>
      </c>
      <c r="O2742" s="36">
        <f t="shared" si="297"/>
        <v>685.25</v>
      </c>
      <c r="P2742" s="38">
        <f ca="1">IF(ISERROR(IF(O2742&lt;fi_h/20,0,(OFFSET('Base de dados'!$A$5,IF(O2742&lt;20,1,IF(O2742&gt;1000,10,MATCH(O2742,Cargas,1))),Coluna_fih,1,1))*(1+0.13*0.25)*(PI()*(fi_h/1000)^2/4)*SQRT(2*9.81*(O2742/100-fi_h/2/1000))*1000)),"",IF(O2742&lt;fi_h/20,0,(OFFSET('Base de dados'!$A$5,IF(O2742&lt;20,1,IF(O2742&gt;1000,10,MATCH(O2742,Cargas,1))),Coluna_fih,1,1))*(PI()*(fi_h/1000)^2/4)*SQRT(2*9.81*(O2742/100-fi_h/2/1000))*1000))</f>
        <v>6.9981362298203464</v>
      </c>
      <c r="Q2742" s="38">
        <f ca="1">IF(O2742="","",IF(Tipo_Vertedor="Retangular",IF(O2742&lt;=cota_s*100,0,IF(Tipo_Vertedor="Retangular",Cd_sr*Lef_sr*((O2742/100-cota_s)^(3/2))*1000)),IF(O2742&lt;=cota_s*100+fi_s/20,0,(OFFSET('Base de dados'!$A$4,IF(O2742&lt;20,1,IF(O2742&gt;1000,10,MATCH(O2742,Cargas,1))),Coluna_fis,1,1))*(PI()*(fi_s/1000)^2/4)*(2*9.81*(O2742/100-cota_s-fi_s/2/1000))^0.5*1000)))</f>
        <v>6.3541785860052711</v>
      </c>
      <c r="R2742" s="38">
        <f t="shared" ca="1" si="300"/>
        <v>13.352314815825618</v>
      </c>
      <c r="S2742" s="38">
        <f t="shared" ca="1" si="301"/>
        <v>856.5625</v>
      </c>
    </row>
    <row r="2743" spans="13:19">
      <c r="M2743" s="132">
        <f t="shared" ca="1" si="298"/>
        <v>870.23000395480994</v>
      </c>
      <c r="N2743" s="38">
        <f t="shared" si="299"/>
        <v>25.706250000000001</v>
      </c>
      <c r="O2743" s="36">
        <f t="shared" si="297"/>
        <v>685.5</v>
      </c>
      <c r="P2743" s="38">
        <f ca="1">IF(ISERROR(IF(O2743&lt;fi_h/20,0,(OFFSET('Base de dados'!$A$5,IF(O2743&lt;20,1,IF(O2743&gt;1000,10,MATCH(O2743,Cargas,1))),Coluna_fih,1,1))*(1+0.13*0.25)*(PI()*(fi_h/1000)^2/4)*SQRT(2*9.81*(O2743/100-fi_h/2/1000))*1000)),"",IF(O2743&lt;fi_h/20,0,(OFFSET('Base de dados'!$A$5,IF(O2743&lt;20,1,IF(O2743&gt;1000,10,MATCH(O2743,Cargas,1))),Coluna_fih,1,1))*(PI()*(fi_h/1000)^2/4)*SQRT(2*9.81*(O2743/100-fi_h/2/1000))*1000))</f>
        <v>6.9994159662503073</v>
      </c>
      <c r="Q2743" s="38">
        <f ca="1">IF(O2743="","",IF(Tipo_Vertedor="Retangular",IF(O2743&lt;=cota_s*100,0,IF(Tipo_Vertedor="Retangular",Cd_sr*Lef_sr*((O2743/100-cota_s)^(3/2))*1000)),IF(O2743&lt;=cota_s*100+fi_s/20,0,(OFFSET('Base de dados'!$A$4,IF(O2743&lt;20,1,IF(O2743&gt;1000,10,MATCH(O2743,Cargas,1))),Coluna_fis,1,1))*(PI()*(fi_s/1000)^2/4)*(2*9.81*(O2743/100-cota_s-fi_s/2/1000))^0.5*1000)))</f>
        <v>6.3555879885596367</v>
      </c>
      <c r="R2743" s="38">
        <f t="shared" ca="1" si="300"/>
        <v>13.355003954809945</v>
      </c>
      <c r="S2743" s="38">
        <f t="shared" ca="1" si="301"/>
        <v>856.875</v>
      </c>
    </row>
    <row r="2744" spans="13:19">
      <c r="M2744" s="132">
        <f t="shared" ca="1" si="298"/>
        <v>870.54519254737977</v>
      </c>
      <c r="N2744" s="38">
        <f t="shared" si="299"/>
        <v>25.715624999999999</v>
      </c>
      <c r="O2744" s="36">
        <f t="shared" si="297"/>
        <v>685.75</v>
      </c>
      <c r="P2744" s="38">
        <f ca="1">IF(ISERROR(IF(O2744&lt;fi_h/20,0,(OFFSET('Base de dados'!$A$5,IF(O2744&lt;20,1,IF(O2744&gt;1000,10,MATCH(O2744,Cargas,1))),Coluna_fih,1,1))*(1+0.13*0.25)*(PI()*(fi_h/1000)^2/4)*SQRT(2*9.81*(O2744/100-fi_h/2/1000))*1000)),"",IF(O2744&lt;fi_h/20,0,(OFFSET('Base de dados'!$A$5,IF(O2744&lt;20,1,IF(O2744&gt;1000,10,MATCH(O2744,Cargas,1))),Coluna_fih,1,1))*(PI()*(fi_h/1000)^2/4)*SQRT(2*9.81*(O2744/100-fi_h/2/1000))*1000))</f>
        <v>7.0006954687427516</v>
      </c>
      <c r="Q2744" s="38">
        <f ca="1">IF(O2744="","",IF(Tipo_Vertedor="Retangular",IF(O2744&lt;=cota_s*100,0,IF(Tipo_Vertedor="Retangular",Cd_sr*Lef_sr*((O2744/100-cota_s)^(3/2))*1000)),IF(O2744&lt;=cota_s*100+fi_s/20,0,(OFFSET('Base de dados'!$A$4,IF(O2744&lt;20,1,IF(O2744&gt;1000,10,MATCH(O2744,Cargas,1))),Coluna_fis,1,1))*(PI()*(fi_s/1000)^2/4)*(2*9.81*(O2744/100-cota_s-fi_s/2/1000))^0.5*1000)))</f>
        <v>6.3569970786369794</v>
      </c>
      <c r="R2744" s="38">
        <f t="shared" ca="1" si="300"/>
        <v>13.357692547379731</v>
      </c>
      <c r="S2744" s="38">
        <f t="shared" ca="1" si="301"/>
        <v>857.1875</v>
      </c>
    </row>
    <row r="2745" spans="13:19">
      <c r="M2745" s="132">
        <f t="shared" ca="1" si="298"/>
        <v>870.86038059387101</v>
      </c>
      <c r="N2745" s="38">
        <f t="shared" si="299"/>
        <v>25.725000000000001</v>
      </c>
      <c r="O2745" s="36">
        <f t="shared" si="297"/>
        <v>686</v>
      </c>
      <c r="P2745" s="38">
        <f ca="1">IF(ISERROR(IF(O2745&lt;fi_h/20,0,(OFFSET('Base de dados'!$A$5,IF(O2745&lt;20,1,IF(O2745&gt;1000,10,MATCH(O2745,Cargas,1))),Coluna_fih,1,1))*(1+0.13*0.25)*(PI()*(fi_h/1000)^2/4)*SQRT(2*9.81*(O2745/100-fi_h/2/1000))*1000)),"",IF(O2745&lt;fi_h/20,0,(OFFSET('Base de dados'!$A$5,IF(O2745&lt;20,1,IF(O2745&gt;1000,10,MATCH(O2745,Cargas,1))),Coluna_fih,1,1))*(PI()*(fi_h/1000)^2/4)*SQRT(2*9.81*(O2745/100-fi_h/2/1000))*1000))</f>
        <v>7.0019747374259271</v>
      </c>
      <c r="Q2745" s="38">
        <f ca="1">IF(O2745="","",IF(Tipo_Vertedor="Retangular",IF(O2745&lt;=cota_s*100,0,IF(Tipo_Vertedor="Retangular",Cd_sr*Lef_sr*((O2745/100-cota_s)^(3/2))*1000)),IF(O2745&lt;=cota_s*100+fi_s/20,0,(OFFSET('Base de dados'!$A$4,IF(O2745&lt;20,1,IF(O2745&gt;1000,10,MATCH(O2745,Cargas,1))),Coluna_fis,1,1))*(PI()*(fi_s/1000)^2/4)*(2*9.81*(O2745/100-cota_s-fi_s/2/1000))^0.5*1000)))</f>
        <v>6.3584058564450467</v>
      </c>
      <c r="R2745" s="38">
        <f t="shared" ca="1" si="300"/>
        <v>13.360380593870975</v>
      </c>
      <c r="S2745" s="38">
        <f t="shared" ca="1" si="301"/>
        <v>857.5</v>
      </c>
    </row>
    <row r="2746" spans="13:19">
      <c r="M2746" s="132">
        <f t="shared" ca="1" si="298"/>
        <v>871.17556809461928</v>
      </c>
      <c r="N2746" s="38">
        <f t="shared" si="299"/>
        <v>25.734375</v>
      </c>
      <c r="O2746" s="36">
        <f t="shared" si="297"/>
        <v>686.25</v>
      </c>
      <c r="P2746" s="38">
        <f ca="1">IF(ISERROR(IF(O2746&lt;fi_h/20,0,(OFFSET('Base de dados'!$A$5,IF(O2746&lt;20,1,IF(O2746&gt;1000,10,MATCH(O2746,Cargas,1))),Coluna_fih,1,1))*(1+0.13*0.25)*(PI()*(fi_h/1000)^2/4)*SQRT(2*9.81*(O2746/100-fi_h/2/1000))*1000)),"",IF(O2746&lt;fi_h/20,0,(OFFSET('Base de dados'!$A$5,IF(O2746&lt;20,1,IF(O2746&gt;1000,10,MATCH(O2746,Cargas,1))),Coluna_fih,1,1))*(PI()*(fi_h/1000)^2/4)*SQRT(2*9.81*(O2746/100-fi_h/2/1000))*1000))</f>
        <v>7.0032537724279598</v>
      </c>
      <c r="Q2746" s="38">
        <f ca="1">IF(O2746="","",IF(Tipo_Vertedor="Retangular",IF(O2746&lt;=cota_s*100,0,IF(Tipo_Vertedor="Retangular",Cd_sr*Lef_sr*((O2746/100-cota_s)^(3/2))*1000)),IF(O2746&lt;=cota_s*100+fi_s/20,0,(OFFSET('Base de dados'!$A$4,IF(O2746&lt;20,1,IF(O2746&gt;1000,10,MATCH(O2746,Cargas,1))),Coluna_fis,1,1))*(PI()*(fi_s/1000)^2/4)*(2*9.81*(O2746/100-cota_s-fi_s/2/1000))^0.5*1000)))</f>
        <v>6.3598143221913519</v>
      </c>
      <c r="R2746" s="38">
        <f t="shared" ca="1" si="300"/>
        <v>13.363068094619312</v>
      </c>
      <c r="S2746" s="38">
        <f t="shared" ca="1" si="301"/>
        <v>857.8125</v>
      </c>
    </row>
    <row r="2747" spans="13:19">
      <c r="M2747" s="132">
        <f t="shared" ca="1" si="298"/>
        <v>871.49075504996017</v>
      </c>
      <c r="N2747" s="38">
        <f t="shared" si="299"/>
        <v>25.743750000000002</v>
      </c>
      <c r="O2747" s="36">
        <f t="shared" si="297"/>
        <v>686.5</v>
      </c>
      <c r="P2747" s="38">
        <f ca="1">IF(ISERROR(IF(O2747&lt;fi_h/20,0,(OFFSET('Base de dados'!$A$5,IF(O2747&lt;20,1,IF(O2747&gt;1000,10,MATCH(O2747,Cargas,1))),Coluna_fih,1,1))*(1+0.13*0.25)*(PI()*(fi_h/1000)^2/4)*SQRT(2*9.81*(O2747/100-fi_h/2/1000))*1000)),"",IF(O2747&lt;fi_h/20,0,(OFFSET('Base de dados'!$A$5,IF(O2747&lt;20,1,IF(O2747&gt;1000,10,MATCH(O2747,Cargas,1))),Coluna_fih,1,1))*(PI()*(fi_h/1000)^2/4)*SQRT(2*9.81*(O2747/100-fi_h/2/1000))*1000))</f>
        <v>7.0045325738768618</v>
      </c>
      <c r="Q2747" s="38">
        <f ca="1">IF(O2747="","",IF(Tipo_Vertedor="Retangular",IF(O2747&lt;=cota_s*100,0,IF(Tipo_Vertedor="Retangular",Cd_sr*Lef_sr*((O2747/100-cota_s)^(3/2))*1000)),IF(O2747&lt;=cota_s*100+fi_s/20,0,(OFFSET('Base de dados'!$A$4,IF(O2747&lt;20,1,IF(O2747&gt;1000,10,MATCH(O2747,Cargas,1))),Coluna_fis,1,1))*(PI()*(fi_s/1000)^2/4)*(2*9.81*(O2747/100-cota_s-fi_s/2/1000))^0.5*1000)))</f>
        <v>6.3612224760831806</v>
      </c>
      <c r="R2747" s="38">
        <f t="shared" ca="1" si="300"/>
        <v>13.365755049960043</v>
      </c>
      <c r="S2747" s="38">
        <f t="shared" ca="1" si="301"/>
        <v>858.12500000000011</v>
      </c>
    </row>
    <row r="2748" spans="13:19">
      <c r="M2748" s="132">
        <f t="shared" ca="1" si="298"/>
        <v>871.80594146022804</v>
      </c>
      <c r="N2748" s="38">
        <f t="shared" si="299"/>
        <v>25.753124999999997</v>
      </c>
      <c r="O2748" s="36">
        <f t="shared" si="297"/>
        <v>686.75</v>
      </c>
      <c r="P2748" s="38">
        <f ca="1">IF(ISERROR(IF(O2748&lt;fi_h/20,0,(OFFSET('Base de dados'!$A$5,IF(O2748&lt;20,1,IF(O2748&gt;1000,10,MATCH(O2748,Cargas,1))),Coluna_fih,1,1))*(1+0.13*0.25)*(PI()*(fi_h/1000)^2/4)*SQRT(2*9.81*(O2748/100-fi_h/2/1000))*1000)),"",IF(O2748&lt;fi_h/20,0,(OFFSET('Base de dados'!$A$5,IF(O2748&lt;20,1,IF(O2748&gt;1000,10,MATCH(O2748,Cargas,1))),Coluna_fih,1,1))*(PI()*(fi_h/1000)^2/4)*SQRT(2*9.81*(O2748/100-fi_h/2/1000))*1000))</f>
        <v>7.0058111419005282</v>
      </c>
      <c r="Q2748" s="38">
        <f ca="1">IF(O2748="","",IF(Tipo_Vertedor="Retangular",IF(O2748&lt;=cota_s*100,0,IF(Tipo_Vertedor="Retangular",Cd_sr*Lef_sr*((O2748/100-cota_s)^(3/2))*1000)),IF(O2748&lt;=cota_s*100+fi_s/20,0,(OFFSET('Base de dados'!$A$4,IF(O2748&lt;20,1,IF(O2748&gt;1000,10,MATCH(O2748,Cargas,1))),Coluna_fis,1,1))*(PI()*(fi_s/1000)^2/4)*(2*9.81*(O2748/100-cota_s-fi_s/2/1000))^0.5*1000)))</f>
        <v>6.3626303183275859</v>
      </c>
      <c r="R2748" s="38">
        <f t="shared" ca="1" si="300"/>
        <v>13.368441460228114</v>
      </c>
      <c r="S2748" s="38">
        <f t="shared" ca="1" si="301"/>
        <v>858.43749999999989</v>
      </c>
    </row>
    <row r="2749" spans="13:19">
      <c r="M2749" s="132">
        <f t="shared" ca="1" si="298"/>
        <v>872.12112732575815</v>
      </c>
      <c r="N2749" s="38">
        <f t="shared" si="299"/>
        <v>25.762499999999999</v>
      </c>
      <c r="O2749" s="36">
        <f t="shared" si="297"/>
        <v>687</v>
      </c>
      <c r="P2749" s="38">
        <f ca="1">IF(ISERROR(IF(O2749&lt;fi_h/20,0,(OFFSET('Base de dados'!$A$5,IF(O2749&lt;20,1,IF(O2749&gt;1000,10,MATCH(O2749,Cargas,1))),Coluna_fih,1,1))*(1+0.13*0.25)*(PI()*(fi_h/1000)^2/4)*SQRT(2*9.81*(O2749/100-fi_h/2/1000))*1000)),"",IF(O2749&lt;fi_h/20,0,(OFFSET('Base de dados'!$A$5,IF(O2749&lt;20,1,IF(O2749&gt;1000,10,MATCH(O2749,Cargas,1))),Coluna_fih,1,1))*(PI()*(fi_h/1000)^2/4)*SQRT(2*9.81*(O2749/100-fi_h/2/1000))*1000))</f>
        <v>7.0070894766267378</v>
      </c>
      <c r="Q2749" s="38">
        <f ca="1">IF(O2749="","",IF(Tipo_Vertedor="Retangular",IF(O2749&lt;=cota_s*100,0,IF(Tipo_Vertedor="Retangular",Cd_sr*Lef_sr*((O2749/100-cota_s)^(3/2))*1000)),IF(O2749&lt;=cota_s*100+fi_s/20,0,(OFFSET('Base de dados'!$A$4,IF(O2749&lt;20,1,IF(O2749&gt;1000,10,MATCH(O2749,Cargas,1))),Coluna_fis,1,1))*(PI()*(fi_s/1000)^2/4)*(2*9.81*(O2749/100-cota_s-fi_s/2/1000))^0.5*1000)))</f>
        <v>6.3640378491313969</v>
      </c>
      <c r="R2749" s="38">
        <f t="shared" ca="1" si="300"/>
        <v>13.371127325758135</v>
      </c>
      <c r="S2749" s="38">
        <f t="shared" ca="1" si="301"/>
        <v>858.75</v>
      </c>
    </row>
    <row r="2750" spans="13:19">
      <c r="M2750" s="132">
        <f t="shared" ca="1" si="298"/>
        <v>872.43631264688429</v>
      </c>
      <c r="N2750" s="38">
        <f t="shared" si="299"/>
        <v>25.771874999999998</v>
      </c>
      <c r="O2750" s="36">
        <f t="shared" si="297"/>
        <v>687.25</v>
      </c>
      <c r="P2750" s="38">
        <f ca="1">IF(ISERROR(IF(O2750&lt;fi_h/20,0,(OFFSET('Base de dados'!$A$5,IF(O2750&lt;20,1,IF(O2750&gt;1000,10,MATCH(O2750,Cargas,1))),Coluna_fih,1,1))*(1+0.13*0.25)*(PI()*(fi_h/1000)^2/4)*SQRT(2*9.81*(O2750/100-fi_h/2/1000))*1000)),"",IF(O2750&lt;fi_h/20,0,(OFFSET('Base de dados'!$A$5,IF(O2750&lt;20,1,IF(O2750&gt;1000,10,MATCH(O2750,Cargas,1))),Coluna_fih,1,1))*(PI()*(fi_h/1000)^2/4)*SQRT(2*9.81*(O2750/100-fi_h/2/1000))*1000))</f>
        <v>7.0083675781831491</v>
      </c>
      <c r="Q2750" s="38">
        <f ca="1">IF(O2750="","",IF(Tipo_Vertedor="Retangular",IF(O2750&lt;=cota_s*100,0,IF(Tipo_Vertedor="Retangular",Cd_sr*Lef_sr*((O2750/100-cota_s)^(3/2))*1000)),IF(O2750&lt;=cota_s*100+fi_s/20,0,(OFFSET('Base de dados'!$A$4,IF(O2750&lt;20,1,IF(O2750&gt;1000,10,MATCH(O2750,Cargas,1))),Coluna_fis,1,1))*(PI()*(fi_s/1000)^2/4)*(2*9.81*(O2750/100-cota_s-fi_s/2/1000))^0.5*1000)))</f>
        <v>6.3654450687012085</v>
      </c>
      <c r="R2750" s="38">
        <f t="shared" ca="1" si="300"/>
        <v>13.373812646884357</v>
      </c>
      <c r="S2750" s="38">
        <f t="shared" ca="1" si="301"/>
        <v>859.06249999999989</v>
      </c>
    </row>
    <row r="2751" spans="13:19">
      <c r="M2751" s="132">
        <f t="shared" ca="1" si="298"/>
        <v>872.75149742394069</v>
      </c>
      <c r="N2751" s="38">
        <f t="shared" si="299"/>
        <v>25.78125</v>
      </c>
      <c r="O2751" s="36">
        <f t="shared" si="297"/>
        <v>687.5</v>
      </c>
      <c r="P2751" s="38">
        <f ca="1">IF(ISERROR(IF(O2751&lt;fi_h/20,0,(OFFSET('Base de dados'!$A$5,IF(O2751&lt;20,1,IF(O2751&gt;1000,10,MATCH(O2751,Cargas,1))),Coluna_fih,1,1))*(1+0.13*0.25)*(PI()*(fi_h/1000)^2/4)*SQRT(2*9.81*(O2751/100-fi_h/2/1000))*1000)),"",IF(O2751&lt;fi_h/20,0,(OFFSET('Base de dados'!$A$5,IF(O2751&lt;20,1,IF(O2751&gt;1000,10,MATCH(O2751,Cargas,1))),Coluna_fih,1,1))*(PI()*(fi_h/1000)^2/4)*SQRT(2*9.81*(O2751/100-fi_h/2/1000))*1000))</f>
        <v>7.0096454466973093</v>
      </c>
      <c r="Q2751" s="38">
        <f ca="1">IF(O2751="","",IF(Tipo_Vertedor="Retangular",IF(O2751&lt;=cota_s*100,0,IF(Tipo_Vertedor="Retangular",Cd_sr*Lef_sr*((O2751/100-cota_s)^(3/2))*1000)),IF(O2751&lt;=cota_s*100+fi_s/20,0,(OFFSET('Base de dados'!$A$4,IF(O2751&lt;20,1,IF(O2751&gt;1000,10,MATCH(O2751,Cargas,1))),Coluna_fis,1,1))*(PI()*(fi_s/1000)^2/4)*(2*9.81*(O2751/100-cota_s-fi_s/2/1000))^0.5*1000)))</f>
        <v>6.3668519772433934</v>
      </c>
      <c r="R2751" s="38">
        <f t="shared" ca="1" si="300"/>
        <v>13.376497423940702</v>
      </c>
      <c r="S2751" s="38">
        <f t="shared" ca="1" si="301"/>
        <v>859.375</v>
      </c>
    </row>
    <row r="2752" spans="13:19">
      <c r="M2752" s="132">
        <f t="shared" ca="1" si="298"/>
        <v>873.0666816572608</v>
      </c>
      <c r="N2752" s="38">
        <f t="shared" si="299"/>
        <v>25.790625000000002</v>
      </c>
      <c r="O2752" s="36">
        <f t="shared" si="297"/>
        <v>687.75</v>
      </c>
      <c r="P2752" s="38">
        <f ca="1">IF(ISERROR(IF(O2752&lt;fi_h/20,0,(OFFSET('Base de dados'!$A$5,IF(O2752&lt;20,1,IF(O2752&gt;1000,10,MATCH(O2752,Cargas,1))),Coluna_fih,1,1))*(1+0.13*0.25)*(PI()*(fi_h/1000)^2/4)*SQRT(2*9.81*(O2752/100-fi_h/2/1000))*1000)),"",IF(O2752&lt;fi_h/20,0,(OFFSET('Base de dados'!$A$5,IF(O2752&lt;20,1,IF(O2752&gt;1000,10,MATCH(O2752,Cargas,1))),Coluna_fih,1,1))*(PI()*(fi_h/1000)^2/4)*SQRT(2*9.81*(O2752/100-fi_h/2/1000))*1000))</f>
        <v>7.0109230822966451</v>
      </c>
      <c r="Q2752" s="38">
        <f ca="1">IF(O2752="","",IF(Tipo_Vertedor="Retangular",IF(O2752&lt;=cota_s*100,0,IF(Tipo_Vertedor="Retangular",Cd_sr*Lef_sr*((O2752/100-cota_s)^(3/2))*1000)),IF(O2752&lt;=cota_s*100+fi_s/20,0,(OFFSET('Base de dados'!$A$4,IF(O2752&lt;20,1,IF(O2752&gt;1000,10,MATCH(O2752,Cargas,1))),Coluna_fis,1,1))*(PI()*(fi_s/1000)^2/4)*(2*9.81*(O2752/100-cota_s-fi_s/2/1000))^0.5*1000)))</f>
        <v>6.3682585749640923</v>
      </c>
      <c r="R2752" s="38">
        <f t="shared" ca="1" si="300"/>
        <v>13.379181657260737</v>
      </c>
      <c r="S2752" s="38">
        <f t="shared" ca="1" si="301"/>
        <v>859.68750000000011</v>
      </c>
    </row>
    <row r="2753" spans="13:19">
      <c r="M2753" s="132">
        <f t="shared" ca="1" si="298"/>
        <v>873.38186534717772</v>
      </c>
      <c r="N2753" s="38">
        <f t="shared" si="299"/>
        <v>25.8</v>
      </c>
      <c r="O2753" s="36">
        <f t="shared" si="297"/>
        <v>688</v>
      </c>
      <c r="P2753" s="38">
        <f ca="1">IF(ISERROR(IF(O2753&lt;fi_h/20,0,(OFFSET('Base de dados'!$A$5,IF(O2753&lt;20,1,IF(O2753&gt;1000,10,MATCH(O2753,Cargas,1))),Coluna_fih,1,1))*(1+0.13*0.25)*(PI()*(fi_h/1000)^2/4)*SQRT(2*9.81*(O2753/100-fi_h/2/1000))*1000)),"",IF(O2753&lt;fi_h/20,0,(OFFSET('Base de dados'!$A$5,IF(O2753&lt;20,1,IF(O2753&gt;1000,10,MATCH(O2753,Cargas,1))),Coluna_fih,1,1))*(PI()*(fi_h/1000)^2/4)*SQRT(2*9.81*(O2753/100-fi_h/2/1000))*1000))</f>
        <v>7.0122004851084707</v>
      </c>
      <c r="Q2753" s="38">
        <f ca="1">IF(O2753="","",IF(Tipo_Vertedor="Retangular",IF(O2753&lt;=cota_s*100,0,IF(Tipo_Vertedor="Retangular",Cd_sr*Lef_sr*((O2753/100-cota_s)^(3/2))*1000)),IF(O2753&lt;=cota_s*100+fi_s/20,0,(OFFSET('Base de dados'!$A$4,IF(O2753&lt;20,1,IF(O2753&gt;1000,10,MATCH(O2753,Cargas,1))),Coluna_fis,1,1))*(PI()*(fi_s/1000)^2/4)*(2*9.81*(O2753/100-cota_s-fi_s/2/1000))^0.5*1000)))</f>
        <v>6.369664862069218</v>
      </c>
      <c r="R2753" s="38">
        <f t="shared" ca="1" si="300"/>
        <v>13.381865347177689</v>
      </c>
      <c r="S2753" s="38">
        <f t="shared" ca="1" si="301"/>
        <v>860</v>
      </c>
    </row>
    <row r="2754" spans="13:19">
      <c r="M2754" s="132">
        <f t="shared" ca="1" si="298"/>
        <v>873.69704849402456</v>
      </c>
      <c r="N2754" s="38">
        <f t="shared" si="299"/>
        <v>25.809375000000003</v>
      </c>
      <c r="O2754" s="36">
        <f t="shared" si="297"/>
        <v>688.25</v>
      </c>
      <c r="P2754" s="38">
        <f ca="1">IF(ISERROR(IF(O2754&lt;fi_h/20,0,(OFFSET('Base de dados'!$A$5,IF(O2754&lt;20,1,IF(O2754&gt;1000,10,MATCH(O2754,Cargas,1))),Coluna_fih,1,1))*(1+0.13*0.25)*(PI()*(fi_h/1000)^2/4)*SQRT(2*9.81*(O2754/100-fi_h/2/1000))*1000)),"",IF(O2754&lt;fi_h/20,0,(OFFSET('Base de dados'!$A$5,IF(O2754&lt;20,1,IF(O2754&gt;1000,10,MATCH(O2754,Cargas,1))),Coluna_fih,1,1))*(PI()*(fi_h/1000)^2/4)*SQRT(2*9.81*(O2754/100-fi_h/2/1000))*1000))</f>
        <v>7.0134776552599813</v>
      </c>
      <c r="Q2754" s="38">
        <f ca="1">IF(O2754="","",IF(Tipo_Vertedor="Retangular",IF(O2754&lt;=cota_s*100,0,IF(Tipo_Vertedor="Retangular",Cd_sr*Lef_sr*((O2754/100-cota_s)^(3/2))*1000)),IF(O2754&lt;=cota_s*100+fi_s/20,0,(OFFSET('Base de dados'!$A$4,IF(O2754&lt;20,1,IF(O2754&gt;1000,10,MATCH(O2754,Cargas,1))),Coluna_fis,1,1))*(PI()*(fi_s/1000)^2/4)*(2*9.81*(O2754/100-cota_s-fi_s/2/1000))^0.5*1000)))</f>
        <v>6.3710708387644575</v>
      </c>
      <c r="R2754" s="38">
        <f t="shared" ca="1" si="300"/>
        <v>13.38454849402444</v>
      </c>
      <c r="S2754" s="38">
        <f t="shared" ca="1" si="301"/>
        <v>860.31250000000011</v>
      </c>
    </row>
    <row r="2755" spans="13:19">
      <c r="M2755" s="132">
        <f t="shared" ca="1" si="298"/>
        <v>874.01223109813338</v>
      </c>
      <c r="N2755" s="38">
        <f t="shared" si="299"/>
        <v>25.818749999999998</v>
      </c>
      <c r="O2755" s="36">
        <f t="shared" si="297"/>
        <v>688.5</v>
      </c>
      <c r="P2755" s="38">
        <f ca="1">IF(ISERROR(IF(O2755&lt;fi_h/20,0,(OFFSET('Base de dados'!$A$5,IF(O2755&lt;20,1,IF(O2755&gt;1000,10,MATCH(O2755,Cargas,1))),Coluna_fih,1,1))*(1+0.13*0.25)*(PI()*(fi_h/1000)^2/4)*SQRT(2*9.81*(O2755/100-fi_h/2/1000))*1000)),"",IF(O2755&lt;fi_h/20,0,(OFFSET('Base de dados'!$A$5,IF(O2755&lt;20,1,IF(O2755&gt;1000,10,MATCH(O2755,Cargas,1))),Coluna_fih,1,1))*(PI()*(fi_h/1000)^2/4)*SQRT(2*9.81*(O2755/100-fi_h/2/1000))*1000))</f>
        <v>7.0147545928782584</v>
      </c>
      <c r="Q2755" s="38">
        <f ca="1">IF(O2755="","",IF(Tipo_Vertedor="Retangular",IF(O2755&lt;=cota_s*100,0,IF(Tipo_Vertedor="Retangular",Cd_sr*Lef_sr*((O2755/100-cota_s)^(3/2))*1000)),IF(O2755&lt;=cota_s*100+fi_s/20,0,(OFFSET('Base de dados'!$A$4,IF(O2755&lt;20,1,IF(O2755&gt;1000,10,MATCH(O2755,Cargas,1))),Coluna_fis,1,1))*(PI()*(fi_s/1000)^2/4)*(2*9.81*(O2755/100-cota_s-fi_s/2/1000))^0.5*1000)))</f>
        <v>6.3724765052552712</v>
      </c>
      <c r="R2755" s="38">
        <f t="shared" ca="1" si="300"/>
        <v>13.38723109813353</v>
      </c>
      <c r="S2755" s="38">
        <f t="shared" ca="1" si="301"/>
        <v>860.62499999999989</v>
      </c>
    </row>
    <row r="2756" spans="13:19">
      <c r="M2756" s="132">
        <f t="shared" ca="1" si="298"/>
        <v>874.32741315983719</v>
      </c>
      <c r="N2756" s="38">
        <f t="shared" si="299"/>
        <v>25.828125</v>
      </c>
      <c r="O2756" s="36">
        <f t="shared" si="297"/>
        <v>688.75</v>
      </c>
      <c r="P2756" s="38">
        <f ca="1">IF(ISERROR(IF(O2756&lt;fi_h/20,0,(OFFSET('Base de dados'!$A$5,IF(O2756&lt;20,1,IF(O2756&gt;1000,10,MATCH(O2756,Cargas,1))),Coluna_fih,1,1))*(1+0.13*0.25)*(PI()*(fi_h/1000)^2/4)*SQRT(2*9.81*(O2756/100-fi_h/2/1000))*1000)),"",IF(O2756&lt;fi_h/20,0,(OFFSET('Base de dados'!$A$5,IF(O2756&lt;20,1,IF(O2756&gt;1000,10,MATCH(O2756,Cargas,1))),Coluna_fih,1,1))*(PI()*(fi_h/1000)^2/4)*SQRT(2*9.81*(O2756/100-fi_h/2/1000))*1000))</f>
        <v>7.016031298090267</v>
      </c>
      <c r="Q2756" s="38">
        <f ca="1">IF(O2756="","",IF(Tipo_Vertedor="Retangular",IF(O2756&lt;=cota_s*100,0,IF(Tipo_Vertedor="Retangular",Cd_sr*Lef_sr*((O2756/100-cota_s)^(3/2))*1000)),IF(O2756&lt;=cota_s*100+fi_s/20,0,(OFFSET('Base de dados'!$A$4,IF(O2756&lt;20,1,IF(O2756&gt;1000,10,MATCH(O2756,Cargas,1))),Coluna_fis,1,1))*(PI()*(fi_s/1000)^2/4)*(2*9.81*(O2756/100-cota_s-fi_s/2/1000))^0.5*1000)))</f>
        <v>6.3738818617468898</v>
      </c>
      <c r="R2756" s="38">
        <f t="shared" ca="1" si="300"/>
        <v>13.389913159837157</v>
      </c>
      <c r="S2756" s="38">
        <f t="shared" ca="1" si="301"/>
        <v>860.9375</v>
      </c>
    </row>
    <row r="2757" spans="13:19">
      <c r="M2757" s="132">
        <f t="shared" ca="1" si="298"/>
        <v>874.64259467946715</v>
      </c>
      <c r="N2757" s="38">
        <f t="shared" si="299"/>
        <v>25.837499999999999</v>
      </c>
      <c r="O2757" s="36">
        <f t="shared" si="297"/>
        <v>689</v>
      </c>
      <c r="P2757" s="38">
        <f ca="1">IF(ISERROR(IF(O2757&lt;fi_h/20,0,(OFFSET('Base de dados'!$A$5,IF(O2757&lt;20,1,IF(O2757&gt;1000,10,MATCH(O2757,Cargas,1))),Coluna_fih,1,1))*(1+0.13*0.25)*(PI()*(fi_h/1000)^2/4)*SQRT(2*9.81*(O2757/100-fi_h/2/1000))*1000)),"",IF(O2757&lt;fi_h/20,0,(OFFSET('Base de dados'!$A$5,IF(O2757&lt;20,1,IF(O2757&gt;1000,10,MATCH(O2757,Cargas,1))),Coluna_fih,1,1))*(PI()*(fi_h/1000)^2/4)*SQRT(2*9.81*(O2757/100-fi_h/2/1000))*1000))</f>
        <v>7.017307771022856</v>
      </c>
      <c r="Q2757" s="38">
        <f ca="1">IF(O2757="","",IF(Tipo_Vertedor="Retangular",IF(O2757&lt;=cota_s*100,0,IF(Tipo_Vertedor="Retangular",Cd_sr*Lef_sr*((O2757/100-cota_s)^(3/2))*1000)),IF(O2757&lt;=cota_s*100+fi_s/20,0,(OFFSET('Base de dados'!$A$4,IF(O2757&lt;20,1,IF(O2757&gt;1000,10,MATCH(O2757,Cargas,1))),Coluna_fis,1,1))*(PI()*(fi_s/1000)^2/4)*(2*9.81*(O2757/100-cota_s-fi_s/2/1000))^0.5*1000)))</f>
        <v>6.3752869084443233</v>
      </c>
      <c r="R2757" s="38">
        <f t="shared" ca="1" si="300"/>
        <v>13.39259467946718</v>
      </c>
      <c r="S2757" s="38">
        <f t="shared" ca="1" si="301"/>
        <v>861.25</v>
      </c>
    </row>
    <row r="2758" spans="13:19">
      <c r="M2758" s="132">
        <f t="shared" ca="1" si="298"/>
        <v>874.95777565735511</v>
      </c>
      <c r="N2758" s="38">
        <f t="shared" si="299"/>
        <v>25.846875000000001</v>
      </c>
      <c r="O2758" s="36">
        <f t="shared" si="297"/>
        <v>689.25</v>
      </c>
      <c r="P2758" s="38">
        <f ca="1">IF(ISERROR(IF(O2758&lt;fi_h/20,0,(OFFSET('Base de dados'!$A$5,IF(O2758&lt;20,1,IF(O2758&gt;1000,10,MATCH(O2758,Cargas,1))),Coluna_fih,1,1))*(1+0.13*0.25)*(PI()*(fi_h/1000)^2/4)*SQRT(2*9.81*(O2758/100-fi_h/2/1000))*1000)),"",IF(O2758&lt;fi_h/20,0,(OFFSET('Base de dados'!$A$5,IF(O2758&lt;20,1,IF(O2758&gt;1000,10,MATCH(O2758,Cargas,1))),Coluna_fih,1,1))*(PI()*(fi_h/1000)^2/4)*SQRT(2*9.81*(O2758/100-fi_h/2/1000))*1000))</f>
        <v>7.0185840118027611</v>
      </c>
      <c r="Q2758" s="38">
        <f ca="1">IF(O2758="","",IF(Tipo_Vertedor="Retangular",IF(O2758&lt;=cota_s*100,0,IF(Tipo_Vertedor="Retangular",Cd_sr*Lef_sr*((O2758/100-cota_s)^(3/2))*1000)),IF(O2758&lt;=cota_s*100+fi_s/20,0,(OFFSET('Base de dados'!$A$4,IF(O2758&lt;20,1,IF(O2758&gt;1000,10,MATCH(O2758,Cargas,1))),Coluna_fis,1,1))*(PI()*(fi_s/1000)^2/4)*(2*9.81*(O2758/100-cota_s-fi_s/2/1000))^0.5*1000)))</f>
        <v>6.3766916455523504</v>
      </c>
      <c r="R2758" s="38">
        <f t="shared" ca="1" si="300"/>
        <v>13.395275657355111</v>
      </c>
      <c r="S2758" s="38">
        <f t="shared" ca="1" si="301"/>
        <v>861.5625</v>
      </c>
    </row>
    <row r="2759" spans="13:19">
      <c r="M2759" s="132">
        <f t="shared" ca="1" si="298"/>
        <v>875.27295609383214</v>
      </c>
      <c r="N2759" s="38">
        <f t="shared" si="299"/>
        <v>25.856249999999999</v>
      </c>
      <c r="O2759" s="36">
        <f t="shared" si="297"/>
        <v>689.5</v>
      </c>
      <c r="P2759" s="38">
        <f ca="1">IF(ISERROR(IF(O2759&lt;fi_h/20,0,(OFFSET('Base de dados'!$A$5,IF(O2759&lt;20,1,IF(O2759&gt;1000,10,MATCH(O2759,Cargas,1))),Coluna_fih,1,1))*(1+0.13*0.25)*(PI()*(fi_h/1000)^2/4)*SQRT(2*9.81*(O2759/100-fi_h/2/1000))*1000)),"",IF(O2759&lt;fi_h/20,0,(OFFSET('Base de dados'!$A$5,IF(O2759&lt;20,1,IF(O2759&gt;1000,10,MATCH(O2759,Cargas,1))),Coluna_fih,1,1))*(PI()*(fi_h/1000)^2/4)*SQRT(2*9.81*(O2759/100-fi_h/2/1000))*1000))</f>
        <v>7.0198600205566004</v>
      </c>
      <c r="Q2759" s="38">
        <f ca="1">IF(O2759="","",IF(Tipo_Vertedor="Retangular",IF(O2759&lt;=cota_s*100,0,IF(Tipo_Vertedor="Retangular",Cd_sr*Lef_sr*((O2759/100-cota_s)^(3/2))*1000)),IF(O2759&lt;=cota_s*100+fi_s/20,0,(OFFSET('Base de dados'!$A$4,IF(O2759&lt;20,1,IF(O2759&gt;1000,10,MATCH(O2759,Cargas,1))),Coluna_fis,1,1))*(PI()*(fi_s/1000)^2/4)*(2*9.81*(O2759/100-cota_s-fi_s/2/1000))^0.5*1000)))</f>
        <v>6.378096073275529</v>
      </c>
      <c r="R2759" s="38">
        <f t="shared" ca="1" si="300"/>
        <v>13.397956093832128</v>
      </c>
      <c r="S2759" s="38">
        <f t="shared" ca="1" si="301"/>
        <v>861.875</v>
      </c>
    </row>
    <row r="2760" spans="13:19">
      <c r="M2760" s="132">
        <f t="shared" ca="1" si="298"/>
        <v>875.58813598922904</v>
      </c>
      <c r="N2760" s="38">
        <f t="shared" si="299"/>
        <v>25.865625000000001</v>
      </c>
      <c r="O2760" s="36">
        <f t="shared" si="297"/>
        <v>689.75</v>
      </c>
      <c r="P2760" s="38">
        <f ca="1">IF(ISERROR(IF(O2760&lt;fi_h/20,0,(OFFSET('Base de dados'!$A$5,IF(O2760&lt;20,1,IF(O2760&gt;1000,10,MATCH(O2760,Cargas,1))),Coluna_fih,1,1))*(1+0.13*0.25)*(PI()*(fi_h/1000)^2/4)*SQRT(2*9.81*(O2760/100-fi_h/2/1000))*1000)),"",IF(O2760&lt;fi_h/20,0,(OFFSET('Base de dados'!$A$5,IF(O2760&lt;20,1,IF(O2760&gt;1000,10,MATCH(O2760,Cargas,1))),Coluna_fih,1,1))*(PI()*(fi_h/1000)^2/4)*SQRT(2*9.81*(O2760/100-fi_h/2/1000))*1000))</f>
        <v>7.0211357974108779</v>
      </c>
      <c r="Q2760" s="38">
        <f ca="1">IF(O2760="","",IF(Tipo_Vertedor="Retangular",IF(O2760&lt;=cota_s*100,0,IF(Tipo_Vertedor="Retangular",Cd_sr*Lef_sr*((O2760/100-cota_s)^(3/2))*1000)),IF(O2760&lt;=cota_s*100+fi_s/20,0,(OFFSET('Base de dados'!$A$4,IF(O2760&lt;20,1,IF(O2760&gt;1000,10,MATCH(O2760,Cargas,1))),Coluna_fis,1,1))*(PI()*(fi_s/1000)^2/4)*(2*9.81*(O2760/100-cota_s-fi_s/2/1000))^0.5*1000)))</f>
        <v>6.3795001918181891</v>
      </c>
      <c r="R2760" s="38">
        <f t="shared" ca="1" si="300"/>
        <v>13.400635989229066</v>
      </c>
      <c r="S2760" s="38">
        <f t="shared" ca="1" si="301"/>
        <v>862.1875</v>
      </c>
    </row>
    <row r="2761" spans="13:19">
      <c r="M2761" s="132">
        <f t="shared" ca="1" si="298"/>
        <v>875.90331534387644</v>
      </c>
      <c r="N2761" s="38">
        <f t="shared" si="299"/>
        <v>25.875</v>
      </c>
      <c r="O2761" s="36">
        <f t="shared" si="297"/>
        <v>690</v>
      </c>
      <c r="P2761" s="38">
        <f ca="1">IF(ISERROR(IF(O2761&lt;fi_h/20,0,(OFFSET('Base de dados'!$A$5,IF(O2761&lt;20,1,IF(O2761&gt;1000,10,MATCH(O2761,Cargas,1))),Coluna_fih,1,1))*(1+0.13*0.25)*(PI()*(fi_h/1000)^2/4)*SQRT(2*9.81*(O2761/100-fi_h/2/1000))*1000)),"",IF(O2761&lt;fi_h/20,0,(OFFSET('Base de dados'!$A$5,IF(O2761&lt;20,1,IF(O2761&gt;1000,10,MATCH(O2761,Cargas,1))),Coluna_fih,1,1))*(PI()*(fi_h/1000)^2/4)*SQRT(2*9.81*(O2761/100-fi_h/2/1000))*1000))</f>
        <v>7.022411342491985</v>
      </c>
      <c r="Q2761" s="38">
        <f ca="1">IF(O2761="","",IF(Tipo_Vertedor="Retangular",IF(O2761&lt;=cota_s*100,0,IF(Tipo_Vertedor="Retangular",Cd_sr*Lef_sr*((O2761/100-cota_s)^(3/2))*1000)),IF(O2761&lt;=cota_s*100+fi_s/20,0,(OFFSET('Base de dados'!$A$4,IF(O2761&lt;20,1,IF(O2761&gt;1000,10,MATCH(O2761,Cargas,1))),Coluna_fis,1,1))*(PI()*(fi_s/1000)^2/4)*(2*9.81*(O2761/100-cota_s-fi_s/2/1000))^0.5*1000)))</f>
        <v>6.380904001384434</v>
      </c>
      <c r="R2761" s="38">
        <f t="shared" ca="1" si="300"/>
        <v>13.403315343876418</v>
      </c>
      <c r="S2761" s="38">
        <f t="shared" ca="1" si="301"/>
        <v>862.5</v>
      </c>
    </row>
    <row r="2762" spans="13:19">
      <c r="M2762" s="132">
        <f t="shared" ca="1" si="298"/>
        <v>876.21849415810436</v>
      </c>
      <c r="N2762" s="38">
        <f t="shared" si="299"/>
        <v>25.884374999999999</v>
      </c>
      <c r="O2762" s="36">
        <f t="shared" si="297"/>
        <v>690.25</v>
      </c>
      <c r="P2762" s="38">
        <f ca="1">IF(ISERROR(IF(O2762&lt;fi_h/20,0,(OFFSET('Base de dados'!$A$5,IF(O2762&lt;20,1,IF(O2762&gt;1000,10,MATCH(O2762,Cargas,1))),Coluna_fih,1,1))*(1+0.13*0.25)*(PI()*(fi_h/1000)^2/4)*SQRT(2*9.81*(O2762/100-fi_h/2/1000))*1000)),"",IF(O2762&lt;fi_h/20,0,(OFFSET('Base de dados'!$A$5,IF(O2762&lt;20,1,IF(O2762&gt;1000,10,MATCH(O2762,Cargas,1))),Coluna_fih,1,1))*(PI()*(fi_h/1000)^2/4)*SQRT(2*9.81*(O2762/100-fi_h/2/1000))*1000))</f>
        <v>7.0236866559261921</v>
      </c>
      <c r="Q2762" s="38">
        <f ca="1">IF(O2762="","",IF(Tipo_Vertedor="Retangular",IF(O2762&lt;=cota_s*100,0,IF(Tipo_Vertedor="Retangular",Cd_sr*Lef_sr*((O2762/100-cota_s)^(3/2))*1000)),IF(O2762&lt;=cota_s*100+fi_s/20,0,(OFFSET('Base de dados'!$A$4,IF(O2762&lt;20,1,IF(O2762&gt;1000,10,MATCH(O2762,Cargas,1))),Coluna_fis,1,1))*(PI()*(fi_s/1000)^2/4)*(2*9.81*(O2762/100-cota_s-fi_s/2/1000))^0.5*1000)))</f>
        <v>6.3823075021781461</v>
      </c>
      <c r="R2762" s="38">
        <f t="shared" ca="1" si="300"/>
        <v>13.405994158104338</v>
      </c>
      <c r="S2762" s="38">
        <f t="shared" ca="1" si="301"/>
        <v>862.8125</v>
      </c>
    </row>
    <row r="2763" spans="13:19">
      <c r="M2763" s="132">
        <f t="shared" ca="1" si="298"/>
        <v>876.53367243224261</v>
      </c>
      <c r="N2763" s="38">
        <f t="shared" si="299"/>
        <v>25.893750000000001</v>
      </c>
      <c r="O2763" s="36">
        <f t="shared" si="297"/>
        <v>690.5</v>
      </c>
      <c r="P2763" s="38">
        <f ca="1">IF(ISERROR(IF(O2763&lt;fi_h/20,0,(OFFSET('Base de dados'!$A$5,IF(O2763&lt;20,1,IF(O2763&gt;1000,10,MATCH(O2763,Cargas,1))),Coluna_fih,1,1))*(1+0.13*0.25)*(PI()*(fi_h/1000)^2/4)*SQRT(2*9.81*(O2763/100-fi_h/2/1000))*1000)),"",IF(O2763&lt;fi_h/20,0,(OFFSET('Base de dados'!$A$5,IF(O2763&lt;20,1,IF(O2763&gt;1000,10,MATCH(O2763,Cargas,1))),Coluna_fih,1,1))*(PI()*(fi_h/1000)^2/4)*SQRT(2*9.81*(O2763/100-fi_h/2/1000))*1000))</f>
        <v>7.0249617378396607</v>
      </c>
      <c r="Q2763" s="38">
        <f ca="1">IF(O2763="","",IF(Tipo_Vertedor="Retangular",IF(O2763&lt;=cota_s*100,0,IF(Tipo_Vertedor="Retangular",Cd_sr*Lef_sr*((O2763/100-cota_s)^(3/2))*1000)),IF(O2763&lt;=cota_s*100+fi_s/20,0,(OFFSET('Base de dados'!$A$4,IF(O2763&lt;20,1,IF(O2763&gt;1000,10,MATCH(O2763,Cargas,1))),Coluna_fis,1,1))*(PI()*(fi_s/1000)^2/4)*(2*9.81*(O2763/100-cota_s-fi_s/2/1000))^0.5*1000)))</f>
        <v>6.3837106944029838</v>
      </c>
      <c r="R2763" s="38">
        <f t="shared" ca="1" si="300"/>
        <v>13.408672432242644</v>
      </c>
      <c r="S2763" s="38">
        <f t="shared" ca="1" si="301"/>
        <v>863.125</v>
      </c>
    </row>
    <row r="2764" spans="13:19">
      <c r="M2764" s="132">
        <f t="shared" ca="1" si="298"/>
        <v>876.84885016662076</v>
      </c>
      <c r="N2764" s="38">
        <f t="shared" si="299"/>
        <v>25.903124999999999</v>
      </c>
      <c r="O2764" s="36">
        <f t="shared" si="297"/>
        <v>690.75</v>
      </c>
      <c r="P2764" s="38">
        <f ca="1">IF(ISERROR(IF(O2764&lt;fi_h/20,0,(OFFSET('Base de dados'!$A$5,IF(O2764&lt;20,1,IF(O2764&gt;1000,10,MATCH(O2764,Cargas,1))),Coluna_fih,1,1))*(1+0.13*0.25)*(PI()*(fi_h/1000)^2/4)*SQRT(2*9.81*(O2764/100-fi_h/2/1000))*1000)),"",IF(O2764&lt;fi_h/20,0,(OFFSET('Base de dados'!$A$5,IF(O2764&lt;20,1,IF(O2764&gt;1000,10,MATCH(O2764,Cargas,1))),Coluna_fih,1,1))*(PI()*(fi_h/1000)^2/4)*SQRT(2*9.81*(O2764/100-fi_h/2/1000))*1000))</f>
        <v>7.0262365883584366</v>
      </c>
      <c r="Q2764" s="38">
        <f ca="1">IF(O2764="","",IF(Tipo_Vertedor="Retangular",IF(O2764&lt;=cota_s*100,0,IF(Tipo_Vertedor="Retangular",Cd_sr*Lef_sr*((O2764/100-cota_s)^(3/2))*1000)),IF(O2764&lt;=cota_s*100+fi_s/20,0,(OFFSET('Base de dados'!$A$4,IF(O2764&lt;20,1,IF(O2764&gt;1000,10,MATCH(O2764,Cargas,1))),Coluna_fis,1,1))*(PI()*(fi_s/1000)^2/4)*(2*9.81*(O2764/100-cota_s-fi_s/2/1000))^0.5*1000)))</f>
        <v>6.3851135782623798</v>
      </c>
      <c r="R2764" s="38">
        <f t="shared" ca="1" si="300"/>
        <v>13.411350166620817</v>
      </c>
      <c r="S2764" s="38">
        <f t="shared" ca="1" si="301"/>
        <v>863.4375</v>
      </c>
    </row>
    <row r="2765" spans="13:19">
      <c r="M2765" s="132">
        <f t="shared" ca="1" si="298"/>
        <v>877.16402736156795</v>
      </c>
      <c r="N2765" s="38">
        <f t="shared" si="299"/>
        <v>25.912500000000001</v>
      </c>
      <c r="O2765" s="36">
        <f t="shared" si="297"/>
        <v>691</v>
      </c>
      <c r="P2765" s="38">
        <f ca="1">IF(ISERROR(IF(O2765&lt;fi_h/20,0,(OFFSET('Base de dados'!$A$5,IF(O2765&lt;20,1,IF(O2765&gt;1000,10,MATCH(O2765,Cargas,1))),Coluna_fih,1,1))*(1+0.13*0.25)*(PI()*(fi_h/1000)^2/4)*SQRT(2*9.81*(O2765/100-fi_h/2/1000))*1000)),"",IF(O2765&lt;fi_h/20,0,(OFFSET('Base de dados'!$A$5,IF(O2765&lt;20,1,IF(O2765&gt;1000,10,MATCH(O2765,Cargas,1))),Coluna_fih,1,1))*(PI()*(fi_h/1000)^2/4)*SQRT(2*9.81*(O2765/100-fi_h/2/1000))*1000))</f>
        <v>7.0275112076084501</v>
      </c>
      <c r="Q2765" s="38">
        <f ca="1">IF(O2765="","",IF(Tipo_Vertedor="Retangular",IF(O2765&lt;=cota_s*100,0,IF(Tipo_Vertedor="Retangular",Cd_sr*Lef_sr*((O2765/100-cota_s)^(3/2))*1000)),IF(O2765&lt;=cota_s*100+fi_s/20,0,(OFFSET('Base de dados'!$A$4,IF(O2765&lt;20,1,IF(O2765&gt;1000,10,MATCH(O2765,Cargas,1))),Coluna_fis,1,1))*(PI()*(fi_s/1000)^2/4)*(2*9.81*(O2765/100-cota_s-fi_s/2/1000))^0.5*1000)))</f>
        <v>6.3865161539595414</v>
      </c>
      <c r="R2765" s="38">
        <f t="shared" ca="1" si="300"/>
        <v>13.414027361567992</v>
      </c>
      <c r="S2765" s="38">
        <f t="shared" ca="1" si="301"/>
        <v>863.75</v>
      </c>
    </row>
    <row r="2766" spans="13:19">
      <c r="M2766" s="132">
        <f t="shared" ca="1" si="298"/>
        <v>877.47920401741294</v>
      </c>
      <c r="N2766" s="38">
        <f t="shared" si="299"/>
        <v>25.921875</v>
      </c>
      <c r="O2766" s="36">
        <f t="shared" si="297"/>
        <v>691.25</v>
      </c>
      <c r="P2766" s="38">
        <f ca="1">IF(ISERROR(IF(O2766&lt;fi_h/20,0,(OFFSET('Base de dados'!$A$5,IF(O2766&lt;20,1,IF(O2766&gt;1000,10,MATCH(O2766,Cargas,1))),Coluna_fih,1,1))*(1+0.13*0.25)*(PI()*(fi_h/1000)^2/4)*SQRT(2*9.81*(O2766/100-fi_h/2/1000))*1000)),"",IF(O2766&lt;fi_h/20,0,(OFFSET('Base de dados'!$A$5,IF(O2766&lt;20,1,IF(O2766&gt;1000,10,MATCH(O2766,Cargas,1))),Coluna_fih,1,1))*(PI()*(fi_h/1000)^2/4)*SQRT(2*9.81*(O2766/100-fi_h/2/1000))*1000))</f>
        <v>7.0287855957155179</v>
      </c>
      <c r="Q2766" s="38">
        <f ca="1">IF(O2766="","",IF(Tipo_Vertedor="Retangular",IF(O2766&lt;=cota_s*100,0,IF(Tipo_Vertedor="Retangular",Cd_sr*Lef_sr*((O2766/100-cota_s)^(3/2))*1000)),IF(O2766&lt;=cota_s*100+fi_s/20,0,(OFFSET('Base de dados'!$A$4,IF(O2766&lt;20,1,IF(O2766&gt;1000,10,MATCH(O2766,Cargas,1))),Coluna_fis,1,1))*(PI()*(fi_s/1000)^2/4)*(2*9.81*(O2766/100-cota_s-fi_s/2/1000))^0.5*1000)))</f>
        <v>6.3879184216974583</v>
      </c>
      <c r="R2766" s="38">
        <f t="shared" ca="1" si="300"/>
        <v>13.416704017412975</v>
      </c>
      <c r="S2766" s="38">
        <f t="shared" ca="1" si="301"/>
        <v>864.0625</v>
      </c>
    </row>
    <row r="2767" spans="13:19">
      <c r="M2767" s="132">
        <f t="shared" ca="1" si="298"/>
        <v>877.79438013448419</v>
      </c>
      <c r="N2767" s="38">
        <f t="shared" si="299"/>
        <v>25.931249999999999</v>
      </c>
      <c r="O2767" s="36">
        <f t="shared" si="297"/>
        <v>691.5</v>
      </c>
      <c r="P2767" s="38">
        <f ca="1">IF(ISERROR(IF(O2767&lt;fi_h/20,0,(OFFSET('Base de dados'!$A$5,IF(O2767&lt;20,1,IF(O2767&gt;1000,10,MATCH(O2767,Cargas,1))),Coluna_fih,1,1))*(1+0.13*0.25)*(PI()*(fi_h/1000)^2/4)*SQRT(2*9.81*(O2767/100-fi_h/2/1000))*1000)),"",IF(O2767&lt;fi_h/20,0,(OFFSET('Base de dados'!$A$5,IF(O2767&lt;20,1,IF(O2767&gt;1000,10,MATCH(O2767,Cargas,1))),Coluna_fih,1,1))*(PI()*(fi_h/1000)^2/4)*SQRT(2*9.81*(O2767/100-fi_h/2/1000))*1000))</f>
        <v>7.030059752805343</v>
      </c>
      <c r="Q2767" s="38">
        <f ca="1">IF(O2767="","",IF(Tipo_Vertedor="Retangular",IF(O2767&lt;=cota_s*100,0,IF(Tipo_Vertedor="Retangular",Cd_sr*Lef_sr*((O2767/100-cota_s)^(3/2))*1000)),IF(O2767&lt;=cota_s*100+fi_s/20,0,(OFFSET('Base de dados'!$A$4,IF(O2767&lt;20,1,IF(O2767&gt;1000,10,MATCH(O2767,Cargas,1))),Coluna_fis,1,1))*(PI()*(fi_s/1000)^2/4)*(2*9.81*(O2767/100-cota_s-fi_s/2/1000))^0.5*1000)))</f>
        <v>6.3893203816788935</v>
      </c>
      <c r="R2767" s="38">
        <f t="shared" ca="1" si="300"/>
        <v>13.419380134484236</v>
      </c>
      <c r="S2767" s="38">
        <f t="shared" ca="1" si="301"/>
        <v>864.375</v>
      </c>
    </row>
    <row r="2768" spans="13:19">
      <c r="M2768" s="132">
        <f t="shared" ca="1" si="298"/>
        <v>878.1095557131099</v>
      </c>
      <c r="N2768" s="38">
        <f t="shared" si="299"/>
        <v>25.940625000000001</v>
      </c>
      <c r="O2768" s="36">
        <f t="shared" si="297"/>
        <v>691.75</v>
      </c>
      <c r="P2768" s="38">
        <f ca="1">IF(ISERROR(IF(O2768&lt;fi_h/20,0,(OFFSET('Base de dados'!$A$5,IF(O2768&lt;20,1,IF(O2768&gt;1000,10,MATCH(O2768,Cargas,1))),Coluna_fih,1,1))*(1+0.13*0.25)*(PI()*(fi_h/1000)^2/4)*SQRT(2*9.81*(O2768/100-fi_h/2/1000))*1000)),"",IF(O2768&lt;fi_h/20,0,(OFFSET('Base de dados'!$A$5,IF(O2768&lt;20,1,IF(O2768&gt;1000,10,MATCH(O2768,Cargas,1))),Coluna_fih,1,1))*(PI()*(fi_h/1000)^2/4)*SQRT(2*9.81*(O2768/100-fi_h/2/1000))*1000))</f>
        <v>7.0313336790035148</v>
      </c>
      <c r="Q2768" s="38">
        <f ca="1">IF(O2768="","",IF(Tipo_Vertedor="Retangular",IF(O2768&lt;=cota_s*100,0,IF(Tipo_Vertedor="Retangular",Cd_sr*Lef_sr*((O2768/100-cota_s)^(3/2))*1000)),IF(O2768&lt;=cota_s*100+fi_s/20,0,(OFFSET('Base de dados'!$A$4,IF(O2768&lt;20,1,IF(O2768&gt;1000,10,MATCH(O2768,Cargas,1))),Coluna_fis,1,1))*(PI()*(fi_s/1000)^2/4)*(2*9.81*(O2768/100-cota_s-fi_s/2/1000))^0.5*1000)))</f>
        <v>6.3907220341063891</v>
      </c>
      <c r="R2768" s="38">
        <f t="shared" ca="1" si="300"/>
        <v>13.422055713109904</v>
      </c>
      <c r="S2768" s="38">
        <f t="shared" ca="1" si="301"/>
        <v>864.6875</v>
      </c>
    </row>
    <row r="2769" spans="13:19">
      <c r="M2769" s="132">
        <f t="shared" ca="1" si="298"/>
        <v>878.42473075361772</v>
      </c>
      <c r="N2769" s="38">
        <f t="shared" si="299"/>
        <v>25.95</v>
      </c>
      <c r="O2769" s="36">
        <f t="shared" si="297"/>
        <v>692</v>
      </c>
      <c r="P2769" s="38">
        <f ca="1">IF(ISERROR(IF(O2769&lt;fi_h/20,0,(OFFSET('Base de dados'!$A$5,IF(O2769&lt;20,1,IF(O2769&gt;1000,10,MATCH(O2769,Cargas,1))),Coluna_fih,1,1))*(1+0.13*0.25)*(PI()*(fi_h/1000)^2/4)*SQRT(2*9.81*(O2769/100-fi_h/2/1000))*1000)),"",IF(O2769&lt;fi_h/20,0,(OFFSET('Base de dados'!$A$5,IF(O2769&lt;20,1,IF(O2769&gt;1000,10,MATCH(O2769,Cargas,1))),Coluna_fih,1,1))*(PI()*(fi_h/1000)^2/4)*SQRT(2*9.81*(O2769/100-fi_h/2/1000))*1000))</f>
        <v>7.0326073744355071</v>
      </c>
      <c r="Q2769" s="38">
        <f ca="1">IF(O2769="","",IF(Tipo_Vertedor="Retangular",IF(O2769&lt;=cota_s*100,0,IF(Tipo_Vertedor="Retangular",Cd_sr*Lef_sr*((O2769/100-cota_s)^(3/2))*1000)),IF(O2769&lt;=cota_s*100+fi_s/20,0,(OFFSET('Base de dados'!$A$4,IF(O2769&lt;20,1,IF(O2769&gt;1000,10,MATCH(O2769,Cargas,1))),Coluna_fis,1,1))*(PI()*(fi_s/1000)^2/4)*(2*9.81*(O2769/100-cota_s-fi_s/2/1000))^0.5*1000)))</f>
        <v>6.3921233791822631</v>
      </c>
      <c r="R2769" s="38">
        <f t="shared" ca="1" si="300"/>
        <v>13.424730753617769</v>
      </c>
      <c r="S2769" s="38">
        <f t="shared" ca="1" si="301"/>
        <v>865</v>
      </c>
    </row>
    <row r="2770" spans="13:19">
      <c r="M2770" s="132">
        <f t="shared" ca="1" si="298"/>
        <v>878.73990525633531</v>
      </c>
      <c r="N2770" s="38">
        <f t="shared" si="299"/>
        <v>25.959375000000001</v>
      </c>
      <c r="O2770" s="36">
        <f t="shared" si="297"/>
        <v>692.25</v>
      </c>
      <c r="P2770" s="38">
        <f ca="1">IF(ISERROR(IF(O2770&lt;fi_h/20,0,(OFFSET('Base de dados'!$A$5,IF(O2770&lt;20,1,IF(O2770&gt;1000,10,MATCH(O2770,Cargas,1))),Coluna_fih,1,1))*(1+0.13*0.25)*(PI()*(fi_h/1000)^2/4)*SQRT(2*9.81*(O2770/100-fi_h/2/1000))*1000)),"",IF(O2770&lt;fi_h/20,0,(OFFSET('Base de dados'!$A$5,IF(O2770&lt;20,1,IF(O2770&gt;1000,10,MATCH(O2770,Cargas,1))),Coluna_fih,1,1))*(PI()*(fi_h/1000)^2/4)*SQRT(2*9.81*(O2770/100-fi_h/2/1000))*1000))</f>
        <v>7.0338808392266809</v>
      </c>
      <c r="Q2770" s="38">
        <f ca="1">IF(O2770="","",IF(Tipo_Vertedor="Retangular",IF(O2770&lt;=cota_s*100,0,IF(Tipo_Vertedor="Retangular",Cd_sr*Lef_sr*((O2770/100-cota_s)^(3/2))*1000)),IF(O2770&lt;=cota_s*100+fi_s/20,0,(OFFSET('Base de dados'!$A$4,IF(O2770&lt;20,1,IF(O2770&gt;1000,10,MATCH(O2770,Cargas,1))),Coluna_fis,1,1))*(PI()*(fi_s/1000)^2/4)*(2*9.81*(O2770/100-cota_s-fi_s/2/1000))^0.5*1000)))</f>
        <v>6.3935244171086154</v>
      </c>
      <c r="R2770" s="38">
        <f t="shared" ca="1" si="300"/>
        <v>13.427405256335296</v>
      </c>
      <c r="S2770" s="38">
        <f t="shared" ca="1" si="301"/>
        <v>865.3125</v>
      </c>
    </row>
    <row r="2771" spans="13:19">
      <c r="M2771" s="132">
        <f t="shared" ca="1" si="298"/>
        <v>879.05507922158961</v>
      </c>
      <c r="N2771" s="38">
        <f t="shared" si="299"/>
        <v>25.96875</v>
      </c>
      <c r="O2771" s="36">
        <f t="shared" ref="O2771:O2834" si="302">IF(ISERROR(IF(O2770+passo_altura&gt;h_max_puls*100,"",O2770+passo_altura)),"",IF(O2770+passo_altura&gt;h_max_puls*100,"",O2770+passo_altura))</f>
        <v>692.5</v>
      </c>
      <c r="P2771" s="38">
        <f ca="1">IF(ISERROR(IF(O2771&lt;fi_h/20,0,(OFFSET('Base de dados'!$A$5,IF(O2771&lt;20,1,IF(O2771&gt;1000,10,MATCH(O2771,Cargas,1))),Coluna_fih,1,1))*(1+0.13*0.25)*(PI()*(fi_h/1000)^2/4)*SQRT(2*9.81*(O2771/100-fi_h/2/1000))*1000)),"",IF(O2771&lt;fi_h/20,0,(OFFSET('Base de dados'!$A$5,IF(O2771&lt;20,1,IF(O2771&gt;1000,10,MATCH(O2771,Cargas,1))),Coluna_fih,1,1))*(PI()*(fi_h/1000)^2/4)*SQRT(2*9.81*(O2771/100-fi_h/2/1000))*1000))</f>
        <v>7.0351540735022864</v>
      </c>
      <c r="Q2771" s="38">
        <f ca="1">IF(O2771="","",IF(Tipo_Vertedor="Retangular",IF(O2771&lt;=cota_s*100,0,IF(Tipo_Vertedor="Retangular",Cd_sr*Lef_sr*((O2771/100-cota_s)^(3/2))*1000)),IF(O2771&lt;=cota_s*100+fi_s/20,0,(OFFSET('Base de dados'!$A$4,IF(O2771&lt;20,1,IF(O2771&gt;1000,10,MATCH(O2771,Cargas,1))),Coluna_fis,1,1))*(PI()*(fi_s/1000)^2/4)*(2*9.81*(O2771/100-cota_s-fi_s/2/1000))^0.5*1000)))</f>
        <v>6.394925148087319</v>
      </c>
      <c r="R2771" s="38">
        <f t="shared" ca="1" si="300"/>
        <v>13.430079221589605</v>
      </c>
      <c r="S2771" s="38">
        <f t="shared" ca="1" si="301"/>
        <v>865.625</v>
      </c>
    </row>
    <row r="2772" spans="13:19">
      <c r="M2772" s="132">
        <f t="shared" ca="1" si="298"/>
        <v>879.3702526497076</v>
      </c>
      <c r="N2772" s="38">
        <f t="shared" si="299"/>
        <v>25.978125000000002</v>
      </c>
      <c r="O2772" s="36">
        <f t="shared" si="302"/>
        <v>692.75</v>
      </c>
      <c r="P2772" s="38">
        <f ca="1">IF(ISERROR(IF(O2772&lt;fi_h/20,0,(OFFSET('Base de dados'!$A$5,IF(O2772&lt;20,1,IF(O2772&gt;1000,10,MATCH(O2772,Cargas,1))),Coluna_fih,1,1))*(1+0.13*0.25)*(PI()*(fi_h/1000)^2/4)*SQRT(2*9.81*(O2772/100-fi_h/2/1000))*1000)),"",IF(O2772&lt;fi_h/20,0,(OFFSET('Base de dados'!$A$5,IF(O2772&lt;20,1,IF(O2772&gt;1000,10,MATCH(O2772,Cargas,1))),Coluna_fih,1,1))*(PI()*(fi_h/1000)^2/4)*SQRT(2*9.81*(O2772/100-fi_h/2/1000))*1000))</f>
        <v>7.036427077387458</v>
      </c>
      <c r="Q2772" s="38">
        <f ca="1">IF(O2772="","",IF(Tipo_Vertedor="Retangular",IF(O2772&lt;=cota_s*100,0,IF(Tipo_Vertedor="Retangular",Cd_sr*Lef_sr*((O2772/100-cota_s)^(3/2))*1000)),IF(O2772&lt;=cota_s*100+fi_s/20,0,(OFFSET('Base de dados'!$A$4,IF(O2772&lt;20,1,IF(O2772&gt;1000,10,MATCH(O2772,Cargas,1))),Coluna_fis,1,1))*(PI()*(fi_s/1000)^2/4)*(2*9.81*(O2772/100-cota_s-fi_s/2/1000))^0.5*1000)))</f>
        <v>6.3963255723200341</v>
      </c>
      <c r="R2772" s="38">
        <f t="shared" ca="1" si="300"/>
        <v>13.432752649707492</v>
      </c>
      <c r="S2772" s="38">
        <f t="shared" ca="1" si="301"/>
        <v>865.93750000000011</v>
      </c>
    </row>
    <row r="2773" spans="13:19">
      <c r="M2773" s="132">
        <f t="shared" ca="1" si="298"/>
        <v>879.68542554101532</v>
      </c>
      <c r="N2773" s="38">
        <f t="shared" si="299"/>
        <v>25.987499999999997</v>
      </c>
      <c r="O2773" s="36">
        <f t="shared" si="302"/>
        <v>693</v>
      </c>
      <c r="P2773" s="38">
        <f ca="1">IF(ISERROR(IF(O2773&lt;fi_h/20,0,(OFFSET('Base de dados'!$A$5,IF(O2773&lt;20,1,IF(O2773&gt;1000,10,MATCH(O2773,Cargas,1))),Coluna_fih,1,1))*(1+0.13*0.25)*(PI()*(fi_h/1000)^2/4)*SQRT(2*9.81*(O2773/100-fi_h/2/1000))*1000)),"",IF(O2773&lt;fi_h/20,0,(OFFSET('Base de dados'!$A$5,IF(O2773&lt;20,1,IF(O2773&gt;1000,10,MATCH(O2773,Cargas,1))),Coluna_fih,1,1))*(PI()*(fi_h/1000)^2/4)*SQRT(2*9.81*(O2773/100-fi_h/2/1000))*1000))</f>
        <v>7.0376998510072148</v>
      </c>
      <c r="Q2773" s="38">
        <f ca="1">IF(O2773="","",IF(Tipo_Vertedor="Retangular",IF(O2773&lt;=cota_s*100,0,IF(Tipo_Vertedor="Retangular",Cd_sr*Lef_sr*((O2773/100-cota_s)^(3/2))*1000)),IF(O2773&lt;=cota_s*100+fi_s/20,0,(OFFSET('Base de dados'!$A$4,IF(O2773&lt;20,1,IF(O2773&gt;1000,10,MATCH(O2773,Cargas,1))),Coluna_fis,1,1))*(PI()*(fi_s/1000)^2/4)*(2*9.81*(O2773/100-cota_s-fi_s/2/1000))^0.5*1000)))</f>
        <v>6.3977256900081914</v>
      </c>
      <c r="R2773" s="38">
        <f t="shared" ca="1" si="300"/>
        <v>13.435425541015405</v>
      </c>
      <c r="S2773" s="38">
        <f t="shared" ca="1" si="301"/>
        <v>866.24999999999989</v>
      </c>
    </row>
    <row r="2774" spans="13:19">
      <c r="M2774" s="132">
        <f t="shared" ca="1" si="298"/>
        <v>880.00059789583952</v>
      </c>
      <c r="N2774" s="38">
        <f t="shared" si="299"/>
        <v>25.996874999999999</v>
      </c>
      <c r="O2774" s="36">
        <f t="shared" si="302"/>
        <v>693.25</v>
      </c>
      <c r="P2774" s="38">
        <f ca="1">IF(ISERROR(IF(O2774&lt;fi_h/20,0,(OFFSET('Base de dados'!$A$5,IF(O2774&lt;20,1,IF(O2774&gt;1000,10,MATCH(O2774,Cargas,1))),Coluna_fih,1,1))*(1+0.13*0.25)*(PI()*(fi_h/1000)^2/4)*SQRT(2*9.81*(O2774/100-fi_h/2/1000))*1000)),"",IF(O2774&lt;fi_h/20,0,(OFFSET('Base de dados'!$A$5,IF(O2774&lt;20,1,IF(O2774&gt;1000,10,MATCH(O2774,Cargas,1))),Coluna_fih,1,1))*(PI()*(fi_h/1000)^2/4)*SQRT(2*9.81*(O2774/100-fi_h/2/1000))*1000))</f>
        <v>7.0389723944864668</v>
      </c>
      <c r="Q2774" s="38">
        <f ca="1">IF(O2774="","",IF(Tipo_Vertedor="Retangular",IF(O2774&lt;=cota_s*100,0,IF(Tipo_Vertedor="Retangular",Cd_sr*Lef_sr*((O2774/100-cota_s)^(3/2))*1000)),IF(O2774&lt;=cota_s*100+fi_s/20,0,(OFFSET('Base de dados'!$A$4,IF(O2774&lt;20,1,IF(O2774&gt;1000,10,MATCH(O2774,Cargas,1))),Coluna_fis,1,1))*(PI()*(fi_s/1000)^2/4)*(2*9.81*(O2774/100-cota_s-fi_s/2/1000))^0.5*1000)))</f>
        <v>6.399125501353006</v>
      </c>
      <c r="R2774" s="38">
        <f t="shared" ca="1" si="300"/>
        <v>13.438097895839473</v>
      </c>
      <c r="S2774" s="38">
        <f t="shared" ca="1" si="301"/>
        <v>866.5625</v>
      </c>
    </row>
    <row r="2775" spans="13:19">
      <c r="M2775" s="132">
        <f t="shared" ref="M2775:M2838" ca="1" si="303">IF(O2775="","",2*N2775*1000/(Passo*60)+R2775)</f>
        <v>880.31576971450534</v>
      </c>
      <c r="N2775" s="38">
        <f t="shared" ref="N2775:N2838" si="304">IF(O2775="","",b_0*(O2775/100)^c_0)</f>
        <v>26.006249999999998</v>
      </c>
      <c r="O2775" s="36">
        <f t="shared" si="302"/>
        <v>693.5</v>
      </c>
      <c r="P2775" s="38">
        <f ca="1">IF(ISERROR(IF(O2775&lt;fi_h/20,0,(OFFSET('Base de dados'!$A$5,IF(O2775&lt;20,1,IF(O2775&gt;1000,10,MATCH(O2775,Cargas,1))),Coluna_fih,1,1))*(1+0.13*0.25)*(PI()*(fi_h/1000)^2/4)*SQRT(2*9.81*(O2775/100-fi_h/2/1000))*1000)),"",IF(O2775&lt;fi_h/20,0,(OFFSET('Base de dados'!$A$5,IF(O2775&lt;20,1,IF(O2775&gt;1000,10,MATCH(O2775,Cargas,1))),Coluna_fih,1,1))*(PI()*(fi_h/1000)^2/4)*SQRT(2*9.81*(O2775/100-fi_h/2/1000))*1000))</f>
        <v>7.0402447079500101</v>
      </c>
      <c r="Q2775" s="38">
        <f ca="1">IF(O2775="","",IF(Tipo_Vertedor="Retangular",IF(O2775&lt;=cota_s*100,0,IF(Tipo_Vertedor="Retangular",Cd_sr*Lef_sr*((O2775/100-cota_s)^(3/2))*1000)),IF(O2775&lt;=cota_s*100+fi_s/20,0,(OFFSET('Base de dados'!$A$4,IF(O2775&lt;20,1,IF(O2775&gt;1000,10,MATCH(O2775,Cargas,1))),Coluna_fis,1,1))*(PI()*(fi_s/1000)^2/4)*(2*9.81*(O2775/100-cota_s-fi_s/2/1000))^0.5*1000)))</f>
        <v>6.4005250065554717</v>
      </c>
      <c r="R2775" s="38">
        <f t="shared" ref="R2775:R2838" ca="1" si="305">IF(O2775="","",Q2775+P2775)</f>
        <v>13.440769714505482</v>
      </c>
      <c r="S2775" s="38">
        <f t="shared" ref="S2775:S2838" ca="1" si="306">IF(M2775="","",2*N2775*1000/(Passo*60))</f>
        <v>866.87499999999989</v>
      </c>
    </row>
    <row r="2776" spans="13:19">
      <c r="M2776" s="132">
        <f t="shared" ca="1" si="303"/>
        <v>880.63094099733894</v>
      </c>
      <c r="N2776" s="38">
        <f t="shared" si="304"/>
        <v>26.015625</v>
      </c>
      <c r="O2776" s="36">
        <f t="shared" si="302"/>
        <v>693.75</v>
      </c>
      <c r="P2776" s="38">
        <f ca="1">IF(ISERROR(IF(O2776&lt;fi_h/20,0,(OFFSET('Base de dados'!$A$5,IF(O2776&lt;20,1,IF(O2776&gt;1000,10,MATCH(O2776,Cargas,1))),Coluna_fih,1,1))*(1+0.13*0.25)*(PI()*(fi_h/1000)^2/4)*SQRT(2*9.81*(O2776/100-fi_h/2/1000))*1000)),"",IF(O2776&lt;fi_h/20,0,(OFFSET('Base de dados'!$A$5,IF(O2776&lt;20,1,IF(O2776&gt;1000,10,MATCH(O2776,Cargas,1))),Coluna_fih,1,1))*(PI()*(fi_h/1000)^2/4)*SQRT(2*9.81*(O2776/100-fi_h/2/1000))*1000))</f>
        <v>7.0415167915225263</v>
      </c>
      <c r="Q2776" s="38">
        <f ca="1">IF(O2776="","",IF(Tipo_Vertedor="Retangular",IF(O2776&lt;=cota_s*100,0,IF(Tipo_Vertedor="Retangular",Cd_sr*Lef_sr*((O2776/100-cota_s)^(3/2))*1000)),IF(O2776&lt;=cota_s*100+fi_s/20,0,(OFFSET('Base de dados'!$A$4,IF(O2776&lt;20,1,IF(O2776&gt;1000,10,MATCH(O2776,Cargas,1))),Coluna_fis,1,1))*(PI()*(fi_s/1000)^2/4)*(2*9.81*(O2776/100-cota_s-fi_s/2/1000))^0.5*1000)))</f>
        <v>6.4019242058163659</v>
      </c>
      <c r="R2776" s="38">
        <f t="shared" ca="1" si="305"/>
        <v>13.443440997338893</v>
      </c>
      <c r="S2776" s="38">
        <f t="shared" ca="1" si="306"/>
        <v>867.1875</v>
      </c>
    </row>
    <row r="2777" spans="13:19">
      <c r="M2777" s="132">
        <f t="shared" ca="1" si="303"/>
        <v>880.9461117446649</v>
      </c>
      <c r="N2777" s="38">
        <f t="shared" si="304"/>
        <v>26.025000000000002</v>
      </c>
      <c r="O2777" s="36">
        <f t="shared" si="302"/>
        <v>694</v>
      </c>
      <c r="P2777" s="38">
        <f ca="1">IF(ISERROR(IF(O2777&lt;fi_h/20,0,(OFFSET('Base de dados'!$A$5,IF(O2777&lt;20,1,IF(O2777&gt;1000,10,MATCH(O2777,Cargas,1))),Coluna_fih,1,1))*(1+0.13*0.25)*(PI()*(fi_h/1000)^2/4)*SQRT(2*9.81*(O2777/100-fi_h/2/1000))*1000)),"",IF(O2777&lt;fi_h/20,0,(OFFSET('Base de dados'!$A$5,IF(O2777&lt;20,1,IF(O2777&gt;1000,10,MATCH(O2777,Cargas,1))),Coluna_fih,1,1))*(PI()*(fi_h/1000)^2/4)*SQRT(2*9.81*(O2777/100-fi_h/2/1000))*1000))</f>
        <v>7.0427886453285877</v>
      </c>
      <c r="Q2777" s="38">
        <f ca="1">IF(O2777="","",IF(Tipo_Vertedor="Retangular",IF(O2777&lt;=cota_s*100,0,IF(Tipo_Vertedor="Retangular",Cd_sr*Lef_sr*((O2777/100-cota_s)^(3/2))*1000)),IF(O2777&lt;=cota_s*100+fi_s/20,0,(OFFSET('Base de dados'!$A$4,IF(O2777&lt;20,1,IF(O2777&gt;1000,10,MATCH(O2777,Cargas,1))),Coluna_fis,1,1))*(PI()*(fi_s/1000)^2/4)*(2*9.81*(O2777/100-cota_s-fi_s/2/1000))^0.5*1000)))</f>
        <v>6.4033230993362409</v>
      </c>
      <c r="R2777" s="38">
        <f t="shared" ca="1" si="305"/>
        <v>13.44611174466483</v>
      </c>
      <c r="S2777" s="38">
        <f t="shared" ca="1" si="306"/>
        <v>867.50000000000011</v>
      </c>
    </row>
    <row r="2778" spans="13:19">
      <c r="M2778" s="132">
        <f t="shared" ca="1" si="303"/>
        <v>881.26128195680803</v>
      </c>
      <c r="N2778" s="38">
        <f t="shared" si="304"/>
        <v>26.034375000000001</v>
      </c>
      <c r="O2778" s="36">
        <f t="shared" si="302"/>
        <v>694.25</v>
      </c>
      <c r="P2778" s="38">
        <f ca="1">IF(ISERROR(IF(O2778&lt;fi_h/20,0,(OFFSET('Base de dados'!$A$5,IF(O2778&lt;20,1,IF(O2778&gt;1000,10,MATCH(O2778,Cargas,1))),Coluna_fih,1,1))*(1+0.13*0.25)*(PI()*(fi_h/1000)^2/4)*SQRT(2*9.81*(O2778/100-fi_h/2/1000))*1000)),"",IF(O2778&lt;fi_h/20,0,(OFFSET('Base de dados'!$A$5,IF(O2778&lt;20,1,IF(O2778&gt;1000,10,MATCH(O2778,Cargas,1))),Coluna_fih,1,1))*(PI()*(fi_h/1000)^2/4)*SQRT(2*9.81*(O2778/100-fi_h/2/1000))*1000))</f>
        <v>7.0440602694926504</v>
      </c>
      <c r="Q2778" s="38">
        <f ca="1">IF(O2778="","",IF(Tipo_Vertedor="Retangular",IF(O2778&lt;=cota_s*100,0,IF(Tipo_Vertedor="Retangular",Cd_sr*Lef_sr*((O2778/100-cota_s)^(3/2))*1000)),IF(O2778&lt;=cota_s*100+fi_s/20,0,(OFFSET('Base de dados'!$A$4,IF(O2778&lt;20,1,IF(O2778&gt;1000,10,MATCH(O2778,Cargas,1))),Coluna_fis,1,1))*(PI()*(fi_s/1000)^2/4)*(2*9.81*(O2778/100-cota_s-fi_s/2/1000))^0.5*1000)))</f>
        <v>6.4047216873154342</v>
      </c>
      <c r="R2778" s="38">
        <f t="shared" ca="1" si="305"/>
        <v>13.448781956808084</v>
      </c>
      <c r="S2778" s="38">
        <f t="shared" ca="1" si="306"/>
        <v>867.8125</v>
      </c>
    </row>
    <row r="2779" spans="13:19">
      <c r="M2779" s="132">
        <f t="shared" ca="1" si="303"/>
        <v>881.57645163409325</v>
      </c>
      <c r="N2779" s="38">
        <f t="shared" si="304"/>
        <v>26.043750000000003</v>
      </c>
      <c r="O2779" s="36">
        <f t="shared" si="302"/>
        <v>694.5</v>
      </c>
      <c r="P2779" s="38">
        <f ca="1">IF(ISERROR(IF(O2779&lt;fi_h/20,0,(OFFSET('Base de dados'!$A$5,IF(O2779&lt;20,1,IF(O2779&gt;1000,10,MATCH(O2779,Cargas,1))),Coluna_fih,1,1))*(1+0.13*0.25)*(PI()*(fi_h/1000)^2/4)*SQRT(2*9.81*(O2779/100-fi_h/2/1000))*1000)),"",IF(O2779&lt;fi_h/20,0,(OFFSET('Base de dados'!$A$5,IF(O2779&lt;20,1,IF(O2779&gt;1000,10,MATCH(O2779,Cargas,1))),Coluna_fih,1,1))*(PI()*(fi_h/1000)^2/4)*SQRT(2*9.81*(O2779/100-fi_h/2/1000))*1000))</f>
        <v>7.0453316641390575</v>
      </c>
      <c r="Q2779" s="38">
        <f ca="1">IF(O2779="","",IF(Tipo_Vertedor="Retangular",IF(O2779&lt;=cota_s*100,0,IF(Tipo_Vertedor="Retangular",Cd_sr*Lef_sr*((O2779/100-cota_s)^(3/2))*1000)),IF(O2779&lt;=cota_s*100+fi_s/20,0,(OFFSET('Base de dados'!$A$4,IF(O2779&lt;20,1,IF(O2779&gt;1000,10,MATCH(O2779,Cargas,1))),Coluna_fis,1,1))*(PI()*(fi_s/1000)^2/4)*(2*9.81*(O2779/100-cota_s-fi_s/2/1000))^0.5*1000)))</f>
        <v>6.4061199699540623</v>
      </c>
      <c r="R2779" s="38">
        <f t="shared" ca="1" si="305"/>
        <v>13.45145163409312</v>
      </c>
      <c r="S2779" s="38">
        <f t="shared" ca="1" si="306"/>
        <v>868.12500000000011</v>
      </c>
    </row>
    <row r="2780" spans="13:19">
      <c r="M2780" s="132">
        <f t="shared" ca="1" si="303"/>
        <v>881.89162077684398</v>
      </c>
      <c r="N2780" s="38">
        <f t="shared" si="304"/>
        <v>26.053124999999998</v>
      </c>
      <c r="O2780" s="36">
        <f t="shared" si="302"/>
        <v>694.75</v>
      </c>
      <c r="P2780" s="38">
        <f ca="1">IF(ISERROR(IF(O2780&lt;fi_h/20,0,(OFFSET('Base de dados'!$A$5,IF(O2780&lt;20,1,IF(O2780&gt;1000,10,MATCH(O2780,Cargas,1))),Coluna_fih,1,1))*(1+0.13*0.25)*(PI()*(fi_h/1000)^2/4)*SQRT(2*9.81*(O2780/100-fi_h/2/1000))*1000)),"",IF(O2780&lt;fi_h/20,0,(OFFSET('Base de dados'!$A$5,IF(O2780&lt;20,1,IF(O2780&gt;1000,10,MATCH(O2780,Cargas,1))),Coluna_fih,1,1))*(PI()*(fi_h/1000)^2/4)*SQRT(2*9.81*(O2780/100-fi_h/2/1000))*1000))</f>
        <v>7.0466028293920475</v>
      </c>
      <c r="Q2780" s="38">
        <f ca="1">IF(O2780="","",IF(Tipo_Vertedor="Retangular",IF(O2780&lt;=cota_s*100,0,IF(Tipo_Vertedor="Retangular",Cd_sr*Lef_sr*((O2780/100-cota_s)^(3/2))*1000)),IF(O2780&lt;=cota_s*100+fi_s/20,0,(OFFSET('Base de dados'!$A$4,IF(O2780&lt;20,1,IF(O2780&gt;1000,10,MATCH(O2780,Cargas,1))),Coluna_fis,1,1))*(PI()*(fi_s/1000)^2/4)*(2*9.81*(O2780/100-cota_s-fi_s/2/1000))^0.5*1000)))</f>
        <v>6.4075179474520247</v>
      </c>
      <c r="R2780" s="38">
        <f t="shared" ca="1" si="305"/>
        <v>13.454120776844071</v>
      </c>
      <c r="S2780" s="38">
        <f t="shared" ca="1" si="306"/>
        <v>868.43749999999989</v>
      </c>
    </row>
    <row r="2781" spans="13:19">
      <c r="M2781" s="132">
        <f t="shared" ca="1" si="303"/>
        <v>882.2067893853847</v>
      </c>
      <c r="N2781" s="38">
        <f t="shared" si="304"/>
        <v>26.0625</v>
      </c>
      <c r="O2781" s="36">
        <f t="shared" si="302"/>
        <v>695</v>
      </c>
      <c r="P2781" s="38">
        <f ca="1">IF(ISERROR(IF(O2781&lt;fi_h/20,0,(OFFSET('Base de dados'!$A$5,IF(O2781&lt;20,1,IF(O2781&gt;1000,10,MATCH(O2781,Cargas,1))),Coluna_fih,1,1))*(1+0.13*0.25)*(PI()*(fi_h/1000)^2/4)*SQRT(2*9.81*(O2781/100-fi_h/2/1000))*1000)),"",IF(O2781&lt;fi_h/20,0,(OFFSET('Base de dados'!$A$5,IF(O2781&lt;20,1,IF(O2781&gt;1000,10,MATCH(O2781,Cargas,1))),Coluna_fih,1,1))*(PI()*(fi_h/1000)^2/4)*SQRT(2*9.81*(O2781/100-fi_h/2/1000))*1000))</f>
        <v>7.0478737653757371</v>
      </c>
      <c r="Q2781" s="38">
        <f ca="1">IF(O2781="","",IF(Tipo_Vertedor="Retangular",IF(O2781&lt;=cota_s*100,0,IF(Tipo_Vertedor="Retangular",Cd_sr*Lef_sr*((O2781/100-cota_s)^(3/2))*1000)),IF(O2781&lt;=cota_s*100+fi_s/20,0,(OFFSET('Base de dados'!$A$4,IF(O2781&lt;20,1,IF(O2781&gt;1000,10,MATCH(O2781,Cargas,1))),Coluna_fis,1,1))*(PI()*(fi_s/1000)^2/4)*(2*9.81*(O2781/100-cota_s-fi_s/2/1000))^0.5*1000)))</f>
        <v>6.4089156200090036</v>
      </c>
      <c r="R2781" s="38">
        <f t="shared" ca="1" si="305"/>
        <v>13.456789385384742</v>
      </c>
      <c r="S2781" s="38">
        <f t="shared" ca="1" si="306"/>
        <v>868.75</v>
      </c>
    </row>
    <row r="2782" spans="13:19">
      <c r="M2782" s="132">
        <f t="shared" ca="1" si="303"/>
        <v>882.52195746003861</v>
      </c>
      <c r="N2782" s="38">
        <f t="shared" si="304"/>
        <v>26.071874999999999</v>
      </c>
      <c r="O2782" s="36">
        <f t="shared" si="302"/>
        <v>695.25</v>
      </c>
      <c r="P2782" s="38">
        <f ca="1">IF(ISERROR(IF(O2782&lt;fi_h/20,0,(OFFSET('Base de dados'!$A$5,IF(O2782&lt;20,1,IF(O2782&gt;1000,10,MATCH(O2782,Cargas,1))),Coluna_fih,1,1))*(1+0.13*0.25)*(PI()*(fi_h/1000)^2/4)*SQRT(2*9.81*(O2782/100-fi_h/2/1000))*1000)),"",IF(O2782&lt;fi_h/20,0,(OFFSET('Base de dados'!$A$5,IF(O2782&lt;20,1,IF(O2782&gt;1000,10,MATCH(O2782,Cargas,1))),Coluna_fih,1,1))*(PI()*(fi_h/1000)^2/4)*SQRT(2*9.81*(O2782/100-fi_h/2/1000))*1000))</f>
        <v>7.049144472214139</v>
      </c>
      <c r="Q2782" s="38">
        <f ca="1">IF(O2782="","",IF(Tipo_Vertedor="Retangular",IF(O2782&lt;=cota_s*100,0,IF(Tipo_Vertedor="Retangular",Cd_sr*Lef_sr*((O2782/100-cota_s)^(3/2))*1000)),IF(O2782&lt;=cota_s*100+fi_s/20,0,(OFFSET('Base de dados'!$A$4,IF(O2782&lt;20,1,IF(O2782&gt;1000,10,MATCH(O2782,Cargas,1))),Coluna_fis,1,1))*(PI()*(fi_s/1000)^2/4)*(2*9.81*(O2782/100-cota_s-fi_s/2/1000))^0.5*1000)))</f>
        <v>6.4103129878244607</v>
      </c>
      <c r="R2782" s="38">
        <f t="shared" ca="1" si="305"/>
        <v>13.4594574600386</v>
      </c>
      <c r="S2782" s="38">
        <f t="shared" ca="1" si="306"/>
        <v>869.0625</v>
      </c>
    </row>
    <row r="2783" spans="13:19">
      <c r="M2783" s="132">
        <f t="shared" ca="1" si="303"/>
        <v>882.83712500112881</v>
      </c>
      <c r="N2783" s="38">
        <f t="shared" si="304"/>
        <v>26.081250000000001</v>
      </c>
      <c r="O2783" s="36">
        <f t="shared" si="302"/>
        <v>695.5</v>
      </c>
      <c r="P2783" s="38">
        <f ca="1">IF(ISERROR(IF(O2783&lt;fi_h/20,0,(OFFSET('Base de dados'!$A$5,IF(O2783&lt;20,1,IF(O2783&gt;1000,10,MATCH(O2783,Cargas,1))),Coluna_fih,1,1))*(1+0.13*0.25)*(PI()*(fi_h/1000)^2/4)*SQRT(2*9.81*(O2783/100-fi_h/2/1000))*1000)),"",IF(O2783&lt;fi_h/20,0,(OFFSET('Base de dados'!$A$5,IF(O2783&lt;20,1,IF(O2783&gt;1000,10,MATCH(O2783,Cargas,1))),Coluna_fih,1,1))*(PI()*(fi_h/1000)^2/4)*SQRT(2*9.81*(O2783/100-fi_h/2/1000))*1000))</f>
        <v>7.0504149500311497</v>
      </c>
      <c r="Q2783" s="38">
        <f ca="1">IF(O2783="","",IF(Tipo_Vertedor="Retangular",IF(O2783&lt;=cota_s*100,0,IF(Tipo_Vertedor="Retangular",Cd_sr*Lef_sr*((O2783/100-cota_s)^(3/2))*1000)),IF(O2783&lt;=cota_s*100+fi_s/20,0,(OFFSET('Base de dados'!$A$4,IF(O2783&lt;20,1,IF(O2783&gt;1000,10,MATCH(O2783,Cargas,1))),Coluna_fis,1,1))*(PI()*(fi_s/1000)^2/4)*(2*9.81*(O2783/100-cota_s-fi_s/2/1000))^0.5*1000)))</f>
        <v>6.4117100510976428</v>
      </c>
      <c r="R2783" s="38">
        <f t="shared" ca="1" si="305"/>
        <v>13.462125001128793</v>
      </c>
      <c r="S2783" s="38">
        <f t="shared" ca="1" si="306"/>
        <v>869.375</v>
      </c>
    </row>
    <row r="2784" spans="13:19">
      <c r="M2784" s="132">
        <f t="shared" ca="1" si="303"/>
        <v>883.15229200897818</v>
      </c>
      <c r="N2784" s="38">
        <f t="shared" si="304"/>
        <v>26.090624999999999</v>
      </c>
      <c r="O2784" s="36">
        <f t="shared" si="302"/>
        <v>695.75</v>
      </c>
      <c r="P2784" s="38">
        <f ca="1">IF(ISERROR(IF(O2784&lt;fi_h/20,0,(OFFSET('Base de dados'!$A$5,IF(O2784&lt;20,1,IF(O2784&gt;1000,10,MATCH(O2784,Cargas,1))),Coluna_fih,1,1))*(1+0.13*0.25)*(PI()*(fi_h/1000)^2/4)*SQRT(2*9.81*(O2784/100-fi_h/2/1000))*1000)),"",IF(O2784&lt;fi_h/20,0,(OFFSET('Base de dados'!$A$5,IF(O2784&lt;20,1,IF(O2784&gt;1000,10,MATCH(O2784,Cargas,1))),Coluna_fih,1,1))*(PI()*(fi_h/1000)^2/4)*SQRT(2*9.81*(O2784/100-fi_h/2/1000))*1000))</f>
        <v>7.0516851989505538</v>
      </c>
      <c r="Q2784" s="38">
        <f ca="1">IF(O2784="","",IF(Tipo_Vertedor="Retangular",IF(O2784&lt;=cota_s*100,0,IF(Tipo_Vertedor="Retangular",Cd_sr*Lef_sr*((O2784/100-cota_s)^(3/2))*1000)),IF(O2784&lt;=cota_s*100+fi_s/20,0,(OFFSET('Base de dados'!$A$4,IF(O2784&lt;20,1,IF(O2784&gt;1000,10,MATCH(O2784,Cargas,1))),Coluna_fis,1,1))*(PI()*(fi_s/1000)^2/4)*(2*9.81*(O2784/100-cota_s-fi_s/2/1000))^0.5*1000)))</f>
        <v>6.4131068100275792</v>
      </c>
      <c r="R2784" s="38">
        <f t="shared" ca="1" si="305"/>
        <v>13.464792008978133</v>
      </c>
      <c r="S2784" s="38">
        <f t="shared" ca="1" si="306"/>
        <v>869.6875</v>
      </c>
    </row>
    <row r="2785" spans="13:19">
      <c r="M2785" s="132">
        <f t="shared" ca="1" si="303"/>
        <v>883.46745848390913</v>
      </c>
      <c r="N2785" s="38">
        <f t="shared" si="304"/>
        <v>26.1</v>
      </c>
      <c r="O2785" s="36">
        <f t="shared" si="302"/>
        <v>696</v>
      </c>
      <c r="P2785" s="38">
        <f ca="1">IF(ISERROR(IF(O2785&lt;fi_h/20,0,(OFFSET('Base de dados'!$A$5,IF(O2785&lt;20,1,IF(O2785&gt;1000,10,MATCH(O2785,Cargas,1))),Coluna_fih,1,1))*(1+0.13*0.25)*(PI()*(fi_h/1000)^2/4)*SQRT(2*9.81*(O2785/100-fi_h/2/1000))*1000)),"",IF(O2785&lt;fi_h/20,0,(OFFSET('Base de dados'!$A$5,IF(O2785&lt;20,1,IF(O2785&gt;1000,10,MATCH(O2785,Cargas,1))),Coluna_fih,1,1))*(PI()*(fi_h/1000)^2/4)*SQRT(2*9.81*(O2785/100-fi_h/2/1000))*1000))</f>
        <v>7.0529552190960265</v>
      </c>
      <c r="Q2785" s="38">
        <f ca="1">IF(O2785="","",IF(Tipo_Vertedor="Retangular",IF(O2785&lt;=cota_s*100,0,IF(Tipo_Vertedor="Retangular",Cd_sr*Lef_sr*((O2785/100-cota_s)^(3/2))*1000)),IF(O2785&lt;=cota_s*100+fi_s/20,0,(OFFSET('Base de dados'!$A$4,IF(O2785&lt;20,1,IF(O2785&gt;1000,10,MATCH(O2785,Cargas,1))),Coluna_fis,1,1))*(PI()*(fi_s/1000)^2/4)*(2*9.81*(O2785/100-cota_s-fi_s/2/1000))^0.5*1000)))</f>
        <v>6.4145032648130824</v>
      </c>
      <c r="R2785" s="38">
        <f t="shared" ca="1" si="305"/>
        <v>13.467458483909109</v>
      </c>
      <c r="S2785" s="38">
        <f t="shared" ca="1" si="306"/>
        <v>870</v>
      </c>
    </row>
    <row r="2786" spans="13:19">
      <c r="M2786" s="132">
        <f t="shared" ca="1" si="303"/>
        <v>883.78262442624384</v>
      </c>
      <c r="N2786" s="38">
        <f t="shared" si="304"/>
        <v>26.109375</v>
      </c>
      <c r="O2786" s="36">
        <f t="shared" si="302"/>
        <v>696.25</v>
      </c>
      <c r="P2786" s="38">
        <f ca="1">IF(ISERROR(IF(O2786&lt;fi_h/20,0,(OFFSET('Base de dados'!$A$5,IF(O2786&lt;20,1,IF(O2786&gt;1000,10,MATCH(O2786,Cargas,1))),Coluna_fih,1,1))*(1+0.13*0.25)*(PI()*(fi_h/1000)^2/4)*SQRT(2*9.81*(O2786/100-fi_h/2/1000))*1000)),"",IF(O2786&lt;fi_h/20,0,(OFFSET('Base de dados'!$A$5,IF(O2786&lt;20,1,IF(O2786&gt;1000,10,MATCH(O2786,Cargas,1))),Coluna_fih,1,1))*(PI()*(fi_h/1000)^2/4)*SQRT(2*9.81*(O2786/100-fi_h/2/1000))*1000))</f>
        <v>7.0542250105911322</v>
      </c>
      <c r="Q2786" s="38">
        <f ca="1">IF(O2786="","",IF(Tipo_Vertedor="Retangular",IF(O2786&lt;=cota_s*100,0,IF(Tipo_Vertedor="Retangular",Cd_sr*Lef_sr*((O2786/100-cota_s)^(3/2))*1000)),IF(O2786&lt;=cota_s*100+fi_s/20,0,(OFFSET('Base de dados'!$A$4,IF(O2786&lt;20,1,IF(O2786&gt;1000,10,MATCH(O2786,Cargas,1))),Coluna_fis,1,1))*(PI()*(fi_s/1000)^2/4)*(2*9.81*(O2786/100-cota_s-fi_s/2/1000))^0.5*1000)))</f>
        <v>6.4158994156527474</v>
      </c>
      <c r="R2786" s="38">
        <f t="shared" ca="1" si="305"/>
        <v>13.47012442624388</v>
      </c>
      <c r="S2786" s="38">
        <f t="shared" ca="1" si="306"/>
        <v>870.3125</v>
      </c>
    </row>
    <row r="2787" spans="13:19">
      <c r="M2787" s="132">
        <f t="shared" ca="1" si="303"/>
        <v>884.09778983630429</v>
      </c>
      <c r="N2787" s="38">
        <f t="shared" si="304"/>
        <v>26.118749999999999</v>
      </c>
      <c r="O2787" s="36">
        <f t="shared" si="302"/>
        <v>696.5</v>
      </c>
      <c r="P2787" s="38">
        <f ca="1">IF(ISERROR(IF(O2787&lt;fi_h/20,0,(OFFSET('Base de dados'!$A$5,IF(O2787&lt;20,1,IF(O2787&gt;1000,10,MATCH(O2787,Cargas,1))),Coluna_fih,1,1))*(1+0.13*0.25)*(PI()*(fi_h/1000)^2/4)*SQRT(2*9.81*(O2787/100-fi_h/2/1000))*1000)),"",IF(O2787&lt;fi_h/20,0,(OFFSET('Base de dados'!$A$5,IF(O2787&lt;20,1,IF(O2787&gt;1000,10,MATCH(O2787,Cargas,1))),Coluna_fih,1,1))*(PI()*(fi_h/1000)^2/4)*SQRT(2*9.81*(O2787/100-fi_h/2/1000))*1000))</f>
        <v>7.0554945735593213</v>
      </c>
      <c r="Q2787" s="38">
        <f ca="1">IF(O2787="","",IF(Tipo_Vertedor="Retangular",IF(O2787&lt;=cota_s*100,0,IF(Tipo_Vertedor="Retangular",Cd_sr*Lef_sr*((O2787/100-cota_s)^(3/2))*1000)),IF(O2787&lt;=cota_s*100+fi_s/20,0,(OFFSET('Base de dados'!$A$4,IF(O2787&lt;20,1,IF(O2787&gt;1000,10,MATCH(O2787,Cargas,1))),Coluna_fis,1,1))*(PI()*(fi_s/1000)^2/4)*(2*9.81*(O2787/100-cota_s-fi_s/2/1000))^0.5*1000)))</f>
        <v>6.417295262744954</v>
      </c>
      <c r="R2787" s="38">
        <f t="shared" ca="1" si="305"/>
        <v>13.472789836304276</v>
      </c>
      <c r="S2787" s="38">
        <f t="shared" ca="1" si="306"/>
        <v>870.625</v>
      </c>
    </row>
    <row r="2788" spans="13:19">
      <c r="M2788" s="132">
        <f t="shared" ca="1" si="303"/>
        <v>884.41295471441185</v>
      </c>
      <c r="N2788" s="38">
        <f t="shared" si="304"/>
        <v>26.128125000000001</v>
      </c>
      <c r="O2788" s="36">
        <f t="shared" si="302"/>
        <v>696.75</v>
      </c>
      <c r="P2788" s="38">
        <f ca="1">IF(ISERROR(IF(O2788&lt;fi_h/20,0,(OFFSET('Base de dados'!$A$5,IF(O2788&lt;20,1,IF(O2788&gt;1000,10,MATCH(O2788,Cargas,1))),Coluna_fih,1,1))*(1+0.13*0.25)*(PI()*(fi_h/1000)^2/4)*SQRT(2*9.81*(O2788/100-fi_h/2/1000))*1000)),"",IF(O2788&lt;fi_h/20,0,(OFFSET('Base de dados'!$A$5,IF(O2788&lt;20,1,IF(O2788&gt;1000,10,MATCH(O2788,Cargas,1))),Coluna_fih,1,1))*(PI()*(fi_h/1000)^2/4)*SQRT(2*9.81*(O2788/100-fi_h/2/1000))*1000))</f>
        <v>7.0567639081239362</v>
      </c>
      <c r="Q2788" s="38">
        <f ca="1">IF(O2788="","",IF(Tipo_Vertedor="Retangular",IF(O2788&lt;=cota_s*100,0,IF(Tipo_Vertedor="Retangular",Cd_sr*Lef_sr*((O2788/100-cota_s)^(3/2))*1000)),IF(O2788&lt;=cota_s*100+fi_s/20,0,(OFFSET('Base de dados'!$A$4,IF(O2788&lt;20,1,IF(O2788&gt;1000,10,MATCH(O2788,Cargas,1))),Coluna_fis,1,1))*(PI()*(fi_s/1000)^2/4)*(2*9.81*(O2788/100-cota_s-fi_s/2/1000))^0.5*1000)))</f>
        <v>6.4186908062878683</v>
      </c>
      <c r="R2788" s="38">
        <f t="shared" ca="1" si="305"/>
        <v>13.475454714411804</v>
      </c>
      <c r="S2788" s="38">
        <f t="shared" ca="1" si="306"/>
        <v>870.9375</v>
      </c>
    </row>
    <row r="2789" spans="13:19">
      <c r="M2789" s="132">
        <f t="shared" ca="1" si="303"/>
        <v>884.72811906088759</v>
      </c>
      <c r="N2789" s="38">
        <f t="shared" si="304"/>
        <v>26.137499999999999</v>
      </c>
      <c r="O2789" s="36">
        <f t="shared" si="302"/>
        <v>697</v>
      </c>
      <c r="P2789" s="38">
        <f ca="1">IF(ISERROR(IF(O2789&lt;fi_h/20,0,(OFFSET('Base de dados'!$A$5,IF(O2789&lt;20,1,IF(O2789&gt;1000,10,MATCH(O2789,Cargas,1))),Coluna_fih,1,1))*(1+0.13*0.25)*(PI()*(fi_h/1000)^2/4)*SQRT(2*9.81*(O2789/100-fi_h/2/1000))*1000)),"",IF(O2789&lt;fi_h/20,0,(OFFSET('Base de dados'!$A$5,IF(O2789&lt;20,1,IF(O2789&gt;1000,10,MATCH(O2789,Cargas,1))),Coluna_fih,1,1))*(PI()*(fi_h/1000)^2/4)*SQRT(2*9.81*(O2789/100-fi_h/2/1000))*1000))</f>
        <v>7.0580330144082062</v>
      </c>
      <c r="Q2789" s="38">
        <f ca="1">IF(O2789="","",IF(Tipo_Vertedor="Retangular",IF(O2789&lt;=cota_s*100,0,IF(Tipo_Vertedor="Retangular",Cd_sr*Lef_sr*((O2789/100-cota_s)^(3/2))*1000)),IF(O2789&lt;=cota_s*100+fi_s/20,0,(OFFSET('Base de dados'!$A$4,IF(O2789&lt;20,1,IF(O2789&gt;1000,10,MATCH(O2789,Cargas,1))),Coluna_fis,1,1))*(PI()*(fi_s/1000)^2/4)*(2*9.81*(O2789/100-cota_s-fi_s/2/1000))^0.5*1000)))</f>
        <v>6.4200860464794385</v>
      </c>
      <c r="R2789" s="38">
        <f t="shared" ca="1" si="305"/>
        <v>13.478119060887645</v>
      </c>
      <c r="S2789" s="38">
        <f t="shared" ca="1" si="306"/>
        <v>871.25</v>
      </c>
    </row>
    <row r="2790" spans="13:19">
      <c r="M2790" s="132">
        <f t="shared" ca="1" si="303"/>
        <v>885.04328287605267</v>
      </c>
      <c r="N2790" s="38">
        <f t="shared" si="304"/>
        <v>26.146875000000001</v>
      </c>
      <c r="O2790" s="36">
        <f t="shared" si="302"/>
        <v>697.25</v>
      </c>
      <c r="P2790" s="38">
        <f ca="1">IF(ISERROR(IF(O2790&lt;fi_h/20,0,(OFFSET('Base de dados'!$A$5,IF(O2790&lt;20,1,IF(O2790&gt;1000,10,MATCH(O2790,Cargas,1))),Coluna_fih,1,1))*(1+0.13*0.25)*(PI()*(fi_h/1000)^2/4)*SQRT(2*9.81*(O2790/100-fi_h/2/1000))*1000)),"",IF(O2790&lt;fi_h/20,0,(OFFSET('Base de dados'!$A$5,IF(O2790&lt;20,1,IF(O2790&gt;1000,10,MATCH(O2790,Cargas,1))),Coluna_fih,1,1))*(PI()*(fi_h/1000)^2/4)*SQRT(2*9.81*(O2790/100-fi_h/2/1000))*1000))</f>
        <v>7.0593018925352489</v>
      </c>
      <c r="Q2790" s="38">
        <f ca="1">IF(O2790="","",IF(Tipo_Vertedor="Retangular",IF(O2790&lt;=cota_s*100,0,IF(Tipo_Vertedor="Retangular",Cd_sr*Lef_sr*((O2790/100-cota_s)^(3/2))*1000)),IF(O2790&lt;=cota_s*100+fi_s/20,0,(OFFSET('Base de dados'!$A$4,IF(O2790&lt;20,1,IF(O2790&gt;1000,10,MATCH(O2790,Cargas,1))),Coluna_fis,1,1))*(PI()*(fi_s/1000)^2/4)*(2*9.81*(O2790/100-cota_s-fi_s/2/1000))^0.5*1000)))</f>
        <v>6.4214809835173972</v>
      </c>
      <c r="R2790" s="38">
        <f t="shared" ca="1" si="305"/>
        <v>13.480782876052647</v>
      </c>
      <c r="S2790" s="38">
        <f t="shared" ca="1" si="306"/>
        <v>871.5625</v>
      </c>
    </row>
    <row r="2791" spans="13:19">
      <c r="M2791" s="132">
        <f t="shared" ca="1" si="303"/>
        <v>885.35844616022734</v>
      </c>
      <c r="N2791" s="38">
        <f t="shared" si="304"/>
        <v>26.15625</v>
      </c>
      <c r="O2791" s="36">
        <f t="shared" si="302"/>
        <v>697.5</v>
      </c>
      <c r="P2791" s="38">
        <f ca="1">IF(ISERROR(IF(O2791&lt;fi_h/20,0,(OFFSET('Base de dados'!$A$5,IF(O2791&lt;20,1,IF(O2791&gt;1000,10,MATCH(O2791,Cargas,1))),Coluna_fih,1,1))*(1+0.13*0.25)*(PI()*(fi_h/1000)^2/4)*SQRT(2*9.81*(O2791/100-fi_h/2/1000))*1000)),"",IF(O2791&lt;fi_h/20,0,(OFFSET('Base de dados'!$A$5,IF(O2791&lt;20,1,IF(O2791&gt;1000,10,MATCH(O2791,Cargas,1))),Coluna_fih,1,1))*(PI()*(fi_h/1000)^2/4)*SQRT(2*9.81*(O2791/100-fi_h/2/1000))*1000))</f>
        <v>7.0605705426280769</v>
      </c>
      <c r="Q2791" s="38">
        <f ca="1">IF(O2791="","",IF(Tipo_Vertedor="Retangular",IF(O2791&lt;=cota_s*100,0,IF(Tipo_Vertedor="Retangular",Cd_sr*Lef_sr*((O2791/100-cota_s)^(3/2))*1000)),IF(O2791&lt;=cota_s*100+fi_s/20,0,(OFFSET('Base de dados'!$A$4,IF(O2791&lt;20,1,IF(O2791&gt;1000,10,MATCH(O2791,Cargas,1))),Coluna_fis,1,1))*(PI()*(fi_s/1000)^2/4)*(2*9.81*(O2791/100-cota_s-fi_s/2/1000))^0.5*1000)))</f>
        <v>6.4228756175992636</v>
      </c>
      <c r="R2791" s="38">
        <f t="shared" ca="1" si="305"/>
        <v>13.483446160227341</v>
      </c>
      <c r="S2791" s="38">
        <f t="shared" ca="1" si="306"/>
        <v>871.875</v>
      </c>
    </row>
    <row r="2792" spans="13:19">
      <c r="M2792" s="132">
        <f t="shared" ca="1" si="303"/>
        <v>885.67360891373198</v>
      </c>
      <c r="N2792" s="38">
        <f t="shared" si="304"/>
        <v>26.165624999999999</v>
      </c>
      <c r="O2792" s="36">
        <f t="shared" si="302"/>
        <v>697.75</v>
      </c>
      <c r="P2792" s="38">
        <f ca="1">IF(ISERROR(IF(O2792&lt;fi_h/20,0,(OFFSET('Base de dados'!$A$5,IF(O2792&lt;20,1,IF(O2792&gt;1000,10,MATCH(O2792,Cargas,1))),Coluna_fih,1,1))*(1+0.13*0.25)*(PI()*(fi_h/1000)^2/4)*SQRT(2*9.81*(O2792/100-fi_h/2/1000))*1000)),"",IF(O2792&lt;fi_h/20,0,(OFFSET('Base de dados'!$A$5,IF(O2792&lt;20,1,IF(O2792&gt;1000,10,MATCH(O2792,Cargas,1))),Coluna_fih,1,1))*(PI()*(fi_h/1000)^2/4)*SQRT(2*9.81*(O2792/100-fi_h/2/1000))*1000))</f>
        <v>7.0618389648095858</v>
      </c>
      <c r="Q2792" s="38">
        <f ca="1">IF(O2792="","",IF(Tipo_Vertedor="Retangular",IF(O2792&lt;=cota_s*100,0,IF(Tipo_Vertedor="Retangular",Cd_sr*Lef_sr*((O2792/100-cota_s)^(3/2))*1000)),IF(O2792&lt;=cota_s*100+fi_s/20,0,(OFFSET('Base de dados'!$A$4,IF(O2792&lt;20,1,IF(O2792&gt;1000,10,MATCH(O2792,Cargas,1))),Coluna_fis,1,1))*(PI()*(fi_s/1000)^2/4)*(2*9.81*(O2792/100-cota_s-fi_s/2/1000))^0.5*1000)))</f>
        <v>6.4242699489223458</v>
      </c>
      <c r="R2792" s="38">
        <f t="shared" ca="1" si="305"/>
        <v>13.486108913731933</v>
      </c>
      <c r="S2792" s="38">
        <f t="shared" ca="1" si="306"/>
        <v>872.1875</v>
      </c>
    </row>
    <row r="2793" spans="13:19">
      <c r="M2793" s="132">
        <f t="shared" ca="1" si="303"/>
        <v>885.98877113688627</v>
      </c>
      <c r="N2793" s="38">
        <f t="shared" si="304"/>
        <v>26.175000000000001</v>
      </c>
      <c r="O2793" s="36">
        <f t="shared" si="302"/>
        <v>698</v>
      </c>
      <c r="P2793" s="38">
        <f ca="1">IF(ISERROR(IF(O2793&lt;fi_h/20,0,(OFFSET('Base de dados'!$A$5,IF(O2793&lt;20,1,IF(O2793&gt;1000,10,MATCH(O2793,Cargas,1))),Coluna_fih,1,1))*(1+0.13*0.25)*(PI()*(fi_h/1000)^2/4)*SQRT(2*9.81*(O2793/100-fi_h/2/1000))*1000)),"",IF(O2793&lt;fi_h/20,0,(OFFSET('Base de dados'!$A$5,IF(O2793&lt;20,1,IF(O2793&gt;1000,10,MATCH(O2793,Cargas,1))),Coluna_fih,1,1))*(PI()*(fi_h/1000)^2/4)*SQRT(2*9.81*(O2793/100-fi_h/2/1000))*1000))</f>
        <v>7.0631071592025627</v>
      </c>
      <c r="Q2793" s="38">
        <f ca="1">IF(O2793="","",IF(Tipo_Vertedor="Retangular",IF(O2793&lt;=cota_s*100,0,IF(Tipo_Vertedor="Retangular",Cd_sr*Lef_sr*((O2793/100-cota_s)^(3/2))*1000)),IF(O2793&lt;=cota_s*100+fi_s/20,0,(OFFSET('Base de dados'!$A$4,IF(O2793&lt;20,1,IF(O2793&gt;1000,10,MATCH(O2793,Cargas,1))),Coluna_fis,1,1))*(PI()*(fi_s/1000)^2/4)*(2*9.81*(O2793/100-cota_s-fi_s/2/1000))^0.5*1000)))</f>
        <v>6.4256639776837297</v>
      </c>
      <c r="R2793" s="38">
        <f t="shared" ca="1" si="305"/>
        <v>13.488771136886292</v>
      </c>
      <c r="S2793" s="38">
        <f t="shared" ca="1" si="306"/>
        <v>872.5</v>
      </c>
    </row>
    <row r="2794" spans="13:19">
      <c r="M2794" s="132">
        <f t="shared" ca="1" si="303"/>
        <v>886.30393283001001</v>
      </c>
      <c r="N2794" s="38">
        <f t="shared" si="304"/>
        <v>26.184374999999999</v>
      </c>
      <c r="O2794" s="36">
        <f t="shared" si="302"/>
        <v>698.25</v>
      </c>
      <c r="P2794" s="38">
        <f ca="1">IF(ISERROR(IF(O2794&lt;fi_h/20,0,(OFFSET('Base de dados'!$A$5,IF(O2794&lt;20,1,IF(O2794&gt;1000,10,MATCH(O2794,Cargas,1))),Coluna_fih,1,1))*(1+0.13*0.25)*(PI()*(fi_h/1000)^2/4)*SQRT(2*9.81*(O2794/100-fi_h/2/1000))*1000)),"",IF(O2794&lt;fi_h/20,0,(OFFSET('Base de dados'!$A$5,IF(O2794&lt;20,1,IF(O2794&gt;1000,10,MATCH(O2794,Cargas,1))),Coluna_fih,1,1))*(PI()*(fi_h/1000)^2/4)*SQRT(2*9.81*(O2794/100-fi_h/2/1000))*1000))</f>
        <v>7.0643751259296854</v>
      </c>
      <c r="Q2794" s="38">
        <f ca="1">IF(O2794="","",IF(Tipo_Vertedor="Retangular",IF(O2794&lt;=cota_s*100,0,IF(Tipo_Vertedor="Retangular",Cd_sr*Lef_sr*((O2794/100-cota_s)^(3/2))*1000)),IF(O2794&lt;=cota_s*100+fi_s/20,0,(OFFSET('Base de dados'!$A$4,IF(O2794&lt;20,1,IF(O2794&gt;1000,10,MATCH(O2794,Cargas,1))),Coluna_fis,1,1))*(PI()*(fi_s/1000)^2/4)*(2*9.81*(O2794/100-cota_s-fi_s/2/1000))^0.5*1000)))</f>
        <v>6.4270577040802941</v>
      </c>
      <c r="R2794" s="38">
        <f t="shared" ca="1" si="305"/>
        <v>13.49143283000998</v>
      </c>
      <c r="S2794" s="38">
        <f t="shared" ca="1" si="306"/>
        <v>872.8125</v>
      </c>
    </row>
    <row r="2795" spans="13:19">
      <c r="M2795" s="132">
        <f t="shared" ca="1" si="303"/>
        <v>886.61909399342221</v>
      </c>
      <c r="N2795" s="38">
        <f t="shared" si="304"/>
        <v>26.193750000000001</v>
      </c>
      <c r="O2795" s="36">
        <f t="shared" si="302"/>
        <v>698.5</v>
      </c>
      <c r="P2795" s="38">
        <f ca="1">IF(ISERROR(IF(O2795&lt;fi_h/20,0,(OFFSET('Base de dados'!$A$5,IF(O2795&lt;20,1,IF(O2795&gt;1000,10,MATCH(O2795,Cargas,1))),Coluna_fih,1,1))*(1+0.13*0.25)*(PI()*(fi_h/1000)^2/4)*SQRT(2*9.81*(O2795/100-fi_h/2/1000))*1000)),"",IF(O2795&lt;fi_h/20,0,(OFFSET('Base de dados'!$A$5,IF(O2795&lt;20,1,IF(O2795&gt;1000,10,MATCH(O2795,Cargas,1))),Coluna_fih,1,1))*(PI()*(fi_h/1000)^2/4)*SQRT(2*9.81*(O2795/100-fi_h/2/1000))*1000))</f>
        <v>7.0656428651135235</v>
      </c>
      <c r="Q2795" s="38">
        <f ca="1">IF(O2795="","",IF(Tipo_Vertedor="Retangular",IF(O2795&lt;=cota_s*100,0,IF(Tipo_Vertedor="Retangular",Cd_sr*Lef_sr*((O2795/100-cota_s)^(3/2))*1000)),IF(O2795&lt;=cota_s*100+fi_s/20,0,(OFFSET('Base de dados'!$A$4,IF(O2795&lt;20,1,IF(O2795&gt;1000,10,MATCH(O2795,Cargas,1))),Coluna_fis,1,1))*(PI()*(fi_s/1000)^2/4)*(2*9.81*(O2795/100-cota_s-fi_s/2/1000))^0.5*1000)))</f>
        <v>6.428451128308704</v>
      </c>
      <c r="R2795" s="38">
        <f t="shared" ca="1" si="305"/>
        <v>13.494093993422227</v>
      </c>
      <c r="S2795" s="38">
        <f t="shared" ca="1" si="306"/>
        <v>873.125</v>
      </c>
    </row>
    <row r="2796" spans="13:19">
      <c r="M2796" s="132">
        <f t="shared" ca="1" si="303"/>
        <v>886.93425462744199</v>
      </c>
      <c r="N2796" s="38">
        <f t="shared" si="304"/>
        <v>26.203125</v>
      </c>
      <c r="O2796" s="36">
        <f t="shared" si="302"/>
        <v>698.75</v>
      </c>
      <c r="P2796" s="38">
        <f ca="1">IF(ISERROR(IF(O2796&lt;fi_h/20,0,(OFFSET('Base de dados'!$A$5,IF(O2796&lt;20,1,IF(O2796&gt;1000,10,MATCH(O2796,Cargas,1))),Coluna_fih,1,1))*(1+0.13*0.25)*(PI()*(fi_h/1000)^2/4)*SQRT(2*9.81*(O2796/100-fi_h/2/1000))*1000)),"",IF(O2796&lt;fi_h/20,0,(OFFSET('Base de dados'!$A$5,IF(O2796&lt;20,1,IF(O2796&gt;1000,10,MATCH(O2796,Cargas,1))),Coluna_fih,1,1))*(PI()*(fi_h/1000)^2/4)*SQRT(2*9.81*(O2796/100-fi_h/2/1000))*1000))</f>
        <v>7.0669103768765318</v>
      </c>
      <c r="Q2796" s="38">
        <f ca="1">IF(O2796="","",IF(Tipo_Vertedor="Retangular",IF(O2796&lt;=cota_s*100,0,IF(Tipo_Vertedor="Retangular",Cd_sr*Lef_sr*((O2796/100-cota_s)^(3/2))*1000)),IF(O2796&lt;=cota_s*100+fi_s/20,0,(OFFSET('Base de dados'!$A$4,IF(O2796&lt;20,1,IF(O2796&gt;1000,10,MATCH(O2796,Cargas,1))),Coluna_fis,1,1))*(PI()*(fi_s/1000)^2/4)*(2*9.81*(O2796/100-cota_s-fi_s/2/1000))^0.5*1000)))</f>
        <v>6.4298442505654068</v>
      </c>
      <c r="R2796" s="38">
        <f t="shared" ca="1" si="305"/>
        <v>13.496754627441938</v>
      </c>
      <c r="S2796" s="38">
        <f t="shared" ca="1" si="306"/>
        <v>873.4375</v>
      </c>
    </row>
    <row r="2797" spans="13:19">
      <c r="M2797" s="132">
        <f t="shared" ca="1" si="303"/>
        <v>887.24941473238778</v>
      </c>
      <c r="N2797" s="38">
        <f t="shared" si="304"/>
        <v>26.212500000000002</v>
      </c>
      <c r="O2797" s="36">
        <f t="shared" si="302"/>
        <v>699</v>
      </c>
      <c r="P2797" s="38">
        <f ca="1">IF(ISERROR(IF(O2797&lt;fi_h/20,0,(OFFSET('Base de dados'!$A$5,IF(O2797&lt;20,1,IF(O2797&gt;1000,10,MATCH(O2797,Cargas,1))),Coluna_fih,1,1))*(1+0.13*0.25)*(PI()*(fi_h/1000)^2/4)*SQRT(2*9.81*(O2797/100-fi_h/2/1000))*1000)),"",IF(O2797&lt;fi_h/20,0,(OFFSET('Base de dados'!$A$5,IF(O2797&lt;20,1,IF(O2797&gt;1000,10,MATCH(O2797,Cargas,1))),Coluna_fih,1,1))*(PI()*(fi_h/1000)^2/4)*SQRT(2*9.81*(O2797/100-fi_h/2/1000))*1000))</f>
        <v>7.0681776613410614</v>
      </c>
      <c r="Q2797" s="38">
        <f ca="1">IF(O2797="","",IF(Tipo_Vertedor="Retangular",IF(O2797&lt;=cota_s*100,0,IF(Tipo_Vertedor="Retangular",Cd_sr*Lef_sr*((O2797/100-cota_s)^(3/2))*1000)),IF(O2797&lt;=cota_s*100+fi_s/20,0,(OFFSET('Base de dados'!$A$4,IF(O2797&lt;20,1,IF(O2797&gt;1000,10,MATCH(O2797,Cargas,1))),Coluna_fis,1,1))*(PI()*(fi_s/1000)^2/4)*(2*9.81*(O2797/100-cota_s-fi_s/2/1000))^0.5*1000)))</f>
        <v>6.4312370710466418</v>
      </c>
      <c r="R2797" s="38">
        <f t="shared" ca="1" si="305"/>
        <v>13.499414732387702</v>
      </c>
      <c r="S2797" s="38">
        <f t="shared" ca="1" si="306"/>
        <v>873.75000000000011</v>
      </c>
    </row>
    <row r="2798" spans="13:19">
      <c r="M2798" s="132">
        <f t="shared" ca="1" si="303"/>
        <v>887.56457430857768</v>
      </c>
      <c r="N2798" s="38">
        <f t="shared" si="304"/>
        <v>26.221874999999997</v>
      </c>
      <c r="O2798" s="36">
        <f t="shared" si="302"/>
        <v>699.25</v>
      </c>
      <c r="P2798" s="38">
        <f ca="1">IF(ISERROR(IF(O2798&lt;fi_h/20,0,(OFFSET('Base de dados'!$A$5,IF(O2798&lt;20,1,IF(O2798&gt;1000,10,MATCH(O2798,Cargas,1))),Coluna_fih,1,1))*(1+0.13*0.25)*(PI()*(fi_h/1000)^2/4)*SQRT(2*9.81*(O2798/100-fi_h/2/1000))*1000)),"",IF(O2798&lt;fi_h/20,0,(OFFSET('Base de dados'!$A$5,IF(O2798&lt;20,1,IF(O2798&gt;1000,10,MATCH(O2798,Cargas,1))),Coluna_fih,1,1))*(PI()*(fi_h/1000)^2/4)*SQRT(2*9.81*(O2798/100-fi_h/2/1000))*1000))</f>
        <v>7.0694447186293461</v>
      </c>
      <c r="Q2798" s="38">
        <f ca="1">IF(O2798="","",IF(Tipo_Vertedor="Retangular",IF(O2798&lt;=cota_s*100,0,IF(Tipo_Vertedor="Retangular",Cd_sr*Lef_sr*((O2798/100-cota_s)^(3/2))*1000)),IF(O2798&lt;=cota_s*100+fi_s/20,0,(OFFSET('Base de dados'!$A$4,IF(O2798&lt;20,1,IF(O2798&gt;1000,10,MATCH(O2798,Cargas,1))),Coluna_fis,1,1))*(PI()*(fi_s/1000)^2/4)*(2*9.81*(O2798/100-cota_s-fi_s/2/1000))^0.5*1000)))</f>
        <v>6.4326295899484345</v>
      </c>
      <c r="R2798" s="38">
        <f t="shared" ca="1" si="305"/>
        <v>13.502074308577781</v>
      </c>
      <c r="S2798" s="38">
        <f t="shared" ca="1" si="306"/>
        <v>874.06249999999989</v>
      </c>
    </row>
    <row r="2799" spans="13:19">
      <c r="M2799" s="132">
        <f t="shared" ca="1" si="303"/>
        <v>887.87973335633012</v>
      </c>
      <c r="N2799" s="38">
        <f t="shared" si="304"/>
        <v>26.231249999999999</v>
      </c>
      <c r="O2799" s="36">
        <f t="shared" si="302"/>
        <v>699.5</v>
      </c>
      <c r="P2799" s="38">
        <f ca="1">IF(ISERROR(IF(O2799&lt;fi_h/20,0,(OFFSET('Base de dados'!$A$5,IF(O2799&lt;20,1,IF(O2799&gt;1000,10,MATCH(O2799,Cargas,1))),Coluna_fih,1,1))*(1+0.13*0.25)*(PI()*(fi_h/1000)^2/4)*SQRT(2*9.81*(O2799/100-fi_h/2/1000))*1000)),"",IF(O2799&lt;fi_h/20,0,(OFFSET('Base de dados'!$A$5,IF(O2799&lt;20,1,IF(O2799&gt;1000,10,MATCH(O2799,Cargas,1))),Coluna_fih,1,1))*(PI()*(fi_h/1000)^2/4)*SQRT(2*9.81*(O2799/100-fi_h/2/1000))*1000))</f>
        <v>7.0707115488635184</v>
      </c>
      <c r="Q2799" s="38">
        <f ca="1">IF(O2799="","",IF(Tipo_Vertedor="Retangular",IF(O2799&lt;=cota_s*100,0,IF(Tipo_Vertedor="Retangular",Cd_sr*Lef_sr*((O2799/100-cota_s)^(3/2))*1000)),IF(O2799&lt;=cota_s*100+fi_s/20,0,(OFFSET('Base de dados'!$A$4,IF(O2799&lt;20,1,IF(O2799&gt;1000,10,MATCH(O2799,Cargas,1))),Coluna_fis,1,1))*(PI()*(fi_s/1000)^2/4)*(2*9.81*(O2799/100-cota_s-fi_s/2/1000))^0.5*1000)))</f>
        <v>6.434021807466598</v>
      </c>
      <c r="R2799" s="38">
        <f t="shared" ca="1" si="305"/>
        <v>13.504733356330117</v>
      </c>
      <c r="S2799" s="38">
        <f t="shared" ca="1" si="306"/>
        <v>874.375</v>
      </c>
    </row>
    <row r="2800" spans="13:19">
      <c r="M2800" s="132">
        <f t="shared" ca="1" si="303"/>
        <v>888.19489187596218</v>
      </c>
      <c r="N2800" s="38">
        <f t="shared" si="304"/>
        <v>26.240624999999998</v>
      </c>
      <c r="O2800" s="36">
        <f t="shared" si="302"/>
        <v>699.75</v>
      </c>
      <c r="P2800" s="38">
        <f ca="1">IF(ISERROR(IF(O2800&lt;fi_h/20,0,(OFFSET('Base de dados'!$A$5,IF(O2800&lt;20,1,IF(O2800&gt;1000,10,MATCH(O2800,Cargas,1))),Coluna_fih,1,1))*(1+0.13*0.25)*(PI()*(fi_h/1000)^2/4)*SQRT(2*9.81*(O2800/100-fi_h/2/1000))*1000)),"",IF(O2800&lt;fi_h/20,0,(OFFSET('Base de dados'!$A$5,IF(O2800&lt;20,1,IF(O2800&gt;1000,10,MATCH(O2800,Cargas,1))),Coluna_fih,1,1))*(PI()*(fi_h/1000)^2/4)*SQRT(2*9.81*(O2800/100-fi_h/2/1000))*1000))</f>
        <v>7.0719781521655953</v>
      </c>
      <c r="Q2800" s="38">
        <f ca="1">IF(O2800="","",IF(Tipo_Vertedor="Retangular",IF(O2800&lt;=cota_s*100,0,IF(Tipo_Vertedor="Retangular",Cd_sr*Lef_sr*((O2800/100-cota_s)^(3/2))*1000)),IF(O2800&lt;=cota_s*100+fi_s/20,0,(OFFSET('Base de dados'!$A$4,IF(O2800&lt;20,1,IF(O2800&gt;1000,10,MATCH(O2800,Cargas,1))),Coluna_fis,1,1))*(PI()*(fi_s/1000)^2/4)*(2*9.81*(O2800/100-cota_s-fi_s/2/1000))^0.5*1000)))</f>
        <v>6.4354137237967315</v>
      </c>
      <c r="R2800" s="38">
        <f t="shared" ca="1" si="305"/>
        <v>13.507391875962327</v>
      </c>
      <c r="S2800" s="38">
        <f t="shared" ca="1" si="306"/>
        <v>874.68749999999989</v>
      </c>
    </row>
    <row r="2801" spans="13:19">
      <c r="M2801" s="132">
        <f t="shared" ca="1" si="303"/>
        <v>888.51004986779174</v>
      </c>
      <c r="N2801" s="38">
        <f t="shared" si="304"/>
        <v>26.25</v>
      </c>
      <c r="O2801" s="36">
        <f t="shared" si="302"/>
        <v>700</v>
      </c>
      <c r="P2801" s="38">
        <f ca="1">IF(ISERROR(IF(O2801&lt;fi_h/20,0,(OFFSET('Base de dados'!$A$5,IF(O2801&lt;20,1,IF(O2801&gt;1000,10,MATCH(O2801,Cargas,1))),Coluna_fih,1,1))*(1+0.13*0.25)*(PI()*(fi_h/1000)^2/4)*SQRT(2*9.81*(O2801/100-fi_h/2/1000))*1000)),"",IF(O2801&lt;fi_h/20,0,(OFFSET('Base de dados'!$A$5,IF(O2801&lt;20,1,IF(O2801&gt;1000,10,MATCH(O2801,Cargas,1))),Coluna_fih,1,1))*(PI()*(fi_h/1000)^2/4)*SQRT(2*9.81*(O2801/100-fi_h/2/1000))*1000))</f>
        <v>7.0732445286574874</v>
      </c>
      <c r="Q2801" s="38">
        <f ca="1">IF(O2801="","",IF(Tipo_Vertedor="Retangular",IF(O2801&lt;=cota_s*100,0,IF(Tipo_Vertedor="Retangular",Cd_sr*Lef_sr*((O2801/100-cota_s)^(3/2))*1000)),IF(O2801&lt;=cota_s*100+fi_s/20,0,(OFFSET('Base de dados'!$A$4,IF(O2801&lt;20,1,IF(O2801&gt;1000,10,MATCH(O2801,Cargas,1))),Coluna_fis,1,1))*(PI()*(fi_s/1000)^2/4)*(2*9.81*(O2801/100-cota_s-fi_s/2/1000))^0.5*1000)))</f>
        <v>6.436805339134227</v>
      </c>
      <c r="R2801" s="38">
        <f t="shared" ca="1" si="305"/>
        <v>13.510049867791714</v>
      </c>
      <c r="S2801" s="38">
        <f t="shared" ca="1" si="306"/>
        <v>875</v>
      </c>
    </row>
    <row r="2802" spans="13:19">
      <c r="M2802" s="132">
        <f t="shared" ca="1" si="303"/>
        <v>888.82520733213539</v>
      </c>
      <c r="N2802" s="38">
        <f t="shared" si="304"/>
        <v>26.259375000000002</v>
      </c>
      <c r="O2802" s="36">
        <f t="shared" si="302"/>
        <v>700.25</v>
      </c>
      <c r="P2802" s="38">
        <f ca="1">IF(ISERROR(IF(O2802&lt;fi_h/20,0,(OFFSET('Base de dados'!$A$5,IF(O2802&lt;20,1,IF(O2802&gt;1000,10,MATCH(O2802,Cargas,1))),Coluna_fih,1,1))*(1+0.13*0.25)*(PI()*(fi_h/1000)^2/4)*SQRT(2*9.81*(O2802/100-fi_h/2/1000))*1000)),"",IF(O2802&lt;fi_h/20,0,(OFFSET('Base de dados'!$A$5,IF(O2802&lt;20,1,IF(O2802&gt;1000,10,MATCH(O2802,Cargas,1))),Coluna_fih,1,1))*(PI()*(fi_h/1000)^2/4)*SQRT(2*9.81*(O2802/100-fi_h/2/1000))*1000))</f>
        <v>7.0745106784609959</v>
      </c>
      <c r="Q2802" s="38">
        <f ca="1">IF(O2802="","",IF(Tipo_Vertedor="Retangular",IF(O2802&lt;=cota_s*100,0,IF(Tipo_Vertedor="Retangular",Cd_sr*Lef_sr*((O2802/100-cota_s)^(3/2))*1000)),IF(O2802&lt;=cota_s*100+fi_s/20,0,(OFFSET('Base de dados'!$A$4,IF(O2802&lt;20,1,IF(O2802&gt;1000,10,MATCH(O2802,Cargas,1))),Coluna_fis,1,1))*(PI()*(fi_s/1000)^2/4)*(2*9.81*(O2802/100-cota_s-fi_s/2/1000))^0.5*1000)))</f>
        <v>6.4381966536742619</v>
      </c>
      <c r="R2802" s="38">
        <f t="shared" ca="1" si="305"/>
        <v>13.512707332135257</v>
      </c>
      <c r="S2802" s="38">
        <f t="shared" ca="1" si="306"/>
        <v>875.31250000000011</v>
      </c>
    </row>
    <row r="2803" spans="13:19">
      <c r="M2803" s="132">
        <f t="shared" ca="1" si="303"/>
        <v>889.14036426930966</v>
      </c>
      <c r="N2803" s="38">
        <f t="shared" si="304"/>
        <v>26.268750000000001</v>
      </c>
      <c r="O2803" s="36">
        <f t="shared" si="302"/>
        <v>700.5</v>
      </c>
      <c r="P2803" s="38">
        <f ca="1">IF(ISERROR(IF(O2803&lt;fi_h/20,0,(OFFSET('Base de dados'!$A$5,IF(O2803&lt;20,1,IF(O2803&gt;1000,10,MATCH(O2803,Cargas,1))),Coluna_fih,1,1))*(1+0.13*0.25)*(PI()*(fi_h/1000)^2/4)*SQRT(2*9.81*(O2803/100-fi_h/2/1000))*1000)),"",IF(O2803&lt;fi_h/20,0,(OFFSET('Base de dados'!$A$5,IF(O2803&lt;20,1,IF(O2803&gt;1000,10,MATCH(O2803,Cargas,1))),Coluna_fih,1,1))*(PI()*(fi_h/1000)^2/4)*SQRT(2*9.81*(O2803/100-fi_h/2/1000))*1000))</f>
        <v>7.0757766016978119</v>
      </c>
      <c r="Q2803" s="38">
        <f ca="1">IF(O2803="","",IF(Tipo_Vertedor="Retangular",IF(O2803&lt;=cota_s*100,0,IF(Tipo_Vertedor="Retangular",Cd_sr*Lef_sr*((O2803/100-cota_s)^(3/2))*1000)),IF(O2803&lt;=cota_s*100+fi_s/20,0,(OFFSET('Base de dados'!$A$4,IF(O2803&lt;20,1,IF(O2803&gt;1000,10,MATCH(O2803,Cargas,1))),Coluna_fis,1,1))*(PI()*(fi_s/1000)^2/4)*(2*9.81*(O2803/100-cota_s-fi_s/2/1000))^0.5*1000)))</f>
        <v>6.4395876676118045</v>
      </c>
      <c r="R2803" s="38">
        <f t="shared" ca="1" si="305"/>
        <v>13.515364269309616</v>
      </c>
      <c r="S2803" s="38">
        <f t="shared" ca="1" si="306"/>
        <v>875.625</v>
      </c>
    </row>
    <row r="2804" spans="13:19">
      <c r="M2804" s="132">
        <f t="shared" ca="1" si="303"/>
        <v>889.45552067963126</v>
      </c>
      <c r="N2804" s="38">
        <f t="shared" si="304"/>
        <v>26.278125000000003</v>
      </c>
      <c r="O2804" s="36">
        <f t="shared" si="302"/>
        <v>700.75</v>
      </c>
      <c r="P2804" s="38">
        <f ca="1">IF(ISERROR(IF(O2804&lt;fi_h/20,0,(OFFSET('Base de dados'!$A$5,IF(O2804&lt;20,1,IF(O2804&gt;1000,10,MATCH(O2804,Cargas,1))),Coluna_fih,1,1))*(1+0.13*0.25)*(PI()*(fi_h/1000)^2/4)*SQRT(2*9.81*(O2804/100-fi_h/2/1000))*1000)),"",IF(O2804&lt;fi_h/20,0,(OFFSET('Base de dados'!$A$5,IF(O2804&lt;20,1,IF(O2804&gt;1000,10,MATCH(O2804,Cargas,1))),Coluna_fih,1,1))*(PI()*(fi_h/1000)^2/4)*SQRT(2*9.81*(O2804/100-fi_h/2/1000))*1000))</f>
        <v>7.0770422984895189</v>
      </c>
      <c r="Q2804" s="38">
        <f ca="1">IF(O2804="","",IF(Tipo_Vertedor="Retangular",IF(O2804&lt;=cota_s*100,0,IF(Tipo_Vertedor="Retangular",Cd_sr*Lef_sr*((O2804/100-cota_s)^(3/2))*1000)),IF(O2804&lt;=cota_s*100+fi_s/20,0,(OFFSET('Base de dados'!$A$4,IF(O2804&lt;20,1,IF(O2804&gt;1000,10,MATCH(O2804,Cargas,1))),Coluna_fis,1,1))*(PI()*(fi_s/1000)^2/4)*(2*9.81*(O2804/100-cota_s-fi_s/2/1000))^0.5*1000)))</f>
        <v>6.4409783811416119</v>
      </c>
      <c r="R2804" s="38">
        <f t="shared" ca="1" si="305"/>
        <v>13.518020679631132</v>
      </c>
      <c r="S2804" s="38">
        <f t="shared" ca="1" si="306"/>
        <v>875.93750000000011</v>
      </c>
    </row>
    <row r="2805" spans="13:19">
      <c r="M2805" s="132">
        <f t="shared" ca="1" si="303"/>
        <v>889.77067656341569</v>
      </c>
      <c r="N2805" s="38">
        <f t="shared" si="304"/>
        <v>26.287499999999998</v>
      </c>
      <c r="O2805" s="36">
        <f t="shared" si="302"/>
        <v>701</v>
      </c>
      <c r="P2805" s="38">
        <f ca="1">IF(ISERROR(IF(O2805&lt;fi_h/20,0,(OFFSET('Base de dados'!$A$5,IF(O2805&lt;20,1,IF(O2805&gt;1000,10,MATCH(O2805,Cargas,1))),Coluna_fih,1,1))*(1+0.13*0.25)*(PI()*(fi_h/1000)^2/4)*SQRT(2*9.81*(O2805/100-fi_h/2/1000))*1000)),"",IF(O2805&lt;fi_h/20,0,(OFFSET('Base de dados'!$A$5,IF(O2805&lt;20,1,IF(O2805&gt;1000,10,MATCH(O2805,Cargas,1))),Coluna_fih,1,1))*(PI()*(fi_h/1000)^2/4)*SQRT(2*9.81*(O2805/100-fi_h/2/1000))*1000))</f>
        <v>7.0783077689575906</v>
      </c>
      <c r="Q2805" s="38">
        <f ca="1">IF(O2805="","",IF(Tipo_Vertedor="Retangular",IF(O2805&lt;=cota_s*100,0,IF(Tipo_Vertedor="Retangular",Cd_sr*Lef_sr*((O2805/100-cota_s)^(3/2))*1000)),IF(O2805&lt;=cota_s*100+fi_s/20,0,(OFFSET('Base de dados'!$A$4,IF(O2805&lt;20,1,IF(O2805&gt;1000,10,MATCH(O2805,Cargas,1))),Coluna_fis,1,1))*(PI()*(fi_s/1000)^2/4)*(2*9.81*(O2805/100-cota_s-fi_s/2/1000))^0.5*1000)))</f>
        <v>6.4423687944582309</v>
      </c>
      <c r="R2805" s="38">
        <f t="shared" ca="1" si="305"/>
        <v>13.520676563415822</v>
      </c>
      <c r="S2805" s="38">
        <f t="shared" ca="1" si="306"/>
        <v>876.24999999999989</v>
      </c>
    </row>
    <row r="2806" spans="13:19">
      <c r="M2806" s="132">
        <f t="shared" ca="1" si="303"/>
        <v>890.08583192097944</v>
      </c>
      <c r="N2806" s="38">
        <f t="shared" si="304"/>
        <v>26.296875</v>
      </c>
      <c r="O2806" s="36">
        <f t="shared" si="302"/>
        <v>701.25</v>
      </c>
      <c r="P2806" s="38">
        <f ca="1">IF(ISERROR(IF(O2806&lt;fi_h/20,0,(OFFSET('Base de dados'!$A$5,IF(O2806&lt;20,1,IF(O2806&gt;1000,10,MATCH(O2806,Cargas,1))),Coluna_fih,1,1))*(1+0.13*0.25)*(PI()*(fi_h/1000)^2/4)*SQRT(2*9.81*(O2806/100-fi_h/2/1000))*1000)),"",IF(O2806&lt;fi_h/20,0,(OFFSET('Base de dados'!$A$5,IF(O2806&lt;20,1,IF(O2806&gt;1000,10,MATCH(O2806,Cargas,1))),Coluna_fih,1,1))*(PI()*(fi_h/1000)^2/4)*SQRT(2*9.81*(O2806/100-fi_h/2/1000))*1000))</f>
        <v>7.0795730132233938</v>
      </c>
      <c r="Q2806" s="38">
        <f ca="1">IF(O2806="","",IF(Tipo_Vertedor="Retangular",IF(O2806&lt;=cota_s*100,0,IF(Tipo_Vertedor="Retangular",Cd_sr*Lef_sr*((O2806/100-cota_s)^(3/2))*1000)),IF(O2806&lt;=cota_s*100+fi_s/20,0,(OFFSET('Base de dados'!$A$4,IF(O2806&lt;20,1,IF(O2806&gt;1000,10,MATCH(O2806,Cargas,1))),Coluna_fis,1,1))*(PI()*(fi_s/1000)^2/4)*(2*9.81*(O2806/100-cota_s-fi_s/2/1000))^0.5*1000)))</f>
        <v>6.4437589077559982</v>
      </c>
      <c r="R2806" s="38">
        <f t="shared" ca="1" si="305"/>
        <v>13.523331920979391</v>
      </c>
      <c r="S2806" s="38">
        <f t="shared" ca="1" si="306"/>
        <v>876.5625</v>
      </c>
    </row>
    <row r="2807" spans="13:19">
      <c r="M2807" s="132">
        <f t="shared" ca="1" si="303"/>
        <v>890.40098675263721</v>
      </c>
      <c r="N2807" s="38">
        <f t="shared" si="304"/>
        <v>26.306249999999999</v>
      </c>
      <c r="O2807" s="36">
        <f t="shared" si="302"/>
        <v>701.5</v>
      </c>
      <c r="P2807" s="38">
        <f ca="1">IF(ISERROR(IF(O2807&lt;fi_h/20,0,(OFFSET('Base de dados'!$A$5,IF(O2807&lt;20,1,IF(O2807&gt;1000,10,MATCH(O2807,Cargas,1))),Coluna_fih,1,1))*(1+0.13*0.25)*(PI()*(fi_h/1000)^2/4)*SQRT(2*9.81*(O2807/100-fi_h/2/1000))*1000)),"",IF(O2807&lt;fi_h/20,0,(OFFSET('Base de dados'!$A$5,IF(O2807&lt;20,1,IF(O2807&gt;1000,10,MATCH(O2807,Cargas,1))),Coluna_fih,1,1))*(PI()*(fi_h/1000)^2/4)*SQRT(2*9.81*(O2807/100-fi_h/2/1000))*1000))</f>
        <v>7.0808380314081862</v>
      </c>
      <c r="Q2807" s="38">
        <f ca="1">IF(O2807="","",IF(Tipo_Vertedor="Retangular",IF(O2807&lt;=cota_s*100,0,IF(Tipo_Vertedor="Retangular",Cd_sr*Lef_sr*((O2807/100-cota_s)^(3/2))*1000)),IF(O2807&lt;=cota_s*100+fi_s/20,0,(OFFSET('Base de dados'!$A$4,IF(O2807&lt;20,1,IF(O2807&gt;1000,10,MATCH(O2807,Cargas,1))),Coluna_fis,1,1))*(PI()*(fi_s/1000)^2/4)*(2*9.81*(O2807/100-cota_s-fi_s/2/1000))^0.5*1000)))</f>
        <v>6.4451487212290415</v>
      </c>
      <c r="R2807" s="38">
        <f t="shared" ca="1" si="305"/>
        <v>13.525986752637227</v>
      </c>
      <c r="S2807" s="38">
        <f t="shared" ca="1" si="306"/>
        <v>876.875</v>
      </c>
    </row>
    <row r="2808" spans="13:19">
      <c r="M2808" s="132">
        <f t="shared" ca="1" si="303"/>
        <v>890.71614105870435</v>
      </c>
      <c r="N2808" s="38">
        <f t="shared" si="304"/>
        <v>26.315625000000001</v>
      </c>
      <c r="O2808" s="36">
        <f t="shared" si="302"/>
        <v>701.75</v>
      </c>
      <c r="P2808" s="38">
        <f ca="1">IF(ISERROR(IF(O2808&lt;fi_h/20,0,(OFFSET('Base de dados'!$A$5,IF(O2808&lt;20,1,IF(O2808&gt;1000,10,MATCH(O2808,Cargas,1))),Coluna_fih,1,1))*(1+0.13*0.25)*(PI()*(fi_h/1000)^2/4)*SQRT(2*9.81*(O2808/100-fi_h/2/1000))*1000)),"",IF(O2808&lt;fi_h/20,0,(OFFSET('Base de dados'!$A$5,IF(O2808&lt;20,1,IF(O2808&gt;1000,10,MATCH(O2808,Cargas,1))),Coluna_fih,1,1))*(PI()*(fi_h/1000)^2/4)*SQRT(2*9.81*(O2808/100-fi_h/2/1000))*1000))</f>
        <v>7.0821028236331127</v>
      </c>
      <c r="Q2808" s="38">
        <f ca="1">IF(O2808="","",IF(Tipo_Vertedor="Retangular",IF(O2808&lt;=cota_s*100,0,IF(Tipo_Vertedor="Retangular",Cd_sr*Lef_sr*((O2808/100-cota_s)^(3/2))*1000)),IF(O2808&lt;=cota_s*100+fi_s/20,0,(OFFSET('Base de dados'!$A$4,IF(O2808&lt;20,1,IF(O2808&gt;1000,10,MATCH(O2808,Cargas,1))),Coluna_fis,1,1))*(PI()*(fi_s/1000)^2/4)*(2*9.81*(O2808/100-cota_s-fi_s/2/1000))^0.5*1000)))</f>
        <v>6.4465382350712792</v>
      </c>
      <c r="R2808" s="38">
        <f t="shared" ca="1" si="305"/>
        <v>13.528641058704391</v>
      </c>
      <c r="S2808" s="38">
        <f t="shared" ca="1" si="306"/>
        <v>877.1875</v>
      </c>
    </row>
    <row r="2809" spans="13:19">
      <c r="M2809" s="132">
        <f t="shared" ca="1" si="303"/>
        <v>891.03129483949567</v>
      </c>
      <c r="N2809" s="38">
        <f t="shared" si="304"/>
        <v>26.324999999999999</v>
      </c>
      <c r="O2809" s="36">
        <f t="shared" si="302"/>
        <v>702</v>
      </c>
      <c r="P2809" s="38">
        <f ca="1">IF(ISERROR(IF(O2809&lt;fi_h/20,0,(OFFSET('Base de dados'!$A$5,IF(O2809&lt;20,1,IF(O2809&gt;1000,10,MATCH(O2809,Cargas,1))),Coluna_fih,1,1))*(1+0.13*0.25)*(PI()*(fi_h/1000)^2/4)*SQRT(2*9.81*(O2809/100-fi_h/2/1000))*1000)),"",IF(O2809&lt;fi_h/20,0,(OFFSET('Base de dados'!$A$5,IF(O2809&lt;20,1,IF(O2809&gt;1000,10,MATCH(O2809,Cargas,1))),Coluna_fih,1,1))*(PI()*(fi_h/1000)^2/4)*SQRT(2*9.81*(O2809/100-fi_h/2/1000))*1000))</f>
        <v>7.0833673900192204</v>
      </c>
      <c r="Q2809" s="38">
        <f ca="1">IF(O2809="","",IF(Tipo_Vertedor="Retangular",IF(O2809&lt;=cota_s*100,0,IF(Tipo_Vertedor="Retangular",Cd_sr*Lef_sr*((O2809/100-cota_s)^(3/2))*1000)),IF(O2809&lt;=cota_s*100+fi_s/20,0,(OFFSET('Base de dados'!$A$4,IF(O2809&lt;20,1,IF(O2809&gt;1000,10,MATCH(O2809,Cargas,1))),Coluna_fis,1,1))*(PI()*(fi_s/1000)^2/4)*(2*9.81*(O2809/100-cota_s-fi_s/2/1000))^0.5*1000)))</f>
        <v>6.4479274494764205</v>
      </c>
      <c r="R2809" s="38">
        <f t="shared" ca="1" si="305"/>
        <v>13.53129483949564</v>
      </c>
      <c r="S2809" s="38">
        <f t="shared" ca="1" si="306"/>
        <v>877.5</v>
      </c>
    </row>
    <row r="2810" spans="13:19">
      <c r="M2810" s="132">
        <f t="shared" ca="1" si="303"/>
        <v>891.3464480953254</v>
      </c>
      <c r="N2810" s="38">
        <f t="shared" si="304"/>
        <v>26.334375000000001</v>
      </c>
      <c r="O2810" s="36">
        <f t="shared" si="302"/>
        <v>702.25</v>
      </c>
      <c r="P2810" s="38">
        <f ca="1">IF(ISERROR(IF(O2810&lt;fi_h/20,0,(OFFSET('Base de dados'!$A$5,IF(O2810&lt;20,1,IF(O2810&gt;1000,10,MATCH(O2810,Cargas,1))),Coluna_fih,1,1))*(1+0.13*0.25)*(PI()*(fi_h/1000)^2/4)*SQRT(2*9.81*(O2810/100-fi_h/2/1000))*1000)),"",IF(O2810&lt;fi_h/20,0,(OFFSET('Base de dados'!$A$5,IF(O2810&lt;20,1,IF(O2810&gt;1000,10,MATCH(O2810,Cargas,1))),Coluna_fih,1,1))*(PI()*(fi_h/1000)^2/4)*SQRT(2*9.81*(O2810/100-fi_h/2/1000))*1000))</f>
        <v>7.0846317306874367</v>
      </c>
      <c r="Q2810" s="38">
        <f ca="1">IF(O2810="","",IF(Tipo_Vertedor="Retangular",IF(O2810&lt;=cota_s*100,0,IF(Tipo_Vertedor="Retangular",Cd_sr*Lef_sr*((O2810/100-cota_s)^(3/2))*1000)),IF(O2810&lt;=cota_s*100+fi_s/20,0,(OFFSET('Base de dados'!$A$4,IF(O2810&lt;20,1,IF(O2810&gt;1000,10,MATCH(O2810,Cargas,1))),Coluna_fis,1,1))*(PI()*(fi_s/1000)^2/4)*(2*9.81*(O2810/100-cota_s-fi_s/2/1000))^0.5*1000)))</f>
        <v>6.4493163646379656</v>
      </c>
      <c r="R2810" s="38">
        <f t="shared" ca="1" si="305"/>
        <v>13.533948095325403</v>
      </c>
      <c r="S2810" s="38">
        <f t="shared" ca="1" si="306"/>
        <v>877.8125</v>
      </c>
    </row>
    <row r="2811" spans="13:19">
      <c r="M2811" s="132">
        <f t="shared" ca="1" si="303"/>
        <v>891.66160082650777</v>
      </c>
      <c r="N2811" s="38">
        <f t="shared" si="304"/>
        <v>26.34375</v>
      </c>
      <c r="O2811" s="36">
        <f t="shared" si="302"/>
        <v>702.5</v>
      </c>
      <c r="P2811" s="38">
        <f ca="1">IF(ISERROR(IF(O2811&lt;fi_h/20,0,(OFFSET('Base de dados'!$A$5,IF(O2811&lt;20,1,IF(O2811&gt;1000,10,MATCH(O2811,Cargas,1))),Coluna_fih,1,1))*(1+0.13*0.25)*(PI()*(fi_h/1000)^2/4)*SQRT(2*9.81*(O2811/100-fi_h/2/1000))*1000)),"",IF(O2811&lt;fi_h/20,0,(OFFSET('Base de dados'!$A$5,IF(O2811&lt;20,1,IF(O2811&gt;1000,10,MATCH(O2811,Cargas,1))),Coluna_fih,1,1))*(PI()*(fi_h/1000)^2/4)*SQRT(2*9.81*(O2811/100-fi_h/2/1000))*1000))</f>
        <v>7.085895845758591</v>
      </c>
      <c r="Q2811" s="38">
        <f ca="1">IF(O2811="","",IF(Tipo_Vertedor="Retangular",IF(O2811&lt;=cota_s*100,0,IF(Tipo_Vertedor="Retangular",Cd_sr*Lef_sr*((O2811/100-cota_s)^(3/2))*1000)),IF(O2811&lt;=cota_s*100+fi_s/20,0,(OFFSET('Base de dados'!$A$4,IF(O2811&lt;20,1,IF(O2811&gt;1000,10,MATCH(O2811,Cargas,1))),Coluna_fis,1,1))*(PI()*(fi_s/1000)^2/4)*(2*9.81*(O2811/100-cota_s-fi_s/2/1000))^0.5*1000)))</f>
        <v>6.4507049807492089</v>
      </c>
      <c r="R2811" s="38">
        <f t="shared" ca="1" si="305"/>
        <v>13.536600826507801</v>
      </c>
      <c r="S2811" s="38">
        <f t="shared" ca="1" si="306"/>
        <v>878.125</v>
      </c>
    </row>
    <row r="2812" spans="13:19">
      <c r="M2812" s="132">
        <f t="shared" ca="1" si="303"/>
        <v>891.97675303335666</v>
      </c>
      <c r="N2812" s="38">
        <f t="shared" si="304"/>
        <v>26.353124999999999</v>
      </c>
      <c r="O2812" s="36">
        <f t="shared" si="302"/>
        <v>702.75</v>
      </c>
      <c r="P2812" s="38">
        <f ca="1">IF(ISERROR(IF(O2812&lt;fi_h/20,0,(OFFSET('Base de dados'!$A$5,IF(O2812&lt;20,1,IF(O2812&gt;1000,10,MATCH(O2812,Cargas,1))),Coluna_fih,1,1))*(1+0.13*0.25)*(PI()*(fi_h/1000)^2/4)*SQRT(2*9.81*(O2812/100-fi_h/2/1000))*1000)),"",IF(O2812&lt;fi_h/20,0,(OFFSET('Base de dados'!$A$5,IF(O2812&lt;20,1,IF(O2812&gt;1000,10,MATCH(O2812,Cargas,1))),Coluna_fih,1,1))*(PI()*(fi_h/1000)^2/4)*SQRT(2*9.81*(O2812/100-fi_h/2/1000))*1000))</f>
        <v>7.0871597353533966</v>
      </c>
      <c r="Q2812" s="38">
        <f ca="1">IF(O2812="","",IF(Tipo_Vertedor="Retangular",IF(O2812&lt;=cota_s*100,0,IF(Tipo_Vertedor="Retangular",Cd_sr*Lef_sr*((O2812/100-cota_s)^(3/2))*1000)),IF(O2812&lt;=cota_s*100+fi_s/20,0,(OFFSET('Base de dados'!$A$4,IF(O2812&lt;20,1,IF(O2812&gt;1000,10,MATCH(O2812,Cargas,1))),Coluna_fis,1,1))*(PI()*(fi_s/1000)^2/4)*(2*9.81*(O2812/100-cota_s-fi_s/2/1000))^0.5*1000)))</f>
        <v>6.4520932980032324</v>
      </c>
      <c r="R2812" s="38">
        <f t="shared" ca="1" si="305"/>
        <v>13.53925303335663</v>
      </c>
      <c r="S2812" s="38">
        <f t="shared" ca="1" si="306"/>
        <v>878.4375</v>
      </c>
    </row>
    <row r="2813" spans="13:19">
      <c r="M2813" s="132">
        <f t="shared" ca="1" si="303"/>
        <v>892.2919047161854</v>
      </c>
      <c r="N2813" s="38">
        <f t="shared" si="304"/>
        <v>26.362500000000001</v>
      </c>
      <c r="O2813" s="36">
        <f t="shared" si="302"/>
        <v>703</v>
      </c>
      <c r="P2813" s="38">
        <f ca="1">IF(ISERROR(IF(O2813&lt;fi_h/20,0,(OFFSET('Base de dados'!$A$5,IF(O2813&lt;20,1,IF(O2813&gt;1000,10,MATCH(O2813,Cargas,1))),Coluna_fih,1,1))*(1+0.13*0.25)*(PI()*(fi_h/1000)^2/4)*SQRT(2*9.81*(O2813/100-fi_h/2/1000))*1000)),"",IF(O2813&lt;fi_h/20,0,(OFFSET('Base de dados'!$A$5,IF(O2813&lt;20,1,IF(O2813&gt;1000,10,MATCH(O2813,Cargas,1))),Coluna_fih,1,1))*(PI()*(fi_h/1000)^2/4)*SQRT(2*9.81*(O2813/100-fi_h/2/1000))*1000))</f>
        <v>7.0884233995924646</v>
      </c>
      <c r="Q2813" s="38">
        <f ca="1">IF(O2813="","",IF(Tipo_Vertedor="Retangular",IF(O2813&lt;=cota_s*100,0,IF(Tipo_Vertedor="Retangular",Cd_sr*Lef_sr*((O2813/100-cota_s)^(3/2))*1000)),IF(O2813&lt;=cota_s*100+fi_s/20,0,(OFFSET('Base de dados'!$A$4,IF(O2813&lt;20,1,IF(O2813&gt;1000,10,MATCH(O2813,Cargas,1))),Coluna_fis,1,1))*(PI()*(fi_s/1000)^2/4)*(2*9.81*(O2813/100-cota_s-fi_s/2/1000))^0.5*1000)))</f>
        <v>6.4534813165929137</v>
      </c>
      <c r="R2813" s="38">
        <f t="shared" ca="1" si="305"/>
        <v>13.541904716185378</v>
      </c>
      <c r="S2813" s="38">
        <f t="shared" ca="1" si="306"/>
        <v>878.75</v>
      </c>
    </row>
    <row r="2814" spans="13:19">
      <c r="M2814" s="132">
        <f t="shared" ca="1" si="303"/>
        <v>892.6070558753072</v>
      </c>
      <c r="N2814" s="38">
        <f t="shared" si="304"/>
        <v>26.371874999999999</v>
      </c>
      <c r="O2814" s="36">
        <f t="shared" si="302"/>
        <v>703.25</v>
      </c>
      <c r="P2814" s="38">
        <f ca="1">IF(ISERROR(IF(O2814&lt;fi_h/20,0,(OFFSET('Base de dados'!$A$5,IF(O2814&lt;20,1,IF(O2814&gt;1000,10,MATCH(O2814,Cargas,1))),Coluna_fih,1,1))*(1+0.13*0.25)*(PI()*(fi_h/1000)^2/4)*SQRT(2*9.81*(O2814/100-fi_h/2/1000))*1000)),"",IF(O2814&lt;fi_h/20,0,(OFFSET('Base de dados'!$A$5,IF(O2814&lt;20,1,IF(O2814&gt;1000,10,MATCH(O2814,Cargas,1))),Coluna_fih,1,1))*(PI()*(fi_h/1000)^2/4)*SQRT(2*9.81*(O2814/100-fi_h/2/1000))*1000))</f>
        <v>7.0896868385962977</v>
      </c>
      <c r="Q2814" s="38">
        <f ca="1">IF(O2814="","",IF(Tipo_Vertedor="Retangular",IF(O2814&lt;=cota_s*100,0,IF(Tipo_Vertedor="Retangular",Cd_sr*Lef_sr*((O2814/100-cota_s)^(3/2))*1000)),IF(O2814&lt;=cota_s*100+fi_s/20,0,(OFFSET('Base de dados'!$A$4,IF(O2814&lt;20,1,IF(O2814&gt;1000,10,MATCH(O2814,Cargas,1))),Coluna_fis,1,1))*(PI()*(fi_s/1000)^2/4)*(2*9.81*(O2814/100-cota_s-fi_s/2/1000))^0.5*1000)))</f>
        <v>6.4548690367109209</v>
      </c>
      <c r="R2814" s="38">
        <f t="shared" ca="1" si="305"/>
        <v>13.544555875307218</v>
      </c>
      <c r="S2814" s="38">
        <f t="shared" ca="1" si="306"/>
        <v>879.0625</v>
      </c>
    </row>
    <row r="2815" spans="13:19">
      <c r="M2815" s="132">
        <f t="shared" ca="1" si="303"/>
        <v>892.92220651103503</v>
      </c>
      <c r="N2815" s="38">
        <f t="shared" si="304"/>
        <v>26.381250000000001</v>
      </c>
      <c r="O2815" s="36">
        <f t="shared" si="302"/>
        <v>703.5</v>
      </c>
      <c r="P2815" s="38">
        <f ca="1">IF(ISERROR(IF(O2815&lt;fi_h/20,0,(OFFSET('Base de dados'!$A$5,IF(O2815&lt;20,1,IF(O2815&gt;1000,10,MATCH(O2815,Cargas,1))),Coluna_fih,1,1))*(1+0.13*0.25)*(PI()*(fi_h/1000)^2/4)*SQRT(2*9.81*(O2815/100-fi_h/2/1000))*1000)),"",IF(O2815&lt;fi_h/20,0,(OFFSET('Base de dados'!$A$5,IF(O2815&lt;20,1,IF(O2815&gt;1000,10,MATCH(O2815,Cargas,1))),Coluna_fih,1,1))*(PI()*(fi_h/1000)^2/4)*SQRT(2*9.81*(O2815/100-fi_h/2/1000))*1000))</f>
        <v>7.0909500524852911</v>
      </c>
      <c r="Q2815" s="38">
        <f ca="1">IF(O2815="","",IF(Tipo_Vertedor="Retangular",IF(O2815&lt;=cota_s*100,0,IF(Tipo_Vertedor="Retangular",Cd_sr*Lef_sr*((O2815/100-cota_s)^(3/2))*1000)),IF(O2815&lt;=cota_s*100+fi_s/20,0,(OFFSET('Base de dados'!$A$4,IF(O2815&lt;20,1,IF(O2815&gt;1000,10,MATCH(O2815,Cargas,1))),Coluna_fis,1,1))*(PI()*(fi_s/1000)^2/4)*(2*9.81*(O2815/100-cota_s-fi_s/2/1000))^0.5*1000)))</f>
        <v>6.456256458549718</v>
      </c>
      <c r="R2815" s="38">
        <f t="shared" ca="1" si="305"/>
        <v>13.547206511035009</v>
      </c>
      <c r="S2815" s="38">
        <f t="shared" ca="1" si="306"/>
        <v>879.375</v>
      </c>
    </row>
    <row r="2816" spans="13:19">
      <c r="M2816" s="132">
        <f t="shared" ca="1" si="303"/>
        <v>893.23735662368131</v>
      </c>
      <c r="N2816" s="38">
        <f t="shared" si="304"/>
        <v>26.390625</v>
      </c>
      <c r="O2816" s="36">
        <f t="shared" si="302"/>
        <v>703.75</v>
      </c>
      <c r="P2816" s="38">
        <f ca="1">IF(ISERROR(IF(O2816&lt;fi_h/20,0,(OFFSET('Base de dados'!$A$5,IF(O2816&lt;20,1,IF(O2816&gt;1000,10,MATCH(O2816,Cargas,1))),Coluna_fih,1,1))*(1+0.13*0.25)*(PI()*(fi_h/1000)^2/4)*SQRT(2*9.81*(O2816/100-fi_h/2/1000))*1000)),"",IF(O2816&lt;fi_h/20,0,(OFFSET('Base de dados'!$A$5,IF(O2816&lt;20,1,IF(O2816&gt;1000,10,MATCH(O2816,Cargas,1))),Coluna_fih,1,1))*(PI()*(fi_h/1000)^2/4)*SQRT(2*9.81*(O2816/100-fi_h/2/1000))*1000))</f>
        <v>7.0922130413797291</v>
      </c>
      <c r="Q2816" s="38">
        <f ca="1">IF(O2816="","",IF(Tipo_Vertedor="Retangular",IF(O2816&lt;=cota_s*100,0,IF(Tipo_Vertedor="Retangular",Cd_sr*Lef_sr*((O2816/100-cota_s)^(3/2))*1000)),IF(O2816&lt;=cota_s*100+fi_s/20,0,(OFFSET('Base de dados'!$A$4,IF(O2816&lt;20,1,IF(O2816&gt;1000,10,MATCH(O2816,Cargas,1))),Coluna_fis,1,1))*(PI()*(fi_s/1000)^2/4)*(2*9.81*(O2816/100-cota_s-fi_s/2/1000))^0.5*1000)))</f>
        <v>6.457643582301559</v>
      </c>
      <c r="R2816" s="38">
        <f t="shared" ca="1" si="305"/>
        <v>13.549856623681288</v>
      </c>
      <c r="S2816" s="38">
        <f t="shared" ca="1" si="306"/>
        <v>879.6875</v>
      </c>
    </row>
    <row r="2817" spans="13:19">
      <c r="M2817" s="132">
        <f t="shared" ca="1" si="303"/>
        <v>893.55250621355833</v>
      </c>
      <c r="N2817" s="38">
        <f t="shared" si="304"/>
        <v>26.4</v>
      </c>
      <c r="O2817" s="36">
        <f t="shared" si="302"/>
        <v>704</v>
      </c>
      <c r="P2817" s="38">
        <f ca="1">IF(ISERROR(IF(O2817&lt;fi_h/20,0,(OFFSET('Base de dados'!$A$5,IF(O2817&lt;20,1,IF(O2817&gt;1000,10,MATCH(O2817,Cargas,1))),Coluna_fih,1,1))*(1+0.13*0.25)*(PI()*(fi_h/1000)^2/4)*SQRT(2*9.81*(O2817/100-fi_h/2/1000))*1000)),"",IF(O2817&lt;fi_h/20,0,(OFFSET('Base de dados'!$A$5,IF(O2817&lt;20,1,IF(O2817&gt;1000,10,MATCH(O2817,Cargas,1))),Coluna_fih,1,1))*(PI()*(fi_h/1000)^2/4)*SQRT(2*9.81*(O2817/100-fi_h/2/1000))*1000))</f>
        <v>7.0934758053997964</v>
      </c>
      <c r="Q2817" s="38">
        <f ca="1">IF(O2817="","",IF(Tipo_Vertedor="Retangular",IF(O2817&lt;=cota_s*100,0,IF(Tipo_Vertedor="Retangular",Cd_sr*Lef_sr*((O2817/100-cota_s)^(3/2))*1000)),IF(O2817&lt;=cota_s*100+fi_s/20,0,(OFFSET('Base de dados'!$A$4,IF(O2817&lt;20,1,IF(O2817&gt;1000,10,MATCH(O2817,Cargas,1))),Coluna_fis,1,1))*(PI()*(fi_s/1000)^2/4)*(2*9.81*(O2817/100-cota_s-fi_s/2/1000))^0.5*1000)))</f>
        <v>6.4590304081584948</v>
      </c>
      <c r="R2817" s="38">
        <f t="shared" ca="1" si="305"/>
        <v>13.552506213558292</v>
      </c>
      <c r="S2817" s="38">
        <f t="shared" ca="1" si="306"/>
        <v>880</v>
      </c>
    </row>
    <row r="2818" spans="13:19">
      <c r="M2818" s="132">
        <f t="shared" ca="1" si="303"/>
        <v>893.86765528097794</v>
      </c>
      <c r="N2818" s="38">
        <f t="shared" si="304"/>
        <v>26.409375000000001</v>
      </c>
      <c r="O2818" s="36">
        <f t="shared" si="302"/>
        <v>704.25</v>
      </c>
      <c r="P2818" s="38">
        <f ca="1">IF(ISERROR(IF(O2818&lt;fi_h/20,0,(OFFSET('Base de dados'!$A$5,IF(O2818&lt;20,1,IF(O2818&gt;1000,10,MATCH(O2818,Cargas,1))),Coluna_fih,1,1))*(1+0.13*0.25)*(PI()*(fi_h/1000)^2/4)*SQRT(2*9.81*(O2818/100-fi_h/2/1000))*1000)),"",IF(O2818&lt;fi_h/20,0,(OFFSET('Base de dados'!$A$5,IF(O2818&lt;20,1,IF(O2818&gt;1000,10,MATCH(O2818,Cargas,1))),Coluna_fih,1,1))*(PI()*(fi_h/1000)^2/4)*SQRT(2*9.81*(O2818/100-fi_h/2/1000))*1000))</f>
        <v>7.0947383446655641</v>
      </c>
      <c r="Q2818" s="38">
        <f ca="1">IF(O2818="","",IF(Tipo_Vertedor="Retangular",IF(O2818&lt;=cota_s*100,0,IF(Tipo_Vertedor="Retangular",Cd_sr*Lef_sr*((O2818/100-cota_s)^(3/2))*1000)),IF(O2818&lt;=cota_s*100+fi_s/20,0,(OFFSET('Base de dados'!$A$4,IF(O2818&lt;20,1,IF(O2818&gt;1000,10,MATCH(O2818,Cargas,1))),Coluna_fis,1,1))*(PI()*(fi_s/1000)^2/4)*(2*9.81*(O2818/100-cota_s-fi_s/2/1000))^0.5*1000)))</f>
        <v>6.4604169363123676</v>
      </c>
      <c r="R2818" s="38">
        <f t="shared" ca="1" si="305"/>
        <v>13.555155280977932</v>
      </c>
      <c r="S2818" s="38">
        <f t="shared" ca="1" si="306"/>
        <v>880.3125</v>
      </c>
    </row>
    <row r="2819" spans="13:19">
      <c r="M2819" s="132">
        <f t="shared" ca="1" si="303"/>
        <v>894.18280382625176</v>
      </c>
      <c r="N2819" s="38">
        <f t="shared" si="304"/>
        <v>26.418749999999999</v>
      </c>
      <c r="O2819" s="36">
        <f t="shared" si="302"/>
        <v>704.5</v>
      </c>
      <c r="P2819" s="38">
        <f ca="1">IF(ISERROR(IF(O2819&lt;fi_h/20,0,(OFFSET('Base de dados'!$A$5,IF(O2819&lt;20,1,IF(O2819&gt;1000,10,MATCH(O2819,Cargas,1))),Coluna_fih,1,1))*(1+0.13*0.25)*(PI()*(fi_h/1000)^2/4)*SQRT(2*9.81*(O2819/100-fi_h/2/1000))*1000)),"",IF(O2819&lt;fi_h/20,0,(OFFSET('Base de dados'!$A$5,IF(O2819&lt;20,1,IF(O2819&gt;1000,10,MATCH(O2819,Cargas,1))),Coluna_fih,1,1))*(PI()*(fi_h/1000)^2/4)*SQRT(2*9.81*(O2819/100-fi_h/2/1000))*1000))</f>
        <v>7.0960006592969984</v>
      </c>
      <c r="Q2819" s="38">
        <f ca="1">IF(O2819="","",IF(Tipo_Vertedor="Retangular",IF(O2819&lt;=cota_s*100,0,IF(Tipo_Vertedor="Retangular",Cd_sr*Lef_sr*((O2819/100-cota_s)^(3/2))*1000)),IF(O2819&lt;=cota_s*100+fi_s/20,0,(OFFSET('Base de dados'!$A$4,IF(O2819&lt;20,1,IF(O2819&gt;1000,10,MATCH(O2819,Cargas,1))),Coluna_fis,1,1))*(PI()*(fi_s/1000)^2/4)*(2*9.81*(O2819/100-cota_s-fi_s/2/1000))^0.5*1000)))</f>
        <v>6.4618031669548124</v>
      </c>
      <c r="R2819" s="38">
        <f t="shared" ca="1" si="305"/>
        <v>13.55780382625181</v>
      </c>
      <c r="S2819" s="38">
        <f t="shared" ca="1" si="306"/>
        <v>880.625</v>
      </c>
    </row>
    <row r="2820" spans="13:19">
      <c r="M2820" s="132">
        <f t="shared" ca="1" si="303"/>
        <v>894.49795184969128</v>
      </c>
      <c r="N2820" s="38">
        <f t="shared" si="304"/>
        <v>26.428125000000001</v>
      </c>
      <c r="O2820" s="36">
        <f t="shared" si="302"/>
        <v>704.75</v>
      </c>
      <c r="P2820" s="38">
        <f ca="1">IF(ISERROR(IF(O2820&lt;fi_h/20,0,(OFFSET('Base de dados'!$A$5,IF(O2820&lt;20,1,IF(O2820&gt;1000,10,MATCH(O2820,Cargas,1))),Coluna_fih,1,1))*(1+0.13*0.25)*(PI()*(fi_h/1000)^2/4)*SQRT(2*9.81*(O2820/100-fi_h/2/1000))*1000)),"",IF(O2820&lt;fi_h/20,0,(OFFSET('Base de dados'!$A$5,IF(O2820&lt;20,1,IF(O2820&gt;1000,10,MATCH(O2820,Cargas,1))),Coluna_fih,1,1))*(PI()*(fi_h/1000)^2/4)*SQRT(2*9.81*(O2820/100-fi_h/2/1000))*1000))</f>
        <v>7.0972627494139626</v>
      </c>
      <c r="Q2820" s="38">
        <f ca="1">IF(O2820="","",IF(Tipo_Vertedor="Retangular",IF(O2820&lt;=cota_s*100,0,IF(Tipo_Vertedor="Retangular",Cd_sr*Lef_sr*((O2820/100-cota_s)^(3/2))*1000)),IF(O2820&lt;=cota_s*100+fi_s/20,0,(OFFSET('Base de dados'!$A$4,IF(O2820&lt;20,1,IF(O2820&gt;1000,10,MATCH(O2820,Cargas,1))),Coluna_fis,1,1))*(PI()*(fi_s/1000)^2/4)*(2*9.81*(O2820/100-cota_s-fi_s/2/1000))^0.5*1000)))</f>
        <v>6.4631891002772637</v>
      </c>
      <c r="R2820" s="38">
        <f t="shared" ca="1" si="305"/>
        <v>13.560451849691226</v>
      </c>
      <c r="S2820" s="38">
        <f t="shared" ca="1" si="306"/>
        <v>880.9375</v>
      </c>
    </row>
    <row r="2821" spans="13:19">
      <c r="M2821" s="132">
        <f t="shared" ca="1" si="303"/>
        <v>894.81309935160721</v>
      </c>
      <c r="N2821" s="38">
        <f t="shared" si="304"/>
        <v>26.4375</v>
      </c>
      <c r="O2821" s="36">
        <f t="shared" si="302"/>
        <v>705</v>
      </c>
      <c r="P2821" s="38">
        <f ca="1">IF(ISERROR(IF(O2821&lt;fi_h/20,0,(OFFSET('Base de dados'!$A$5,IF(O2821&lt;20,1,IF(O2821&gt;1000,10,MATCH(O2821,Cargas,1))),Coluna_fih,1,1))*(1+0.13*0.25)*(PI()*(fi_h/1000)^2/4)*SQRT(2*9.81*(O2821/100-fi_h/2/1000))*1000)),"",IF(O2821&lt;fi_h/20,0,(OFFSET('Base de dados'!$A$5,IF(O2821&lt;20,1,IF(O2821&gt;1000,10,MATCH(O2821,Cargas,1))),Coluna_fih,1,1))*(PI()*(fi_h/1000)^2/4)*SQRT(2*9.81*(O2821/100-fi_h/2/1000))*1000))</f>
        <v>7.0985246151362045</v>
      </c>
      <c r="Q2821" s="38">
        <f ca="1">IF(O2821="","",IF(Tipo_Vertedor="Retangular",IF(O2821&lt;=cota_s*100,0,IF(Tipo_Vertedor="Retangular",Cd_sr*Lef_sr*((O2821/100-cota_s)^(3/2))*1000)),IF(O2821&lt;=cota_s*100+fi_s/20,0,(OFFSET('Base de dados'!$A$4,IF(O2821&lt;20,1,IF(O2821&gt;1000,10,MATCH(O2821,Cargas,1))),Coluna_fis,1,1))*(PI()*(fi_s/1000)^2/4)*(2*9.81*(O2821/100-cota_s-fi_s/2/1000))^0.5*1000)))</f>
        <v>6.4645747364709454</v>
      </c>
      <c r="R2821" s="38">
        <f t="shared" ca="1" si="305"/>
        <v>13.56309935160715</v>
      </c>
      <c r="S2821" s="38">
        <f t="shared" ca="1" si="306"/>
        <v>881.25</v>
      </c>
    </row>
    <row r="2822" spans="13:19">
      <c r="M2822" s="132">
        <f t="shared" ca="1" si="303"/>
        <v>895.12824633231037</v>
      </c>
      <c r="N2822" s="38">
        <f t="shared" si="304"/>
        <v>26.446875000000002</v>
      </c>
      <c r="O2822" s="36">
        <f t="shared" si="302"/>
        <v>705.25</v>
      </c>
      <c r="P2822" s="38">
        <f ca="1">IF(ISERROR(IF(O2822&lt;fi_h/20,0,(OFFSET('Base de dados'!$A$5,IF(O2822&lt;20,1,IF(O2822&gt;1000,10,MATCH(O2822,Cargas,1))),Coluna_fih,1,1))*(1+0.13*0.25)*(PI()*(fi_h/1000)^2/4)*SQRT(2*9.81*(O2822/100-fi_h/2/1000))*1000)),"",IF(O2822&lt;fi_h/20,0,(OFFSET('Base de dados'!$A$5,IF(O2822&lt;20,1,IF(O2822&gt;1000,10,MATCH(O2822,Cargas,1))),Coluna_fih,1,1))*(PI()*(fi_h/1000)^2/4)*SQRT(2*9.81*(O2822/100-fi_h/2/1000))*1000))</f>
        <v>7.0997862565833749</v>
      </c>
      <c r="Q2822" s="38">
        <f ca="1">IF(O2822="","",IF(Tipo_Vertedor="Retangular",IF(O2822&lt;=cota_s*100,0,IF(Tipo_Vertedor="Retangular",Cd_sr*Lef_sr*((O2822/100-cota_s)^(3/2))*1000)),IF(O2822&lt;=cota_s*100+fi_s/20,0,(OFFSET('Base de dados'!$A$4,IF(O2822&lt;20,1,IF(O2822&gt;1000,10,MATCH(O2822,Cargas,1))),Coluna_fis,1,1))*(PI()*(fi_s/1000)^2/4)*(2*9.81*(O2822/100-cota_s-fi_s/2/1000))^0.5*1000)))</f>
        <v>6.4659600757268816</v>
      </c>
      <c r="R2822" s="38">
        <f t="shared" ca="1" si="305"/>
        <v>13.565746332310257</v>
      </c>
      <c r="S2822" s="38">
        <f t="shared" ca="1" si="306"/>
        <v>881.56250000000011</v>
      </c>
    </row>
    <row r="2823" spans="13:19">
      <c r="M2823" s="132">
        <f t="shared" ca="1" si="303"/>
        <v>895.44339279211079</v>
      </c>
      <c r="N2823" s="38">
        <f t="shared" si="304"/>
        <v>26.456249999999997</v>
      </c>
      <c r="O2823" s="36">
        <f t="shared" si="302"/>
        <v>705.5</v>
      </c>
      <c r="P2823" s="38">
        <f ca="1">IF(ISERROR(IF(O2823&lt;fi_h/20,0,(OFFSET('Base de dados'!$A$5,IF(O2823&lt;20,1,IF(O2823&gt;1000,10,MATCH(O2823,Cargas,1))),Coluna_fih,1,1))*(1+0.13*0.25)*(PI()*(fi_h/1000)^2/4)*SQRT(2*9.81*(O2823/100-fi_h/2/1000))*1000)),"",IF(O2823&lt;fi_h/20,0,(OFFSET('Base de dados'!$A$5,IF(O2823&lt;20,1,IF(O2823&gt;1000,10,MATCH(O2823,Cargas,1))),Coluna_fih,1,1))*(PI()*(fi_h/1000)^2/4)*SQRT(2*9.81*(O2823/100-fi_h/2/1000))*1000))</f>
        <v>7.1010476738750139</v>
      </c>
      <c r="Q2823" s="38">
        <f ca="1">IF(O2823="","",IF(Tipo_Vertedor="Retangular",IF(O2823&lt;=cota_s*100,0,IF(Tipo_Vertedor="Retangular",Cd_sr*Lef_sr*((O2823/100-cota_s)^(3/2))*1000)),IF(O2823&lt;=cota_s*100+fi_s/20,0,(OFFSET('Base de dados'!$A$4,IF(O2823&lt;20,1,IF(O2823&gt;1000,10,MATCH(O2823,Cargas,1))),Coluna_fis,1,1))*(PI()*(fi_s/1000)^2/4)*(2*9.81*(O2823/100-cota_s-fi_s/2/1000))^0.5*1000)))</f>
        <v>6.4673451182358859</v>
      </c>
      <c r="R2823" s="38">
        <f t="shared" ca="1" si="305"/>
        <v>13.568392792110899</v>
      </c>
      <c r="S2823" s="38">
        <f t="shared" ca="1" si="306"/>
        <v>881.87499999999989</v>
      </c>
    </row>
    <row r="2824" spans="13:19">
      <c r="M2824" s="132">
        <f t="shared" ca="1" si="303"/>
        <v>895.75853873131916</v>
      </c>
      <c r="N2824" s="38">
        <f t="shared" si="304"/>
        <v>26.465624999999999</v>
      </c>
      <c r="O2824" s="36">
        <f t="shared" si="302"/>
        <v>705.75</v>
      </c>
      <c r="P2824" s="38">
        <f ca="1">IF(ISERROR(IF(O2824&lt;fi_h/20,0,(OFFSET('Base de dados'!$A$5,IF(O2824&lt;20,1,IF(O2824&gt;1000,10,MATCH(O2824,Cargas,1))),Coluna_fih,1,1))*(1+0.13*0.25)*(PI()*(fi_h/1000)^2/4)*SQRT(2*9.81*(O2824/100-fi_h/2/1000))*1000)),"",IF(O2824&lt;fi_h/20,0,(OFFSET('Base de dados'!$A$5,IF(O2824&lt;20,1,IF(O2824&gt;1000,10,MATCH(O2824,Cargas,1))),Coluna_fih,1,1))*(PI()*(fi_h/1000)^2/4)*SQRT(2*9.81*(O2824/100-fi_h/2/1000))*1000))</f>
        <v>7.1023088671305556</v>
      </c>
      <c r="Q2824" s="38">
        <f ca="1">IF(O2824="","",IF(Tipo_Vertedor="Retangular",IF(O2824&lt;=cota_s*100,0,IF(Tipo_Vertedor="Retangular",Cd_sr*Lef_sr*((O2824/100-cota_s)^(3/2))*1000)),IF(O2824&lt;=cota_s*100+fi_s/20,0,(OFFSET('Base de dados'!$A$4,IF(O2824&lt;20,1,IF(O2824&gt;1000,10,MATCH(O2824,Cargas,1))),Coluna_fis,1,1))*(PI()*(fi_s/1000)^2/4)*(2*9.81*(O2824/100-cota_s-fi_s/2/1000))^0.5*1000)))</f>
        <v>6.4687298641885738</v>
      </c>
      <c r="R2824" s="38">
        <f t="shared" ca="1" si="305"/>
        <v>13.571038731319129</v>
      </c>
      <c r="S2824" s="38">
        <f t="shared" ca="1" si="306"/>
        <v>882.1875</v>
      </c>
    </row>
    <row r="2825" spans="13:19">
      <c r="M2825" s="132">
        <f t="shared" ca="1" si="303"/>
        <v>896.07368415024462</v>
      </c>
      <c r="N2825" s="38">
        <f t="shared" si="304"/>
        <v>26.474999999999998</v>
      </c>
      <c r="O2825" s="36">
        <f t="shared" si="302"/>
        <v>706</v>
      </c>
      <c r="P2825" s="38">
        <f ca="1">IF(ISERROR(IF(O2825&lt;fi_h/20,0,(OFFSET('Base de dados'!$A$5,IF(O2825&lt;20,1,IF(O2825&gt;1000,10,MATCH(O2825,Cargas,1))),Coluna_fih,1,1))*(1+0.13*0.25)*(PI()*(fi_h/1000)^2/4)*SQRT(2*9.81*(O2825/100-fi_h/2/1000))*1000)),"",IF(O2825&lt;fi_h/20,0,(OFFSET('Base de dados'!$A$5,IF(O2825&lt;20,1,IF(O2825&gt;1000,10,MATCH(O2825,Cargas,1))),Coluna_fih,1,1))*(PI()*(fi_h/1000)^2/4)*SQRT(2*9.81*(O2825/100-fi_h/2/1000))*1000))</f>
        <v>7.1035698364693296</v>
      </c>
      <c r="Q2825" s="38">
        <f ca="1">IF(O2825="","",IF(Tipo_Vertedor="Retangular",IF(O2825&lt;=cota_s*100,0,IF(Tipo_Vertedor="Retangular",Cd_sr*Lef_sr*((O2825/100-cota_s)^(3/2))*1000)),IF(O2825&lt;=cota_s*100+fi_s/20,0,(OFFSET('Base de dados'!$A$4,IF(O2825&lt;20,1,IF(O2825&gt;1000,10,MATCH(O2825,Cargas,1))),Coluna_fis,1,1))*(PI()*(fi_s/1000)^2/4)*(2*9.81*(O2825/100-cota_s-fi_s/2/1000))^0.5*1000)))</f>
        <v>6.4701143137753521</v>
      </c>
      <c r="R2825" s="38">
        <f t="shared" ca="1" si="305"/>
        <v>13.573684150244681</v>
      </c>
      <c r="S2825" s="38">
        <f t="shared" ca="1" si="306"/>
        <v>882.49999999999989</v>
      </c>
    </row>
    <row r="2826" spans="13:19">
      <c r="M2826" s="132">
        <f t="shared" ca="1" si="303"/>
        <v>896.38882904919694</v>
      </c>
      <c r="N2826" s="38">
        <f t="shared" si="304"/>
        <v>26.484375</v>
      </c>
      <c r="O2826" s="36">
        <f t="shared" si="302"/>
        <v>706.25</v>
      </c>
      <c r="P2826" s="38">
        <f ca="1">IF(ISERROR(IF(O2826&lt;fi_h/20,0,(OFFSET('Base de dados'!$A$5,IF(O2826&lt;20,1,IF(O2826&gt;1000,10,MATCH(O2826,Cargas,1))),Coluna_fih,1,1))*(1+0.13*0.25)*(PI()*(fi_h/1000)^2/4)*SQRT(2*9.81*(O2826/100-fi_h/2/1000))*1000)),"",IF(O2826&lt;fi_h/20,0,(OFFSET('Base de dados'!$A$5,IF(O2826&lt;20,1,IF(O2826&gt;1000,10,MATCH(O2826,Cargas,1))),Coluna_fih,1,1))*(PI()*(fi_h/1000)^2/4)*SQRT(2*9.81*(O2826/100-fi_h/2/1000))*1000))</f>
        <v>7.1048305820105568</v>
      </c>
      <c r="Q2826" s="38">
        <f ca="1">IF(O2826="","",IF(Tipo_Vertedor="Retangular",IF(O2826&lt;=cota_s*100,0,IF(Tipo_Vertedor="Retangular",Cd_sr*Lef_sr*((O2826/100-cota_s)^(3/2))*1000)),IF(O2826&lt;=cota_s*100+fi_s/20,0,(OFFSET('Base de dados'!$A$4,IF(O2826&lt;20,1,IF(O2826&gt;1000,10,MATCH(O2826,Cargas,1))),Coluna_fis,1,1))*(PI()*(fi_s/1000)^2/4)*(2*9.81*(O2826/100-cota_s-fi_s/2/1000))^0.5*1000)))</f>
        <v>6.4714984671864277</v>
      </c>
      <c r="R2826" s="38">
        <f t="shared" ca="1" si="305"/>
        <v>13.576329049196985</v>
      </c>
      <c r="S2826" s="38">
        <f t="shared" ca="1" si="306"/>
        <v>882.8125</v>
      </c>
    </row>
    <row r="2827" spans="13:19">
      <c r="M2827" s="132">
        <f t="shared" ca="1" si="303"/>
        <v>896.70397342848526</v>
      </c>
      <c r="N2827" s="38">
        <f t="shared" si="304"/>
        <v>26.493750000000002</v>
      </c>
      <c r="O2827" s="36">
        <f t="shared" si="302"/>
        <v>706.5</v>
      </c>
      <c r="P2827" s="38">
        <f ca="1">IF(ISERROR(IF(O2827&lt;fi_h/20,0,(OFFSET('Base de dados'!$A$5,IF(O2827&lt;20,1,IF(O2827&gt;1000,10,MATCH(O2827,Cargas,1))),Coluna_fih,1,1))*(1+0.13*0.25)*(PI()*(fi_h/1000)^2/4)*SQRT(2*9.81*(O2827/100-fi_h/2/1000))*1000)),"",IF(O2827&lt;fi_h/20,0,(OFFSET('Base de dados'!$A$5,IF(O2827&lt;20,1,IF(O2827&gt;1000,10,MATCH(O2827,Cargas,1))),Coluna_fih,1,1))*(PI()*(fi_h/1000)^2/4)*SQRT(2*9.81*(O2827/100-fi_h/2/1000))*1000))</f>
        <v>7.1060911038733563</v>
      </c>
      <c r="Q2827" s="38">
        <f ca="1">IF(O2827="","",IF(Tipo_Vertedor="Retangular",IF(O2827&lt;=cota_s*100,0,IF(Tipo_Vertedor="Retangular",Cd_sr*Lef_sr*((O2827/100-cota_s)^(3/2))*1000)),IF(O2827&lt;=cota_s*100+fi_s/20,0,(OFFSET('Base de dados'!$A$4,IF(O2827&lt;20,1,IF(O2827&gt;1000,10,MATCH(O2827,Cargas,1))),Coluna_fis,1,1))*(PI()*(fi_s/1000)^2/4)*(2*9.81*(O2827/100-cota_s-fi_s/2/1000))^0.5*1000)))</f>
        <v>6.4728823246117999</v>
      </c>
      <c r="R2827" s="38">
        <f t="shared" ca="1" si="305"/>
        <v>13.578973428485156</v>
      </c>
      <c r="S2827" s="38">
        <f t="shared" ca="1" si="306"/>
        <v>883.12500000000011</v>
      </c>
    </row>
    <row r="2828" spans="13:19">
      <c r="M2828" s="132">
        <f t="shared" ca="1" si="303"/>
        <v>897.01911728841799</v>
      </c>
      <c r="N2828" s="38">
        <f t="shared" si="304"/>
        <v>26.503125000000001</v>
      </c>
      <c r="O2828" s="36">
        <f t="shared" si="302"/>
        <v>706.75</v>
      </c>
      <c r="P2828" s="38">
        <f ca="1">IF(ISERROR(IF(O2828&lt;fi_h/20,0,(OFFSET('Base de dados'!$A$5,IF(O2828&lt;20,1,IF(O2828&gt;1000,10,MATCH(O2828,Cargas,1))),Coluna_fih,1,1))*(1+0.13*0.25)*(PI()*(fi_h/1000)^2/4)*SQRT(2*9.81*(O2828/100-fi_h/2/1000))*1000)),"",IF(O2828&lt;fi_h/20,0,(OFFSET('Base de dados'!$A$5,IF(O2828&lt;20,1,IF(O2828&gt;1000,10,MATCH(O2828,Cargas,1))),Coluna_fih,1,1))*(PI()*(fi_h/1000)^2/4)*SQRT(2*9.81*(O2828/100-fi_h/2/1000))*1000))</f>
        <v>7.1073514021767368</v>
      </c>
      <c r="Q2828" s="38">
        <f ca="1">IF(O2828="","",IF(Tipo_Vertedor="Retangular",IF(O2828&lt;=cota_s*100,0,IF(Tipo_Vertedor="Retangular",Cd_sr*Lef_sr*((O2828/100-cota_s)^(3/2))*1000)),IF(O2828&lt;=cota_s*100+fi_s/20,0,(OFFSET('Base de dados'!$A$4,IF(O2828&lt;20,1,IF(O2828&gt;1000,10,MATCH(O2828,Cargas,1))),Coluna_fis,1,1))*(PI()*(fi_s/1000)^2/4)*(2*9.81*(O2828/100-cota_s-fi_s/2/1000))^0.5*1000)))</f>
        <v>6.4742658862412679</v>
      </c>
      <c r="R2828" s="38">
        <f t="shared" ca="1" si="305"/>
        <v>13.581617288418006</v>
      </c>
      <c r="S2828" s="38">
        <f t="shared" ca="1" si="306"/>
        <v>883.4375</v>
      </c>
    </row>
    <row r="2829" spans="13:19">
      <c r="M2829" s="132">
        <f t="shared" ca="1" si="303"/>
        <v>897.33426062930414</v>
      </c>
      <c r="N2829" s="38">
        <f t="shared" si="304"/>
        <v>26.512500000000003</v>
      </c>
      <c r="O2829" s="36">
        <f t="shared" si="302"/>
        <v>707</v>
      </c>
      <c r="P2829" s="38">
        <f ca="1">IF(ISERROR(IF(O2829&lt;fi_h/20,0,(OFFSET('Base de dados'!$A$5,IF(O2829&lt;20,1,IF(O2829&gt;1000,10,MATCH(O2829,Cargas,1))),Coluna_fih,1,1))*(1+0.13*0.25)*(PI()*(fi_h/1000)^2/4)*SQRT(2*9.81*(O2829/100-fi_h/2/1000))*1000)),"",IF(O2829&lt;fi_h/20,0,(OFFSET('Base de dados'!$A$5,IF(O2829&lt;20,1,IF(O2829&gt;1000,10,MATCH(O2829,Cargas,1))),Coluna_fih,1,1))*(PI()*(fi_h/1000)^2/4)*SQRT(2*9.81*(O2829/100-fi_h/2/1000))*1000))</f>
        <v>7.1086114770396058</v>
      </c>
      <c r="Q2829" s="38">
        <f ca="1">IF(O2829="","",IF(Tipo_Vertedor="Retangular",IF(O2829&lt;=cota_s*100,0,IF(Tipo_Vertedor="Retangular",Cd_sr*Lef_sr*((O2829/100-cota_s)^(3/2))*1000)),IF(O2829&lt;=cota_s*100+fi_s/20,0,(OFFSET('Base de dados'!$A$4,IF(O2829&lt;20,1,IF(O2829&gt;1000,10,MATCH(O2829,Cargas,1))),Coluna_fis,1,1))*(PI()*(fi_s/1000)^2/4)*(2*9.81*(O2829/100-cota_s-fi_s/2/1000))^0.5*1000)))</f>
        <v>6.4756491522644284</v>
      </c>
      <c r="R2829" s="38">
        <f t="shared" ca="1" si="305"/>
        <v>13.584260629304033</v>
      </c>
      <c r="S2829" s="38">
        <f t="shared" ca="1" si="306"/>
        <v>883.75000000000011</v>
      </c>
    </row>
    <row r="2830" spans="13:19">
      <c r="M2830" s="132">
        <f t="shared" ca="1" si="303"/>
        <v>897.64940345145135</v>
      </c>
      <c r="N2830" s="38">
        <f t="shared" si="304"/>
        <v>26.521874999999998</v>
      </c>
      <c r="O2830" s="36">
        <f t="shared" si="302"/>
        <v>707.25</v>
      </c>
      <c r="P2830" s="38">
        <f ca="1">IF(ISERROR(IF(O2830&lt;fi_h/20,0,(OFFSET('Base de dados'!$A$5,IF(O2830&lt;20,1,IF(O2830&gt;1000,10,MATCH(O2830,Cargas,1))),Coluna_fih,1,1))*(1+0.13*0.25)*(PI()*(fi_h/1000)^2/4)*SQRT(2*9.81*(O2830/100-fi_h/2/1000))*1000)),"",IF(O2830&lt;fi_h/20,0,(OFFSET('Base de dados'!$A$5,IF(O2830&lt;20,1,IF(O2830&gt;1000,10,MATCH(O2830,Cargas,1))),Coluna_fih,1,1))*(PI()*(fi_h/1000)^2/4)*SQRT(2*9.81*(O2830/100-fi_h/2/1000))*1000))</f>
        <v>7.1098713285807618</v>
      </c>
      <c r="Q2830" s="38">
        <f ca="1">IF(O2830="","",IF(Tipo_Vertedor="Retangular",IF(O2830&lt;=cota_s*100,0,IF(Tipo_Vertedor="Retangular",Cd_sr*Lef_sr*((O2830/100-cota_s)^(3/2))*1000)),IF(O2830&lt;=cota_s*100+fi_s/20,0,(OFFSET('Base de dados'!$A$4,IF(O2830&lt;20,1,IF(O2830&gt;1000,10,MATCH(O2830,Cargas,1))),Coluna_fis,1,1))*(PI()*(fi_s/1000)^2/4)*(2*9.81*(O2830/100-cota_s-fi_s/2/1000))^0.5*1000)))</f>
        <v>6.4770321228706722</v>
      </c>
      <c r="R2830" s="38">
        <f t="shared" ca="1" si="305"/>
        <v>13.586903451451434</v>
      </c>
      <c r="S2830" s="38">
        <f t="shared" ca="1" si="306"/>
        <v>884.06249999999989</v>
      </c>
    </row>
    <row r="2831" spans="13:19">
      <c r="M2831" s="132">
        <f t="shared" ca="1" si="303"/>
        <v>897.96454575516805</v>
      </c>
      <c r="N2831" s="38">
        <f t="shared" si="304"/>
        <v>26.53125</v>
      </c>
      <c r="O2831" s="36">
        <f t="shared" si="302"/>
        <v>707.5</v>
      </c>
      <c r="P2831" s="38">
        <f ca="1">IF(ISERROR(IF(O2831&lt;fi_h/20,0,(OFFSET('Base de dados'!$A$5,IF(O2831&lt;20,1,IF(O2831&gt;1000,10,MATCH(O2831,Cargas,1))),Coluna_fih,1,1))*(1+0.13*0.25)*(PI()*(fi_h/1000)^2/4)*SQRT(2*9.81*(O2831/100-fi_h/2/1000))*1000)),"",IF(O2831&lt;fi_h/20,0,(OFFSET('Base de dados'!$A$5,IF(O2831&lt;20,1,IF(O2831&gt;1000,10,MATCH(O2831,Cargas,1))),Coluna_fih,1,1))*(PI()*(fi_h/1000)^2/4)*SQRT(2*9.81*(O2831/100-fi_h/2/1000))*1000))</f>
        <v>7.1111309569189025</v>
      </c>
      <c r="Q2831" s="38">
        <f ca="1">IF(O2831="","",IF(Tipo_Vertedor="Retangular",IF(O2831&lt;=cota_s*100,0,IF(Tipo_Vertedor="Retangular",Cd_sr*Lef_sr*((O2831/100-cota_s)^(3/2))*1000)),IF(O2831&lt;=cota_s*100+fi_s/20,0,(OFFSET('Base de dados'!$A$4,IF(O2831&lt;20,1,IF(O2831&gt;1000,10,MATCH(O2831,Cargas,1))),Coluna_fis,1,1))*(PI()*(fi_s/1000)^2/4)*(2*9.81*(O2831/100-cota_s-fi_s/2/1000))^0.5*1000)))</f>
        <v>6.4784147982491946</v>
      </c>
      <c r="R2831" s="38">
        <f t="shared" ca="1" si="305"/>
        <v>13.589545755168096</v>
      </c>
      <c r="S2831" s="38">
        <f t="shared" ca="1" si="306"/>
        <v>884.375</v>
      </c>
    </row>
    <row r="2832" spans="13:19">
      <c r="M2832" s="132">
        <f t="shared" ca="1" si="303"/>
        <v>898.27968754076164</v>
      </c>
      <c r="N2832" s="38">
        <f t="shared" si="304"/>
        <v>26.540624999999999</v>
      </c>
      <c r="O2832" s="36">
        <f t="shared" si="302"/>
        <v>707.75</v>
      </c>
      <c r="P2832" s="38">
        <f ca="1">IF(ISERROR(IF(O2832&lt;fi_h/20,0,(OFFSET('Base de dados'!$A$5,IF(O2832&lt;20,1,IF(O2832&gt;1000,10,MATCH(O2832,Cargas,1))),Coluna_fih,1,1))*(1+0.13*0.25)*(PI()*(fi_h/1000)^2/4)*SQRT(2*9.81*(O2832/100-fi_h/2/1000))*1000)),"",IF(O2832&lt;fi_h/20,0,(OFFSET('Base de dados'!$A$5,IF(O2832&lt;20,1,IF(O2832&gt;1000,10,MATCH(O2832,Cargas,1))),Coluna_fih,1,1))*(PI()*(fi_h/1000)^2/4)*SQRT(2*9.81*(O2832/100-fi_h/2/1000))*1000))</f>
        <v>7.1123903621726168</v>
      </c>
      <c r="Q2832" s="38">
        <f ca="1">IF(O2832="","",IF(Tipo_Vertedor="Retangular",IF(O2832&lt;=cota_s*100,0,IF(Tipo_Vertedor="Retangular",Cd_sr*Lef_sr*((O2832/100-cota_s)^(3/2))*1000)),IF(O2832&lt;=cota_s*100+fi_s/20,0,(OFFSET('Base de dados'!$A$4,IF(O2832&lt;20,1,IF(O2832&gt;1000,10,MATCH(O2832,Cargas,1))),Coluna_fis,1,1))*(PI()*(fi_s/1000)^2/4)*(2*9.81*(O2832/100-cota_s-fi_s/2/1000))^0.5*1000)))</f>
        <v>6.4797971785889823</v>
      </c>
      <c r="R2832" s="38">
        <f t="shared" ca="1" si="305"/>
        <v>13.5921875407616</v>
      </c>
      <c r="S2832" s="38">
        <f t="shared" ca="1" si="306"/>
        <v>884.6875</v>
      </c>
    </row>
    <row r="2833" spans="13:19">
      <c r="M2833" s="132">
        <f t="shared" ca="1" si="303"/>
        <v>898.59482880853921</v>
      </c>
      <c r="N2833" s="38">
        <f t="shared" si="304"/>
        <v>26.55</v>
      </c>
      <c r="O2833" s="36">
        <f t="shared" si="302"/>
        <v>708</v>
      </c>
      <c r="P2833" s="38">
        <f ca="1">IF(ISERROR(IF(O2833&lt;fi_h/20,0,(OFFSET('Base de dados'!$A$5,IF(O2833&lt;20,1,IF(O2833&gt;1000,10,MATCH(O2833,Cargas,1))),Coluna_fih,1,1))*(1+0.13*0.25)*(PI()*(fi_h/1000)^2/4)*SQRT(2*9.81*(O2833/100-fi_h/2/1000))*1000)),"",IF(O2833&lt;fi_h/20,0,(OFFSET('Base de dados'!$A$5,IF(O2833&lt;20,1,IF(O2833&gt;1000,10,MATCH(O2833,Cargas,1))),Coluna_fih,1,1))*(PI()*(fi_h/1000)^2/4)*SQRT(2*9.81*(O2833/100-fi_h/2/1000))*1000))</f>
        <v>7.1136495444603884</v>
      </c>
      <c r="Q2833" s="38">
        <f ca="1">IF(O2833="","",IF(Tipo_Vertedor="Retangular",IF(O2833&lt;=cota_s*100,0,IF(Tipo_Vertedor="Retangular",Cd_sr*Lef_sr*((O2833/100-cota_s)^(3/2))*1000)),IF(O2833&lt;=cota_s*100+fi_s/20,0,(OFFSET('Base de dados'!$A$4,IF(O2833&lt;20,1,IF(O2833&gt;1000,10,MATCH(O2833,Cargas,1))),Coluna_fis,1,1))*(PI()*(fi_s/1000)^2/4)*(2*9.81*(O2833/100-cota_s-fi_s/2/1000))^0.5*1000)))</f>
        <v>6.4811792640788228</v>
      </c>
      <c r="R2833" s="38">
        <f t="shared" ca="1" si="305"/>
        <v>13.594828808539212</v>
      </c>
      <c r="S2833" s="38">
        <f t="shared" ca="1" si="306"/>
        <v>885</v>
      </c>
    </row>
    <row r="2834" spans="13:19">
      <c r="M2834" s="132">
        <f t="shared" ca="1" si="303"/>
        <v>898.90996955880792</v>
      </c>
      <c r="N2834" s="38">
        <f t="shared" si="304"/>
        <v>26.559374999999999</v>
      </c>
      <c r="O2834" s="36">
        <f t="shared" si="302"/>
        <v>708.25</v>
      </c>
      <c r="P2834" s="38">
        <f ca="1">IF(ISERROR(IF(O2834&lt;fi_h/20,0,(OFFSET('Base de dados'!$A$5,IF(O2834&lt;20,1,IF(O2834&gt;1000,10,MATCH(O2834,Cargas,1))),Coluna_fih,1,1))*(1+0.13*0.25)*(PI()*(fi_h/1000)^2/4)*SQRT(2*9.81*(O2834/100-fi_h/2/1000))*1000)),"",IF(O2834&lt;fi_h/20,0,(OFFSET('Base de dados'!$A$5,IF(O2834&lt;20,1,IF(O2834&gt;1000,10,MATCH(O2834,Cargas,1))),Coluna_fih,1,1))*(PI()*(fi_h/1000)^2/4)*SQRT(2*9.81*(O2834/100-fi_h/2/1000))*1000))</f>
        <v>7.1149085039006001</v>
      </c>
      <c r="Q2834" s="38">
        <f ca="1">IF(O2834="","",IF(Tipo_Vertedor="Retangular",IF(O2834&lt;=cota_s*100,0,IF(Tipo_Vertedor="Retangular",Cd_sr*Lef_sr*((O2834/100-cota_s)^(3/2))*1000)),IF(O2834&lt;=cota_s*100+fi_s/20,0,(OFFSET('Base de dados'!$A$4,IF(O2834&lt;20,1,IF(O2834&gt;1000,10,MATCH(O2834,Cargas,1))),Coluna_fis,1,1))*(PI()*(fi_s/1000)^2/4)*(2*9.81*(O2834/100-cota_s-fi_s/2/1000))^0.5*1000)))</f>
        <v>6.4825610549073032</v>
      </c>
      <c r="R2834" s="38">
        <f t="shared" ca="1" si="305"/>
        <v>13.597469558807903</v>
      </c>
      <c r="S2834" s="38">
        <f t="shared" ca="1" si="306"/>
        <v>885.3125</v>
      </c>
    </row>
    <row r="2835" spans="13:19">
      <c r="M2835" s="132">
        <f t="shared" ca="1" si="303"/>
        <v>899.22510979187439</v>
      </c>
      <c r="N2835" s="38">
        <f t="shared" si="304"/>
        <v>26.568750000000001</v>
      </c>
      <c r="O2835" s="36">
        <f t="shared" ref="O2835:O2898" si="307">IF(ISERROR(IF(O2834+passo_altura&gt;h_max_puls*100,"",O2834+passo_altura)),"",IF(O2834+passo_altura&gt;h_max_puls*100,"",O2834+passo_altura))</f>
        <v>708.5</v>
      </c>
      <c r="P2835" s="38">
        <f ca="1">IF(ISERROR(IF(O2835&lt;fi_h/20,0,(OFFSET('Base de dados'!$A$5,IF(O2835&lt;20,1,IF(O2835&gt;1000,10,MATCH(O2835,Cargas,1))),Coluna_fih,1,1))*(1+0.13*0.25)*(PI()*(fi_h/1000)^2/4)*SQRT(2*9.81*(O2835/100-fi_h/2/1000))*1000)),"",IF(O2835&lt;fi_h/20,0,(OFFSET('Base de dados'!$A$5,IF(O2835&lt;20,1,IF(O2835&gt;1000,10,MATCH(O2835,Cargas,1))),Coluna_fih,1,1))*(PI()*(fi_h/1000)^2/4)*SQRT(2*9.81*(O2835/100-fi_h/2/1000))*1000))</f>
        <v>7.1161672406115262</v>
      </c>
      <c r="Q2835" s="38">
        <f ca="1">IF(O2835="","",IF(Tipo_Vertedor="Retangular",IF(O2835&lt;=cota_s*100,0,IF(Tipo_Vertedor="Retangular",Cd_sr*Lef_sr*((O2835/100-cota_s)^(3/2))*1000)),IF(O2835&lt;=cota_s*100+fi_s/20,0,(OFFSET('Base de dados'!$A$4,IF(O2835&lt;20,1,IF(O2835&gt;1000,10,MATCH(O2835,Cargas,1))),Coluna_fis,1,1))*(PI()*(fi_s/1000)^2/4)*(2*9.81*(O2835/100-cota_s-fi_s/2/1000))^0.5*1000)))</f>
        <v>6.4839425512628086</v>
      </c>
      <c r="R2835" s="38">
        <f t="shared" ca="1" si="305"/>
        <v>13.600109791874335</v>
      </c>
      <c r="S2835" s="38">
        <f t="shared" ca="1" si="306"/>
        <v>885.625</v>
      </c>
    </row>
    <row r="2836" spans="13:19">
      <c r="M2836" s="132">
        <f t="shared" ca="1" si="303"/>
        <v>899.54024950804489</v>
      </c>
      <c r="N2836" s="38">
        <f t="shared" si="304"/>
        <v>26.578125</v>
      </c>
      <c r="O2836" s="36">
        <f t="shared" si="307"/>
        <v>708.75</v>
      </c>
      <c r="P2836" s="38">
        <f ca="1">IF(ISERROR(IF(O2836&lt;fi_h/20,0,(OFFSET('Base de dados'!$A$5,IF(O2836&lt;20,1,IF(O2836&gt;1000,10,MATCH(O2836,Cargas,1))),Coluna_fih,1,1))*(1+0.13*0.25)*(PI()*(fi_h/1000)^2/4)*SQRT(2*9.81*(O2836/100-fi_h/2/1000))*1000)),"",IF(O2836&lt;fi_h/20,0,(OFFSET('Base de dados'!$A$5,IF(O2836&lt;20,1,IF(O2836&gt;1000,10,MATCH(O2836,Cargas,1))),Coluna_fih,1,1))*(PI()*(fi_h/1000)^2/4)*SQRT(2*9.81*(O2836/100-fi_h/2/1000))*1000))</f>
        <v>7.117425754711336</v>
      </c>
      <c r="Q2836" s="38">
        <f ca="1">IF(O2836="","",IF(Tipo_Vertedor="Retangular",IF(O2836&lt;=cota_s*100,0,IF(Tipo_Vertedor="Retangular",Cd_sr*Lef_sr*((O2836/100-cota_s)^(3/2))*1000)),IF(O2836&lt;=cota_s*100+fi_s/20,0,(OFFSET('Base de dados'!$A$4,IF(O2836&lt;20,1,IF(O2836&gt;1000,10,MATCH(O2836,Cargas,1))),Coluna_fis,1,1))*(PI()*(fi_s/1000)^2/4)*(2*9.81*(O2836/100-cota_s-fi_s/2/1000))^0.5*1000)))</f>
        <v>6.4853237533335246</v>
      </c>
      <c r="R2836" s="38">
        <f t="shared" ca="1" si="305"/>
        <v>13.602749508044861</v>
      </c>
      <c r="S2836" s="38">
        <f t="shared" ca="1" si="306"/>
        <v>885.9375</v>
      </c>
    </row>
    <row r="2837" spans="13:19">
      <c r="M2837" s="132">
        <f t="shared" ca="1" si="303"/>
        <v>899.85538870762548</v>
      </c>
      <c r="N2837" s="38">
        <f t="shared" si="304"/>
        <v>26.587499999999999</v>
      </c>
      <c r="O2837" s="36">
        <f t="shared" si="307"/>
        <v>709</v>
      </c>
      <c r="P2837" s="38">
        <f ca="1">IF(ISERROR(IF(O2837&lt;fi_h/20,0,(OFFSET('Base de dados'!$A$5,IF(O2837&lt;20,1,IF(O2837&gt;1000,10,MATCH(O2837,Cargas,1))),Coluna_fih,1,1))*(1+0.13*0.25)*(PI()*(fi_h/1000)^2/4)*SQRT(2*9.81*(O2837/100-fi_h/2/1000))*1000)),"",IF(O2837&lt;fi_h/20,0,(OFFSET('Base de dados'!$A$5,IF(O2837&lt;20,1,IF(O2837&gt;1000,10,MATCH(O2837,Cargas,1))),Coluna_fih,1,1))*(PI()*(fi_h/1000)^2/4)*SQRT(2*9.81*(O2837/100-fi_h/2/1000))*1000))</f>
        <v>7.1186840463180978</v>
      </c>
      <c r="Q2837" s="38">
        <f ca="1">IF(O2837="","",IF(Tipo_Vertedor="Retangular",IF(O2837&lt;=cota_s*100,0,IF(Tipo_Vertedor="Retangular",Cd_sr*Lef_sr*((O2837/100-cota_s)^(3/2))*1000)),IF(O2837&lt;=cota_s*100+fi_s/20,0,(OFFSET('Base de dados'!$A$4,IF(O2837&lt;20,1,IF(O2837&gt;1000,10,MATCH(O2837,Cargas,1))),Coluna_fis,1,1))*(PI()*(fi_s/1000)^2/4)*(2*9.81*(O2837/100-cota_s-fi_s/2/1000))^0.5*1000)))</f>
        <v>6.4867046613074351</v>
      </c>
      <c r="R2837" s="38">
        <f t="shared" ca="1" si="305"/>
        <v>13.605388707625533</v>
      </c>
      <c r="S2837" s="38">
        <f t="shared" ca="1" si="306"/>
        <v>886.25</v>
      </c>
    </row>
    <row r="2838" spans="13:19">
      <c r="M2838" s="132">
        <f t="shared" ca="1" si="303"/>
        <v>900.17052739092208</v>
      </c>
      <c r="N2838" s="38">
        <f t="shared" si="304"/>
        <v>26.596875000000001</v>
      </c>
      <c r="O2838" s="36">
        <f t="shared" si="307"/>
        <v>709.25</v>
      </c>
      <c r="P2838" s="38">
        <f ca="1">IF(ISERROR(IF(O2838&lt;fi_h/20,0,(OFFSET('Base de dados'!$A$5,IF(O2838&lt;20,1,IF(O2838&gt;1000,10,MATCH(O2838,Cargas,1))),Coluna_fih,1,1))*(1+0.13*0.25)*(PI()*(fi_h/1000)^2/4)*SQRT(2*9.81*(O2838/100-fi_h/2/1000))*1000)),"",IF(O2838&lt;fi_h/20,0,(OFFSET('Base de dados'!$A$5,IF(O2838&lt;20,1,IF(O2838&gt;1000,10,MATCH(O2838,Cargas,1))),Coluna_fih,1,1))*(PI()*(fi_h/1000)^2/4)*SQRT(2*9.81*(O2838/100-fi_h/2/1000))*1000))</f>
        <v>7.1199421155497733</v>
      </c>
      <c r="Q2838" s="38">
        <f ca="1">IF(O2838="","",IF(Tipo_Vertedor="Retangular",IF(O2838&lt;=cota_s*100,0,IF(Tipo_Vertedor="Retangular",Cd_sr*Lef_sr*((O2838/100-cota_s)^(3/2))*1000)),IF(O2838&lt;=cota_s*100+fi_s/20,0,(OFFSET('Base de dados'!$A$4,IF(O2838&lt;20,1,IF(O2838&gt;1000,10,MATCH(O2838,Cargas,1))),Coluna_fis,1,1))*(PI()*(fi_s/1000)^2/4)*(2*9.81*(O2838/100-cota_s-fi_s/2/1000))^0.5*1000)))</f>
        <v>6.4880852753723257</v>
      </c>
      <c r="R2838" s="38">
        <f t="shared" ca="1" si="305"/>
        <v>13.6080273909221</v>
      </c>
      <c r="S2838" s="38">
        <f t="shared" ca="1" si="306"/>
        <v>886.5625</v>
      </c>
    </row>
    <row r="2839" spans="13:19">
      <c r="M2839" s="132">
        <f t="shared" ref="M2839:M2902" ca="1" si="308">IF(O2839="","",2*N2839*1000/(Passo*60)+R2839)</f>
        <v>900.48566555824004</v>
      </c>
      <c r="N2839" s="38">
        <f t="shared" ref="N2839:N2902" si="309">IF(O2839="","",b_0*(O2839/100)^c_0)</f>
        <v>26.606249999999999</v>
      </c>
      <c r="O2839" s="36">
        <f t="shared" si="307"/>
        <v>709.5</v>
      </c>
      <c r="P2839" s="38">
        <f ca="1">IF(ISERROR(IF(O2839&lt;fi_h/20,0,(OFFSET('Base de dados'!$A$5,IF(O2839&lt;20,1,IF(O2839&gt;1000,10,MATCH(O2839,Cargas,1))),Coluna_fih,1,1))*(1+0.13*0.25)*(PI()*(fi_h/1000)^2/4)*SQRT(2*9.81*(O2839/100-fi_h/2/1000))*1000)),"",IF(O2839&lt;fi_h/20,0,(OFFSET('Base de dados'!$A$5,IF(O2839&lt;20,1,IF(O2839&gt;1000,10,MATCH(O2839,Cargas,1))),Coluna_fih,1,1))*(PI()*(fi_h/1000)^2/4)*SQRT(2*9.81*(O2839/100-fi_h/2/1000))*1000))</f>
        <v>7.1211999625242202</v>
      </c>
      <c r="Q2839" s="38">
        <f ca="1">IF(O2839="","",IF(Tipo_Vertedor="Retangular",IF(O2839&lt;=cota_s*100,0,IF(Tipo_Vertedor="Retangular",Cd_sr*Lef_sr*((O2839/100-cota_s)^(3/2))*1000)),IF(O2839&lt;=cota_s*100+fi_s/20,0,(OFFSET('Base de dados'!$A$4,IF(O2839&lt;20,1,IF(O2839&gt;1000,10,MATCH(O2839,Cargas,1))),Coluna_fis,1,1))*(PI()*(fi_s/1000)^2/4)*(2*9.81*(O2839/100-cota_s-fi_s/2/1000))^0.5*1000)))</f>
        <v>6.4894655957157799</v>
      </c>
      <c r="R2839" s="38">
        <f t="shared" ref="R2839:R2902" ca="1" si="310">IF(O2839="","",Q2839+P2839)</f>
        <v>13.610665558240001</v>
      </c>
      <c r="S2839" s="38">
        <f t="shared" ref="S2839:S2902" ca="1" si="311">IF(M2839="","",2*N2839*1000/(Passo*60))</f>
        <v>886.875</v>
      </c>
    </row>
    <row r="2840" spans="13:19">
      <c r="M2840" s="132">
        <f t="shared" ca="1" si="308"/>
        <v>900.80080320988441</v>
      </c>
      <c r="N2840" s="38">
        <f t="shared" si="309"/>
        <v>26.615625000000001</v>
      </c>
      <c r="O2840" s="36">
        <f t="shared" si="307"/>
        <v>709.75</v>
      </c>
      <c r="P2840" s="38">
        <f ca="1">IF(ISERROR(IF(O2840&lt;fi_h/20,0,(OFFSET('Base de dados'!$A$5,IF(O2840&lt;20,1,IF(O2840&gt;1000,10,MATCH(O2840,Cargas,1))),Coluna_fih,1,1))*(1+0.13*0.25)*(PI()*(fi_h/1000)^2/4)*SQRT(2*9.81*(O2840/100-fi_h/2/1000))*1000)),"",IF(O2840&lt;fi_h/20,0,(OFFSET('Base de dados'!$A$5,IF(O2840&lt;20,1,IF(O2840&gt;1000,10,MATCH(O2840,Cargas,1))),Coluna_fih,1,1))*(PI()*(fi_h/1000)^2/4)*SQRT(2*9.81*(O2840/100-fi_h/2/1000))*1000))</f>
        <v>7.1224575873591922</v>
      </c>
      <c r="Q2840" s="38">
        <f ca="1">IF(O2840="","",IF(Tipo_Vertedor="Retangular",IF(O2840&lt;=cota_s*100,0,IF(Tipo_Vertedor="Retangular",Cd_sr*Lef_sr*((O2840/100-cota_s)^(3/2))*1000)),IF(O2840&lt;=cota_s*100+fi_s/20,0,(OFFSET('Base de dados'!$A$4,IF(O2840&lt;20,1,IF(O2840&gt;1000,10,MATCH(O2840,Cargas,1))),Coluna_fis,1,1))*(PI()*(fi_s/1000)^2/4)*(2*9.81*(O2840/100-cota_s-fi_s/2/1000))^0.5*1000)))</f>
        <v>6.4908456225251827</v>
      </c>
      <c r="R2840" s="38">
        <f t="shared" ca="1" si="310"/>
        <v>13.613303209884375</v>
      </c>
      <c r="S2840" s="38">
        <f t="shared" ca="1" si="311"/>
        <v>887.1875</v>
      </c>
    </row>
    <row r="2841" spans="13:19">
      <c r="M2841" s="132">
        <f t="shared" ca="1" si="308"/>
        <v>901.11594034616007</v>
      </c>
      <c r="N2841" s="38">
        <f t="shared" si="309"/>
        <v>26.625</v>
      </c>
      <c r="O2841" s="36">
        <f t="shared" si="307"/>
        <v>710</v>
      </c>
      <c r="P2841" s="38">
        <f ca="1">IF(ISERROR(IF(O2841&lt;fi_h/20,0,(OFFSET('Base de dados'!$A$5,IF(O2841&lt;20,1,IF(O2841&gt;1000,10,MATCH(O2841,Cargas,1))),Coluna_fih,1,1))*(1+0.13*0.25)*(PI()*(fi_h/1000)^2/4)*SQRT(2*9.81*(O2841/100-fi_h/2/1000))*1000)),"",IF(O2841&lt;fi_h/20,0,(OFFSET('Base de dados'!$A$5,IF(O2841&lt;20,1,IF(O2841&gt;1000,10,MATCH(O2841,Cargas,1))),Coluna_fih,1,1))*(PI()*(fi_h/1000)^2/4)*SQRT(2*9.81*(O2841/100-fi_h/2/1000))*1000))</f>
        <v>7.1237149901723402</v>
      </c>
      <c r="Q2841" s="38">
        <f ca="1">IF(O2841="","",IF(Tipo_Vertedor="Retangular",IF(O2841&lt;=cota_s*100,0,IF(Tipo_Vertedor="Retangular",Cd_sr*Lef_sr*((O2841/100-cota_s)^(3/2))*1000)),IF(O2841&lt;=cota_s*100+fi_s/20,0,(OFFSET('Base de dados'!$A$4,IF(O2841&lt;20,1,IF(O2841&gt;1000,10,MATCH(O2841,Cargas,1))),Coluna_fis,1,1))*(PI()*(fi_s/1000)^2/4)*(2*9.81*(O2841/100-cota_s-fi_s/2/1000))^0.5*1000)))</f>
        <v>6.4922253559877214</v>
      </c>
      <c r="R2841" s="38">
        <f t="shared" ca="1" si="310"/>
        <v>13.615940346160063</v>
      </c>
      <c r="S2841" s="38">
        <f t="shared" ca="1" si="311"/>
        <v>887.5</v>
      </c>
    </row>
    <row r="2842" spans="13:19">
      <c r="M2842" s="132">
        <f t="shared" ca="1" si="308"/>
        <v>901.43107696737161</v>
      </c>
      <c r="N2842" s="38">
        <f t="shared" si="309"/>
        <v>26.634374999999999</v>
      </c>
      <c r="O2842" s="36">
        <f t="shared" si="307"/>
        <v>710.25</v>
      </c>
      <c r="P2842" s="38">
        <f ca="1">IF(ISERROR(IF(O2842&lt;fi_h/20,0,(OFFSET('Base de dados'!$A$5,IF(O2842&lt;20,1,IF(O2842&gt;1000,10,MATCH(O2842,Cargas,1))),Coluna_fih,1,1))*(1+0.13*0.25)*(PI()*(fi_h/1000)^2/4)*SQRT(2*9.81*(O2842/100-fi_h/2/1000))*1000)),"",IF(O2842&lt;fi_h/20,0,(OFFSET('Base de dados'!$A$5,IF(O2842&lt;20,1,IF(O2842&gt;1000,10,MATCH(O2842,Cargas,1))),Coluna_fih,1,1))*(PI()*(fi_h/1000)^2/4)*SQRT(2*9.81*(O2842/100-fi_h/2/1000))*1000))</f>
        <v>7.1249721710812093</v>
      </c>
      <c r="Q2842" s="38">
        <f ca="1">IF(O2842="","",IF(Tipo_Vertedor="Retangular",IF(O2842&lt;=cota_s*100,0,IF(Tipo_Vertedor="Retangular",Cd_sr*Lef_sr*((O2842/100-cota_s)^(3/2))*1000)),IF(O2842&lt;=cota_s*100+fi_s/20,0,(OFFSET('Base de dados'!$A$4,IF(O2842&lt;20,1,IF(O2842&gt;1000,10,MATCH(O2842,Cargas,1))),Coluna_fis,1,1))*(PI()*(fi_s/1000)^2/4)*(2*9.81*(O2842/100-cota_s-fi_s/2/1000))^0.5*1000)))</f>
        <v>6.4936047962903842</v>
      </c>
      <c r="R2842" s="38">
        <f t="shared" ca="1" si="310"/>
        <v>13.618576967371594</v>
      </c>
      <c r="S2842" s="38">
        <f t="shared" ca="1" si="311"/>
        <v>887.8125</v>
      </c>
    </row>
    <row r="2843" spans="13:19">
      <c r="M2843" s="132">
        <f t="shared" ca="1" si="308"/>
        <v>901.74621307382324</v>
      </c>
      <c r="N2843" s="38">
        <f t="shared" si="309"/>
        <v>26.643750000000001</v>
      </c>
      <c r="O2843" s="36">
        <f t="shared" si="307"/>
        <v>710.5</v>
      </c>
      <c r="P2843" s="38">
        <f ca="1">IF(ISERROR(IF(O2843&lt;fi_h/20,0,(OFFSET('Base de dados'!$A$5,IF(O2843&lt;20,1,IF(O2843&gt;1000,10,MATCH(O2843,Cargas,1))),Coluna_fih,1,1))*(1+0.13*0.25)*(PI()*(fi_h/1000)^2/4)*SQRT(2*9.81*(O2843/100-fi_h/2/1000))*1000)),"",IF(O2843&lt;fi_h/20,0,(OFFSET('Base de dados'!$A$5,IF(O2843&lt;20,1,IF(O2843&gt;1000,10,MATCH(O2843,Cargas,1))),Coluna_fih,1,1))*(PI()*(fi_h/1000)^2/4)*SQRT(2*9.81*(O2843/100-fi_h/2/1000))*1000))</f>
        <v>7.1262291302032414</v>
      </c>
      <c r="Q2843" s="38">
        <f ca="1">IF(O2843="","",IF(Tipo_Vertedor="Retangular",IF(O2843&lt;=cota_s*100,0,IF(Tipo_Vertedor="Retangular",Cd_sr*Lef_sr*((O2843/100-cota_s)^(3/2))*1000)),IF(O2843&lt;=cota_s*100+fi_s/20,0,(OFFSET('Base de dados'!$A$4,IF(O2843&lt;20,1,IF(O2843&gt;1000,10,MATCH(O2843,Cargas,1))),Coluna_fis,1,1))*(PI()*(fi_s/1000)^2/4)*(2*9.81*(O2843/100-cota_s-fi_s/2/1000))^0.5*1000)))</f>
        <v>6.4949839436199586</v>
      </c>
      <c r="R2843" s="38">
        <f t="shared" ca="1" si="310"/>
        <v>13.621213073823199</v>
      </c>
      <c r="S2843" s="38">
        <f t="shared" ca="1" si="311"/>
        <v>888.125</v>
      </c>
    </row>
    <row r="2844" spans="13:19">
      <c r="M2844" s="132">
        <f t="shared" ca="1" si="308"/>
        <v>902.06134866581885</v>
      </c>
      <c r="N2844" s="38">
        <f t="shared" si="309"/>
        <v>26.653124999999999</v>
      </c>
      <c r="O2844" s="36">
        <f t="shared" si="307"/>
        <v>710.75</v>
      </c>
      <c r="P2844" s="38">
        <f ca="1">IF(ISERROR(IF(O2844&lt;fi_h/20,0,(OFFSET('Base de dados'!$A$5,IF(O2844&lt;20,1,IF(O2844&gt;1000,10,MATCH(O2844,Cargas,1))),Coluna_fih,1,1))*(1+0.13*0.25)*(PI()*(fi_h/1000)^2/4)*SQRT(2*9.81*(O2844/100-fi_h/2/1000))*1000)),"",IF(O2844&lt;fi_h/20,0,(OFFSET('Base de dados'!$A$5,IF(O2844&lt;20,1,IF(O2844&gt;1000,10,MATCH(O2844,Cargas,1))),Coluna_fih,1,1))*(PI()*(fi_h/1000)^2/4)*SQRT(2*9.81*(O2844/100-fi_h/2/1000))*1000))</f>
        <v>7.1274858676557775</v>
      </c>
      <c r="Q2844" s="38">
        <f ca="1">IF(O2844="","",IF(Tipo_Vertedor="Retangular",IF(O2844&lt;=cota_s*100,0,IF(Tipo_Vertedor="Retangular",Cd_sr*Lef_sr*((O2844/100-cota_s)^(3/2))*1000)),IF(O2844&lt;=cota_s*100+fi_s/20,0,(OFFSET('Base de dados'!$A$4,IF(O2844&lt;20,1,IF(O2844&gt;1000,10,MATCH(O2844,Cargas,1))),Coluna_fis,1,1))*(PI()*(fi_s/1000)^2/4)*(2*9.81*(O2844/100-cota_s-fi_s/2/1000))^0.5*1000)))</f>
        <v>6.496362798163033</v>
      </c>
      <c r="R2844" s="38">
        <f t="shared" ca="1" si="310"/>
        <v>13.62384866581881</v>
      </c>
      <c r="S2844" s="38">
        <f t="shared" ca="1" si="311"/>
        <v>888.4375</v>
      </c>
    </row>
    <row r="2845" spans="13:19">
      <c r="M2845" s="132">
        <f t="shared" ca="1" si="308"/>
        <v>902.37648374366211</v>
      </c>
      <c r="N2845" s="38">
        <f t="shared" si="309"/>
        <v>26.662500000000001</v>
      </c>
      <c r="O2845" s="36">
        <f t="shared" si="307"/>
        <v>711</v>
      </c>
      <c r="P2845" s="38">
        <f ca="1">IF(ISERROR(IF(O2845&lt;fi_h/20,0,(OFFSET('Base de dados'!$A$5,IF(O2845&lt;20,1,IF(O2845&gt;1000,10,MATCH(O2845,Cargas,1))),Coluna_fih,1,1))*(1+0.13*0.25)*(PI()*(fi_h/1000)^2/4)*SQRT(2*9.81*(O2845/100-fi_h/2/1000))*1000)),"",IF(O2845&lt;fi_h/20,0,(OFFSET('Base de dados'!$A$5,IF(O2845&lt;20,1,IF(O2845&gt;1000,10,MATCH(O2845,Cargas,1))),Coluna_fih,1,1))*(PI()*(fi_h/1000)^2/4)*SQRT(2*9.81*(O2845/100-fi_h/2/1000))*1000))</f>
        <v>7.1287423835560508</v>
      </c>
      <c r="Q2845" s="38">
        <f ca="1">IF(O2845="","",IF(Tipo_Vertedor="Retangular",IF(O2845&lt;=cota_s*100,0,IF(Tipo_Vertedor="Retangular",Cd_sr*Lef_sr*((O2845/100-cota_s)^(3/2))*1000)),IF(O2845&lt;=cota_s*100+fi_s/20,0,(OFFSET('Base de dados'!$A$4,IF(O2845&lt;20,1,IF(O2845&gt;1000,10,MATCH(O2845,Cargas,1))),Coluna_fis,1,1))*(PI()*(fi_s/1000)^2/4)*(2*9.81*(O2845/100-cota_s-fi_s/2/1000))^0.5*1000)))</f>
        <v>6.4977413601060023</v>
      </c>
      <c r="R2845" s="38">
        <f t="shared" ca="1" si="310"/>
        <v>13.626483743662053</v>
      </c>
      <c r="S2845" s="38">
        <f t="shared" ca="1" si="311"/>
        <v>888.75</v>
      </c>
    </row>
    <row r="2846" spans="13:19">
      <c r="M2846" s="132">
        <f t="shared" ca="1" si="308"/>
        <v>902.69161830765631</v>
      </c>
      <c r="N2846" s="38">
        <f t="shared" si="309"/>
        <v>26.671875</v>
      </c>
      <c r="O2846" s="36">
        <f t="shared" si="307"/>
        <v>711.25</v>
      </c>
      <c r="P2846" s="38">
        <f ca="1">IF(ISERROR(IF(O2846&lt;fi_h/20,0,(OFFSET('Base de dados'!$A$5,IF(O2846&lt;20,1,IF(O2846&gt;1000,10,MATCH(O2846,Cargas,1))),Coluna_fih,1,1))*(1+0.13*0.25)*(PI()*(fi_h/1000)^2/4)*SQRT(2*9.81*(O2846/100-fi_h/2/1000))*1000)),"",IF(O2846&lt;fi_h/20,0,(OFFSET('Base de dados'!$A$5,IF(O2846&lt;20,1,IF(O2846&gt;1000,10,MATCH(O2846,Cargas,1))),Coluna_fih,1,1))*(PI()*(fi_h/1000)^2/4)*SQRT(2*9.81*(O2846/100-fi_h/2/1000))*1000))</f>
        <v>7.1299986780211952</v>
      </c>
      <c r="Q2846" s="38">
        <f ca="1">IF(O2846="","",IF(Tipo_Vertedor="Retangular",IF(O2846&lt;=cota_s*100,0,IF(Tipo_Vertedor="Retangular",Cd_sr*Lef_sr*((O2846/100-cota_s)^(3/2))*1000)),IF(O2846&lt;=cota_s*100+fi_s/20,0,(OFFSET('Base de dados'!$A$4,IF(O2846&lt;20,1,IF(O2846&gt;1000,10,MATCH(O2846,Cargas,1))),Coluna_fis,1,1))*(PI()*(fi_s/1000)^2/4)*(2*9.81*(O2846/100-cota_s-fi_s/2/1000))^0.5*1000)))</f>
        <v>6.4991196296350626</v>
      </c>
      <c r="R2846" s="38">
        <f t="shared" ca="1" si="310"/>
        <v>13.629118307656258</v>
      </c>
      <c r="S2846" s="38">
        <f t="shared" ca="1" si="311"/>
        <v>889.0625</v>
      </c>
    </row>
    <row r="2847" spans="13:19">
      <c r="M2847" s="132">
        <f t="shared" ca="1" si="308"/>
        <v>903.00675235810456</v>
      </c>
      <c r="N2847" s="38">
        <f t="shared" si="309"/>
        <v>26.681250000000002</v>
      </c>
      <c r="O2847" s="36">
        <f t="shared" si="307"/>
        <v>711.5</v>
      </c>
      <c r="P2847" s="38">
        <f ca="1">IF(ISERROR(IF(O2847&lt;fi_h/20,0,(OFFSET('Base de dados'!$A$5,IF(O2847&lt;20,1,IF(O2847&gt;1000,10,MATCH(O2847,Cargas,1))),Coluna_fih,1,1))*(1+0.13*0.25)*(PI()*(fi_h/1000)^2/4)*SQRT(2*9.81*(O2847/100-fi_h/2/1000))*1000)),"",IF(O2847&lt;fi_h/20,0,(OFFSET('Base de dados'!$A$5,IF(O2847&lt;20,1,IF(O2847&gt;1000,10,MATCH(O2847,Cargas,1))),Coluna_fih,1,1))*(PI()*(fi_h/1000)^2/4)*SQRT(2*9.81*(O2847/100-fi_h/2/1000))*1000))</f>
        <v>7.1312547511682371</v>
      </c>
      <c r="Q2847" s="38">
        <f ca="1">IF(O2847="","",IF(Tipo_Vertedor="Retangular",IF(O2847&lt;=cota_s*100,0,IF(Tipo_Vertedor="Retangular",Cd_sr*Lef_sr*((O2847/100-cota_s)^(3/2))*1000)),IF(O2847&lt;=cota_s*100+fi_s/20,0,(OFFSET('Base de dados'!$A$4,IF(O2847&lt;20,1,IF(O2847&gt;1000,10,MATCH(O2847,Cargas,1))),Coluna_fis,1,1))*(PI()*(fi_s/1000)^2/4)*(2*9.81*(O2847/100-cota_s-fi_s/2/1000))^0.5*1000)))</f>
        <v>6.5004976069362082</v>
      </c>
      <c r="R2847" s="38">
        <f t="shared" ca="1" si="310"/>
        <v>13.631752358104446</v>
      </c>
      <c r="S2847" s="38">
        <f t="shared" ca="1" si="311"/>
        <v>889.37500000000011</v>
      </c>
    </row>
    <row r="2848" spans="13:19">
      <c r="M2848" s="132">
        <f t="shared" ca="1" si="308"/>
        <v>903.32188589530926</v>
      </c>
      <c r="N2848" s="38">
        <f t="shared" si="309"/>
        <v>26.690624999999997</v>
      </c>
      <c r="O2848" s="36">
        <f t="shared" si="307"/>
        <v>711.75</v>
      </c>
      <c r="P2848" s="38">
        <f ca="1">IF(ISERROR(IF(O2848&lt;fi_h/20,0,(OFFSET('Base de dados'!$A$5,IF(O2848&lt;20,1,IF(O2848&gt;1000,10,MATCH(O2848,Cargas,1))),Coluna_fih,1,1))*(1+0.13*0.25)*(PI()*(fi_h/1000)^2/4)*SQRT(2*9.81*(O2848/100-fi_h/2/1000))*1000)),"",IF(O2848&lt;fi_h/20,0,(OFFSET('Base de dados'!$A$5,IF(O2848&lt;20,1,IF(O2848&gt;1000,10,MATCH(O2848,Cargas,1))),Coluna_fih,1,1))*(PI()*(fi_h/1000)^2/4)*SQRT(2*9.81*(O2848/100-fi_h/2/1000))*1000))</f>
        <v>7.1325106031141052</v>
      </c>
      <c r="Q2848" s="38">
        <f ca="1">IF(O2848="","",IF(Tipo_Vertedor="Retangular",IF(O2848&lt;=cota_s*100,0,IF(Tipo_Vertedor="Retangular",Cd_sr*Lef_sr*((O2848/100-cota_s)^(3/2))*1000)),IF(O2848&lt;=cota_s*100+fi_s/20,0,(OFFSET('Base de dados'!$A$4,IF(O2848&lt;20,1,IF(O2848&gt;1000,10,MATCH(O2848,Cargas,1))),Coluna_fis,1,1))*(PI()*(fi_s/1000)^2/4)*(2*9.81*(O2848/100-cota_s-fi_s/2/1000))^0.5*1000)))</f>
        <v>6.5018752921952396</v>
      </c>
      <c r="R2848" s="38">
        <f t="shared" ca="1" si="310"/>
        <v>13.634385895309345</v>
      </c>
      <c r="S2848" s="38">
        <f t="shared" ca="1" si="311"/>
        <v>889.68749999999989</v>
      </c>
    </row>
    <row r="2849" spans="13:19">
      <c r="M2849" s="132">
        <f t="shared" ca="1" si="308"/>
        <v>903.63701891957339</v>
      </c>
      <c r="N2849" s="38">
        <f t="shared" si="309"/>
        <v>26.7</v>
      </c>
      <c r="O2849" s="36">
        <f t="shared" si="307"/>
        <v>712</v>
      </c>
      <c r="P2849" s="38">
        <f ca="1">IF(ISERROR(IF(O2849&lt;fi_h/20,0,(OFFSET('Base de dados'!$A$5,IF(O2849&lt;20,1,IF(O2849&gt;1000,10,MATCH(O2849,Cargas,1))),Coluna_fih,1,1))*(1+0.13*0.25)*(PI()*(fi_h/1000)^2/4)*SQRT(2*9.81*(O2849/100-fi_h/2/1000))*1000)),"",IF(O2849&lt;fi_h/20,0,(OFFSET('Base de dados'!$A$5,IF(O2849&lt;20,1,IF(O2849&gt;1000,10,MATCH(O2849,Cargas,1))),Coluna_fih,1,1))*(PI()*(fi_h/1000)^2/4)*SQRT(2*9.81*(O2849/100-fi_h/2/1000))*1000))</f>
        <v>7.1337662339756207</v>
      </c>
      <c r="Q2849" s="38">
        <f ca="1">IF(O2849="","",IF(Tipo_Vertedor="Retangular",IF(O2849&lt;=cota_s*100,0,IF(Tipo_Vertedor="Retangular",Cd_sr*Lef_sr*((O2849/100-cota_s)^(3/2))*1000)),IF(O2849&lt;=cota_s*100+fi_s/20,0,(OFFSET('Base de dados'!$A$4,IF(O2849&lt;20,1,IF(O2849&gt;1000,10,MATCH(O2849,Cargas,1))),Coluna_fis,1,1))*(PI()*(fi_s/1000)^2/4)*(2*9.81*(O2849/100-cota_s-fi_s/2/1000))^0.5*1000)))</f>
        <v>6.5032526855977615</v>
      </c>
      <c r="R2849" s="38">
        <f t="shared" ca="1" si="310"/>
        <v>13.637018919573382</v>
      </c>
      <c r="S2849" s="38">
        <f t="shared" ca="1" si="311"/>
        <v>890</v>
      </c>
    </row>
    <row r="2850" spans="13:19">
      <c r="M2850" s="132">
        <f t="shared" ca="1" si="308"/>
        <v>903.95215143119856</v>
      </c>
      <c r="N2850" s="38">
        <f t="shared" si="309"/>
        <v>26.709374999999998</v>
      </c>
      <c r="O2850" s="36">
        <f t="shared" si="307"/>
        <v>712.25</v>
      </c>
      <c r="P2850" s="38">
        <f ca="1">IF(ISERROR(IF(O2850&lt;fi_h/20,0,(OFFSET('Base de dados'!$A$5,IF(O2850&lt;20,1,IF(O2850&gt;1000,10,MATCH(O2850,Cargas,1))),Coluna_fih,1,1))*(1+0.13*0.25)*(PI()*(fi_h/1000)^2/4)*SQRT(2*9.81*(O2850/100-fi_h/2/1000))*1000)),"",IF(O2850&lt;fi_h/20,0,(OFFSET('Base de dados'!$A$5,IF(O2850&lt;20,1,IF(O2850&gt;1000,10,MATCH(O2850,Cargas,1))),Coluna_fih,1,1))*(PI()*(fi_h/1000)^2/4)*SQRT(2*9.81*(O2850/100-fi_h/2/1000))*1000))</f>
        <v>7.1350216438695035</v>
      </c>
      <c r="Q2850" s="38">
        <f ca="1">IF(O2850="","",IF(Tipo_Vertedor="Retangular",IF(O2850&lt;=cota_s*100,0,IF(Tipo_Vertedor="Retangular",Cd_sr*Lef_sr*((O2850/100-cota_s)^(3/2))*1000)),IF(O2850&lt;=cota_s*100+fi_s/20,0,(OFFSET('Base de dados'!$A$4,IF(O2850&lt;20,1,IF(O2850&gt;1000,10,MATCH(O2850,Cargas,1))),Coluna_fis,1,1))*(PI()*(fi_s/1000)^2/4)*(2*9.81*(O2850/100-cota_s-fi_s/2/1000))^0.5*1000)))</f>
        <v>6.5046297873291827</v>
      </c>
      <c r="R2850" s="38">
        <f t="shared" ca="1" si="310"/>
        <v>13.639651431198686</v>
      </c>
      <c r="S2850" s="38">
        <f t="shared" ca="1" si="311"/>
        <v>890.31249999999989</v>
      </c>
    </row>
    <row r="2851" spans="13:19">
      <c r="M2851" s="132">
        <f t="shared" ca="1" si="308"/>
        <v>904.26728343048705</v>
      </c>
      <c r="N2851" s="38">
        <f t="shared" si="309"/>
        <v>26.71875</v>
      </c>
      <c r="O2851" s="36">
        <f t="shared" si="307"/>
        <v>712.5</v>
      </c>
      <c r="P2851" s="38">
        <f ca="1">IF(ISERROR(IF(O2851&lt;fi_h/20,0,(OFFSET('Base de dados'!$A$5,IF(O2851&lt;20,1,IF(O2851&gt;1000,10,MATCH(O2851,Cargas,1))),Coluna_fih,1,1))*(1+0.13*0.25)*(PI()*(fi_h/1000)^2/4)*SQRT(2*9.81*(O2851/100-fi_h/2/1000))*1000)),"",IF(O2851&lt;fi_h/20,0,(OFFSET('Base de dados'!$A$5,IF(O2851&lt;20,1,IF(O2851&gt;1000,10,MATCH(O2851,Cargas,1))),Coluna_fih,1,1))*(PI()*(fi_h/1000)^2/4)*SQRT(2*9.81*(O2851/100-fi_h/2/1000))*1000))</f>
        <v>7.1362768329123742</v>
      </c>
      <c r="Q2851" s="38">
        <f ca="1">IF(O2851="","",IF(Tipo_Vertedor="Retangular",IF(O2851&lt;=cota_s*100,0,IF(Tipo_Vertedor="Retangular",Cd_sr*Lef_sr*((O2851/100-cota_s)^(3/2))*1000)),IF(O2851&lt;=cota_s*100+fi_s/20,0,(OFFSET('Base de dados'!$A$4,IF(O2851&lt;20,1,IF(O2851&gt;1000,10,MATCH(O2851,Cargas,1))),Coluna_fis,1,1))*(PI()*(fi_s/1000)^2/4)*(2*9.81*(O2851/100-cota_s-fi_s/2/1000))^0.5*1000)))</f>
        <v>6.5060065975747108</v>
      </c>
      <c r="R2851" s="38">
        <f t="shared" ca="1" si="310"/>
        <v>13.642283430487085</v>
      </c>
      <c r="S2851" s="38">
        <f t="shared" ca="1" si="311"/>
        <v>890.625</v>
      </c>
    </row>
    <row r="2852" spans="13:19">
      <c r="M2852" s="132">
        <f t="shared" ca="1" si="308"/>
        <v>904.58241491774027</v>
      </c>
      <c r="N2852" s="38">
        <f t="shared" si="309"/>
        <v>26.728125000000002</v>
      </c>
      <c r="O2852" s="36">
        <f t="shared" si="307"/>
        <v>712.75</v>
      </c>
      <c r="P2852" s="38">
        <f ca="1">IF(ISERROR(IF(O2852&lt;fi_h/20,0,(OFFSET('Base de dados'!$A$5,IF(O2852&lt;20,1,IF(O2852&gt;1000,10,MATCH(O2852,Cargas,1))),Coluna_fih,1,1))*(1+0.13*0.25)*(PI()*(fi_h/1000)^2/4)*SQRT(2*9.81*(O2852/100-fi_h/2/1000))*1000)),"",IF(O2852&lt;fi_h/20,0,(OFFSET('Base de dados'!$A$5,IF(O2852&lt;20,1,IF(O2852&gt;1000,10,MATCH(O2852,Cargas,1))),Coluna_fih,1,1))*(PI()*(fi_h/1000)^2/4)*SQRT(2*9.81*(O2852/100-fi_h/2/1000))*1000))</f>
        <v>7.1375318012207432</v>
      </c>
      <c r="Q2852" s="38">
        <f ca="1">IF(O2852="","",IF(Tipo_Vertedor="Retangular",IF(O2852&lt;=cota_s*100,0,IF(Tipo_Vertedor="Retangular",Cd_sr*Lef_sr*((O2852/100-cota_s)^(3/2))*1000)),IF(O2852&lt;=cota_s*100+fi_s/20,0,(OFFSET('Base de dados'!$A$4,IF(O2852&lt;20,1,IF(O2852&gt;1000,10,MATCH(O2852,Cargas,1))),Coluna_fis,1,1))*(PI()*(fi_s/1000)^2/4)*(2*9.81*(O2852/100-cota_s-fi_s/2/1000))^0.5*1000)))</f>
        <v>6.5073831165193612</v>
      </c>
      <c r="R2852" s="38">
        <f t="shared" ca="1" si="310"/>
        <v>13.644914917740104</v>
      </c>
      <c r="S2852" s="38">
        <f t="shared" ca="1" si="311"/>
        <v>890.93750000000011</v>
      </c>
    </row>
    <row r="2853" spans="13:19">
      <c r="M2853" s="132">
        <f t="shared" ca="1" si="308"/>
        <v>904.89754589325901</v>
      </c>
      <c r="N2853" s="38">
        <f t="shared" si="309"/>
        <v>26.737500000000001</v>
      </c>
      <c r="O2853" s="36">
        <f t="shared" si="307"/>
        <v>713</v>
      </c>
      <c r="P2853" s="38">
        <f ca="1">IF(ISERROR(IF(O2853&lt;fi_h/20,0,(OFFSET('Base de dados'!$A$5,IF(O2853&lt;20,1,IF(O2853&gt;1000,10,MATCH(O2853,Cargas,1))),Coluna_fih,1,1))*(1+0.13*0.25)*(PI()*(fi_h/1000)^2/4)*SQRT(2*9.81*(O2853/100-fi_h/2/1000))*1000)),"",IF(O2853&lt;fi_h/20,0,(OFFSET('Base de dados'!$A$5,IF(O2853&lt;20,1,IF(O2853&gt;1000,10,MATCH(O2853,Cargas,1))),Coluna_fih,1,1))*(PI()*(fi_h/1000)^2/4)*SQRT(2*9.81*(O2853/100-fi_h/2/1000))*1000))</f>
        <v>7.1387865489110265</v>
      </c>
      <c r="Q2853" s="38">
        <f ca="1">IF(O2853="","",IF(Tipo_Vertedor="Retangular",IF(O2853&lt;=cota_s*100,0,IF(Tipo_Vertedor="Retangular",Cd_sr*Lef_sr*((O2853/100-cota_s)^(3/2))*1000)),IF(O2853&lt;=cota_s*100+fi_s/20,0,(OFFSET('Base de dados'!$A$4,IF(O2853&lt;20,1,IF(O2853&gt;1000,10,MATCH(O2853,Cargas,1))),Coluna_fis,1,1))*(PI()*(fi_s/1000)^2/4)*(2*9.81*(O2853/100-cota_s-fi_s/2/1000))^0.5*1000)))</f>
        <v>6.5087593443479541</v>
      </c>
      <c r="R2853" s="38">
        <f t="shared" ca="1" si="310"/>
        <v>13.647545893258981</v>
      </c>
      <c r="S2853" s="38">
        <f t="shared" ca="1" si="311"/>
        <v>891.25</v>
      </c>
    </row>
    <row r="2854" spans="13:19">
      <c r="M2854" s="132">
        <f t="shared" ca="1" si="308"/>
        <v>905.21267635734478</v>
      </c>
      <c r="N2854" s="38">
        <f t="shared" si="309"/>
        <v>26.746875000000003</v>
      </c>
      <c r="O2854" s="36">
        <f t="shared" si="307"/>
        <v>713.25</v>
      </c>
      <c r="P2854" s="38">
        <f ca="1">IF(ISERROR(IF(O2854&lt;fi_h/20,0,(OFFSET('Base de dados'!$A$5,IF(O2854&lt;20,1,IF(O2854&gt;1000,10,MATCH(O2854,Cargas,1))),Coluna_fih,1,1))*(1+0.13*0.25)*(PI()*(fi_h/1000)^2/4)*SQRT(2*9.81*(O2854/100-fi_h/2/1000))*1000)),"",IF(O2854&lt;fi_h/20,0,(OFFSET('Base de dados'!$A$5,IF(O2854&lt;20,1,IF(O2854&gt;1000,10,MATCH(O2854,Cargas,1))),Coluna_fih,1,1))*(PI()*(fi_h/1000)^2/4)*SQRT(2*9.81*(O2854/100-fi_h/2/1000))*1000))</f>
        <v>7.1400410760995348</v>
      </c>
      <c r="Q2854" s="38">
        <f ca="1">IF(O2854="","",IF(Tipo_Vertedor="Retangular",IF(O2854&lt;=cota_s*100,0,IF(Tipo_Vertedor="Retangular",Cd_sr*Lef_sr*((O2854/100-cota_s)^(3/2))*1000)),IF(O2854&lt;=cota_s*100+fi_s/20,0,(OFFSET('Base de dados'!$A$4,IF(O2854&lt;20,1,IF(O2854&gt;1000,10,MATCH(O2854,Cargas,1))),Coluna_fis,1,1))*(PI()*(fi_s/1000)^2/4)*(2*9.81*(O2854/100-cota_s-fi_s/2/1000))^0.5*1000)))</f>
        <v>6.5101352812451134</v>
      </c>
      <c r="R2854" s="38">
        <f t="shared" ca="1" si="310"/>
        <v>13.650176357344648</v>
      </c>
      <c r="S2854" s="38">
        <f t="shared" ca="1" si="311"/>
        <v>891.56250000000011</v>
      </c>
    </row>
    <row r="2855" spans="13:19">
      <c r="M2855" s="132">
        <f t="shared" ca="1" si="308"/>
        <v>905.52780631029759</v>
      </c>
      <c r="N2855" s="38">
        <f t="shared" si="309"/>
        <v>26.756249999999998</v>
      </c>
      <c r="O2855" s="36">
        <f t="shared" si="307"/>
        <v>713.5</v>
      </c>
      <c r="P2855" s="38">
        <f ca="1">IF(ISERROR(IF(O2855&lt;fi_h/20,0,(OFFSET('Base de dados'!$A$5,IF(O2855&lt;20,1,IF(O2855&gt;1000,10,MATCH(O2855,Cargas,1))),Coluna_fih,1,1))*(1+0.13*0.25)*(PI()*(fi_h/1000)^2/4)*SQRT(2*9.81*(O2855/100-fi_h/2/1000))*1000)),"",IF(O2855&lt;fi_h/20,0,(OFFSET('Base de dados'!$A$5,IF(O2855&lt;20,1,IF(O2855&gt;1000,10,MATCH(O2855,Cargas,1))),Coluna_fih,1,1))*(PI()*(fi_h/1000)^2/4)*SQRT(2*9.81*(O2855/100-fi_h/2/1000))*1000))</f>
        <v>7.1412953829024728</v>
      </c>
      <c r="Q2855" s="38">
        <f ca="1">IF(O2855="","",IF(Tipo_Vertedor="Retangular",IF(O2855&lt;=cota_s*100,0,IF(Tipo_Vertedor="Retangular",Cd_sr*Lef_sr*((O2855/100-cota_s)^(3/2))*1000)),IF(O2855&lt;=cota_s*100+fi_s/20,0,(OFFSET('Base de dados'!$A$4,IF(O2855&lt;20,1,IF(O2855&gt;1000,10,MATCH(O2855,Cargas,1))),Coluna_fis,1,1))*(PI()*(fi_s/1000)^2/4)*(2*9.81*(O2855/100-cota_s-fi_s/2/1000))^0.5*1000)))</f>
        <v>6.5115109273952667</v>
      </c>
      <c r="R2855" s="38">
        <f t="shared" ca="1" si="310"/>
        <v>13.65280631029774</v>
      </c>
      <c r="S2855" s="38">
        <f t="shared" ca="1" si="311"/>
        <v>891.87499999999989</v>
      </c>
    </row>
    <row r="2856" spans="13:19">
      <c r="M2856" s="132">
        <f t="shared" ca="1" si="308"/>
        <v>905.84293575241861</v>
      </c>
      <c r="N2856" s="38">
        <f t="shared" si="309"/>
        <v>26.765625</v>
      </c>
      <c r="O2856" s="36">
        <f t="shared" si="307"/>
        <v>713.75</v>
      </c>
      <c r="P2856" s="38">
        <f ca="1">IF(ISERROR(IF(O2856&lt;fi_h/20,0,(OFFSET('Base de dados'!$A$5,IF(O2856&lt;20,1,IF(O2856&gt;1000,10,MATCH(O2856,Cargas,1))),Coluna_fih,1,1))*(1+0.13*0.25)*(PI()*(fi_h/1000)^2/4)*SQRT(2*9.81*(O2856/100-fi_h/2/1000))*1000)),"",IF(O2856&lt;fi_h/20,0,(OFFSET('Base de dados'!$A$5,IF(O2856&lt;20,1,IF(O2856&gt;1000,10,MATCH(O2856,Cargas,1))),Coluna_fih,1,1))*(PI()*(fi_h/1000)^2/4)*SQRT(2*9.81*(O2856/100-fi_h/2/1000))*1000))</f>
        <v>7.1425494694359486</v>
      </c>
      <c r="Q2856" s="38">
        <f ca="1">IF(O2856="","",IF(Tipo_Vertedor="Retangular",IF(O2856&lt;=cota_s*100,0,IF(Tipo_Vertedor="Retangular",Cd_sr*Lef_sr*((O2856/100-cota_s)^(3/2))*1000)),IF(O2856&lt;=cota_s*100+fi_s/20,0,(OFFSET('Base de dados'!$A$4,IF(O2856&lt;20,1,IF(O2856&gt;1000,10,MATCH(O2856,Cargas,1))),Coluna_fis,1,1))*(PI()*(fi_s/1000)^2/4)*(2*9.81*(O2856/100-cota_s-fi_s/2/1000))^0.5*1000)))</f>
        <v>6.5128862829826497</v>
      </c>
      <c r="R2856" s="38">
        <f t="shared" ca="1" si="310"/>
        <v>13.655435752418597</v>
      </c>
      <c r="S2856" s="38">
        <f t="shared" ca="1" si="311"/>
        <v>892.1875</v>
      </c>
    </row>
    <row r="2857" spans="13:19">
      <c r="M2857" s="132">
        <f t="shared" ca="1" si="308"/>
        <v>906.15806468400729</v>
      </c>
      <c r="N2857" s="38">
        <f t="shared" si="309"/>
        <v>26.774999999999999</v>
      </c>
      <c r="O2857" s="36">
        <f t="shared" si="307"/>
        <v>714</v>
      </c>
      <c r="P2857" s="38">
        <f ca="1">IF(ISERROR(IF(O2857&lt;fi_h/20,0,(OFFSET('Base de dados'!$A$5,IF(O2857&lt;20,1,IF(O2857&gt;1000,10,MATCH(O2857,Cargas,1))),Coluna_fih,1,1))*(1+0.13*0.25)*(PI()*(fi_h/1000)^2/4)*SQRT(2*9.81*(O2857/100-fi_h/2/1000))*1000)),"",IF(O2857&lt;fi_h/20,0,(OFFSET('Base de dados'!$A$5,IF(O2857&lt;20,1,IF(O2857&gt;1000,10,MATCH(O2857,Cargas,1))),Coluna_fih,1,1))*(PI()*(fi_h/1000)^2/4)*SQRT(2*9.81*(O2857/100-fi_h/2/1000))*1000))</f>
        <v>7.1438033358159654</v>
      </c>
      <c r="Q2857" s="38">
        <f ca="1">IF(O2857="","",IF(Tipo_Vertedor="Retangular",IF(O2857&lt;=cota_s*100,0,IF(Tipo_Vertedor="Retangular",Cd_sr*Lef_sr*((O2857/100-cota_s)^(3/2))*1000)),IF(O2857&lt;=cota_s*100+fi_s/20,0,(OFFSET('Base de dados'!$A$4,IF(O2857&lt;20,1,IF(O2857&gt;1000,10,MATCH(O2857,Cargas,1))),Coluna_fis,1,1))*(PI()*(fi_s/1000)^2/4)*(2*9.81*(O2857/100-cota_s-fi_s/2/1000))^0.5*1000)))</f>
        <v>6.5142613481912983</v>
      </c>
      <c r="R2857" s="38">
        <f t="shared" ca="1" si="310"/>
        <v>13.658064684007265</v>
      </c>
      <c r="S2857" s="38">
        <f t="shared" ca="1" si="311"/>
        <v>892.5</v>
      </c>
    </row>
    <row r="2858" spans="13:19">
      <c r="M2858" s="132">
        <f t="shared" ca="1" si="308"/>
        <v>906.47319310536352</v>
      </c>
      <c r="N2858" s="38">
        <f t="shared" si="309"/>
        <v>26.784375000000001</v>
      </c>
      <c r="O2858" s="36">
        <f t="shared" si="307"/>
        <v>714.25</v>
      </c>
      <c r="P2858" s="38">
        <f ca="1">IF(ISERROR(IF(O2858&lt;fi_h/20,0,(OFFSET('Base de dados'!$A$5,IF(O2858&lt;20,1,IF(O2858&gt;1000,10,MATCH(O2858,Cargas,1))),Coluna_fih,1,1))*(1+0.13*0.25)*(PI()*(fi_h/1000)^2/4)*SQRT(2*9.81*(O2858/100-fi_h/2/1000))*1000)),"",IF(O2858&lt;fi_h/20,0,(OFFSET('Base de dados'!$A$5,IF(O2858&lt;20,1,IF(O2858&gt;1000,10,MATCH(O2858,Cargas,1))),Coluna_fih,1,1))*(PI()*(fi_h/1000)^2/4)*SQRT(2*9.81*(O2858/100-fi_h/2/1000))*1000))</f>
        <v>7.1450569821584269</v>
      </c>
      <c r="Q2858" s="38">
        <f ca="1">IF(O2858="","",IF(Tipo_Vertedor="Retangular",IF(O2858&lt;=cota_s*100,0,IF(Tipo_Vertedor="Retangular",Cd_sr*Lef_sr*((O2858/100-cota_s)^(3/2))*1000)),IF(O2858&lt;=cota_s*100+fi_s/20,0,(OFFSET('Base de dados'!$A$4,IF(O2858&lt;20,1,IF(O2858&gt;1000,10,MATCH(O2858,Cargas,1))),Coluna_fis,1,1))*(PI()*(fi_s/1000)^2/4)*(2*9.81*(O2858/100-cota_s-fi_s/2/1000))^0.5*1000)))</f>
        <v>6.5156361232050619</v>
      </c>
      <c r="R2858" s="38">
        <f t="shared" ca="1" si="310"/>
        <v>13.660693105363489</v>
      </c>
      <c r="S2858" s="38">
        <f t="shared" ca="1" si="311"/>
        <v>892.8125</v>
      </c>
    </row>
    <row r="2859" spans="13:19">
      <c r="M2859" s="132">
        <f t="shared" ca="1" si="308"/>
        <v>906.78832101678677</v>
      </c>
      <c r="N2859" s="38">
        <f t="shared" si="309"/>
        <v>26.793749999999999</v>
      </c>
      <c r="O2859" s="36">
        <f t="shared" si="307"/>
        <v>714.5</v>
      </c>
      <c r="P2859" s="38">
        <f ca="1">IF(ISERROR(IF(O2859&lt;fi_h/20,0,(OFFSET('Base de dados'!$A$5,IF(O2859&lt;20,1,IF(O2859&gt;1000,10,MATCH(O2859,Cargas,1))),Coluna_fih,1,1))*(1+0.13*0.25)*(PI()*(fi_h/1000)^2/4)*SQRT(2*9.81*(O2859/100-fi_h/2/1000))*1000)),"",IF(O2859&lt;fi_h/20,0,(OFFSET('Base de dados'!$A$5,IF(O2859&lt;20,1,IF(O2859&gt;1000,10,MATCH(O2859,Cargas,1))),Coluna_fih,1,1))*(PI()*(fi_h/1000)^2/4)*SQRT(2*9.81*(O2859/100-fi_h/2/1000))*1000))</f>
        <v>7.1463104085791338</v>
      </c>
      <c r="Q2859" s="38">
        <f ca="1">IF(O2859="","",IF(Tipo_Vertedor="Retangular",IF(O2859&lt;=cota_s*100,0,IF(Tipo_Vertedor="Retangular",Cd_sr*Lef_sr*((O2859/100-cota_s)^(3/2))*1000)),IF(O2859&lt;=cota_s*100+fi_s/20,0,(OFFSET('Base de dados'!$A$4,IF(O2859&lt;20,1,IF(O2859&gt;1000,10,MATCH(O2859,Cargas,1))),Coluna_fis,1,1))*(PI()*(fi_s/1000)^2/4)*(2*9.81*(O2859/100-cota_s-fi_s/2/1000))^0.5*1000)))</f>
        <v>6.51701060820759</v>
      </c>
      <c r="R2859" s="38">
        <f t="shared" ca="1" si="310"/>
        <v>13.663321016786725</v>
      </c>
      <c r="S2859" s="38">
        <f t="shared" ca="1" si="311"/>
        <v>893.125</v>
      </c>
    </row>
    <row r="2860" spans="13:19">
      <c r="M2860" s="132">
        <f t="shared" ca="1" si="308"/>
        <v>907.10344841857614</v>
      </c>
      <c r="N2860" s="38">
        <f t="shared" si="309"/>
        <v>26.803125000000001</v>
      </c>
      <c r="O2860" s="36">
        <f t="shared" si="307"/>
        <v>714.75</v>
      </c>
      <c r="P2860" s="38">
        <f ca="1">IF(ISERROR(IF(O2860&lt;fi_h/20,0,(OFFSET('Base de dados'!$A$5,IF(O2860&lt;20,1,IF(O2860&gt;1000,10,MATCH(O2860,Cargas,1))),Coluna_fih,1,1))*(1+0.13*0.25)*(PI()*(fi_h/1000)^2/4)*SQRT(2*9.81*(O2860/100-fi_h/2/1000))*1000)),"",IF(O2860&lt;fi_h/20,0,(OFFSET('Base de dados'!$A$5,IF(O2860&lt;20,1,IF(O2860&gt;1000,10,MATCH(O2860,Cargas,1))),Coluna_fih,1,1))*(PI()*(fi_h/1000)^2/4)*SQRT(2*9.81*(O2860/100-fi_h/2/1000))*1000))</f>
        <v>7.1475636151937847</v>
      </c>
      <c r="Q2860" s="38">
        <f ca="1">IF(O2860="","",IF(Tipo_Vertedor="Retangular",IF(O2860&lt;=cota_s*100,0,IF(Tipo_Vertedor="Retangular",Cd_sr*Lef_sr*((O2860/100-cota_s)^(3/2))*1000)),IF(O2860&lt;=cota_s*100+fi_s/20,0,(OFFSET('Base de dados'!$A$4,IF(O2860&lt;20,1,IF(O2860&gt;1000,10,MATCH(O2860,Cargas,1))),Coluna_fis,1,1))*(PI()*(fi_s/1000)^2/4)*(2*9.81*(O2860/100-cota_s-fi_s/2/1000))^0.5*1000)))</f>
        <v>6.5183848033823413</v>
      </c>
      <c r="R2860" s="38">
        <f t="shared" ca="1" si="310"/>
        <v>13.665948418576125</v>
      </c>
      <c r="S2860" s="38">
        <f t="shared" ca="1" si="311"/>
        <v>893.4375</v>
      </c>
    </row>
    <row r="2861" spans="13:19">
      <c r="M2861" s="132">
        <f t="shared" ca="1" si="308"/>
        <v>907.41857531103051</v>
      </c>
      <c r="N2861" s="38">
        <f t="shared" si="309"/>
        <v>26.8125</v>
      </c>
      <c r="O2861" s="36">
        <f t="shared" si="307"/>
        <v>715</v>
      </c>
      <c r="P2861" s="38">
        <f ca="1">IF(ISERROR(IF(O2861&lt;fi_h/20,0,(OFFSET('Base de dados'!$A$5,IF(O2861&lt;20,1,IF(O2861&gt;1000,10,MATCH(O2861,Cargas,1))),Coluna_fih,1,1))*(1+0.13*0.25)*(PI()*(fi_h/1000)^2/4)*SQRT(2*9.81*(O2861/100-fi_h/2/1000))*1000)),"",IF(O2861&lt;fi_h/20,0,(OFFSET('Base de dados'!$A$5,IF(O2861&lt;20,1,IF(O2861&gt;1000,10,MATCH(O2861,Cargas,1))),Coluna_fih,1,1))*(PI()*(fi_h/1000)^2/4)*SQRT(2*9.81*(O2861/100-fi_h/2/1000))*1000))</f>
        <v>7.1488166021179769</v>
      </c>
      <c r="Q2861" s="38">
        <f ca="1">IF(O2861="","",IF(Tipo_Vertedor="Retangular",IF(O2861&lt;=cota_s*100,0,IF(Tipo_Vertedor="Retangular",Cd_sr*Lef_sr*((O2861/100-cota_s)^(3/2))*1000)),IF(O2861&lt;=cota_s*100+fi_s/20,0,(OFFSET('Base de dados'!$A$4,IF(O2861&lt;20,1,IF(O2861&gt;1000,10,MATCH(O2861,Cargas,1))),Coluna_fis,1,1))*(PI()*(fi_s/1000)^2/4)*(2*9.81*(O2861/100-cota_s-fi_s/2/1000))^0.5*1000)))</f>
        <v>6.5197587089125797</v>
      </c>
      <c r="R2861" s="38">
        <f t="shared" ca="1" si="310"/>
        <v>13.668575311030557</v>
      </c>
      <c r="S2861" s="38">
        <f t="shared" ca="1" si="311"/>
        <v>893.75</v>
      </c>
    </row>
    <row r="2862" spans="13:19">
      <c r="M2862" s="132">
        <f t="shared" ca="1" si="308"/>
        <v>907.73370169444854</v>
      </c>
      <c r="N2862" s="38">
        <f t="shared" si="309"/>
        <v>26.821874999999999</v>
      </c>
      <c r="O2862" s="36">
        <f t="shared" si="307"/>
        <v>715.25</v>
      </c>
      <c r="P2862" s="38">
        <f ca="1">IF(ISERROR(IF(O2862&lt;fi_h/20,0,(OFFSET('Base de dados'!$A$5,IF(O2862&lt;20,1,IF(O2862&gt;1000,10,MATCH(O2862,Cargas,1))),Coluna_fih,1,1))*(1+0.13*0.25)*(PI()*(fi_h/1000)^2/4)*SQRT(2*9.81*(O2862/100-fi_h/2/1000))*1000)),"",IF(O2862&lt;fi_h/20,0,(OFFSET('Base de dados'!$A$5,IF(O2862&lt;20,1,IF(O2862&gt;1000,10,MATCH(O2862,Cargas,1))),Coluna_fih,1,1))*(PI()*(fi_h/1000)^2/4)*SQRT(2*9.81*(O2862/100-fi_h/2/1000))*1000))</f>
        <v>7.1500693694672073</v>
      </c>
      <c r="Q2862" s="38">
        <f ca="1">IF(O2862="","",IF(Tipo_Vertedor="Retangular",IF(O2862&lt;=cota_s*100,0,IF(Tipo_Vertedor="Retangular",Cd_sr*Lef_sr*((O2862/100-cota_s)^(3/2))*1000)),IF(O2862&lt;=cota_s*100+fi_s/20,0,(OFFSET('Base de dados'!$A$4,IF(O2862&lt;20,1,IF(O2862&gt;1000,10,MATCH(O2862,Cargas,1))),Coluna_fis,1,1))*(PI()*(fi_s/1000)^2/4)*(2*9.81*(O2862/100-cota_s-fi_s/2/1000))^0.5*1000)))</f>
        <v>6.5211323249813749</v>
      </c>
      <c r="R2862" s="38">
        <f t="shared" ca="1" si="310"/>
        <v>13.671201694448582</v>
      </c>
      <c r="S2862" s="38">
        <f t="shared" ca="1" si="311"/>
        <v>894.0625</v>
      </c>
    </row>
    <row r="2863" spans="13:19">
      <c r="M2863" s="132">
        <f t="shared" ca="1" si="308"/>
        <v>908.04882756912843</v>
      </c>
      <c r="N2863" s="38">
        <f t="shared" si="309"/>
        <v>26.831250000000001</v>
      </c>
      <c r="O2863" s="36">
        <f t="shared" si="307"/>
        <v>715.5</v>
      </c>
      <c r="P2863" s="38">
        <f ca="1">IF(ISERROR(IF(O2863&lt;fi_h/20,0,(OFFSET('Base de dados'!$A$5,IF(O2863&lt;20,1,IF(O2863&gt;1000,10,MATCH(O2863,Cargas,1))),Coluna_fih,1,1))*(1+0.13*0.25)*(PI()*(fi_h/1000)^2/4)*SQRT(2*9.81*(O2863/100-fi_h/2/1000))*1000)),"",IF(O2863&lt;fi_h/20,0,(OFFSET('Base de dados'!$A$5,IF(O2863&lt;20,1,IF(O2863&gt;1000,10,MATCH(O2863,Cargas,1))),Coluna_fih,1,1))*(PI()*(fi_h/1000)^2/4)*SQRT(2*9.81*(O2863/100-fi_h/2/1000))*1000))</f>
        <v>7.1513219173568725</v>
      </c>
      <c r="Q2863" s="38">
        <f ca="1">IF(O2863="","",IF(Tipo_Vertedor="Retangular",IF(O2863&lt;=cota_s*100,0,IF(Tipo_Vertedor="Retangular",Cd_sr*Lef_sr*((O2863/100-cota_s)^(3/2))*1000)),IF(O2863&lt;=cota_s*100+fi_s/20,0,(OFFSET('Base de dados'!$A$4,IF(O2863&lt;20,1,IF(O2863&gt;1000,10,MATCH(O2863,Cargas,1))),Coluna_fis,1,1))*(PI()*(fi_s/1000)^2/4)*(2*9.81*(O2863/100-cota_s-fi_s/2/1000))^0.5*1000)))</f>
        <v>6.5225056517716089</v>
      </c>
      <c r="R2863" s="38">
        <f t="shared" ca="1" si="310"/>
        <v>13.673827569128481</v>
      </c>
      <c r="S2863" s="38">
        <f t="shared" ca="1" si="311"/>
        <v>894.375</v>
      </c>
    </row>
    <row r="2864" spans="13:19">
      <c r="M2864" s="132">
        <f t="shared" ca="1" si="308"/>
        <v>908.36395293536827</v>
      </c>
      <c r="N2864" s="38">
        <f t="shared" si="309"/>
        <v>26.840624999999999</v>
      </c>
      <c r="O2864" s="36">
        <f t="shared" si="307"/>
        <v>715.75</v>
      </c>
      <c r="P2864" s="38">
        <f ca="1">IF(ISERROR(IF(O2864&lt;fi_h/20,0,(OFFSET('Base de dados'!$A$5,IF(O2864&lt;20,1,IF(O2864&gt;1000,10,MATCH(O2864,Cargas,1))),Coluna_fih,1,1))*(1+0.13*0.25)*(PI()*(fi_h/1000)^2/4)*SQRT(2*9.81*(O2864/100-fi_h/2/1000))*1000)),"",IF(O2864&lt;fi_h/20,0,(OFFSET('Base de dados'!$A$5,IF(O2864&lt;20,1,IF(O2864&gt;1000,10,MATCH(O2864,Cargas,1))),Coluna_fih,1,1))*(PI()*(fi_h/1000)^2/4)*SQRT(2*9.81*(O2864/100-fi_h/2/1000))*1000))</f>
        <v>7.1525742459022652</v>
      </c>
      <c r="Q2864" s="38">
        <f ca="1">IF(O2864="","",IF(Tipo_Vertedor="Retangular",IF(O2864&lt;=cota_s*100,0,IF(Tipo_Vertedor="Retangular",Cd_sr*Lef_sr*((O2864/100-cota_s)^(3/2))*1000)),IF(O2864&lt;=cota_s*100+fi_s/20,0,(OFFSET('Base de dados'!$A$4,IF(O2864&lt;20,1,IF(O2864&gt;1000,10,MATCH(O2864,Cargas,1))),Coluna_fis,1,1))*(PI()*(fi_s/1000)^2/4)*(2*9.81*(O2864/100-cota_s-fi_s/2/1000))^0.5*1000)))</f>
        <v>6.5238786894659642</v>
      </c>
      <c r="R2864" s="38">
        <f t="shared" ca="1" si="310"/>
        <v>13.676452935368228</v>
      </c>
      <c r="S2864" s="38">
        <f t="shared" ca="1" si="311"/>
        <v>894.6875</v>
      </c>
    </row>
    <row r="2865" spans="13:19">
      <c r="M2865" s="132">
        <f t="shared" ca="1" si="308"/>
        <v>908.67907779346547</v>
      </c>
      <c r="N2865" s="38">
        <f t="shared" si="309"/>
        <v>26.85</v>
      </c>
      <c r="O2865" s="36">
        <f t="shared" si="307"/>
        <v>716</v>
      </c>
      <c r="P2865" s="38">
        <f ca="1">IF(ISERROR(IF(O2865&lt;fi_h/20,0,(OFFSET('Base de dados'!$A$5,IF(O2865&lt;20,1,IF(O2865&gt;1000,10,MATCH(O2865,Cargas,1))),Coluna_fih,1,1))*(1+0.13*0.25)*(PI()*(fi_h/1000)^2/4)*SQRT(2*9.81*(O2865/100-fi_h/2/1000))*1000)),"",IF(O2865&lt;fi_h/20,0,(OFFSET('Base de dados'!$A$5,IF(O2865&lt;20,1,IF(O2865&gt;1000,10,MATCH(O2865,Cargas,1))),Coluna_fih,1,1))*(PI()*(fi_h/1000)^2/4)*SQRT(2*9.81*(O2865/100-fi_h/2/1000))*1000))</f>
        <v>7.1538263552185777</v>
      </c>
      <c r="Q2865" s="38">
        <f ca="1">IF(O2865="","",IF(Tipo_Vertedor="Retangular",IF(O2865&lt;=cota_s*100,0,IF(Tipo_Vertedor="Retangular",Cd_sr*Lef_sr*((O2865/100-cota_s)^(3/2))*1000)),IF(O2865&lt;=cota_s*100+fi_s/20,0,(OFFSET('Base de dados'!$A$4,IF(O2865&lt;20,1,IF(O2865&gt;1000,10,MATCH(O2865,Cargas,1))),Coluna_fis,1,1))*(PI()*(fi_s/1000)^2/4)*(2*9.81*(O2865/100-cota_s-fi_s/2/1000))^0.5*1000)))</f>
        <v>6.5252514382469373</v>
      </c>
      <c r="R2865" s="38">
        <f t="shared" ca="1" si="310"/>
        <v>13.679077793465515</v>
      </c>
      <c r="S2865" s="38">
        <f t="shared" ca="1" si="311"/>
        <v>895</v>
      </c>
    </row>
    <row r="2866" spans="13:19">
      <c r="M2866" s="132">
        <f t="shared" ca="1" si="308"/>
        <v>908.99420214371776</v>
      </c>
      <c r="N2866" s="38">
        <f t="shared" si="309"/>
        <v>26.859375</v>
      </c>
      <c r="O2866" s="36">
        <f t="shared" si="307"/>
        <v>716.25</v>
      </c>
      <c r="P2866" s="38">
        <f ca="1">IF(ISERROR(IF(O2866&lt;fi_h/20,0,(OFFSET('Base de dados'!$A$5,IF(O2866&lt;20,1,IF(O2866&gt;1000,10,MATCH(O2866,Cargas,1))),Coluna_fih,1,1))*(1+0.13*0.25)*(PI()*(fi_h/1000)^2/4)*SQRT(2*9.81*(O2866/100-fi_h/2/1000))*1000)),"",IF(O2866&lt;fi_h/20,0,(OFFSET('Base de dados'!$A$5,IF(O2866&lt;20,1,IF(O2866&gt;1000,10,MATCH(O2866,Cargas,1))),Coluna_fih,1,1))*(PI()*(fi_h/1000)^2/4)*SQRT(2*9.81*(O2866/100-fi_h/2/1000))*1000))</f>
        <v>7.1550782454209045</v>
      </c>
      <c r="Q2866" s="38">
        <f ca="1">IF(O2866="","",IF(Tipo_Vertedor="Retangular",IF(O2866&lt;=cota_s*100,0,IF(Tipo_Vertedor="Retangular",Cd_sr*Lef_sr*((O2866/100-cota_s)^(3/2))*1000)),IF(O2866&lt;=cota_s*100+fi_s/20,0,(OFFSET('Base de dados'!$A$4,IF(O2866&lt;20,1,IF(O2866&gt;1000,10,MATCH(O2866,Cargas,1))),Coluna_fis,1,1))*(PI()*(fi_s/1000)^2/4)*(2*9.81*(O2866/100-cota_s-fi_s/2/1000))^0.5*1000)))</f>
        <v>6.5266238982968288</v>
      </c>
      <c r="R2866" s="38">
        <f t="shared" ca="1" si="310"/>
        <v>13.681702143717732</v>
      </c>
      <c r="S2866" s="38">
        <f t="shared" ca="1" si="311"/>
        <v>895.3125</v>
      </c>
    </row>
    <row r="2867" spans="13:19">
      <c r="M2867" s="132">
        <f t="shared" ca="1" si="308"/>
        <v>909.30932598642198</v>
      </c>
      <c r="N2867" s="38">
        <f t="shared" si="309"/>
        <v>26.868749999999999</v>
      </c>
      <c r="O2867" s="36">
        <f t="shared" si="307"/>
        <v>716.5</v>
      </c>
      <c r="P2867" s="38">
        <f ca="1">IF(ISERROR(IF(O2867&lt;fi_h/20,0,(OFFSET('Base de dados'!$A$5,IF(O2867&lt;20,1,IF(O2867&gt;1000,10,MATCH(O2867,Cargas,1))),Coluna_fih,1,1))*(1+0.13*0.25)*(PI()*(fi_h/1000)^2/4)*SQRT(2*9.81*(O2867/100-fi_h/2/1000))*1000)),"",IF(O2867&lt;fi_h/20,0,(OFFSET('Base de dados'!$A$5,IF(O2867&lt;20,1,IF(O2867&gt;1000,10,MATCH(O2867,Cargas,1))),Coluna_fih,1,1))*(PI()*(fi_h/1000)^2/4)*SQRT(2*9.81*(O2867/100-fi_h/2/1000))*1000))</f>
        <v>7.1563299166242373</v>
      </c>
      <c r="Q2867" s="38">
        <f ca="1">IF(O2867="","",IF(Tipo_Vertedor="Retangular",IF(O2867&lt;=cota_s*100,0,IF(Tipo_Vertedor="Retangular",Cd_sr*Lef_sr*((O2867/100-cota_s)^(3/2))*1000)),IF(O2867&lt;=cota_s*100+fi_s/20,0,(OFFSET('Base de dados'!$A$4,IF(O2867&lt;20,1,IF(O2867&gt;1000,10,MATCH(O2867,Cargas,1))),Coluna_fis,1,1))*(PI()*(fi_s/1000)^2/4)*(2*9.81*(O2867/100-cota_s-fi_s/2/1000))^0.5*1000)))</f>
        <v>6.5279960697977506</v>
      </c>
      <c r="R2867" s="38">
        <f t="shared" ca="1" si="310"/>
        <v>13.684325986421989</v>
      </c>
      <c r="S2867" s="38">
        <f t="shared" ca="1" si="311"/>
        <v>895.625</v>
      </c>
    </row>
    <row r="2868" spans="13:19">
      <c r="M2868" s="132">
        <f t="shared" ca="1" si="308"/>
        <v>909.62444932187509</v>
      </c>
      <c r="N2868" s="38">
        <f t="shared" si="309"/>
        <v>26.878125000000001</v>
      </c>
      <c r="O2868" s="36">
        <f t="shared" si="307"/>
        <v>716.75</v>
      </c>
      <c r="P2868" s="38">
        <f ca="1">IF(ISERROR(IF(O2868&lt;fi_h/20,0,(OFFSET('Base de dados'!$A$5,IF(O2868&lt;20,1,IF(O2868&gt;1000,10,MATCH(O2868,Cargas,1))),Coluna_fih,1,1))*(1+0.13*0.25)*(PI()*(fi_h/1000)^2/4)*SQRT(2*9.81*(O2868/100-fi_h/2/1000))*1000)),"",IF(O2868&lt;fi_h/20,0,(OFFSET('Base de dados'!$A$5,IF(O2868&lt;20,1,IF(O2868&gt;1000,10,MATCH(O2868,Cargas,1))),Coluna_fih,1,1))*(PI()*(fi_h/1000)^2/4)*SQRT(2*9.81*(O2868/100-fi_h/2/1000))*1000))</f>
        <v>7.1575813689434682</v>
      </c>
      <c r="Q2868" s="38">
        <f ca="1">IF(O2868="","",IF(Tipo_Vertedor="Retangular",IF(O2868&lt;=cota_s*100,0,IF(Tipo_Vertedor="Retangular",Cd_sr*Lef_sr*((O2868/100-cota_s)^(3/2))*1000)),IF(O2868&lt;=cota_s*100+fi_s/20,0,(OFFSET('Base de dados'!$A$4,IF(O2868&lt;20,1,IF(O2868&gt;1000,10,MATCH(O2868,Cargas,1))),Coluna_fis,1,1))*(PI()*(fi_s/1000)^2/4)*(2*9.81*(O2868/100-cota_s-fi_s/2/1000))^0.5*1000)))</f>
        <v>6.5293679529316195</v>
      </c>
      <c r="R2868" s="38">
        <f t="shared" ca="1" si="310"/>
        <v>13.686949321875087</v>
      </c>
      <c r="S2868" s="38">
        <f t="shared" ca="1" si="311"/>
        <v>895.9375</v>
      </c>
    </row>
    <row r="2869" spans="13:19">
      <c r="M2869" s="132">
        <f t="shared" ca="1" si="308"/>
        <v>909.93957215037358</v>
      </c>
      <c r="N2869" s="38">
        <f t="shared" si="309"/>
        <v>26.887499999999999</v>
      </c>
      <c r="O2869" s="36">
        <f t="shared" si="307"/>
        <v>717</v>
      </c>
      <c r="P2869" s="38">
        <f ca="1">IF(ISERROR(IF(O2869&lt;fi_h/20,0,(OFFSET('Base de dados'!$A$5,IF(O2869&lt;20,1,IF(O2869&gt;1000,10,MATCH(O2869,Cargas,1))),Coluna_fih,1,1))*(1+0.13*0.25)*(PI()*(fi_h/1000)^2/4)*SQRT(2*9.81*(O2869/100-fi_h/2/1000))*1000)),"",IF(O2869&lt;fi_h/20,0,(OFFSET('Base de dados'!$A$5,IF(O2869&lt;20,1,IF(O2869&gt;1000,10,MATCH(O2869,Cargas,1))),Coluna_fih,1,1))*(PI()*(fi_h/1000)^2/4)*SQRT(2*9.81*(O2869/100-fi_h/2/1000))*1000))</f>
        <v>7.1588326024933853</v>
      </c>
      <c r="Q2869" s="38">
        <f ca="1">IF(O2869="","",IF(Tipo_Vertedor="Retangular",IF(O2869&lt;=cota_s*100,0,IF(Tipo_Vertedor="Retangular",Cd_sr*Lef_sr*((O2869/100-cota_s)^(3/2))*1000)),IF(O2869&lt;=cota_s*100+fi_s/20,0,(OFFSET('Base de dados'!$A$4,IF(O2869&lt;20,1,IF(O2869&gt;1000,10,MATCH(O2869,Cargas,1))),Coluna_fis,1,1))*(PI()*(fi_s/1000)^2/4)*(2*9.81*(O2869/100-cota_s-fi_s/2/1000))^0.5*1000)))</f>
        <v>6.5307395478801649</v>
      </c>
      <c r="R2869" s="38">
        <f t="shared" ca="1" si="310"/>
        <v>13.68957215037355</v>
      </c>
      <c r="S2869" s="38">
        <f t="shared" ca="1" si="311"/>
        <v>896.25</v>
      </c>
    </row>
    <row r="2870" spans="13:19">
      <c r="M2870" s="132">
        <f t="shared" ca="1" si="308"/>
        <v>910.2546944722136</v>
      </c>
      <c r="N2870" s="38">
        <f t="shared" si="309"/>
        <v>26.896875000000001</v>
      </c>
      <c r="O2870" s="36">
        <f t="shared" si="307"/>
        <v>717.25</v>
      </c>
      <c r="P2870" s="38">
        <f ca="1">IF(ISERROR(IF(O2870&lt;fi_h/20,0,(OFFSET('Base de dados'!$A$5,IF(O2870&lt;20,1,IF(O2870&gt;1000,10,MATCH(O2870,Cargas,1))),Coluna_fih,1,1))*(1+0.13*0.25)*(PI()*(fi_h/1000)^2/4)*SQRT(2*9.81*(O2870/100-fi_h/2/1000))*1000)),"",IF(O2870&lt;fi_h/20,0,(OFFSET('Base de dados'!$A$5,IF(O2870&lt;20,1,IF(O2870&gt;1000,10,MATCH(O2870,Cargas,1))),Coluna_fih,1,1))*(PI()*(fi_h/1000)^2/4)*SQRT(2*9.81*(O2870/100-fi_h/2/1000))*1000))</f>
        <v>7.1600836173886817</v>
      </c>
      <c r="Q2870" s="38">
        <f ca="1">IF(O2870="","",IF(Tipo_Vertedor="Retangular",IF(O2870&lt;=cota_s*100,0,IF(Tipo_Vertedor="Retangular",Cd_sr*Lef_sr*((O2870/100-cota_s)^(3/2))*1000)),IF(O2870&lt;=cota_s*100+fi_s/20,0,(OFFSET('Base de dados'!$A$4,IF(O2870&lt;20,1,IF(O2870&gt;1000,10,MATCH(O2870,Cargas,1))),Coluna_fis,1,1))*(PI()*(fi_s/1000)^2/4)*(2*9.81*(O2870/100-cota_s-fi_s/2/1000))^0.5*1000)))</f>
        <v>6.5321108548249232</v>
      </c>
      <c r="R2870" s="38">
        <f t="shared" ca="1" si="310"/>
        <v>13.692194472213604</v>
      </c>
      <c r="S2870" s="38">
        <f t="shared" ca="1" si="311"/>
        <v>896.5625</v>
      </c>
    </row>
    <row r="2871" spans="13:19">
      <c r="M2871" s="132">
        <f t="shared" ca="1" si="308"/>
        <v>910.5698162876912</v>
      </c>
      <c r="N2871" s="38">
        <f t="shared" si="309"/>
        <v>26.90625</v>
      </c>
      <c r="O2871" s="36">
        <f t="shared" si="307"/>
        <v>717.5</v>
      </c>
      <c r="P2871" s="38">
        <f ca="1">IF(ISERROR(IF(O2871&lt;fi_h/20,0,(OFFSET('Base de dados'!$A$5,IF(O2871&lt;20,1,IF(O2871&gt;1000,10,MATCH(O2871,Cargas,1))),Coluna_fih,1,1))*(1+0.13*0.25)*(PI()*(fi_h/1000)^2/4)*SQRT(2*9.81*(O2871/100-fi_h/2/1000))*1000)),"",IF(O2871&lt;fi_h/20,0,(OFFSET('Base de dados'!$A$5,IF(O2871&lt;20,1,IF(O2871&gt;1000,10,MATCH(O2871,Cargas,1))),Coluna_fih,1,1))*(PI()*(fi_h/1000)^2/4)*SQRT(2*9.81*(O2871/100-fi_h/2/1000))*1000))</f>
        <v>7.1613344137439476</v>
      </c>
      <c r="Q2871" s="38">
        <f ca="1">IF(O2871="","",IF(Tipo_Vertedor="Retangular",IF(O2871&lt;=cota_s*100,0,IF(Tipo_Vertedor="Retangular",Cd_sr*Lef_sr*((O2871/100-cota_s)^(3/2))*1000)),IF(O2871&lt;=cota_s*100+fi_s/20,0,(OFFSET('Base de dados'!$A$4,IF(O2871&lt;20,1,IF(O2871&gt;1000,10,MATCH(O2871,Cargas,1))),Coluna_fis,1,1))*(PI()*(fi_s/1000)^2/4)*(2*9.81*(O2871/100-cota_s-fi_s/2/1000))^0.5*1000)))</f>
        <v>6.5334818739472427</v>
      </c>
      <c r="R2871" s="38">
        <f t="shared" ca="1" si="310"/>
        <v>13.694816287691189</v>
      </c>
      <c r="S2871" s="38">
        <f t="shared" ca="1" si="311"/>
        <v>896.875</v>
      </c>
    </row>
    <row r="2872" spans="13:19">
      <c r="M2872" s="132">
        <f t="shared" ca="1" si="308"/>
        <v>910.88493759710207</v>
      </c>
      <c r="N2872" s="38">
        <f t="shared" si="309"/>
        <v>26.915625000000002</v>
      </c>
      <c r="O2872" s="36">
        <f t="shared" si="307"/>
        <v>717.75</v>
      </c>
      <c r="P2872" s="38">
        <f ca="1">IF(ISERROR(IF(O2872&lt;fi_h/20,0,(OFFSET('Base de dados'!$A$5,IF(O2872&lt;20,1,IF(O2872&gt;1000,10,MATCH(O2872,Cargas,1))),Coluna_fih,1,1))*(1+0.13*0.25)*(PI()*(fi_h/1000)^2/4)*SQRT(2*9.81*(O2872/100-fi_h/2/1000))*1000)),"",IF(O2872&lt;fi_h/20,0,(OFFSET('Base de dados'!$A$5,IF(O2872&lt;20,1,IF(O2872&gt;1000,10,MATCH(O2872,Cargas,1))),Coluna_fih,1,1))*(PI()*(fi_h/1000)^2/4)*SQRT(2*9.81*(O2872/100-fi_h/2/1000))*1000))</f>
        <v>7.1625849916736737</v>
      </c>
      <c r="Q2872" s="38">
        <f ca="1">IF(O2872="","",IF(Tipo_Vertedor="Retangular",IF(O2872&lt;=cota_s*100,0,IF(Tipo_Vertedor="Retangular",Cd_sr*Lef_sr*((O2872/100-cota_s)^(3/2))*1000)),IF(O2872&lt;=cota_s*100+fi_s/20,0,(OFFSET('Base de dados'!$A$4,IF(O2872&lt;20,1,IF(O2872&gt;1000,10,MATCH(O2872,Cargas,1))),Coluna_fis,1,1))*(PI()*(fi_s/1000)^2/4)*(2*9.81*(O2872/100-cota_s-fi_s/2/1000))^0.5*1000)))</f>
        <v>6.5348526054282772</v>
      </c>
      <c r="R2872" s="38">
        <f t="shared" ca="1" si="310"/>
        <v>13.697437597101951</v>
      </c>
      <c r="S2872" s="38">
        <f t="shared" ca="1" si="311"/>
        <v>897.18750000000011</v>
      </c>
    </row>
    <row r="2873" spans="13:19">
      <c r="M2873" s="132">
        <f t="shared" ca="1" si="308"/>
        <v>911.20005840074111</v>
      </c>
      <c r="N2873" s="38">
        <f t="shared" si="309"/>
        <v>26.924999999999997</v>
      </c>
      <c r="O2873" s="36">
        <f t="shared" si="307"/>
        <v>718</v>
      </c>
      <c r="P2873" s="38">
        <f ca="1">IF(ISERROR(IF(O2873&lt;fi_h/20,0,(OFFSET('Base de dados'!$A$5,IF(O2873&lt;20,1,IF(O2873&gt;1000,10,MATCH(O2873,Cargas,1))),Coluna_fih,1,1))*(1+0.13*0.25)*(PI()*(fi_h/1000)^2/4)*SQRT(2*9.81*(O2873/100-fi_h/2/1000))*1000)),"",IF(O2873&lt;fi_h/20,0,(OFFSET('Base de dados'!$A$5,IF(O2873&lt;20,1,IF(O2873&gt;1000,10,MATCH(O2873,Cargas,1))),Coluna_fih,1,1))*(PI()*(fi_h/1000)^2/4)*SQRT(2*9.81*(O2873/100-fi_h/2/1000))*1000))</f>
        <v>7.1638353512922466</v>
      </c>
      <c r="Q2873" s="38">
        <f ca="1">IF(O2873="","",IF(Tipo_Vertedor="Retangular",IF(O2873&lt;=cota_s*100,0,IF(Tipo_Vertedor="Retangular",Cd_sr*Lef_sr*((O2873/100-cota_s)^(3/2))*1000)),IF(O2873&lt;=cota_s*100+fi_s/20,0,(OFFSET('Base de dados'!$A$4,IF(O2873&lt;20,1,IF(O2873&gt;1000,10,MATCH(O2873,Cargas,1))),Coluna_fis,1,1))*(PI()*(fi_s/1000)^2/4)*(2*9.81*(O2873/100-cota_s-fi_s/2/1000))^0.5*1000)))</f>
        <v>6.5362230494489948</v>
      </c>
      <c r="R2873" s="38">
        <f t="shared" ca="1" si="310"/>
        <v>13.700058400741241</v>
      </c>
      <c r="S2873" s="38">
        <f t="shared" ca="1" si="311"/>
        <v>897.49999999999989</v>
      </c>
    </row>
    <row r="2874" spans="13:19">
      <c r="M2874" s="132">
        <f t="shared" ca="1" si="308"/>
        <v>911.51517869890415</v>
      </c>
      <c r="N2874" s="38">
        <f t="shared" si="309"/>
        <v>26.934374999999999</v>
      </c>
      <c r="O2874" s="36">
        <f t="shared" si="307"/>
        <v>718.25</v>
      </c>
      <c r="P2874" s="38">
        <f ca="1">IF(ISERROR(IF(O2874&lt;fi_h/20,0,(OFFSET('Base de dados'!$A$5,IF(O2874&lt;20,1,IF(O2874&gt;1000,10,MATCH(O2874,Cargas,1))),Coluna_fih,1,1))*(1+0.13*0.25)*(PI()*(fi_h/1000)^2/4)*SQRT(2*9.81*(O2874/100-fi_h/2/1000))*1000)),"",IF(O2874&lt;fi_h/20,0,(OFFSET('Base de dados'!$A$5,IF(O2874&lt;20,1,IF(O2874&gt;1000,10,MATCH(O2874,Cargas,1))),Coluna_fih,1,1))*(PI()*(fi_h/1000)^2/4)*SQRT(2*9.81*(O2874/100-fi_h/2/1000))*1000))</f>
        <v>7.1650854927139633</v>
      </c>
      <c r="Q2874" s="38">
        <f ca="1">IF(O2874="","",IF(Tipo_Vertedor="Retangular",IF(O2874&lt;=cota_s*100,0,IF(Tipo_Vertedor="Retangular",Cd_sr*Lef_sr*((O2874/100-cota_s)^(3/2))*1000)),IF(O2874&lt;=cota_s*100+fi_s/20,0,(OFFSET('Base de dados'!$A$4,IF(O2874&lt;20,1,IF(O2874&gt;1000,10,MATCH(O2874,Cargas,1))),Coluna_fis,1,1))*(PI()*(fi_s/1000)^2/4)*(2*9.81*(O2874/100-cota_s-fi_s/2/1000))^0.5*1000)))</f>
        <v>6.5375932061901727</v>
      </c>
      <c r="R2874" s="38">
        <f t="shared" ca="1" si="310"/>
        <v>13.702678698904137</v>
      </c>
      <c r="S2874" s="38">
        <f t="shared" ca="1" si="311"/>
        <v>897.8125</v>
      </c>
    </row>
    <row r="2875" spans="13:19">
      <c r="M2875" s="132">
        <f t="shared" ca="1" si="308"/>
        <v>911.83029849188529</v>
      </c>
      <c r="N2875" s="38">
        <f t="shared" si="309"/>
        <v>26.943749999999998</v>
      </c>
      <c r="O2875" s="36">
        <f t="shared" si="307"/>
        <v>718.5</v>
      </c>
      <c r="P2875" s="38">
        <f ca="1">IF(ISERROR(IF(O2875&lt;fi_h/20,0,(OFFSET('Base de dados'!$A$5,IF(O2875&lt;20,1,IF(O2875&gt;1000,10,MATCH(O2875,Cargas,1))),Coluna_fih,1,1))*(1+0.13*0.25)*(PI()*(fi_h/1000)^2/4)*SQRT(2*9.81*(O2875/100-fi_h/2/1000))*1000)),"",IF(O2875&lt;fi_h/20,0,(OFFSET('Base de dados'!$A$5,IF(O2875&lt;20,1,IF(O2875&gt;1000,10,MATCH(O2875,Cargas,1))),Coluna_fih,1,1))*(PI()*(fi_h/1000)^2/4)*SQRT(2*9.81*(O2875/100-fi_h/2/1000))*1000))</f>
        <v>7.1663354160530099</v>
      </c>
      <c r="Q2875" s="38">
        <f ca="1">IF(O2875="","",IF(Tipo_Vertedor="Retangular",IF(O2875&lt;=cota_s*100,0,IF(Tipo_Vertedor="Retangular",Cd_sr*Lef_sr*((O2875/100-cota_s)^(3/2))*1000)),IF(O2875&lt;=cota_s*100+fi_s/20,0,(OFFSET('Base de dados'!$A$4,IF(O2875&lt;20,1,IF(O2875&gt;1000,10,MATCH(O2875,Cargas,1))),Coluna_fis,1,1))*(PI()*(fi_s/1000)^2/4)*(2*9.81*(O2875/100-cota_s-fi_s/2/1000))^0.5*1000)))</f>
        <v>6.5389630758323962</v>
      </c>
      <c r="R2875" s="38">
        <f t="shared" ca="1" si="310"/>
        <v>13.705298491885406</v>
      </c>
      <c r="S2875" s="38">
        <f t="shared" ca="1" si="311"/>
        <v>898.12499999999989</v>
      </c>
    </row>
    <row r="2876" spans="13:19">
      <c r="M2876" s="132">
        <f t="shared" ca="1" si="308"/>
        <v>912.14541777997954</v>
      </c>
      <c r="N2876" s="38">
        <f t="shared" si="309"/>
        <v>26.953125</v>
      </c>
      <c r="O2876" s="36">
        <f t="shared" si="307"/>
        <v>718.75</v>
      </c>
      <c r="P2876" s="38">
        <f ca="1">IF(ISERROR(IF(O2876&lt;fi_h/20,0,(OFFSET('Base de dados'!$A$5,IF(O2876&lt;20,1,IF(O2876&gt;1000,10,MATCH(O2876,Cargas,1))),Coluna_fih,1,1))*(1+0.13*0.25)*(PI()*(fi_h/1000)^2/4)*SQRT(2*9.81*(O2876/100-fi_h/2/1000))*1000)),"",IF(O2876&lt;fi_h/20,0,(OFFSET('Base de dados'!$A$5,IF(O2876&lt;20,1,IF(O2876&gt;1000,10,MATCH(O2876,Cargas,1))),Coluna_fih,1,1))*(PI()*(fi_h/1000)^2/4)*SQRT(2*9.81*(O2876/100-fi_h/2/1000))*1000))</f>
        <v>7.16758512142348</v>
      </c>
      <c r="Q2876" s="38">
        <f ca="1">IF(O2876="","",IF(Tipo_Vertedor="Retangular",IF(O2876&lt;=cota_s*100,0,IF(Tipo_Vertedor="Retangular",Cd_sr*Lef_sr*((O2876/100-cota_s)^(3/2))*1000)),IF(O2876&lt;=cota_s*100+fi_s/20,0,(OFFSET('Base de dados'!$A$4,IF(O2876&lt;20,1,IF(O2876&gt;1000,10,MATCH(O2876,Cargas,1))),Coluna_fis,1,1))*(PI()*(fi_s/1000)^2/4)*(2*9.81*(O2876/100-cota_s-fi_s/2/1000))^0.5*1000)))</f>
        <v>6.540332658556065</v>
      </c>
      <c r="R2876" s="38">
        <f t="shared" ca="1" si="310"/>
        <v>13.707917779979546</v>
      </c>
      <c r="S2876" s="38">
        <f t="shared" ca="1" si="311"/>
        <v>898.4375</v>
      </c>
    </row>
    <row r="2877" spans="13:19">
      <c r="M2877" s="132">
        <f t="shared" ca="1" si="308"/>
        <v>912.4605365634809</v>
      </c>
      <c r="N2877" s="38">
        <f t="shared" si="309"/>
        <v>26.962500000000002</v>
      </c>
      <c r="O2877" s="36">
        <f t="shared" si="307"/>
        <v>719</v>
      </c>
      <c r="P2877" s="38">
        <f ca="1">IF(ISERROR(IF(O2877&lt;fi_h/20,0,(OFFSET('Base de dados'!$A$5,IF(O2877&lt;20,1,IF(O2877&gt;1000,10,MATCH(O2877,Cargas,1))),Coluna_fih,1,1))*(1+0.13*0.25)*(PI()*(fi_h/1000)^2/4)*SQRT(2*9.81*(O2877/100-fi_h/2/1000))*1000)),"",IF(O2877&lt;fi_h/20,0,(OFFSET('Base de dados'!$A$5,IF(O2877&lt;20,1,IF(O2877&gt;1000,10,MATCH(O2877,Cargas,1))),Coluna_fih,1,1))*(PI()*(fi_h/1000)^2/4)*SQRT(2*9.81*(O2877/100-fi_h/2/1000))*1000))</f>
        <v>7.168834608939366</v>
      </c>
      <c r="Q2877" s="38">
        <f ca="1">IF(O2877="","",IF(Tipo_Vertedor="Retangular",IF(O2877&lt;=cota_s*100,0,IF(Tipo_Vertedor="Retangular",Cd_sr*Lef_sr*((O2877/100-cota_s)^(3/2))*1000)),IF(O2877&lt;=cota_s*100+fi_s/20,0,(OFFSET('Base de dados'!$A$4,IF(O2877&lt;20,1,IF(O2877&gt;1000,10,MATCH(O2877,Cargas,1))),Coluna_fis,1,1))*(PI()*(fi_s/1000)^2/4)*(2*9.81*(O2877/100-cota_s-fi_s/2/1000))^0.5*1000)))</f>
        <v>6.5417019545413879</v>
      </c>
      <c r="R2877" s="38">
        <f t="shared" ca="1" si="310"/>
        <v>13.710536563480755</v>
      </c>
      <c r="S2877" s="38">
        <f t="shared" ca="1" si="311"/>
        <v>898.75000000000011</v>
      </c>
    </row>
    <row r="2878" spans="13:19">
      <c r="M2878" s="132">
        <f t="shared" ca="1" si="308"/>
        <v>912.77565484268291</v>
      </c>
      <c r="N2878" s="38">
        <f t="shared" si="309"/>
        <v>26.971875000000001</v>
      </c>
      <c r="O2878" s="36">
        <f t="shared" si="307"/>
        <v>719.25</v>
      </c>
      <c r="P2878" s="38">
        <f ca="1">IF(ISERROR(IF(O2878&lt;fi_h/20,0,(OFFSET('Base de dados'!$A$5,IF(O2878&lt;20,1,IF(O2878&gt;1000,10,MATCH(O2878,Cargas,1))),Coluna_fih,1,1))*(1+0.13*0.25)*(PI()*(fi_h/1000)^2/4)*SQRT(2*9.81*(O2878/100-fi_h/2/1000))*1000)),"",IF(O2878&lt;fi_h/20,0,(OFFSET('Base de dados'!$A$5,IF(O2878&lt;20,1,IF(O2878&gt;1000,10,MATCH(O2878,Cargas,1))),Coluna_fih,1,1))*(PI()*(fi_h/1000)^2/4)*SQRT(2*9.81*(O2878/100-fi_h/2/1000))*1000))</f>
        <v>7.170083878714558</v>
      </c>
      <c r="Q2878" s="38">
        <f ca="1">IF(O2878="","",IF(Tipo_Vertedor="Retangular",IF(O2878&lt;=cota_s*100,0,IF(Tipo_Vertedor="Retangular",Cd_sr*Lef_sr*((O2878/100-cota_s)^(3/2))*1000)),IF(O2878&lt;=cota_s*100+fi_s/20,0,(OFFSET('Base de dados'!$A$4,IF(O2878&lt;20,1,IF(O2878&gt;1000,10,MATCH(O2878,Cargas,1))),Coluna_fis,1,1))*(PI()*(fi_s/1000)^2/4)*(2*9.81*(O2878/100-cota_s-fi_s/2/1000))^0.5*1000)))</f>
        <v>6.5430709639683871</v>
      </c>
      <c r="R2878" s="38">
        <f t="shared" ca="1" si="310"/>
        <v>13.713154842682945</v>
      </c>
      <c r="S2878" s="38">
        <f t="shared" ca="1" si="311"/>
        <v>899.0625</v>
      </c>
    </row>
    <row r="2879" spans="13:19">
      <c r="M2879" s="132">
        <f t="shared" ca="1" si="308"/>
        <v>913.09077261787991</v>
      </c>
      <c r="N2879" s="38">
        <f t="shared" si="309"/>
        <v>26.981250000000003</v>
      </c>
      <c r="O2879" s="36">
        <f t="shared" si="307"/>
        <v>719.5</v>
      </c>
      <c r="P2879" s="38">
        <f ca="1">IF(ISERROR(IF(O2879&lt;fi_h/20,0,(OFFSET('Base de dados'!$A$5,IF(O2879&lt;20,1,IF(O2879&gt;1000,10,MATCH(O2879,Cargas,1))),Coluna_fih,1,1))*(1+0.13*0.25)*(PI()*(fi_h/1000)^2/4)*SQRT(2*9.81*(O2879/100-fi_h/2/1000))*1000)),"",IF(O2879&lt;fi_h/20,0,(OFFSET('Base de dados'!$A$5,IF(O2879&lt;20,1,IF(O2879&gt;1000,10,MATCH(O2879,Cargas,1))),Coluna_fih,1,1))*(PI()*(fi_h/1000)^2/4)*SQRT(2*9.81*(O2879/100-fi_h/2/1000))*1000))</f>
        <v>7.1713329308628522</v>
      </c>
      <c r="Q2879" s="38">
        <f ca="1">IF(O2879="","",IF(Tipo_Vertedor="Retangular",IF(O2879&lt;=cota_s*100,0,IF(Tipo_Vertedor="Retangular",Cd_sr*Lef_sr*((O2879/100-cota_s)^(3/2))*1000)),IF(O2879&lt;=cota_s*100+fi_s/20,0,(OFFSET('Base de dados'!$A$4,IF(O2879&lt;20,1,IF(O2879&gt;1000,10,MATCH(O2879,Cargas,1))),Coluna_fis,1,1))*(PI()*(fi_s/1000)^2/4)*(2*9.81*(O2879/100-cota_s-fi_s/2/1000))^0.5*1000)))</f>
        <v>6.5444396870168928</v>
      </c>
      <c r="R2879" s="38">
        <f t="shared" ca="1" si="310"/>
        <v>13.715772617879745</v>
      </c>
      <c r="S2879" s="38">
        <f t="shared" ca="1" si="311"/>
        <v>899.37500000000011</v>
      </c>
    </row>
    <row r="2880" spans="13:19">
      <c r="M2880" s="132">
        <f t="shared" ca="1" si="308"/>
        <v>913.4058898893644</v>
      </c>
      <c r="N2880" s="38">
        <f t="shared" si="309"/>
        <v>26.990624999999998</v>
      </c>
      <c r="O2880" s="36">
        <f t="shared" si="307"/>
        <v>719.75</v>
      </c>
      <c r="P2880" s="38">
        <f ca="1">IF(ISERROR(IF(O2880&lt;fi_h/20,0,(OFFSET('Base de dados'!$A$5,IF(O2880&lt;20,1,IF(O2880&gt;1000,10,MATCH(O2880,Cargas,1))),Coluna_fih,1,1))*(1+0.13*0.25)*(PI()*(fi_h/1000)^2/4)*SQRT(2*9.81*(O2880/100-fi_h/2/1000))*1000)),"",IF(O2880&lt;fi_h/20,0,(OFFSET('Base de dados'!$A$5,IF(O2880&lt;20,1,IF(O2880&gt;1000,10,MATCH(O2880,Cargas,1))),Coluna_fih,1,1))*(PI()*(fi_h/1000)^2/4)*SQRT(2*9.81*(O2880/100-fi_h/2/1000))*1000))</f>
        <v>7.1725817654979398</v>
      </c>
      <c r="Q2880" s="38">
        <f ca="1">IF(O2880="","",IF(Tipo_Vertedor="Retangular",IF(O2880&lt;=cota_s*100,0,IF(Tipo_Vertedor="Retangular",Cd_sr*Lef_sr*((O2880/100-cota_s)^(3/2))*1000)),IF(O2880&lt;=cota_s*100+fi_s/20,0,(OFFSET('Base de dados'!$A$4,IF(O2880&lt;20,1,IF(O2880&gt;1000,10,MATCH(O2880,Cargas,1))),Coluna_fis,1,1))*(PI()*(fi_s/1000)^2/4)*(2*9.81*(O2880/100-cota_s-fi_s/2/1000))^0.5*1000)))</f>
        <v>6.5458081238665518</v>
      </c>
      <c r="R2880" s="38">
        <f t="shared" ca="1" si="310"/>
        <v>13.718389889364492</v>
      </c>
      <c r="S2880" s="38">
        <f t="shared" ca="1" si="311"/>
        <v>899.68749999999989</v>
      </c>
    </row>
    <row r="2881" spans="13:19">
      <c r="M2881" s="132">
        <f t="shared" ca="1" si="308"/>
        <v>913.72100665743028</v>
      </c>
      <c r="N2881" s="38">
        <f t="shared" si="309"/>
        <v>27</v>
      </c>
      <c r="O2881" s="36">
        <f t="shared" si="307"/>
        <v>720</v>
      </c>
      <c r="P2881" s="38">
        <f ca="1">IF(ISERROR(IF(O2881&lt;fi_h/20,0,(OFFSET('Base de dados'!$A$5,IF(O2881&lt;20,1,IF(O2881&gt;1000,10,MATCH(O2881,Cargas,1))),Coluna_fih,1,1))*(1+0.13*0.25)*(PI()*(fi_h/1000)^2/4)*SQRT(2*9.81*(O2881/100-fi_h/2/1000))*1000)),"",IF(O2881&lt;fi_h/20,0,(OFFSET('Base de dados'!$A$5,IF(O2881&lt;20,1,IF(O2881&gt;1000,10,MATCH(O2881,Cargas,1))),Coluna_fih,1,1))*(PI()*(fi_h/1000)^2/4)*SQRT(2*9.81*(O2881/100-fi_h/2/1000))*1000))</f>
        <v>7.1738303827334198</v>
      </c>
      <c r="Q2881" s="38">
        <f ca="1">IF(O2881="","",IF(Tipo_Vertedor="Retangular",IF(O2881&lt;=cota_s*100,0,IF(Tipo_Vertedor="Retangular",Cd_sr*Lef_sr*((O2881/100-cota_s)^(3/2))*1000)),IF(O2881&lt;=cota_s*100+fi_s/20,0,(OFFSET('Base de dados'!$A$4,IF(O2881&lt;20,1,IF(O2881&gt;1000,10,MATCH(O2881,Cargas,1))),Coluna_fis,1,1))*(PI()*(fi_s/1000)^2/4)*(2*9.81*(O2881/100-cota_s-fi_s/2/1000))^0.5*1000)))</f>
        <v>6.5471762746968203</v>
      </c>
      <c r="R2881" s="38">
        <f t="shared" ca="1" si="310"/>
        <v>13.721006657430241</v>
      </c>
      <c r="S2881" s="38">
        <f t="shared" ca="1" si="311"/>
        <v>900</v>
      </c>
    </row>
    <row r="2882" spans="13:19">
      <c r="M2882" s="132">
        <f t="shared" ca="1" si="308"/>
        <v>914.03612292236971</v>
      </c>
      <c r="N2882" s="38">
        <f t="shared" si="309"/>
        <v>27.009374999999999</v>
      </c>
      <c r="O2882" s="36">
        <f t="shared" si="307"/>
        <v>720.25</v>
      </c>
      <c r="P2882" s="38">
        <f ca="1">IF(ISERROR(IF(O2882&lt;fi_h/20,0,(OFFSET('Base de dados'!$A$5,IF(O2882&lt;20,1,IF(O2882&gt;1000,10,MATCH(O2882,Cargas,1))),Coluna_fih,1,1))*(1+0.13*0.25)*(PI()*(fi_h/1000)^2/4)*SQRT(2*9.81*(O2882/100-fi_h/2/1000))*1000)),"",IF(O2882&lt;fi_h/20,0,(OFFSET('Base de dados'!$A$5,IF(O2882&lt;20,1,IF(O2882&gt;1000,10,MATCH(O2882,Cargas,1))),Coluna_fih,1,1))*(PI()*(fi_h/1000)^2/4)*SQRT(2*9.81*(O2882/100-fi_h/2/1000))*1000))</f>
        <v>7.1750787826827862</v>
      </c>
      <c r="Q2882" s="38">
        <f ca="1">IF(O2882="","",IF(Tipo_Vertedor="Retangular",IF(O2882&lt;=cota_s*100,0,IF(Tipo_Vertedor="Retangular",Cd_sr*Lef_sr*((O2882/100-cota_s)^(3/2))*1000)),IF(O2882&lt;=cota_s*100+fi_s/20,0,(OFFSET('Base de dados'!$A$4,IF(O2882&lt;20,1,IF(O2882&gt;1000,10,MATCH(O2882,Cargas,1))),Coluna_fis,1,1))*(PI()*(fi_s/1000)^2/4)*(2*9.81*(O2882/100-cota_s-fi_s/2/1000))^0.5*1000)))</f>
        <v>6.5485441396869648</v>
      </c>
      <c r="R2882" s="38">
        <f t="shared" ca="1" si="310"/>
        <v>13.723622922369751</v>
      </c>
      <c r="S2882" s="38">
        <f t="shared" ca="1" si="311"/>
        <v>900.3125</v>
      </c>
    </row>
    <row r="2883" spans="13:19">
      <c r="M2883" s="132">
        <f t="shared" ca="1" si="308"/>
        <v>914.35123868447556</v>
      </c>
      <c r="N2883" s="38">
        <f t="shared" si="309"/>
        <v>27.018750000000001</v>
      </c>
      <c r="O2883" s="36">
        <f t="shared" si="307"/>
        <v>720.5</v>
      </c>
      <c r="P2883" s="38">
        <f ca="1">IF(ISERROR(IF(O2883&lt;fi_h/20,0,(OFFSET('Base de dados'!$A$5,IF(O2883&lt;20,1,IF(O2883&gt;1000,10,MATCH(O2883,Cargas,1))),Coluna_fih,1,1))*(1+0.13*0.25)*(PI()*(fi_h/1000)^2/4)*SQRT(2*9.81*(O2883/100-fi_h/2/1000))*1000)),"",IF(O2883&lt;fi_h/20,0,(OFFSET('Base de dados'!$A$5,IF(O2883&lt;20,1,IF(O2883&gt;1000,10,MATCH(O2883,Cargas,1))),Coluna_fih,1,1))*(PI()*(fi_h/1000)^2/4)*SQRT(2*9.81*(O2883/100-fi_h/2/1000))*1000))</f>
        <v>7.1763269654594382</v>
      </c>
      <c r="Q2883" s="38">
        <f ca="1">IF(O2883="","",IF(Tipo_Vertedor="Retangular",IF(O2883&lt;=cota_s*100,0,IF(Tipo_Vertedor="Retangular",Cd_sr*Lef_sr*((O2883/100-cota_s)^(3/2))*1000)),IF(O2883&lt;=cota_s*100+fi_s/20,0,(OFFSET('Base de dados'!$A$4,IF(O2883&lt;20,1,IF(O2883&gt;1000,10,MATCH(O2883,Cargas,1))),Coluna_fis,1,1))*(PI()*(fi_s/1000)^2/4)*(2*9.81*(O2883/100-cota_s-fi_s/2/1000))^0.5*1000)))</f>
        <v>6.5499117190160714</v>
      </c>
      <c r="R2883" s="38">
        <f t="shared" ca="1" si="310"/>
        <v>13.72623868447551</v>
      </c>
      <c r="S2883" s="38">
        <f t="shared" ca="1" si="311"/>
        <v>900.625</v>
      </c>
    </row>
    <row r="2884" spans="13:19">
      <c r="M2884" s="132">
        <f t="shared" ca="1" si="308"/>
        <v>914.66635394403966</v>
      </c>
      <c r="N2884" s="38">
        <f t="shared" si="309"/>
        <v>27.028124999999999</v>
      </c>
      <c r="O2884" s="36">
        <f t="shared" si="307"/>
        <v>720.75</v>
      </c>
      <c r="P2884" s="38">
        <f ca="1">IF(ISERROR(IF(O2884&lt;fi_h/20,0,(OFFSET('Base de dados'!$A$5,IF(O2884&lt;20,1,IF(O2884&gt;1000,10,MATCH(O2884,Cargas,1))),Coluna_fih,1,1))*(1+0.13*0.25)*(PI()*(fi_h/1000)^2/4)*SQRT(2*9.81*(O2884/100-fi_h/2/1000))*1000)),"",IF(O2884&lt;fi_h/20,0,(OFFSET('Base de dados'!$A$5,IF(O2884&lt;20,1,IF(O2884&gt;1000,10,MATCH(O2884,Cargas,1))),Coluna_fih,1,1))*(PI()*(fi_h/1000)^2/4)*SQRT(2*9.81*(O2884/100-fi_h/2/1000))*1000))</f>
        <v>7.1775749311766743</v>
      </c>
      <c r="Q2884" s="38">
        <f ca="1">IF(O2884="","",IF(Tipo_Vertedor="Retangular",IF(O2884&lt;=cota_s*100,0,IF(Tipo_Vertedor="Retangular",Cd_sr*Lef_sr*((O2884/100-cota_s)^(3/2))*1000)),IF(O2884&lt;=cota_s*100+fi_s/20,0,(OFFSET('Base de dados'!$A$4,IF(O2884&lt;20,1,IF(O2884&gt;1000,10,MATCH(O2884,Cargas,1))),Coluna_fis,1,1))*(PI()*(fi_s/1000)^2/4)*(2*9.81*(O2884/100-cota_s-fi_s/2/1000))^0.5*1000)))</f>
        <v>6.5512790128630343</v>
      </c>
      <c r="R2884" s="38">
        <f t="shared" ca="1" si="310"/>
        <v>13.728853944039709</v>
      </c>
      <c r="S2884" s="38">
        <f t="shared" ca="1" si="311"/>
        <v>900.9375</v>
      </c>
    </row>
    <row r="2885" spans="13:19">
      <c r="M2885" s="132">
        <f t="shared" ca="1" si="308"/>
        <v>914.98146870135429</v>
      </c>
      <c r="N2885" s="38">
        <f t="shared" si="309"/>
        <v>27.037500000000001</v>
      </c>
      <c r="O2885" s="36">
        <f t="shared" si="307"/>
        <v>721</v>
      </c>
      <c r="P2885" s="38">
        <f ca="1">IF(ISERROR(IF(O2885&lt;fi_h/20,0,(OFFSET('Base de dados'!$A$5,IF(O2885&lt;20,1,IF(O2885&gt;1000,10,MATCH(O2885,Cargas,1))),Coluna_fih,1,1))*(1+0.13*0.25)*(PI()*(fi_h/1000)^2/4)*SQRT(2*9.81*(O2885/100-fi_h/2/1000))*1000)),"",IF(O2885&lt;fi_h/20,0,(OFFSET('Base de dados'!$A$5,IF(O2885&lt;20,1,IF(O2885&gt;1000,10,MATCH(O2885,Cargas,1))),Coluna_fih,1,1))*(PI()*(fi_h/1000)^2/4)*SQRT(2*9.81*(O2885/100-fi_h/2/1000))*1000))</f>
        <v>7.1788226799476966</v>
      </c>
      <c r="Q2885" s="38">
        <f ca="1">IF(O2885="","",IF(Tipo_Vertedor="Retangular",IF(O2885&lt;=cota_s*100,0,IF(Tipo_Vertedor="Retangular",Cd_sr*Lef_sr*((O2885/100-cota_s)^(3/2))*1000)),IF(O2885&lt;=cota_s*100+fi_s/20,0,(OFFSET('Base de dados'!$A$4,IF(O2885&lt;20,1,IF(O2885&gt;1000,10,MATCH(O2885,Cargas,1))),Coluna_fis,1,1))*(PI()*(fi_s/1000)^2/4)*(2*9.81*(O2885/100-cota_s-fi_s/2/1000))^0.5*1000)))</f>
        <v>6.5526460214065603</v>
      </c>
      <c r="R2885" s="38">
        <f t="shared" ca="1" si="310"/>
        <v>13.731468701354256</v>
      </c>
      <c r="S2885" s="38">
        <f t="shared" ca="1" si="311"/>
        <v>901.25</v>
      </c>
    </row>
    <row r="2886" spans="13:19">
      <c r="M2886" s="132">
        <f t="shared" ca="1" si="308"/>
        <v>915.29658295671084</v>
      </c>
      <c r="N2886" s="38">
        <f t="shared" si="309"/>
        <v>27.046875</v>
      </c>
      <c r="O2886" s="36">
        <f t="shared" si="307"/>
        <v>721.25</v>
      </c>
      <c r="P2886" s="38">
        <f ca="1">IF(ISERROR(IF(O2886&lt;fi_h/20,0,(OFFSET('Base de dados'!$A$5,IF(O2886&lt;20,1,IF(O2886&gt;1000,10,MATCH(O2886,Cargas,1))),Coluna_fih,1,1))*(1+0.13*0.25)*(PI()*(fi_h/1000)^2/4)*SQRT(2*9.81*(O2886/100-fi_h/2/1000))*1000)),"",IF(O2886&lt;fi_h/20,0,(OFFSET('Base de dados'!$A$5,IF(O2886&lt;20,1,IF(O2886&gt;1000,10,MATCH(O2886,Cargas,1))),Coluna_fih,1,1))*(PI()*(fi_h/1000)^2/4)*SQRT(2*9.81*(O2886/100-fi_h/2/1000))*1000))</f>
        <v>7.1800702118856057</v>
      </c>
      <c r="Q2886" s="38">
        <f ca="1">IF(O2886="","",IF(Tipo_Vertedor="Retangular",IF(O2886&lt;=cota_s*100,0,IF(Tipo_Vertedor="Retangular",Cd_sr*Lef_sr*((O2886/100-cota_s)^(3/2))*1000)),IF(O2886&lt;=cota_s*100+fi_s/20,0,(OFFSET('Base de dados'!$A$4,IF(O2886&lt;20,1,IF(O2886&gt;1000,10,MATCH(O2886,Cargas,1))),Coluna_fis,1,1))*(PI()*(fi_s/1000)^2/4)*(2*9.81*(O2886/100-cota_s-fi_s/2/1000))^0.5*1000)))</f>
        <v>6.5540127448251733</v>
      </c>
      <c r="R2886" s="38">
        <f t="shared" ca="1" si="310"/>
        <v>13.734082956710779</v>
      </c>
      <c r="S2886" s="38">
        <f t="shared" ca="1" si="311"/>
        <v>901.5625</v>
      </c>
    </row>
    <row r="2887" spans="13:19">
      <c r="M2887" s="132">
        <f t="shared" ca="1" si="308"/>
        <v>915.61169671040057</v>
      </c>
      <c r="N2887" s="38">
        <f t="shared" si="309"/>
        <v>27.056249999999999</v>
      </c>
      <c r="O2887" s="36">
        <f t="shared" si="307"/>
        <v>721.5</v>
      </c>
      <c r="P2887" s="38">
        <f ca="1">IF(ISERROR(IF(O2887&lt;fi_h/20,0,(OFFSET('Base de dados'!$A$5,IF(O2887&lt;20,1,IF(O2887&gt;1000,10,MATCH(O2887,Cargas,1))),Coluna_fih,1,1))*(1+0.13*0.25)*(PI()*(fi_h/1000)^2/4)*SQRT(2*9.81*(O2887/100-fi_h/2/1000))*1000)),"",IF(O2887&lt;fi_h/20,0,(OFFSET('Base de dados'!$A$5,IF(O2887&lt;20,1,IF(O2887&gt;1000,10,MATCH(O2887,Cargas,1))),Coluna_fih,1,1))*(PI()*(fi_h/1000)^2/4)*SQRT(2*9.81*(O2887/100-fi_h/2/1000))*1000))</f>
        <v>7.1813175271034044</v>
      </c>
      <c r="Q2887" s="38">
        <f ca="1">IF(O2887="","",IF(Tipo_Vertedor="Retangular",IF(O2887&lt;=cota_s*100,0,IF(Tipo_Vertedor="Retangular",Cd_sr*Lef_sr*((O2887/100-cota_s)^(3/2))*1000)),IF(O2887&lt;=cota_s*100+fi_s/20,0,(OFFSET('Base de dados'!$A$4,IF(O2887&lt;20,1,IF(O2887&gt;1000,10,MATCH(O2887,Cargas,1))),Coluna_fis,1,1))*(PI()*(fi_s/1000)^2/4)*(2*9.81*(O2887/100-cota_s-fi_s/2/1000))^0.5*1000)))</f>
        <v>6.5553791832972088</v>
      </c>
      <c r="R2887" s="38">
        <f t="shared" ca="1" si="310"/>
        <v>13.736696710400613</v>
      </c>
      <c r="S2887" s="38">
        <f t="shared" ca="1" si="311"/>
        <v>901.875</v>
      </c>
    </row>
    <row r="2888" spans="13:19">
      <c r="M2888" s="132">
        <f t="shared" ca="1" si="308"/>
        <v>915.92680996271486</v>
      </c>
      <c r="N2888" s="38">
        <f t="shared" si="309"/>
        <v>27.065625000000001</v>
      </c>
      <c r="O2888" s="36">
        <f t="shared" si="307"/>
        <v>721.75</v>
      </c>
      <c r="P2888" s="38">
        <f ca="1">IF(ISERROR(IF(O2888&lt;fi_h/20,0,(OFFSET('Base de dados'!$A$5,IF(O2888&lt;20,1,IF(O2888&gt;1000,10,MATCH(O2888,Cargas,1))),Coluna_fih,1,1))*(1+0.13*0.25)*(PI()*(fi_h/1000)^2/4)*SQRT(2*9.81*(O2888/100-fi_h/2/1000))*1000)),"",IF(O2888&lt;fi_h/20,0,(OFFSET('Base de dados'!$A$5,IF(O2888&lt;20,1,IF(O2888&gt;1000,10,MATCH(O2888,Cargas,1))),Coluna_fih,1,1))*(PI()*(fi_h/1000)^2/4)*SQRT(2*9.81*(O2888/100-fi_h/2/1000))*1000))</f>
        <v>7.1825646257140043</v>
      </c>
      <c r="Q2888" s="38">
        <f ca="1">IF(O2888="","",IF(Tipo_Vertedor="Retangular",IF(O2888&lt;=cota_s*100,0,IF(Tipo_Vertedor="Retangular",Cd_sr*Lef_sr*((O2888/100-cota_s)^(3/2))*1000)),IF(O2888&lt;=cota_s*100+fi_s/20,0,(OFFSET('Base de dados'!$A$4,IF(O2888&lt;20,1,IF(O2888&gt;1000,10,MATCH(O2888,Cargas,1))),Coluna_fis,1,1))*(PI()*(fi_s/1000)^2/4)*(2*9.81*(O2888/100-cota_s-fi_s/2/1000))^0.5*1000)))</f>
        <v>6.5567453370008169</v>
      </c>
      <c r="R2888" s="38">
        <f t="shared" ca="1" si="310"/>
        <v>13.73930996271482</v>
      </c>
      <c r="S2888" s="38">
        <f t="shared" ca="1" si="311"/>
        <v>902.1875</v>
      </c>
    </row>
    <row r="2889" spans="13:19">
      <c r="M2889" s="132">
        <f t="shared" ca="1" si="308"/>
        <v>916.24192271394418</v>
      </c>
      <c r="N2889" s="38">
        <f t="shared" si="309"/>
        <v>27.074999999999999</v>
      </c>
      <c r="O2889" s="36">
        <f t="shared" si="307"/>
        <v>722</v>
      </c>
      <c r="P2889" s="38">
        <f ca="1">IF(ISERROR(IF(O2889&lt;fi_h/20,0,(OFFSET('Base de dados'!$A$5,IF(O2889&lt;20,1,IF(O2889&gt;1000,10,MATCH(O2889,Cargas,1))),Coluna_fih,1,1))*(1+0.13*0.25)*(PI()*(fi_h/1000)^2/4)*SQRT(2*9.81*(O2889/100-fi_h/2/1000))*1000)),"",IF(O2889&lt;fi_h/20,0,(OFFSET('Base de dados'!$A$5,IF(O2889&lt;20,1,IF(O2889&gt;1000,10,MATCH(O2889,Cargas,1))),Coluna_fih,1,1))*(PI()*(fi_h/1000)^2/4)*SQRT(2*9.81*(O2889/100-fi_h/2/1000))*1000))</f>
        <v>7.1838115078302085</v>
      </c>
      <c r="Q2889" s="38">
        <f ca="1">IF(O2889="","",IF(Tipo_Vertedor="Retangular",IF(O2889&lt;=cota_s*100,0,IF(Tipo_Vertedor="Retangular",Cd_sr*Lef_sr*((O2889/100-cota_s)^(3/2))*1000)),IF(O2889&lt;=cota_s*100+fi_s/20,0,(OFFSET('Base de dados'!$A$4,IF(O2889&lt;20,1,IF(O2889&gt;1000,10,MATCH(O2889,Cargas,1))),Coluna_fis,1,1))*(PI()*(fi_s/1000)^2/4)*(2*9.81*(O2889/100-cota_s-fi_s/2/1000))^0.5*1000)))</f>
        <v>6.5581112061139617</v>
      </c>
      <c r="R2889" s="38">
        <f t="shared" ca="1" si="310"/>
        <v>13.74192271394417</v>
      </c>
      <c r="S2889" s="38">
        <f t="shared" ca="1" si="311"/>
        <v>902.5</v>
      </c>
    </row>
    <row r="2890" spans="13:19">
      <c r="M2890" s="132">
        <f t="shared" ca="1" si="308"/>
        <v>916.55703496437911</v>
      </c>
      <c r="N2890" s="38">
        <f t="shared" si="309"/>
        <v>27.084375000000001</v>
      </c>
      <c r="O2890" s="36">
        <f t="shared" si="307"/>
        <v>722.25</v>
      </c>
      <c r="P2890" s="38">
        <f ca="1">IF(ISERROR(IF(O2890&lt;fi_h/20,0,(OFFSET('Base de dados'!$A$5,IF(O2890&lt;20,1,IF(O2890&gt;1000,10,MATCH(O2890,Cargas,1))),Coluna_fih,1,1))*(1+0.13*0.25)*(PI()*(fi_h/1000)^2/4)*SQRT(2*9.81*(O2890/100-fi_h/2/1000))*1000)),"",IF(O2890&lt;fi_h/20,0,(OFFSET('Base de dados'!$A$5,IF(O2890&lt;20,1,IF(O2890&gt;1000,10,MATCH(O2890,Cargas,1))),Coluna_fih,1,1))*(PI()*(fi_h/1000)^2/4)*SQRT(2*9.81*(O2890/100-fi_h/2/1000))*1000))</f>
        <v>7.1850581735647276</v>
      </c>
      <c r="Q2890" s="38">
        <f ca="1">IF(O2890="","",IF(Tipo_Vertedor="Retangular",IF(O2890&lt;=cota_s*100,0,IF(Tipo_Vertedor="Retangular",Cd_sr*Lef_sr*((O2890/100-cota_s)^(3/2))*1000)),IF(O2890&lt;=cota_s*100+fi_s/20,0,(OFFSET('Base de dados'!$A$4,IF(O2890&lt;20,1,IF(O2890&gt;1000,10,MATCH(O2890,Cargas,1))),Coluna_fis,1,1))*(PI()*(fi_s/1000)^2/4)*(2*9.81*(O2890/100-cota_s-fi_s/2/1000))^0.5*1000)))</f>
        <v>6.5594767908144238</v>
      </c>
      <c r="R2890" s="38">
        <f t="shared" ca="1" si="310"/>
        <v>13.744534964379152</v>
      </c>
      <c r="S2890" s="38">
        <f t="shared" ca="1" si="311"/>
        <v>902.8125</v>
      </c>
    </row>
    <row r="2891" spans="13:19">
      <c r="M2891" s="132">
        <f t="shared" ca="1" si="308"/>
        <v>916.87214671431002</v>
      </c>
      <c r="N2891" s="38">
        <f t="shared" si="309"/>
        <v>27.09375</v>
      </c>
      <c r="O2891" s="36">
        <f t="shared" si="307"/>
        <v>722.5</v>
      </c>
      <c r="P2891" s="38">
        <f ca="1">IF(ISERROR(IF(O2891&lt;fi_h/20,0,(OFFSET('Base de dados'!$A$5,IF(O2891&lt;20,1,IF(O2891&gt;1000,10,MATCH(O2891,Cargas,1))),Coluna_fih,1,1))*(1+0.13*0.25)*(PI()*(fi_h/1000)^2/4)*SQRT(2*9.81*(O2891/100-fi_h/2/1000))*1000)),"",IF(O2891&lt;fi_h/20,0,(OFFSET('Base de dados'!$A$5,IF(O2891&lt;20,1,IF(O2891&gt;1000,10,MATCH(O2891,Cargas,1))),Coluna_fih,1,1))*(PI()*(fi_h/1000)^2/4)*SQRT(2*9.81*(O2891/100-fi_h/2/1000))*1000))</f>
        <v>7.1863046230301757</v>
      </c>
      <c r="Q2891" s="38">
        <f ca="1">IF(O2891="","",IF(Tipo_Vertedor="Retangular",IF(O2891&lt;=cota_s*100,0,IF(Tipo_Vertedor="Retangular",Cd_sr*Lef_sr*((O2891/100-cota_s)^(3/2))*1000)),IF(O2891&lt;=cota_s*100+fi_s/20,0,(OFFSET('Base de dados'!$A$4,IF(O2891&lt;20,1,IF(O2891&gt;1000,10,MATCH(O2891,Cargas,1))),Coluna_fis,1,1))*(PI()*(fi_s/1000)^2/4)*(2*9.81*(O2891/100-cota_s-fi_s/2/1000))^0.5*1000)))</f>
        <v>6.560842091279798</v>
      </c>
      <c r="R2891" s="38">
        <f t="shared" ca="1" si="310"/>
        <v>13.747146714309974</v>
      </c>
      <c r="S2891" s="38">
        <f t="shared" ca="1" si="311"/>
        <v>903.125</v>
      </c>
    </row>
    <row r="2892" spans="13:19">
      <c r="M2892" s="132">
        <f t="shared" ca="1" si="308"/>
        <v>917.18725796402657</v>
      </c>
      <c r="N2892" s="38">
        <f t="shared" si="309"/>
        <v>27.103124999999999</v>
      </c>
      <c r="O2892" s="36">
        <f t="shared" si="307"/>
        <v>722.75</v>
      </c>
      <c r="P2892" s="38">
        <f ca="1">IF(ISERROR(IF(O2892&lt;fi_h/20,0,(OFFSET('Base de dados'!$A$5,IF(O2892&lt;20,1,IF(O2892&gt;1000,10,MATCH(O2892,Cargas,1))),Coluna_fih,1,1))*(1+0.13*0.25)*(PI()*(fi_h/1000)^2/4)*SQRT(2*9.81*(O2892/100-fi_h/2/1000))*1000)),"",IF(O2892&lt;fi_h/20,0,(OFFSET('Base de dados'!$A$5,IF(O2892&lt;20,1,IF(O2892&gt;1000,10,MATCH(O2892,Cargas,1))),Coluna_fih,1,1))*(PI()*(fi_h/1000)^2/4)*SQRT(2*9.81*(O2892/100-fi_h/2/1000))*1000))</f>
        <v>7.1875508563390662</v>
      </c>
      <c r="Q2892" s="38">
        <f ca="1">IF(O2892="","",IF(Tipo_Vertedor="Retangular",IF(O2892&lt;=cota_s*100,0,IF(Tipo_Vertedor="Retangular",Cd_sr*Lef_sr*((O2892/100-cota_s)^(3/2))*1000)),IF(O2892&lt;=cota_s*100+fi_s/20,0,(OFFSET('Base de dados'!$A$4,IF(O2892&lt;20,1,IF(O2892&gt;1000,10,MATCH(O2892,Cargas,1))),Coluna_fis,1,1))*(PI()*(fi_s/1000)^2/4)*(2*9.81*(O2892/100-cota_s-fi_s/2/1000))^0.5*1000)))</f>
        <v>6.5622071076874935</v>
      </c>
      <c r="R2892" s="38">
        <f t="shared" ca="1" si="310"/>
        <v>13.749757964026561</v>
      </c>
      <c r="S2892" s="38">
        <f t="shared" ca="1" si="311"/>
        <v>903.4375</v>
      </c>
    </row>
    <row r="2893" spans="13:19">
      <c r="M2893" s="132">
        <f t="shared" ca="1" si="308"/>
        <v>917.50236871381856</v>
      </c>
      <c r="N2893" s="38">
        <f t="shared" si="309"/>
        <v>27.112500000000001</v>
      </c>
      <c r="O2893" s="36">
        <f t="shared" si="307"/>
        <v>723</v>
      </c>
      <c r="P2893" s="38">
        <f ca="1">IF(ISERROR(IF(O2893&lt;fi_h/20,0,(OFFSET('Base de dados'!$A$5,IF(O2893&lt;20,1,IF(O2893&gt;1000,10,MATCH(O2893,Cargas,1))),Coluna_fih,1,1))*(1+0.13*0.25)*(PI()*(fi_h/1000)^2/4)*SQRT(2*9.81*(O2893/100-fi_h/2/1000))*1000)),"",IF(O2893&lt;fi_h/20,0,(OFFSET('Base de dados'!$A$5,IF(O2893&lt;20,1,IF(O2893&gt;1000,10,MATCH(O2893,Cargas,1))),Coluna_fih,1,1))*(PI()*(fi_h/1000)^2/4)*SQRT(2*9.81*(O2893/100-fi_h/2/1000))*1000))</f>
        <v>7.1887968736038186</v>
      </c>
      <c r="Q2893" s="38">
        <f ca="1">IF(O2893="","",IF(Tipo_Vertedor="Retangular",IF(O2893&lt;=cota_s*100,0,IF(Tipo_Vertedor="Retangular",Cd_sr*Lef_sr*((O2893/100-cota_s)^(3/2))*1000)),IF(O2893&lt;=cota_s*100+fi_s/20,0,(OFFSET('Base de dados'!$A$4,IF(O2893&lt;20,1,IF(O2893&gt;1000,10,MATCH(O2893,Cargas,1))),Coluna_fis,1,1))*(PI()*(fi_s/1000)^2/4)*(2*9.81*(O2893/100-cota_s-fi_s/2/1000))^0.5*1000)))</f>
        <v>6.5635718402147338</v>
      </c>
      <c r="R2893" s="38">
        <f t="shared" ca="1" si="310"/>
        <v>13.752368713818552</v>
      </c>
      <c r="S2893" s="38">
        <f t="shared" ca="1" si="311"/>
        <v>903.75</v>
      </c>
    </row>
    <row r="2894" spans="13:19">
      <c r="M2894" s="132">
        <f t="shared" ca="1" si="308"/>
        <v>917.8174789639753</v>
      </c>
      <c r="N2894" s="38">
        <f t="shared" si="309"/>
        <v>27.121874999999999</v>
      </c>
      <c r="O2894" s="36">
        <f t="shared" si="307"/>
        <v>723.25</v>
      </c>
      <c r="P2894" s="38">
        <f ca="1">IF(ISERROR(IF(O2894&lt;fi_h/20,0,(OFFSET('Base de dados'!$A$5,IF(O2894&lt;20,1,IF(O2894&gt;1000,10,MATCH(O2894,Cargas,1))),Coluna_fih,1,1))*(1+0.13*0.25)*(PI()*(fi_h/1000)^2/4)*SQRT(2*9.81*(O2894/100-fi_h/2/1000))*1000)),"",IF(O2894&lt;fi_h/20,0,(OFFSET('Base de dados'!$A$5,IF(O2894&lt;20,1,IF(O2894&gt;1000,10,MATCH(O2894,Cargas,1))),Coluna_fih,1,1))*(PI()*(fi_h/1000)^2/4)*SQRT(2*9.81*(O2894/100-fi_h/2/1000))*1000))</f>
        <v>7.1900426749367492</v>
      </c>
      <c r="Q2894" s="38">
        <f ca="1">IF(O2894="","",IF(Tipo_Vertedor="Retangular",IF(O2894&lt;=cota_s*100,0,IF(Tipo_Vertedor="Retangular",Cd_sr*Lef_sr*((O2894/100-cota_s)^(3/2))*1000)),IF(O2894&lt;=cota_s*100+fi_s/20,0,(OFFSET('Base de dados'!$A$4,IF(O2894&lt;20,1,IF(O2894&gt;1000,10,MATCH(O2894,Cargas,1))),Coluna_fis,1,1))*(PI()*(fi_s/1000)^2/4)*(2*9.81*(O2894/100-cota_s-fi_s/2/1000))^0.5*1000)))</f>
        <v>6.5649362890385614</v>
      </c>
      <c r="R2894" s="38">
        <f t="shared" ca="1" si="310"/>
        <v>13.754978963975312</v>
      </c>
      <c r="S2894" s="38">
        <f t="shared" ca="1" si="311"/>
        <v>904.0625</v>
      </c>
    </row>
    <row r="2895" spans="13:19">
      <c r="M2895" s="132">
        <f t="shared" ca="1" si="308"/>
        <v>918.13258871478592</v>
      </c>
      <c r="N2895" s="38">
        <f t="shared" si="309"/>
        <v>27.131250000000001</v>
      </c>
      <c r="O2895" s="36">
        <f t="shared" si="307"/>
        <v>723.5</v>
      </c>
      <c r="P2895" s="38">
        <f ca="1">IF(ISERROR(IF(O2895&lt;fi_h/20,0,(OFFSET('Base de dados'!$A$5,IF(O2895&lt;20,1,IF(O2895&gt;1000,10,MATCH(O2895,Cargas,1))),Coluna_fih,1,1))*(1+0.13*0.25)*(PI()*(fi_h/1000)^2/4)*SQRT(2*9.81*(O2895/100-fi_h/2/1000))*1000)),"",IF(O2895&lt;fi_h/20,0,(OFFSET('Base de dados'!$A$5,IF(O2895&lt;20,1,IF(O2895&gt;1000,10,MATCH(O2895,Cargas,1))),Coluna_fih,1,1))*(PI()*(fi_h/1000)^2/4)*SQRT(2*9.81*(O2895/100-fi_h/2/1000))*1000))</f>
        <v>7.191288260450083</v>
      </c>
      <c r="Q2895" s="38">
        <f ca="1">IF(O2895="","",IF(Tipo_Vertedor="Retangular",IF(O2895&lt;=cota_s*100,0,IF(Tipo_Vertedor="Retangular",Cd_sr*Lef_sr*((O2895/100-cota_s)^(3/2))*1000)),IF(O2895&lt;=cota_s*100+fi_s/20,0,(OFFSET('Base de dados'!$A$4,IF(O2895&lt;20,1,IF(O2895&gt;1000,10,MATCH(O2895,Cargas,1))),Coluna_fis,1,1))*(PI()*(fi_s/1000)^2/4)*(2*9.81*(O2895/100-cota_s-fi_s/2/1000))^0.5*1000)))</f>
        <v>6.5663004543358339</v>
      </c>
      <c r="R2895" s="38">
        <f t="shared" ca="1" si="310"/>
        <v>13.757588714785918</v>
      </c>
      <c r="S2895" s="38">
        <f t="shared" ca="1" si="311"/>
        <v>904.375</v>
      </c>
    </row>
    <row r="2896" spans="13:19">
      <c r="M2896" s="132">
        <f t="shared" ca="1" si="308"/>
        <v>918.44769796653918</v>
      </c>
      <c r="N2896" s="38">
        <f t="shared" si="309"/>
        <v>27.140625</v>
      </c>
      <c r="O2896" s="36">
        <f t="shared" si="307"/>
        <v>723.75</v>
      </c>
      <c r="P2896" s="38">
        <f ca="1">IF(ISERROR(IF(O2896&lt;fi_h/20,0,(OFFSET('Base de dados'!$A$5,IF(O2896&lt;20,1,IF(O2896&gt;1000,10,MATCH(O2896,Cargas,1))),Coluna_fih,1,1))*(1+0.13*0.25)*(PI()*(fi_h/1000)^2/4)*SQRT(2*9.81*(O2896/100-fi_h/2/1000))*1000)),"",IF(O2896&lt;fi_h/20,0,(OFFSET('Base de dados'!$A$5,IF(O2896&lt;20,1,IF(O2896&gt;1000,10,MATCH(O2896,Cargas,1))),Coluna_fih,1,1))*(PI()*(fi_h/1000)^2/4)*SQRT(2*9.81*(O2896/100-fi_h/2/1000))*1000))</f>
        <v>7.1925336302559444</v>
      </c>
      <c r="Q2896" s="38">
        <f ca="1">IF(O2896="","",IF(Tipo_Vertedor="Retangular",IF(O2896&lt;=cota_s*100,0,IF(Tipo_Vertedor="Retangular",Cd_sr*Lef_sr*((O2896/100-cota_s)^(3/2))*1000)),IF(O2896&lt;=cota_s*100+fi_s/20,0,(OFFSET('Base de dados'!$A$4,IF(O2896&lt;20,1,IF(O2896&gt;1000,10,MATCH(O2896,Cargas,1))),Coluna_fis,1,1))*(PI()*(fi_s/1000)^2/4)*(2*9.81*(O2896/100-cota_s-fi_s/2/1000))^0.5*1000)))</f>
        <v>6.5676643362832223</v>
      </c>
      <c r="R2896" s="38">
        <f t="shared" ca="1" si="310"/>
        <v>13.760197966539167</v>
      </c>
      <c r="S2896" s="38">
        <f t="shared" ca="1" si="311"/>
        <v>904.6875</v>
      </c>
    </row>
    <row r="2897" spans="13:19">
      <c r="M2897" s="132">
        <f t="shared" ca="1" si="308"/>
        <v>918.76280671952372</v>
      </c>
      <c r="N2897" s="38">
        <f t="shared" si="309"/>
        <v>27.150000000000002</v>
      </c>
      <c r="O2897" s="36">
        <f t="shared" si="307"/>
        <v>724</v>
      </c>
      <c r="P2897" s="38">
        <f ca="1">IF(ISERROR(IF(O2897&lt;fi_h/20,0,(OFFSET('Base de dados'!$A$5,IF(O2897&lt;20,1,IF(O2897&gt;1000,10,MATCH(O2897,Cargas,1))),Coluna_fih,1,1))*(1+0.13*0.25)*(PI()*(fi_h/1000)^2/4)*SQRT(2*9.81*(O2897/100-fi_h/2/1000))*1000)),"",IF(O2897&lt;fi_h/20,0,(OFFSET('Base de dados'!$A$5,IF(O2897&lt;20,1,IF(O2897&gt;1000,10,MATCH(O2897,Cargas,1))),Coluna_fih,1,1))*(PI()*(fi_h/1000)^2/4)*SQRT(2*9.81*(O2897/100-fi_h/2/1000))*1000))</f>
        <v>7.1937787844663621</v>
      </c>
      <c r="Q2897" s="38">
        <f ca="1">IF(O2897="","",IF(Tipo_Vertedor="Retangular",IF(O2897&lt;=cota_s*100,0,IF(Tipo_Vertedor="Retangular",Cd_sr*Lef_sr*((O2897/100-cota_s)^(3/2))*1000)),IF(O2897&lt;=cota_s*100+fi_s/20,0,(OFFSET('Base de dados'!$A$4,IF(O2897&lt;20,1,IF(O2897&gt;1000,10,MATCH(O2897,Cargas,1))),Coluna_fis,1,1))*(PI()*(fi_s/1000)^2/4)*(2*9.81*(O2897/100-cota_s-fi_s/2/1000))^0.5*1000)))</f>
        <v>6.5690279350572203</v>
      </c>
      <c r="R2897" s="38">
        <f t="shared" ca="1" si="310"/>
        <v>13.762806719523581</v>
      </c>
      <c r="S2897" s="38">
        <f t="shared" ca="1" si="311"/>
        <v>905.00000000000011</v>
      </c>
    </row>
    <row r="2898" spans="13:19">
      <c r="M2898" s="132">
        <f t="shared" ca="1" si="308"/>
        <v>919.07791497402729</v>
      </c>
      <c r="N2898" s="38">
        <f t="shared" si="309"/>
        <v>27.159374999999997</v>
      </c>
      <c r="O2898" s="36">
        <f t="shared" si="307"/>
        <v>724.25</v>
      </c>
      <c r="P2898" s="38">
        <f ca="1">IF(ISERROR(IF(O2898&lt;fi_h/20,0,(OFFSET('Base de dados'!$A$5,IF(O2898&lt;20,1,IF(O2898&gt;1000,10,MATCH(O2898,Cargas,1))),Coluna_fih,1,1))*(1+0.13*0.25)*(PI()*(fi_h/1000)^2/4)*SQRT(2*9.81*(O2898/100-fi_h/2/1000))*1000)),"",IF(O2898&lt;fi_h/20,0,(OFFSET('Base de dados'!$A$5,IF(O2898&lt;20,1,IF(O2898&gt;1000,10,MATCH(O2898,Cargas,1))),Coluna_fih,1,1))*(PI()*(fi_h/1000)^2/4)*SQRT(2*9.81*(O2898/100-fi_h/2/1000))*1000))</f>
        <v>7.1950237231932679</v>
      </c>
      <c r="Q2898" s="38">
        <f ca="1">IF(O2898="","",IF(Tipo_Vertedor="Retangular",IF(O2898&lt;=cota_s*100,0,IF(Tipo_Vertedor="Retangular",Cd_sr*Lef_sr*((O2898/100-cota_s)^(3/2))*1000)),IF(O2898&lt;=cota_s*100+fi_s/20,0,(OFFSET('Base de dados'!$A$4,IF(O2898&lt;20,1,IF(O2898&gt;1000,10,MATCH(O2898,Cargas,1))),Coluna_fis,1,1))*(PI()*(fi_s/1000)^2/4)*(2*9.81*(O2898/100-cota_s-fi_s/2/1000))^0.5*1000)))</f>
        <v>6.570391250834132</v>
      </c>
      <c r="R2898" s="38">
        <f t="shared" ca="1" si="310"/>
        <v>13.765414974027401</v>
      </c>
      <c r="S2898" s="38">
        <f t="shared" ca="1" si="311"/>
        <v>905.31249999999989</v>
      </c>
    </row>
    <row r="2899" spans="13:19">
      <c r="M2899" s="132">
        <f t="shared" ca="1" si="308"/>
        <v>919.39302273033854</v>
      </c>
      <c r="N2899" s="38">
        <f t="shared" si="309"/>
        <v>27.168749999999999</v>
      </c>
      <c r="O2899" s="36">
        <f t="shared" ref="O2899:O2962" si="312">IF(ISERROR(IF(O2898+passo_altura&gt;h_max_puls*100,"",O2898+passo_altura)),"",IF(O2898+passo_altura&gt;h_max_puls*100,"",O2898+passo_altura))</f>
        <v>724.5</v>
      </c>
      <c r="P2899" s="38">
        <f ca="1">IF(ISERROR(IF(O2899&lt;fi_h/20,0,(OFFSET('Base de dados'!$A$5,IF(O2899&lt;20,1,IF(O2899&gt;1000,10,MATCH(O2899,Cargas,1))),Coluna_fih,1,1))*(1+0.13*0.25)*(PI()*(fi_h/1000)^2/4)*SQRT(2*9.81*(O2899/100-fi_h/2/1000))*1000)),"",IF(O2899&lt;fi_h/20,0,(OFFSET('Base de dados'!$A$5,IF(O2899&lt;20,1,IF(O2899&gt;1000,10,MATCH(O2899,Cargas,1))),Coluna_fih,1,1))*(PI()*(fi_h/1000)^2/4)*SQRT(2*9.81*(O2899/100-fi_h/2/1000))*1000))</f>
        <v>7.1962684465484941</v>
      </c>
      <c r="Q2899" s="38">
        <f ca="1">IF(O2899="","",IF(Tipo_Vertedor="Retangular",IF(O2899&lt;=cota_s*100,0,IF(Tipo_Vertedor="Retangular",Cd_sr*Lef_sr*((O2899/100-cota_s)^(3/2))*1000)),IF(O2899&lt;=cota_s*100+fi_s/20,0,(OFFSET('Base de dados'!$A$4,IF(O2899&lt;20,1,IF(O2899&gt;1000,10,MATCH(O2899,Cargas,1))),Coluna_fis,1,1))*(PI()*(fi_s/1000)^2/4)*(2*9.81*(O2899/100-cota_s-fi_s/2/1000))^0.5*1000)))</f>
        <v>6.5717542837900806</v>
      </c>
      <c r="R2899" s="38">
        <f t="shared" ca="1" si="310"/>
        <v>13.768022730338576</v>
      </c>
      <c r="S2899" s="38">
        <f t="shared" ca="1" si="311"/>
        <v>905.625</v>
      </c>
    </row>
    <row r="2900" spans="13:19">
      <c r="M2900" s="132">
        <f t="shared" ca="1" si="308"/>
        <v>919.70812998874464</v>
      </c>
      <c r="N2900" s="38">
        <f t="shared" si="309"/>
        <v>27.178124999999998</v>
      </c>
      <c r="O2900" s="36">
        <f t="shared" si="312"/>
        <v>724.75</v>
      </c>
      <c r="P2900" s="38">
        <f ca="1">IF(ISERROR(IF(O2900&lt;fi_h/20,0,(OFFSET('Base de dados'!$A$5,IF(O2900&lt;20,1,IF(O2900&gt;1000,10,MATCH(O2900,Cargas,1))),Coluna_fih,1,1))*(1+0.13*0.25)*(PI()*(fi_h/1000)^2/4)*SQRT(2*9.81*(O2900/100-fi_h/2/1000))*1000)),"",IF(O2900&lt;fi_h/20,0,(OFFSET('Base de dados'!$A$5,IF(O2900&lt;20,1,IF(O2900&gt;1000,10,MATCH(O2900,Cargas,1))),Coluna_fih,1,1))*(PI()*(fi_h/1000)^2/4)*SQRT(2*9.81*(O2900/100-fi_h/2/1000))*1000))</f>
        <v>7.1975129546437815</v>
      </c>
      <c r="Q2900" s="38">
        <f ca="1">IF(O2900="","",IF(Tipo_Vertedor="Retangular",IF(O2900&lt;=cota_s*100,0,IF(Tipo_Vertedor="Retangular",Cd_sr*Lef_sr*((O2900/100-cota_s)^(3/2))*1000)),IF(O2900&lt;=cota_s*100+fi_s/20,0,(OFFSET('Base de dados'!$A$4,IF(O2900&lt;20,1,IF(O2900&gt;1000,10,MATCH(O2900,Cargas,1))),Coluna_fis,1,1))*(PI()*(fi_s/1000)^2/4)*(2*9.81*(O2900/100-cota_s-fi_s/2/1000))^0.5*1000)))</f>
        <v>6.573117034101009</v>
      </c>
      <c r="R2900" s="38">
        <f t="shared" ca="1" si="310"/>
        <v>13.77062998874479</v>
      </c>
      <c r="S2900" s="38">
        <f t="shared" ca="1" si="311"/>
        <v>905.93749999999989</v>
      </c>
    </row>
    <row r="2901" spans="13:19">
      <c r="M2901" s="132">
        <f t="shared" ca="1" si="308"/>
        <v>920.02323674953345</v>
      </c>
      <c r="N2901" s="38">
        <f t="shared" si="309"/>
        <v>27.1875</v>
      </c>
      <c r="O2901" s="36">
        <f t="shared" si="312"/>
        <v>725</v>
      </c>
      <c r="P2901" s="38">
        <f ca="1">IF(ISERROR(IF(O2901&lt;fi_h/20,0,(OFFSET('Base de dados'!$A$5,IF(O2901&lt;20,1,IF(O2901&gt;1000,10,MATCH(O2901,Cargas,1))),Coluna_fih,1,1))*(1+0.13*0.25)*(PI()*(fi_h/1000)^2/4)*SQRT(2*9.81*(O2901/100-fi_h/2/1000))*1000)),"",IF(O2901&lt;fi_h/20,0,(OFFSET('Base de dados'!$A$5,IF(O2901&lt;20,1,IF(O2901&gt;1000,10,MATCH(O2901,Cargas,1))),Coluna_fih,1,1))*(PI()*(fi_h/1000)^2/4)*SQRT(2*9.81*(O2901/100-fi_h/2/1000))*1000))</f>
        <v>7.1987572475907688</v>
      </c>
      <c r="Q2901" s="38">
        <f ca="1">IF(O2901="","",IF(Tipo_Vertedor="Retangular",IF(O2901&lt;=cota_s*100,0,IF(Tipo_Vertedor="Retangular",Cd_sr*Lef_sr*((O2901/100-cota_s)^(3/2))*1000)),IF(O2901&lt;=cota_s*100+fi_s/20,0,(OFFSET('Base de dados'!$A$4,IF(O2901&lt;20,1,IF(O2901&gt;1000,10,MATCH(O2901,Cargas,1))),Coluna_fis,1,1))*(PI()*(fi_s/1000)^2/4)*(2*9.81*(O2901/100-cota_s-fi_s/2/1000))^0.5*1000)))</f>
        <v>6.5744795019426769</v>
      </c>
      <c r="R2901" s="38">
        <f t="shared" ca="1" si="310"/>
        <v>13.773236749533446</v>
      </c>
      <c r="S2901" s="38">
        <f t="shared" ca="1" si="311"/>
        <v>906.25</v>
      </c>
    </row>
    <row r="2902" spans="13:19">
      <c r="M2902" s="132">
        <f t="shared" ca="1" si="308"/>
        <v>920.3383430129918</v>
      </c>
      <c r="N2902" s="38">
        <f t="shared" si="309"/>
        <v>27.196875000000002</v>
      </c>
      <c r="O2902" s="36">
        <f t="shared" si="312"/>
        <v>725.25</v>
      </c>
      <c r="P2902" s="38">
        <f ca="1">IF(ISERROR(IF(O2902&lt;fi_h/20,0,(OFFSET('Base de dados'!$A$5,IF(O2902&lt;20,1,IF(O2902&gt;1000,10,MATCH(O2902,Cargas,1))),Coluna_fih,1,1))*(1+0.13*0.25)*(PI()*(fi_h/1000)^2/4)*SQRT(2*9.81*(O2902/100-fi_h/2/1000))*1000)),"",IF(O2902&lt;fi_h/20,0,(OFFSET('Base de dados'!$A$5,IF(O2902&lt;20,1,IF(O2902&gt;1000,10,MATCH(O2902,Cargas,1))),Coluna_fih,1,1))*(PI()*(fi_h/1000)^2/4)*SQRT(2*9.81*(O2902/100-fi_h/2/1000))*1000))</f>
        <v>7.2000013255010034</v>
      </c>
      <c r="Q2902" s="38">
        <f ca="1">IF(O2902="","",IF(Tipo_Vertedor="Retangular",IF(O2902&lt;=cota_s*100,0,IF(Tipo_Vertedor="Retangular",Cd_sr*Lef_sr*((O2902/100-cota_s)^(3/2))*1000)),IF(O2902&lt;=cota_s*100+fi_s/20,0,(OFFSET('Base de dados'!$A$4,IF(O2902&lt;20,1,IF(O2902&gt;1000,10,MATCH(O2902,Cargas,1))),Coluna_fis,1,1))*(PI()*(fi_s/1000)^2/4)*(2*9.81*(O2902/100-cota_s-fi_s/2/1000))^0.5*1000)))</f>
        <v>6.5758416874906596</v>
      </c>
      <c r="R2902" s="38">
        <f t="shared" ca="1" si="310"/>
        <v>13.775843012991663</v>
      </c>
      <c r="S2902" s="38">
        <f t="shared" ca="1" si="311"/>
        <v>906.56250000000011</v>
      </c>
    </row>
    <row r="2903" spans="13:19">
      <c r="M2903" s="132">
        <f t="shared" ref="M2903:M2966" ca="1" si="313">IF(O2903="","",2*N2903*1000/(Passo*60)+R2903)</f>
        <v>920.65344877940629</v>
      </c>
      <c r="N2903" s="38">
        <f t="shared" ref="N2903:N2966" si="314">IF(O2903="","",b_0*(O2903/100)^c_0)</f>
        <v>27.206250000000001</v>
      </c>
      <c r="O2903" s="36">
        <f t="shared" si="312"/>
        <v>725.5</v>
      </c>
      <c r="P2903" s="38">
        <f ca="1">IF(ISERROR(IF(O2903&lt;fi_h/20,0,(OFFSET('Base de dados'!$A$5,IF(O2903&lt;20,1,IF(O2903&gt;1000,10,MATCH(O2903,Cargas,1))),Coluna_fih,1,1))*(1+0.13*0.25)*(PI()*(fi_h/1000)^2/4)*SQRT(2*9.81*(O2903/100-fi_h/2/1000))*1000)),"",IF(O2903&lt;fi_h/20,0,(OFFSET('Base de dados'!$A$5,IF(O2903&lt;20,1,IF(O2903&gt;1000,10,MATCH(O2903,Cargas,1))),Coluna_fih,1,1))*(PI()*(fi_h/1000)^2/4)*SQRT(2*9.81*(O2903/100-fi_h/2/1000))*1000))</f>
        <v>7.2012451884859319</v>
      </c>
      <c r="Q2903" s="38">
        <f ca="1">IF(O2903="","",IF(Tipo_Vertedor="Retangular",IF(O2903&lt;=cota_s*100,0,IF(Tipo_Vertedor="Retangular",Cd_sr*Lef_sr*((O2903/100-cota_s)^(3/2))*1000)),IF(O2903&lt;=cota_s*100+fi_s/20,0,(OFFSET('Base de dados'!$A$4,IF(O2903&lt;20,1,IF(O2903&gt;1000,10,MATCH(O2903,Cargas,1))),Coluna_fis,1,1))*(PI()*(fi_s/1000)^2/4)*(2*9.81*(O2903/100-cota_s-fi_s/2/1000))^0.5*1000)))</f>
        <v>6.5772035909203526</v>
      </c>
      <c r="R2903" s="38">
        <f t="shared" ref="R2903:R2966" ca="1" si="315">IF(O2903="","",Q2903+P2903)</f>
        <v>13.778448779406284</v>
      </c>
      <c r="S2903" s="38">
        <f t="shared" ref="S2903:S2966" ca="1" si="316">IF(M2903="","",2*N2903*1000/(Passo*60))</f>
        <v>906.875</v>
      </c>
    </row>
    <row r="2904" spans="13:19">
      <c r="M2904" s="132">
        <f t="shared" ca="1" si="313"/>
        <v>920.96855404906398</v>
      </c>
      <c r="N2904" s="38">
        <f t="shared" si="314"/>
        <v>27.215625000000003</v>
      </c>
      <c r="O2904" s="36">
        <f t="shared" si="312"/>
        <v>725.75</v>
      </c>
      <c r="P2904" s="38">
        <f ca="1">IF(ISERROR(IF(O2904&lt;fi_h/20,0,(OFFSET('Base de dados'!$A$5,IF(O2904&lt;20,1,IF(O2904&gt;1000,10,MATCH(O2904,Cargas,1))),Coluna_fih,1,1))*(1+0.13*0.25)*(PI()*(fi_h/1000)^2/4)*SQRT(2*9.81*(O2904/100-fi_h/2/1000))*1000)),"",IF(O2904&lt;fi_h/20,0,(OFFSET('Base de dados'!$A$5,IF(O2904&lt;20,1,IF(O2904&gt;1000,10,MATCH(O2904,Cargas,1))),Coluna_fih,1,1))*(PI()*(fi_h/1000)^2/4)*SQRT(2*9.81*(O2904/100-fi_h/2/1000))*1000))</f>
        <v>7.2024888366569062</v>
      </c>
      <c r="Q2904" s="38">
        <f ca="1">IF(O2904="","",IF(Tipo_Vertedor="Retangular",IF(O2904&lt;=cota_s*100,0,IF(Tipo_Vertedor="Retangular",Cd_sr*Lef_sr*((O2904/100-cota_s)^(3/2))*1000)),IF(O2904&lt;=cota_s*100+fi_s/20,0,(OFFSET('Base de dados'!$A$4,IF(O2904&lt;20,1,IF(O2904&gt;1000,10,MATCH(O2904,Cargas,1))),Coluna_fis,1,1))*(PI()*(fi_s/1000)^2/4)*(2*9.81*(O2904/100-cota_s-fi_s/2/1000))^0.5*1000)))</f>
        <v>6.5785652124069705</v>
      </c>
      <c r="R2904" s="38">
        <f t="shared" ca="1" si="315"/>
        <v>13.781054049063876</v>
      </c>
      <c r="S2904" s="38">
        <f t="shared" ca="1" si="316"/>
        <v>907.18750000000011</v>
      </c>
    </row>
    <row r="2905" spans="13:19">
      <c r="M2905" s="132">
        <f t="shared" ca="1" si="313"/>
        <v>921.28365882225057</v>
      </c>
      <c r="N2905" s="38">
        <f t="shared" si="314"/>
        <v>27.224999999999998</v>
      </c>
      <c r="O2905" s="36">
        <f t="shared" si="312"/>
        <v>726</v>
      </c>
      <c r="P2905" s="38">
        <f ca="1">IF(ISERROR(IF(O2905&lt;fi_h/20,0,(OFFSET('Base de dados'!$A$5,IF(O2905&lt;20,1,IF(O2905&gt;1000,10,MATCH(O2905,Cargas,1))),Coluna_fih,1,1))*(1+0.13*0.25)*(PI()*(fi_h/1000)^2/4)*SQRT(2*9.81*(O2905/100-fi_h/2/1000))*1000)),"",IF(O2905&lt;fi_h/20,0,(OFFSET('Base de dados'!$A$5,IF(O2905&lt;20,1,IF(O2905&gt;1000,10,MATCH(O2905,Cargas,1))),Coluna_fih,1,1))*(PI()*(fi_h/1000)^2/4)*SQRT(2*9.81*(O2905/100-fi_h/2/1000))*1000))</f>
        <v>7.2037322701251831</v>
      </c>
      <c r="Q2905" s="38">
        <f ca="1">IF(O2905="","",IF(Tipo_Vertedor="Retangular",IF(O2905&lt;=cota_s*100,0,IF(Tipo_Vertedor="Retangular",Cd_sr*Lef_sr*((O2905/100-cota_s)^(3/2))*1000)),IF(O2905&lt;=cota_s*100+fi_s/20,0,(OFFSET('Base de dados'!$A$4,IF(O2905&lt;20,1,IF(O2905&gt;1000,10,MATCH(O2905,Cargas,1))),Coluna_fis,1,1))*(PI()*(fi_s/1000)^2/4)*(2*9.81*(O2905/100-cota_s-fi_s/2/1000))^0.5*1000)))</f>
        <v>6.5799265521255421</v>
      </c>
      <c r="R2905" s="38">
        <f t="shared" ca="1" si="315"/>
        <v>13.783658822250725</v>
      </c>
      <c r="S2905" s="38">
        <f t="shared" ca="1" si="316"/>
        <v>907.49999999999989</v>
      </c>
    </row>
    <row r="2906" spans="13:19">
      <c r="M2906" s="132">
        <f t="shared" ca="1" si="313"/>
        <v>921.59876309925289</v>
      </c>
      <c r="N2906" s="38">
        <f t="shared" si="314"/>
        <v>27.234375</v>
      </c>
      <c r="O2906" s="36">
        <f t="shared" si="312"/>
        <v>726.25</v>
      </c>
      <c r="P2906" s="38">
        <f ca="1">IF(ISERROR(IF(O2906&lt;fi_h/20,0,(OFFSET('Base de dados'!$A$5,IF(O2906&lt;20,1,IF(O2906&gt;1000,10,MATCH(O2906,Cargas,1))),Coluna_fih,1,1))*(1+0.13*0.25)*(PI()*(fi_h/1000)^2/4)*SQRT(2*9.81*(O2906/100-fi_h/2/1000))*1000)),"",IF(O2906&lt;fi_h/20,0,(OFFSET('Base de dados'!$A$5,IF(O2906&lt;20,1,IF(O2906&gt;1000,10,MATCH(O2906,Cargas,1))),Coluna_fih,1,1))*(PI()*(fi_h/1000)^2/4)*SQRT(2*9.81*(O2906/100-fi_h/2/1000))*1000))</f>
        <v>7.2049754890019244</v>
      </c>
      <c r="Q2906" s="38">
        <f ca="1">IF(O2906="","",IF(Tipo_Vertedor="Retangular",IF(O2906&lt;=cota_s*100,0,IF(Tipo_Vertedor="Retangular",Cd_sr*Lef_sr*((O2906/100-cota_s)^(3/2))*1000)),IF(O2906&lt;=cota_s*100+fi_s/20,0,(OFFSET('Base de dados'!$A$4,IF(O2906&lt;20,1,IF(O2906&gt;1000,10,MATCH(O2906,Cargas,1))),Coluna_fis,1,1))*(PI()*(fi_s/1000)^2/4)*(2*9.81*(O2906/100-cota_s-fi_s/2/1000))^0.5*1000)))</f>
        <v>6.5812876102509232</v>
      </c>
      <c r="R2906" s="38">
        <f t="shared" ca="1" si="315"/>
        <v>13.786263099252848</v>
      </c>
      <c r="S2906" s="38">
        <f t="shared" ca="1" si="316"/>
        <v>907.8125</v>
      </c>
    </row>
    <row r="2907" spans="13:19">
      <c r="M2907" s="132">
        <f t="shared" ca="1" si="313"/>
        <v>921.91386688035595</v>
      </c>
      <c r="N2907" s="38">
        <f t="shared" si="314"/>
        <v>27.243749999999999</v>
      </c>
      <c r="O2907" s="36">
        <f t="shared" si="312"/>
        <v>726.5</v>
      </c>
      <c r="P2907" s="38">
        <f ca="1">IF(ISERROR(IF(O2907&lt;fi_h/20,0,(OFFSET('Base de dados'!$A$5,IF(O2907&lt;20,1,IF(O2907&gt;1000,10,MATCH(O2907,Cargas,1))),Coluna_fih,1,1))*(1+0.13*0.25)*(PI()*(fi_h/1000)^2/4)*SQRT(2*9.81*(O2907/100-fi_h/2/1000))*1000)),"",IF(O2907&lt;fi_h/20,0,(OFFSET('Base de dados'!$A$5,IF(O2907&lt;20,1,IF(O2907&gt;1000,10,MATCH(O2907,Cargas,1))),Coluna_fih,1,1))*(PI()*(fi_h/1000)^2/4)*SQRT(2*9.81*(O2907/100-fi_h/2/1000))*1000))</f>
        <v>7.2062184933981897</v>
      </c>
      <c r="Q2907" s="38">
        <f ca="1">IF(O2907="","",IF(Tipo_Vertedor="Retangular",IF(O2907&lt;=cota_s*100,0,IF(Tipo_Vertedor="Retangular",Cd_sr*Lef_sr*((O2907/100-cota_s)^(3/2))*1000)),IF(O2907&lt;=cota_s*100+fi_s/20,0,(OFFSET('Base de dados'!$A$4,IF(O2907&lt;20,1,IF(O2907&gt;1000,10,MATCH(O2907,Cargas,1))),Coluna_fis,1,1))*(PI()*(fi_s/1000)^2/4)*(2*9.81*(O2907/100-cota_s-fi_s/2/1000))^0.5*1000)))</f>
        <v>6.5826483869577821</v>
      </c>
      <c r="R2907" s="38">
        <f t="shared" ca="1" si="315"/>
        <v>13.788866880355972</v>
      </c>
      <c r="S2907" s="38">
        <f t="shared" ca="1" si="316"/>
        <v>908.125</v>
      </c>
    </row>
    <row r="2908" spans="13:19">
      <c r="M2908" s="132">
        <f t="shared" ca="1" si="313"/>
        <v>922.22897016584557</v>
      </c>
      <c r="N2908" s="38">
        <f t="shared" si="314"/>
        <v>27.253125000000001</v>
      </c>
      <c r="O2908" s="36">
        <f t="shared" si="312"/>
        <v>726.75</v>
      </c>
      <c r="P2908" s="38">
        <f ca="1">IF(ISERROR(IF(O2908&lt;fi_h/20,0,(OFFSET('Base de dados'!$A$5,IF(O2908&lt;20,1,IF(O2908&gt;1000,10,MATCH(O2908,Cargas,1))),Coluna_fih,1,1))*(1+0.13*0.25)*(PI()*(fi_h/1000)^2/4)*SQRT(2*9.81*(O2908/100-fi_h/2/1000))*1000)),"",IF(O2908&lt;fi_h/20,0,(OFFSET('Base de dados'!$A$5,IF(O2908&lt;20,1,IF(O2908&gt;1000,10,MATCH(O2908,Cargas,1))),Coluna_fih,1,1))*(PI()*(fi_h/1000)^2/4)*SQRT(2*9.81*(O2908/100-fi_h/2/1000))*1000))</f>
        <v>7.2074612834249523</v>
      </c>
      <c r="Q2908" s="38">
        <f ca="1">IF(O2908="","",IF(Tipo_Vertedor="Retangular",IF(O2908&lt;=cota_s*100,0,IF(Tipo_Vertedor="Retangular",Cd_sr*Lef_sr*((O2908/100-cota_s)^(3/2))*1000)),IF(O2908&lt;=cota_s*100+fi_s/20,0,(OFFSET('Base de dados'!$A$4,IF(O2908&lt;20,1,IF(O2908&gt;1000,10,MATCH(O2908,Cargas,1))),Coluna_fis,1,1))*(PI()*(fi_s/1000)^2/4)*(2*9.81*(O2908/100-cota_s-fi_s/2/1000))^0.5*1000)))</f>
        <v>6.5840088824206076</v>
      </c>
      <c r="R2908" s="38">
        <f t="shared" ca="1" si="315"/>
        <v>13.79147016584556</v>
      </c>
      <c r="S2908" s="38">
        <f t="shared" ca="1" si="316"/>
        <v>908.4375</v>
      </c>
    </row>
    <row r="2909" spans="13:19">
      <c r="M2909" s="132">
        <f t="shared" ca="1" si="313"/>
        <v>922.54407295600674</v>
      </c>
      <c r="N2909" s="38">
        <f t="shared" si="314"/>
        <v>27.262499999999999</v>
      </c>
      <c r="O2909" s="36">
        <f t="shared" si="312"/>
        <v>727</v>
      </c>
      <c r="P2909" s="38">
        <f ca="1">IF(ISERROR(IF(O2909&lt;fi_h/20,0,(OFFSET('Base de dados'!$A$5,IF(O2909&lt;20,1,IF(O2909&gt;1000,10,MATCH(O2909,Cargas,1))),Coluna_fih,1,1))*(1+0.13*0.25)*(PI()*(fi_h/1000)^2/4)*SQRT(2*9.81*(O2909/100-fi_h/2/1000))*1000)),"",IF(O2909&lt;fi_h/20,0,(OFFSET('Base de dados'!$A$5,IF(O2909&lt;20,1,IF(O2909&gt;1000,10,MATCH(O2909,Cargas,1))),Coluna_fih,1,1))*(PI()*(fi_h/1000)^2/4)*SQRT(2*9.81*(O2909/100-fi_h/2/1000))*1000))</f>
        <v>7.2087038591930819</v>
      </c>
      <c r="Q2909" s="38">
        <f ca="1">IF(O2909="","",IF(Tipo_Vertedor="Retangular",IF(O2909&lt;=cota_s*100,0,IF(Tipo_Vertedor="Retangular",Cd_sr*Lef_sr*((O2909/100-cota_s)^(3/2))*1000)),IF(O2909&lt;=cota_s*100+fi_s/20,0,(OFFSET('Base de dados'!$A$4,IF(O2909&lt;20,1,IF(O2909&gt;1000,10,MATCH(O2909,Cargas,1))),Coluna_fis,1,1))*(PI()*(fi_s/1000)^2/4)*(2*9.81*(O2909/100-cota_s-fi_s/2/1000))^0.5*1000)))</f>
        <v>6.5853690968137109</v>
      </c>
      <c r="R2909" s="38">
        <f t="shared" ca="1" si="315"/>
        <v>13.794072956006794</v>
      </c>
      <c r="S2909" s="38">
        <f t="shared" ca="1" si="316"/>
        <v>908.75</v>
      </c>
    </row>
    <row r="2910" spans="13:19">
      <c r="M2910" s="132">
        <f t="shared" ca="1" si="313"/>
        <v>922.85917525112461</v>
      </c>
      <c r="N2910" s="38">
        <f t="shared" si="314"/>
        <v>27.271875000000001</v>
      </c>
      <c r="O2910" s="36">
        <f t="shared" si="312"/>
        <v>727.25</v>
      </c>
      <c r="P2910" s="38">
        <f ca="1">IF(ISERROR(IF(O2910&lt;fi_h/20,0,(OFFSET('Base de dados'!$A$5,IF(O2910&lt;20,1,IF(O2910&gt;1000,10,MATCH(O2910,Cargas,1))),Coluna_fih,1,1))*(1+0.13*0.25)*(PI()*(fi_h/1000)^2/4)*SQRT(2*9.81*(O2910/100-fi_h/2/1000))*1000)),"",IF(O2910&lt;fi_h/20,0,(OFFSET('Base de dados'!$A$5,IF(O2910&lt;20,1,IF(O2910&gt;1000,10,MATCH(O2910,Cargas,1))),Coluna_fih,1,1))*(PI()*(fi_h/1000)^2/4)*SQRT(2*9.81*(O2910/100-fi_h/2/1000))*1000))</f>
        <v>7.2099462208133565</v>
      </c>
      <c r="Q2910" s="38">
        <f ca="1">IF(O2910="","",IF(Tipo_Vertedor="Retangular",IF(O2910&lt;=cota_s*100,0,IF(Tipo_Vertedor="Retangular",Cd_sr*Lef_sr*((O2910/100-cota_s)^(3/2))*1000)),IF(O2910&lt;=cota_s*100+fi_s/20,0,(OFFSET('Base de dados'!$A$4,IF(O2910&lt;20,1,IF(O2910&gt;1000,10,MATCH(O2910,Cargas,1))),Coluna_fis,1,1))*(PI()*(fi_s/1000)^2/4)*(2*9.81*(O2910/100-cota_s-fi_s/2/1000))^0.5*1000)))</f>
        <v>6.586729030311222</v>
      </c>
      <c r="R2910" s="38">
        <f t="shared" ca="1" si="315"/>
        <v>13.796675251124579</v>
      </c>
      <c r="S2910" s="38">
        <f t="shared" ca="1" si="316"/>
        <v>909.0625</v>
      </c>
    </row>
    <row r="2911" spans="13:19">
      <c r="M2911" s="132">
        <f t="shared" ca="1" si="313"/>
        <v>923.1742770514835</v>
      </c>
      <c r="N2911" s="38">
        <f t="shared" si="314"/>
        <v>27.28125</v>
      </c>
      <c r="O2911" s="36">
        <f t="shared" si="312"/>
        <v>727.5</v>
      </c>
      <c r="P2911" s="38">
        <f ca="1">IF(ISERROR(IF(O2911&lt;fi_h/20,0,(OFFSET('Base de dados'!$A$5,IF(O2911&lt;20,1,IF(O2911&gt;1000,10,MATCH(O2911,Cargas,1))),Coluna_fih,1,1))*(1+0.13*0.25)*(PI()*(fi_h/1000)^2/4)*SQRT(2*9.81*(O2911/100-fi_h/2/1000))*1000)),"",IF(O2911&lt;fi_h/20,0,(OFFSET('Base de dados'!$A$5,IF(O2911&lt;20,1,IF(O2911&gt;1000,10,MATCH(O2911,Cargas,1))),Coluna_fih,1,1))*(PI()*(fi_h/1000)^2/4)*SQRT(2*9.81*(O2911/100-fi_h/2/1000))*1000))</f>
        <v>7.2111883683964599</v>
      </c>
      <c r="Q2911" s="38">
        <f ca="1">IF(O2911="","",IF(Tipo_Vertedor="Retangular",IF(O2911&lt;=cota_s*100,0,IF(Tipo_Vertedor="Retangular",Cd_sr*Lef_sr*((O2911/100-cota_s)^(3/2))*1000)),IF(O2911&lt;=cota_s*100+fi_s/20,0,(OFFSET('Base de dados'!$A$4,IF(O2911&lt;20,1,IF(O2911&gt;1000,10,MATCH(O2911,Cargas,1))),Coluna_fis,1,1))*(PI()*(fi_s/1000)^2/4)*(2*9.81*(O2911/100-cota_s-fi_s/2/1000))^0.5*1000)))</f>
        <v>6.5880886830870891</v>
      </c>
      <c r="R2911" s="38">
        <f t="shared" ca="1" si="315"/>
        <v>13.79927705148355</v>
      </c>
      <c r="S2911" s="38">
        <f t="shared" ca="1" si="316"/>
        <v>909.375</v>
      </c>
    </row>
    <row r="2912" spans="13:19">
      <c r="M2912" s="132">
        <f t="shared" ca="1" si="313"/>
        <v>923.48937835736808</v>
      </c>
      <c r="N2912" s="38">
        <f t="shared" si="314"/>
        <v>27.290624999999999</v>
      </c>
      <c r="O2912" s="36">
        <f t="shared" si="312"/>
        <v>727.75</v>
      </c>
      <c r="P2912" s="38">
        <f ca="1">IF(ISERROR(IF(O2912&lt;fi_h/20,0,(OFFSET('Base de dados'!$A$5,IF(O2912&lt;20,1,IF(O2912&gt;1000,10,MATCH(O2912,Cargas,1))),Coluna_fih,1,1))*(1+0.13*0.25)*(PI()*(fi_h/1000)^2/4)*SQRT(2*9.81*(O2912/100-fi_h/2/1000))*1000)),"",IF(O2912&lt;fi_h/20,0,(OFFSET('Base de dados'!$A$5,IF(O2912&lt;20,1,IF(O2912&gt;1000,10,MATCH(O2912,Cargas,1))),Coluna_fih,1,1))*(PI()*(fi_h/1000)^2/4)*SQRT(2*9.81*(O2912/100-fi_h/2/1000))*1000))</f>
        <v>7.212430302052975</v>
      </c>
      <c r="Q2912" s="38">
        <f ca="1">IF(O2912="","",IF(Tipo_Vertedor="Retangular",IF(O2912&lt;=cota_s*100,0,IF(Tipo_Vertedor="Retangular",Cd_sr*Lef_sr*((O2912/100-cota_s)^(3/2))*1000)),IF(O2912&lt;=cota_s*100+fi_s/20,0,(OFFSET('Base de dados'!$A$4,IF(O2912&lt;20,1,IF(O2912&gt;1000,10,MATCH(O2912,Cargas,1))),Coluna_fis,1,1))*(PI()*(fi_s/1000)^2/4)*(2*9.81*(O2912/100-cota_s-fi_s/2/1000))^0.5*1000)))</f>
        <v>6.5894480553150858</v>
      </c>
      <c r="R2912" s="38">
        <f t="shared" ca="1" si="315"/>
        <v>13.801878357368061</v>
      </c>
      <c r="S2912" s="38">
        <f t="shared" ca="1" si="316"/>
        <v>909.6875</v>
      </c>
    </row>
    <row r="2913" spans="13:19">
      <c r="M2913" s="132">
        <f t="shared" ca="1" si="313"/>
        <v>923.80447916906223</v>
      </c>
      <c r="N2913" s="38">
        <f t="shared" si="314"/>
        <v>27.3</v>
      </c>
      <c r="O2913" s="36">
        <f t="shared" si="312"/>
        <v>728</v>
      </c>
      <c r="P2913" s="38">
        <f ca="1">IF(ISERROR(IF(O2913&lt;fi_h/20,0,(OFFSET('Base de dados'!$A$5,IF(O2913&lt;20,1,IF(O2913&gt;1000,10,MATCH(O2913,Cargas,1))),Coluna_fih,1,1))*(1+0.13*0.25)*(PI()*(fi_h/1000)^2/4)*SQRT(2*9.81*(O2913/100-fi_h/2/1000))*1000)),"",IF(O2913&lt;fi_h/20,0,(OFFSET('Base de dados'!$A$5,IF(O2913&lt;20,1,IF(O2913&gt;1000,10,MATCH(O2913,Cargas,1))),Coluna_fih,1,1))*(PI()*(fi_h/1000)^2/4)*SQRT(2*9.81*(O2913/100-fi_h/2/1000))*1000))</f>
        <v>7.2136720218933945</v>
      </c>
      <c r="Q2913" s="38">
        <f ca="1">IF(O2913="","",IF(Tipo_Vertedor="Retangular",IF(O2913&lt;=cota_s*100,0,IF(Tipo_Vertedor="Retangular",Cd_sr*Lef_sr*((O2913/100-cota_s)^(3/2))*1000)),IF(O2913&lt;=cota_s*100+fi_s/20,0,(OFFSET('Base de dados'!$A$4,IF(O2913&lt;20,1,IF(O2913&gt;1000,10,MATCH(O2913,Cargas,1))),Coluna_fis,1,1))*(PI()*(fi_s/1000)^2/4)*(2*9.81*(O2913/100-cota_s-fi_s/2/1000))^0.5*1000)))</f>
        <v>6.5908071471688006</v>
      </c>
      <c r="R2913" s="38">
        <f t="shared" ca="1" si="315"/>
        <v>13.804479169062194</v>
      </c>
      <c r="S2913" s="38">
        <f t="shared" ca="1" si="316"/>
        <v>910</v>
      </c>
    </row>
    <row r="2914" spans="13:19">
      <c r="M2914" s="132">
        <f t="shared" ca="1" si="313"/>
        <v>924.11957948684972</v>
      </c>
      <c r="N2914" s="38">
        <f t="shared" si="314"/>
        <v>27.309374999999999</v>
      </c>
      <c r="O2914" s="36">
        <f t="shared" si="312"/>
        <v>728.25</v>
      </c>
      <c r="P2914" s="38">
        <f ca="1">IF(ISERROR(IF(O2914&lt;fi_h/20,0,(OFFSET('Base de dados'!$A$5,IF(O2914&lt;20,1,IF(O2914&gt;1000,10,MATCH(O2914,Cargas,1))),Coluna_fih,1,1))*(1+0.13*0.25)*(PI()*(fi_h/1000)^2/4)*SQRT(2*9.81*(O2914/100-fi_h/2/1000))*1000)),"",IF(O2914&lt;fi_h/20,0,(OFFSET('Base de dados'!$A$5,IF(O2914&lt;20,1,IF(O2914&gt;1000,10,MATCH(O2914,Cargas,1))),Coluna_fih,1,1))*(PI()*(fi_h/1000)^2/4)*SQRT(2*9.81*(O2914/100-fi_h/2/1000))*1000))</f>
        <v>7.2149135280281147</v>
      </c>
      <c r="Q2914" s="38">
        <f ca="1">IF(O2914="","",IF(Tipo_Vertedor="Retangular",IF(O2914&lt;=cota_s*100,0,IF(Tipo_Vertedor="Retangular",Cd_sr*Lef_sr*((O2914/100-cota_s)^(3/2))*1000)),IF(O2914&lt;=cota_s*100+fi_s/20,0,(OFFSET('Base de dados'!$A$4,IF(O2914&lt;20,1,IF(O2914&gt;1000,10,MATCH(O2914,Cargas,1))),Coluna_fis,1,1))*(PI()*(fi_s/1000)^2/4)*(2*9.81*(O2914/100-cota_s-fi_s/2/1000))^0.5*1000)))</f>
        <v>6.5921659588216457</v>
      </c>
      <c r="R2914" s="38">
        <f t="shared" ca="1" si="315"/>
        <v>13.80707948684976</v>
      </c>
      <c r="S2914" s="38">
        <f t="shared" ca="1" si="316"/>
        <v>910.3125</v>
      </c>
    </row>
    <row r="2915" spans="13:19">
      <c r="M2915" s="132">
        <f t="shared" ca="1" si="313"/>
        <v>924.43467931101429</v>
      </c>
      <c r="N2915" s="38">
        <f t="shared" si="314"/>
        <v>27.318750000000001</v>
      </c>
      <c r="O2915" s="36">
        <f t="shared" si="312"/>
        <v>728.5</v>
      </c>
      <c r="P2915" s="38">
        <f ca="1">IF(ISERROR(IF(O2915&lt;fi_h/20,0,(OFFSET('Base de dados'!$A$5,IF(O2915&lt;20,1,IF(O2915&gt;1000,10,MATCH(O2915,Cargas,1))),Coluna_fih,1,1))*(1+0.13*0.25)*(PI()*(fi_h/1000)^2/4)*SQRT(2*9.81*(O2915/100-fi_h/2/1000))*1000)),"",IF(O2915&lt;fi_h/20,0,(OFFSET('Base de dados'!$A$5,IF(O2915&lt;20,1,IF(O2915&gt;1000,10,MATCH(O2915,Cargas,1))),Coluna_fih,1,1))*(PI()*(fi_h/1000)^2/4)*SQRT(2*9.81*(O2915/100-fi_h/2/1000))*1000))</f>
        <v>7.2161548205674384</v>
      </c>
      <c r="Q2915" s="38">
        <f ca="1">IF(O2915="","",IF(Tipo_Vertedor="Retangular",IF(O2915&lt;=cota_s*100,0,IF(Tipo_Vertedor="Retangular",Cd_sr*Lef_sr*((O2915/100-cota_s)^(3/2))*1000)),IF(O2915&lt;=cota_s*100+fi_s/20,0,(OFFSET('Base de dados'!$A$4,IF(O2915&lt;20,1,IF(O2915&gt;1000,10,MATCH(O2915,Cargas,1))),Coluna_fis,1,1))*(PI()*(fi_s/1000)^2/4)*(2*9.81*(O2915/100-cota_s-fi_s/2/1000))^0.5*1000)))</f>
        <v>6.5935244904468577</v>
      </c>
      <c r="R2915" s="38">
        <f t="shared" ca="1" si="315"/>
        <v>13.809679311014296</v>
      </c>
      <c r="S2915" s="38">
        <f t="shared" ca="1" si="316"/>
        <v>910.625</v>
      </c>
    </row>
    <row r="2916" spans="13:19">
      <c r="M2916" s="132">
        <f t="shared" ca="1" si="313"/>
        <v>924.74977864183904</v>
      </c>
      <c r="N2916" s="38">
        <f t="shared" si="314"/>
        <v>27.328125</v>
      </c>
      <c r="O2916" s="36">
        <f t="shared" si="312"/>
        <v>728.75</v>
      </c>
      <c r="P2916" s="38">
        <f ca="1">IF(ISERROR(IF(O2916&lt;fi_h/20,0,(OFFSET('Base de dados'!$A$5,IF(O2916&lt;20,1,IF(O2916&gt;1000,10,MATCH(O2916,Cargas,1))),Coluna_fih,1,1))*(1+0.13*0.25)*(PI()*(fi_h/1000)^2/4)*SQRT(2*9.81*(O2916/100-fi_h/2/1000))*1000)),"",IF(O2916&lt;fi_h/20,0,(OFFSET('Base de dados'!$A$5,IF(O2916&lt;20,1,IF(O2916&gt;1000,10,MATCH(O2916,Cargas,1))),Coluna_fih,1,1))*(PI()*(fi_h/1000)^2/4)*SQRT(2*9.81*(O2916/100-fi_h/2/1000))*1000))</f>
        <v>7.2173958996215708</v>
      </c>
      <c r="Q2916" s="38">
        <f ca="1">IF(O2916="","",IF(Tipo_Vertedor="Retangular",IF(O2916&lt;=cota_s*100,0,IF(Tipo_Vertedor="Retangular",Cd_sr*Lef_sr*((O2916/100-cota_s)^(3/2))*1000)),IF(O2916&lt;=cota_s*100+fi_s/20,0,(OFFSET('Base de dados'!$A$4,IF(O2916&lt;20,1,IF(O2916&gt;1000,10,MATCH(O2916,Cargas,1))),Coluna_fis,1,1))*(PI()*(fi_s/1000)^2/4)*(2*9.81*(O2916/100-cota_s-fi_s/2/1000))^0.5*1000)))</f>
        <v>6.5948827422174885</v>
      </c>
      <c r="R2916" s="38">
        <f t="shared" ca="1" si="315"/>
        <v>13.812278641839059</v>
      </c>
      <c r="S2916" s="38">
        <f t="shared" ca="1" si="316"/>
        <v>910.9375</v>
      </c>
    </row>
    <row r="2917" spans="13:19">
      <c r="M2917" s="132">
        <f t="shared" ca="1" si="313"/>
        <v>925.06487747960705</v>
      </c>
      <c r="N2917" s="38">
        <f t="shared" si="314"/>
        <v>27.337499999999999</v>
      </c>
      <c r="O2917" s="36">
        <f t="shared" si="312"/>
        <v>729</v>
      </c>
      <c r="P2917" s="38">
        <f ca="1">IF(ISERROR(IF(O2917&lt;fi_h/20,0,(OFFSET('Base de dados'!$A$5,IF(O2917&lt;20,1,IF(O2917&gt;1000,10,MATCH(O2917,Cargas,1))),Coluna_fih,1,1))*(1+0.13*0.25)*(PI()*(fi_h/1000)^2/4)*SQRT(2*9.81*(O2917/100-fi_h/2/1000))*1000)),"",IF(O2917&lt;fi_h/20,0,(OFFSET('Base de dados'!$A$5,IF(O2917&lt;20,1,IF(O2917&gt;1000,10,MATCH(O2917,Cargas,1))),Coluna_fih,1,1))*(PI()*(fi_h/1000)^2/4)*SQRT(2*9.81*(O2917/100-fi_h/2/1000))*1000))</f>
        <v>7.2186367653006229</v>
      </c>
      <c r="Q2917" s="38">
        <f ca="1">IF(O2917="","",IF(Tipo_Vertedor="Retangular",IF(O2917&lt;=cota_s*100,0,IF(Tipo_Vertedor="Retangular",Cd_sr*Lef_sr*((O2917/100-cota_s)^(3/2))*1000)),IF(O2917&lt;=cota_s*100+fi_s/20,0,(OFFSET('Base de dados'!$A$4,IF(O2917&lt;20,1,IF(O2917&gt;1000,10,MATCH(O2917,Cargas,1))),Coluna_fis,1,1))*(PI()*(fi_s/1000)^2/4)*(2*9.81*(O2917/100-cota_s-fi_s/2/1000))^0.5*1000)))</f>
        <v>6.5962407143064175</v>
      </c>
      <c r="R2917" s="38">
        <f t="shared" ca="1" si="315"/>
        <v>13.814877479607041</v>
      </c>
      <c r="S2917" s="38">
        <f t="shared" ca="1" si="316"/>
        <v>911.25</v>
      </c>
    </row>
    <row r="2918" spans="13:19">
      <c r="M2918" s="132">
        <f t="shared" ca="1" si="313"/>
        <v>925.37997582460093</v>
      </c>
      <c r="N2918" s="38">
        <f t="shared" si="314"/>
        <v>27.346875000000001</v>
      </c>
      <c r="O2918" s="36">
        <f t="shared" si="312"/>
        <v>729.25</v>
      </c>
      <c r="P2918" s="38">
        <f ca="1">IF(ISERROR(IF(O2918&lt;fi_h/20,0,(OFFSET('Base de dados'!$A$5,IF(O2918&lt;20,1,IF(O2918&gt;1000,10,MATCH(O2918,Cargas,1))),Coluna_fih,1,1))*(1+0.13*0.25)*(PI()*(fi_h/1000)^2/4)*SQRT(2*9.81*(O2918/100-fi_h/2/1000))*1000)),"",IF(O2918&lt;fi_h/20,0,(OFFSET('Base de dados'!$A$5,IF(O2918&lt;20,1,IF(O2918&gt;1000,10,MATCH(O2918,Cargas,1))),Coluna_fih,1,1))*(PI()*(fi_h/1000)^2/4)*SQRT(2*9.81*(O2918/100-fi_h/2/1000))*1000))</f>
        <v>7.2198774177146117</v>
      </c>
      <c r="Q2918" s="38">
        <f ca="1">IF(O2918="","",IF(Tipo_Vertedor="Retangular",IF(O2918&lt;=cota_s*100,0,IF(Tipo_Vertedor="Retangular",Cd_sr*Lef_sr*((O2918/100-cota_s)^(3/2))*1000)),IF(O2918&lt;=cota_s*100+fi_s/20,0,(OFFSET('Base de dados'!$A$4,IF(O2918&lt;20,1,IF(O2918&gt;1000,10,MATCH(O2918,Cargas,1))),Coluna_fis,1,1))*(PI()*(fi_s/1000)^2/4)*(2*9.81*(O2918/100-cota_s-fi_s/2/1000))^0.5*1000)))</f>
        <v>6.5975984068863429</v>
      </c>
      <c r="R2918" s="38">
        <f t="shared" ca="1" si="315"/>
        <v>13.817475824600955</v>
      </c>
      <c r="S2918" s="38">
        <f t="shared" ca="1" si="316"/>
        <v>911.5625</v>
      </c>
    </row>
    <row r="2919" spans="13:19">
      <c r="M2919" s="132">
        <f t="shared" ca="1" si="313"/>
        <v>925.69507367710321</v>
      </c>
      <c r="N2919" s="38">
        <f t="shared" si="314"/>
        <v>27.356249999999999</v>
      </c>
      <c r="O2919" s="36">
        <f t="shared" si="312"/>
        <v>729.5</v>
      </c>
      <c r="P2919" s="38">
        <f ca="1">IF(ISERROR(IF(O2919&lt;fi_h/20,0,(OFFSET('Base de dados'!$A$5,IF(O2919&lt;20,1,IF(O2919&gt;1000,10,MATCH(O2919,Cargas,1))),Coluna_fih,1,1))*(1+0.13*0.25)*(PI()*(fi_h/1000)^2/4)*SQRT(2*9.81*(O2919/100-fi_h/2/1000))*1000)),"",IF(O2919&lt;fi_h/20,0,(OFFSET('Base de dados'!$A$5,IF(O2919&lt;20,1,IF(O2919&gt;1000,10,MATCH(O2919,Cargas,1))),Coluna_fih,1,1))*(PI()*(fi_h/1000)^2/4)*SQRT(2*9.81*(O2919/100-fi_h/2/1000))*1000))</f>
        <v>7.2211178569734598</v>
      </c>
      <c r="Q2919" s="38">
        <f ca="1">IF(O2919="","",IF(Tipo_Vertedor="Retangular",IF(O2919&lt;=cota_s*100,0,IF(Tipo_Vertedor="Retangular",Cd_sr*Lef_sr*((O2919/100-cota_s)^(3/2))*1000)),IF(O2919&lt;=cota_s*100+fi_s/20,0,(OFFSET('Base de dados'!$A$4,IF(O2919&lt;20,1,IF(O2919&gt;1000,10,MATCH(O2919,Cargas,1))),Coluna_fis,1,1))*(PI()*(fi_s/1000)^2/4)*(2*9.81*(O2919/100-cota_s-fi_s/2/1000))^0.5*1000)))</f>
        <v>6.5989558201297873</v>
      </c>
      <c r="R2919" s="38">
        <f t="shared" ca="1" si="315"/>
        <v>13.820073677103247</v>
      </c>
      <c r="S2919" s="38">
        <f t="shared" ca="1" si="316"/>
        <v>911.875</v>
      </c>
    </row>
    <row r="2920" spans="13:19">
      <c r="M2920" s="132">
        <f t="shared" ca="1" si="313"/>
        <v>926.01017103739605</v>
      </c>
      <c r="N2920" s="38">
        <f t="shared" si="314"/>
        <v>27.365625000000001</v>
      </c>
      <c r="O2920" s="36">
        <f t="shared" si="312"/>
        <v>729.75</v>
      </c>
      <c r="P2920" s="38">
        <f ca="1">IF(ISERROR(IF(O2920&lt;fi_h/20,0,(OFFSET('Base de dados'!$A$5,IF(O2920&lt;20,1,IF(O2920&gt;1000,10,MATCH(O2920,Cargas,1))),Coluna_fih,1,1))*(1+0.13*0.25)*(PI()*(fi_h/1000)^2/4)*SQRT(2*9.81*(O2920/100-fi_h/2/1000))*1000)),"",IF(O2920&lt;fi_h/20,0,(OFFSET('Base de dados'!$A$5,IF(O2920&lt;20,1,IF(O2920&gt;1000,10,MATCH(O2920,Cargas,1))),Coluna_fih,1,1))*(PI()*(fi_h/1000)^2/4)*SQRT(2*9.81*(O2920/100-fi_h/2/1000))*1000))</f>
        <v>7.2223580831869976</v>
      </c>
      <c r="Q2920" s="38">
        <f ca="1">IF(O2920="","",IF(Tipo_Vertedor="Retangular",IF(O2920&lt;=cota_s*100,0,IF(Tipo_Vertedor="Retangular",Cd_sr*Lef_sr*((O2920/100-cota_s)^(3/2))*1000)),IF(O2920&lt;=cota_s*100+fi_s/20,0,(OFFSET('Base de dados'!$A$4,IF(O2920&lt;20,1,IF(O2920&gt;1000,10,MATCH(O2920,Cargas,1))),Coluna_fis,1,1))*(PI()*(fi_s/1000)^2/4)*(2*9.81*(O2920/100-cota_s-fi_s/2/1000))^0.5*1000)))</f>
        <v>6.6003129542090937</v>
      </c>
      <c r="R2920" s="38">
        <f t="shared" ca="1" si="315"/>
        <v>13.822671037396091</v>
      </c>
      <c r="S2920" s="38">
        <f t="shared" ca="1" si="316"/>
        <v>912.1875</v>
      </c>
    </row>
    <row r="2921" spans="13:19">
      <c r="M2921" s="132">
        <f t="shared" ca="1" si="313"/>
        <v>926.32526790576139</v>
      </c>
      <c r="N2921" s="38">
        <f t="shared" si="314"/>
        <v>27.375</v>
      </c>
      <c r="O2921" s="36">
        <f t="shared" si="312"/>
        <v>730</v>
      </c>
      <c r="P2921" s="38">
        <f ca="1">IF(ISERROR(IF(O2921&lt;fi_h/20,0,(OFFSET('Base de dados'!$A$5,IF(O2921&lt;20,1,IF(O2921&gt;1000,10,MATCH(O2921,Cargas,1))),Coluna_fih,1,1))*(1+0.13*0.25)*(PI()*(fi_h/1000)^2/4)*SQRT(2*9.81*(O2921/100-fi_h/2/1000))*1000)),"",IF(O2921&lt;fi_h/20,0,(OFFSET('Base de dados'!$A$5,IF(O2921&lt;20,1,IF(O2921&gt;1000,10,MATCH(O2921,Cargas,1))),Coluna_fih,1,1))*(PI()*(fi_h/1000)^2/4)*SQRT(2*9.81*(O2921/100-fi_h/2/1000))*1000))</f>
        <v>7.2235980964649569</v>
      </c>
      <c r="Q2921" s="38">
        <f ca="1">IF(O2921="","",IF(Tipo_Vertedor="Retangular",IF(O2921&lt;=cota_s*100,0,IF(Tipo_Vertedor="Retangular",Cd_sr*Lef_sr*((O2921/100-cota_s)^(3/2))*1000)),IF(O2921&lt;=cota_s*100+fi_s/20,0,(OFFSET('Base de dados'!$A$4,IF(O2921&lt;20,1,IF(O2921&gt;1000,10,MATCH(O2921,Cargas,1))),Coluna_fis,1,1))*(PI()*(fi_s/1000)^2/4)*(2*9.81*(O2921/100-cota_s-fi_s/2/1000))^0.5*1000)))</f>
        <v>6.6016698092964274</v>
      </c>
      <c r="R2921" s="38">
        <f t="shared" ca="1" si="315"/>
        <v>13.825267905761384</v>
      </c>
      <c r="S2921" s="38">
        <f t="shared" ca="1" si="316"/>
        <v>912.5</v>
      </c>
    </row>
    <row r="2922" spans="13:19">
      <c r="M2922" s="132">
        <f t="shared" ca="1" si="313"/>
        <v>926.64036428248085</v>
      </c>
      <c r="N2922" s="38">
        <f t="shared" si="314"/>
        <v>27.384375000000002</v>
      </c>
      <c r="O2922" s="36">
        <f t="shared" si="312"/>
        <v>730.25</v>
      </c>
      <c r="P2922" s="38">
        <f ca="1">IF(ISERROR(IF(O2922&lt;fi_h/20,0,(OFFSET('Base de dados'!$A$5,IF(O2922&lt;20,1,IF(O2922&gt;1000,10,MATCH(O2922,Cargas,1))),Coluna_fih,1,1))*(1+0.13*0.25)*(PI()*(fi_h/1000)^2/4)*SQRT(2*9.81*(O2922/100-fi_h/2/1000))*1000)),"",IF(O2922&lt;fi_h/20,0,(OFFSET('Base de dados'!$A$5,IF(O2922&lt;20,1,IF(O2922&gt;1000,10,MATCH(O2922,Cargas,1))),Coluna_fih,1,1))*(PI()*(fi_h/1000)^2/4)*SQRT(2*9.81*(O2922/100-fi_h/2/1000))*1000))</f>
        <v>7.2248378969169762</v>
      </c>
      <c r="Q2922" s="38">
        <f ca="1">IF(O2922="","",IF(Tipo_Vertedor="Retangular",IF(O2922&lt;=cota_s*100,0,IF(Tipo_Vertedor="Retangular",Cd_sr*Lef_sr*((O2922/100-cota_s)^(3/2))*1000)),IF(O2922&lt;=cota_s*100+fi_s/20,0,(OFFSET('Base de dados'!$A$4,IF(O2922&lt;20,1,IF(O2922&gt;1000,10,MATCH(O2922,Cargas,1))),Coluna_fis,1,1))*(PI()*(fi_s/1000)^2/4)*(2*9.81*(O2922/100-cota_s-fi_s/2/1000))^0.5*1000)))</f>
        <v>6.6030263855637834</v>
      </c>
      <c r="R2922" s="38">
        <f t="shared" ca="1" si="315"/>
        <v>13.82786428248076</v>
      </c>
      <c r="S2922" s="38">
        <f t="shared" ca="1" si="316"/>
        <v>912.81250000000011</v>
      </c>
    </row>
    <row r="2923" spans="13:19">
      <c r="M2923" s="132">
        <f t="shared" ca="1" si="313"/>
        <v>926.95546016783544</v>
      </c>
      <c r="N2923" s="38">
        <f t="shared" si="314"/>
        <v>27.393749999999997</v>
      </c>
      <c r="O2923" s="36">
        <f t="shared" si="312"/>
        <v>730.5</v>
      </c>
      <c r="P2923" s="38">
        <f ca="1">IF(ISERROR(IF(O2923&lt;fi_h/20,0,(OFFSET('Base de dados'!$A$5,IF(O2923&lt;20,1,IF(O2923&gt;1000,10,MATCH(O2923,Cargas,1))),Coluna_fih,1,1))*(1+0.13*0.25)*(PI()*(fi_h/1000)^2/4)*SQRT(2*9.81*(O2923/100-fi_h/2/1000))*1000)),"",IF(O2923&lt;fi_h/20,0,(OFFSET('Base de dados'!$A$5,IF(O2923&lt;20,1,IF(O2923&gt;1000,10,MATCH(O2923,Cargas,1))),Coluna_fih,1,1))*(PI()*(fi_h/1000)^2/4)*SQRT(2*9.81*(O2923/100-fi_h/2/1000))*1000))</f>
        <v>7.2260774846526026</v>
      </c>
      <c r="Q2923" s="38">
        <f ca="1">IF(O2923="","",IF(Tipo_Vertedor="Retangular",IF(O2923&lt;=cota_s*100,0,IF(Tipo_Vertedor="Retangular",Cd_sr*Lef_sr*((O2923/100-cota_s)^(3/2))*1000)),IF(O2923&lt;=cota_s*100+fi_s/20,0,(OFFSET('Base de dados'!$A$4,IF(O2923&lt;20,1,IF(O2923&gt;1000,10,MATCH(O2923,Cargas,1))),Coluna_fis,1,1))*(PI()*(fi_s/1000)^2/4)*(2*9.81*(O2923/100-cota_s-fi_s/2/1000))^0.5*1000)))</f>
        <v>6.6043826831829699</v>
      </c>
      <c r="R2923" s="38">
        <f t="shared" ca="1" si="315"/>
        <v>13.830460167835572</v>
      </c>
      <c r="S2923" s="38">
        <f t="shared" ca="1" si="316"/>
        <v>913.12499999999989</v>
      </c>
    </row>
    <row r="2924" spans="13:19">
      <c r="M2924" s="132">
        <f t="shared" ca="1" si="313"/>
        <v>927.27055556210689</v>
      </c>
      <c r="N2924" s="38">
        <f t="shared" si="314"/>
        <v>27.403124999999999</v>
      </c>
      <c r="O2924" s="36">
        <f t="shared" si="312"/>
        <v>730.75</v>
      </c>
      <c r="P2924" s="38">
        <f ca="1">IF(ISERROR(IF(O2924&lt;fi_h/20,0,(OFFSET('Base de dados'!$A$5,IF(O2924&lt;20,1,IF(O2924&gt;1000,10,MATCH(O2924,Cargas,1))),Coluna_fih,1,1))*(1+0.13*0.25)*(PI()*(fi_h/1000)^2/4)*SQRT(2*9.81*(O2924/100-fi_h/2/1000))*1000)),"",IF(O2924&lt;fi_h/20,0,(OFFSET('Base de dados'!$A$5,IF(O2924&lt;20,1,IF(O2924&gt;1000,10,MATCH(O2924,Cargas,1))),Coluna_fih,1,1))*(PI()*(fi_h/1000)^2/4)*SQRT(2*9.81*(O2924/100-fi_h/2/1000))*1000))</f>
        <v>7.2273168597812889</v>
      </c>
      <c r="Q2924" s="38">
        <f ca="1">IF(O2924="","",IF(Tipo_Vertedor="Retangular",IF(O2924&lt;=cota_s*100,0,IF(Tipo_Vertedor="Retangular",Cd_sr*Lef_sr*((O2924/100-cota_s)^(3/2))*1000)),IF(O2924&lt;=cota_s*100+fi_s/20,0,(OFFSET('Base de dados'!$A$4,IF(O2924&lt;20,1,IF(O2924&gt;1000,10,MATCH(O2924,Cargas,1))),Coluna_fis,1,1))*(PI()*(fi_s/1000)^2/4)*(2*9.81*(O2924/100-cota_s-fi_s/2/1000))^0.5*1000)))</f>
        <v>6.6057387023256284</v>
      </c>
      <c r="R2924" s="38">
        <f t="shared" ca="1" si="315"/>
        <v>13.833055562106917</v>
      </c>
      <c r="S2924" s="38">
        <f t="shared" ca="1" si="316"/>
        <v>913.4375</v>
      </c>
    </row>
    <row r="2925" spans="13:19">
      <c r="M2925" s="132">
        <f t="shared" ca="1" si="313"/>
        <v>927.58565046557544</v>
      </c>
      <c r="N2925" s="38">
        <f t="shared" si="314"/>
        <v>27.412499999999998</v>
      </c>
      <c r="O2925" s="36">
        <f t="shared" si="312"/>
        <v>731</v>
      </c>
      <c r="P2925" s="38">
        <f ca="1">IF(ISERROR(IF(O2925&lt;fi_h/20,0,(OFFSET('Base de dados'!$A$5,IF(O2925&lt;20,1,IF(O2925&gt;1000,10,MATCH(O2925,Cargas,1))),Coluna_fih,1,1))*(1+0.13*0.25)*(PI()*(fi_h/1000)^2/4)*SQRT(2*9.81*(O2925/100-fi_h/2/1000))*1000)),"",IF(O2925&lt;fi_h/20,0,(OFFSET('Base de dados'!$A$5,IF(O2925&lt;20,1,IF(O2925&gt;1000,10,MATCH(O2925,Cargas,1))),Coluna_fih,1,1))*(PI()*(fi_h/1000)^2/4)*SQRT(2*9.81*(O2925/100-fi_h/2/1000))*1000))</f>
        <v>7.2285560224123895</v>
      </c>
      <c r="Q2925" s="38">
        <f ca="1">IF(O2925="","",IF(Tipo_Vertedor="Retangular",IF(O2925&lt;=cota_s*100,0,IF(Tipo_Vertedor="Retangular",Cd_sr*Lef_sr*((O2925/100-cota_s)^(3/2))*1000)),IF(O2925&lt;=cota_s*100+fi_s/20,0,(OFFSET('Base de dados'!$A$4,IF(O2925&lt;20,1,IF(O2925&gt;1000,10,MATCH(O2925,Cargas,1))),Coluna_fis,1,1))*(PI()*(fi_s/1000)^2/4)*(2*9.81*(O2925/100-cota_s-fi_s/2/1000))^0.5*1000)))</f>
        <v>6.6070944431632155</v>
      </c>
      <c r="R2925" s="38">
        <f t="shared" ca="1" si="315"/>
        <v>13.835650465575604</v>
      </c>
      <c r="S2925" s="38">
        <f t="shared" ca="1" si="316"/>
        <v>913.74999999999989</v>
      </c>
    </row>
    <row r="2926" spans="13:19">
      <c r="M2926" s="132">
        <f t="shared" ca="1" si="313"/>
        <v>927.90074487852223</v>
      </c>
      <c r="N2926" s="38">
        <f t="shared" si="314"/>
        <v>27.421875</v>
      </c>
      <c r="O2926" s="36">
        <f t="shared" si="312"/>
        <v>731.25</v>
      </c>
      <c r="P2926" s="38">
        <f ca="1">IF(ISERROR(IF(O2926&lt;fi_h/20,0,(OFFSET('Base de dados'!$A$5,IF(O2926&lt;20,1,IF(O2926&gt;1000,10,MATCH(O2926,Cargas,1))),Coluna_fih,1,1))*(1+0.13*0.25)*(PI()*(fi_h/1000)^2/4)*SQRT(2*9.81*(O2926/100-fi_h/2/1000))*1000)),"",IF(O2926&lt;fi_h/20,0,(OFFSET('Base de dados'!$A$5,IF(O2926&lt;20,1,IF(O2926&gt;1000,10,MATCH(O2926,Cargas,1))),Coluna_fih,1,1))*(PI()*(fi_h/1000)^2/4)*SQRT(2*9.81*(O2926/100-fi_h/2/1000))*1000))</f>
        <v>7.2297949726551725</v>
      </c>
      <c r="Q2926" s="38">
        <f ca="1">IF(O2926="","",IF(Tipo_Vertedor="Retangular",IF(O2926&lt;=cota_s*100,0,IF(Tipo_Vertedor="Retangular",Cd_sr*Lef_sr*((O2926/100-cota_s)^(3/2))*1000)),IF(O2926&lt;=cota_s*100+fi_s/20,0,(OFFSET('Base de dados'!$A$4,IF(O2926&lt;20,1,IF(O2926&gt;1000,10,MATCH(O2926,Cargas,1))),Coluna_fis,1,1))*(PI()*(fi_s/1000)^2/4)*(2*9.81*(O2926/100-cota_s-fi_s/2/1000))^0.5*1000)))</f>
        <v>6.608449905867019</v>
      </c>
      <c r="R2926" s="38">
        <f t="shared" ca="1" si="315"/>
        <v>13.838244878522191</v>
      </c>
      <c r="S2926" s="38">
        <f t="shared" ca="1" si="316"/>
        <v>914.0625</v>
      </c>
    </row>
    <row r="2927" spans="13:19">
      <c r="M2927" s="132">
        <f t="shared" ca="1" si="313"/>
        <v>928.21583880122705</v>
      </c>
      <c r="N2927" s="38">
        <f t="shared" si="314"/>
        <v>27.431250000000002</v>
      </c>
      <c r="O2927" s="36">
        <f t="shared" si="312"/>
        <v>731.5</v>
      </c>
      <c r="P2927" s="38">
        <f ca="1">IF(ISERROR(IF(O2927&lt;fi_h/20,0,(OFFSET('Base de dados'!$A$5,IF(O2927&lt;20,1,IF(O2927&gt;1000,10,MATCH(O2927,Cargas,1))),Coluna_fih,1,1))*(1+0.13*0.25)*(PI()*(fi_h/1000)^2/4)*SQRT(2*9.81*(O2927/100-fi_h/2/1000))*1000)),"",IF(O2927&lt;fi_h/20,0,(OFFSET('Base de dados'!$A$5,IF(O2927&lt;20,1,IF(O2927&gt;1000,10,MATCH(O2927,Cargas,1))),Coluna_fih,1,1))*(PI()*(fi_h/1000)^2/4)*SQRT(2*9.81*(O2927/100-fi_h/2/1000))*1000))</f>
        <v>7.2310337106188074</v>
      </c>
      <c r="Q2927" s="38">
        <f ca="1">IF(O2927="","",IF(Tipo_Vertedor="Retangular",IF(O2927&lt;=cota_s*100,0,IF(Tipo_Vertedor="Retangular",Cd_sr*Lef_sr*((O2927/100-cota_s)^(3/2))*1000)),IF(O2927&lt;=cota_s*100+fi_s/20,0,(OFFSET('Base de dados'!$A$4,IF(O2927&lt;20,1,IF(O2927&gt;1000,10,MATCH(O2927,Cargas,1))),Coluna_fis,1,1))*(PI()*(fi_s/1000)^2/4)*(2*9.81*(O2927/100-cota_s-fi_s/2/1000))^0.5*1000)))</f>
        <v>6.6098050906081491</v>
      </c>
      <c r="R2927" s="38">
        <f t="shared" ca="1" si="315"/>
        <v>13.840838801226957</v>
      </c>
      <c r="S2927" s="38">
        <f t="shared" ca="1" si="316"/>
        <v>914.37500000000011</v>
      </c>
    </row>
    <row r="2928" spans="13:19">
      <c r="M2928" s="132">
        <f t="shared" ca="1" si="313"/>
        <v>928.53093223396991</v>
      </c>
      <c r="N2928" s="38">
        <f t="shared" si="314"/>
        <v>27.440625000000001</v>
      </c>
      <c r="O2928" s="36">
        <f t="shared" si="312"/>
        <v>731.75</v>
      </c>
      <c r="P2928" s="38">
        <f ca="1">IF(ISERROR(IF(O2928&lt;fi_h/20,0,(OFFSET('Base de dados'!$A$5,IF(O2928&lt;20,1,IF(O2928&gt;1000,10,MATCH(O2928,Cargas,1))),Coluna_fih,1,1))*(1+0.13*0.25)*(PI()*(fi_h/1000)^2/4)*SQRT(2*9.81*(O2928/100-fi_h/2/1000))*1000)),"",IF(O2928&lt;fi_h/20,0,(OFFSET('Base de dados'!$A$5,IF(O2928&lt;20,1,IF(O2928&gt;1000,10,MATCH(O2928,Cargas,1))),Coluna_fih,1,1))*(PI()*(fi_h/1000)^2/4)*SQRT(2*9.81*(O2928/100-fi_h/2/1000))*1000))</f>
        <v>7.2322722364123688</v>
      </c>
      <c r="Q2928" s="38">
        <f ca="1">IF(O2928="","",IF(Tipo_Vertedor="Retangular",IF(O2928&lt;=cota_s*100,0,IF(Tipo_Vertedor="Retangular",Cd_sr*Lef_sr*((O2928/100-cota_s)^(3/2))*1000)),IF(O2928&lt;=cota_s*100+fi_s/20,0,(OFFSET('Base de dados'!$A$4,IF(O2928&lt;20,1,IF(O2928&gt;1000,10,MATCH(O2928,Cargas,1))),Coluna_fis,1,1))*(PI()*(fi_s/1000)^2/4)*(2*9.81*(O2928/100-cota_s-fi_s/2/1000))^0.5*1000)))</f>
        <v>6.6111599975575377</v>
      </c>
      <c r="R2928" s="38">
        <f t="shared" ca="1" si="315"/>
        <v>13.843432233969907</v>
      </c>
      <c r="S2928" s="38">
        <f t="shared" ca="1" si="316"/>
        <v>914.6875</v>
      </c>
    </row>
    <row r="2929" spans="13:19">
      <c r="M2929" s="132">
        <f t="shared" ca="1" si="313"/>
        <v>928.84602517703092</v>
      </c>
      <c r="N2929" s="38">
        <f t="shared" si="314"/>
        <v>27.450000000000003</v>
      </c>
      <c r="O2929" s="36">
        <f t="shared" si="312"/>
        <v>732</v>
      </c>
      <c r="P2929" s="38">
        <f ca="1">IF(ISERROR(IF(O2929&lt;fi_h/20,0,(OFFSET('Base de dados'!$A$5,IF(O2929&lt;20,1,IF(O2929&gt;1000,10,MATCH(O2929,Cargas,1))),Coluna_fih,1,1))*(1+0.13*0.25)*(PI()*(fi_h/1000)^2/4)*SQRT(2*9.81*(O2929/100-fi_h/2/1000))*1000)),"",IF(O2929&lt;fi_h/20,0,(OFFSET('Base de dados'!$A$5,IF(O2929&lt;20,1,IF(O2929&gt;1000,10,MATCH(O2929,Cargas,1))),Coluna_fih,1,1))*(PI()*(fi_h/1000)^2/4)*SQRT(2*9.81*(O2929/100-fi_h/2/1000))*1000))</f>
        <v>7.2335105501448425</v>
      </c>
      <c r="Q2929" s="38">
        <f ca="1">IF(O2929="","",IF(Tipo_Vertedor="Retangular",IF(O2929&lt;=cota_s*100,0,IF(Tipo_Vertedor="Retangular",Cd_sr*Lef_sr*((O2929/100-cota_s)^(3/2))*1000)),IF(O2929&lt;=cota_s*100+fi_s/20,0,(OFFSET('Base de dados'!$A$4,IF(O2929&lt;20,1,IF(O2929&gt;1000,10,MATCH(O2929,Cargas,1))),Coluna_fis,1,1))*(PI()*(fi_s/1000)^2/4)*(2*9.81*(O2929/100-cota_s-fi_s/2/1000))^0.5*1000)))</f>
        <v>6.6125146268859432</v>
      </c>
      <c r="R2929" s="38">
        <f t="shared" ca="1" si="315"/>
        <v>13.846025177030786</v>
      </c>
      <c r="S2929" s="38">
        <f t="shared" ca="1" si="316"/>
        <v>915.00000000000011</v>
      </c>
    </row>
    <row r="2930" spans="13:19">
      <c r="M2930" s="132">
        <f t="shared" ca="1" si="313"/>
        <v>929.16111763068898</v>
      </c>
      <c r="N2930" s="38">
        <f t="shared" si="314"/>
        <v>27.459374999999998</v>
      </c>
      <c r="O2930" s="36">
        <f t="shared" si="312"/>
        <v>732.25</v>
      </c>
      <c r="P2930" s="38">
        <f ca="1">IF(ISERROR(IF(O2930&lt;fi_h/20,0,(OFFSET('Base de dados'!$A$5,IF(O2930&lt;20,1,IF(O2930&gt;1000,10,MATCH(O2930,Cargas,1))),Coluna_fih,1,1))*(1+0.13*0.25)*(PI()*(fi_h/1000)^2/4)*SQRT(2*9.81*(O2930/100-fi_h/2/1000))*1000)),"",IF(O2930&lt;fi_h/20,0,(OFFSET('Base de dados'!$A$5,IF(O2930&lt;20,1,IF(O2930&gt;1000,10,MATCH(O2930,Cargas,1))),Coluna_fih,1,1))*(PI()*(fi_h/1000)^2/4)*SQRT(2*9.81*(O2930/100-fi_h/2/1000))*1000))</f>
        <v>7.2347486519251181</v>
      </c>
      <c r="Q2930" s="38">
        <f ca="1">IF(O2930="","",IF(Tipo_Vertedor="Retangular",IF(O2930&lt;=cota_s*100,0,IF(Tipo_Vertedor="Retangular",Cd_sr*Lef_sr*((O2930/100-cota_s)^(3/2))*1000)),IF(O2930&lt;=cota_s*100+fi_s/20,0,(OFFSET('Base de dados'!$A$4,IF(O2930&lt;20,1,IF(O2930&gt;1000,10,MATCH(O2930,Cargas,1))),Coluna_fis,1,1))*(PI()*(fi_s/1000)^2/4)*(2*9.81*(O2930/100-cota_s-fi_s/2/1000))^0.5*1000)))</f>
        <v>6.6138689787639517</v>
      </c>
      <c r="R2930" s="38">
        <f t="shared" ca="1" si="315"/>
        <v>13.84861763068907</v>
      </c>
      <c r="S2930" s="38">
        <f t="shared" ca="1" si="316"/>
        <v>915.31249999999989</v>
      </c>
    </row>
    <row r="2931" spans="13:19">
      <c r="M2931" s="132">
        <f t="shared" ca="1" si="313"/>
        <v>929.47620959522396</v>
      </c>
      <c r="N2931" s="38">
        <f t="shared" si="314"/>
        <v>27.46875</v>
      </c>
      <c r="O2931" s="36">
        <f t="shared" si="312"/>
        <v>732.5</v>
      </c>
      <c r="P2931" s="38">
        <f ca="1">IF(ISERROR(IF(O2931&lt;fi_h/20,0,(OFFSET('Base de dados'!$A$5,IF(O2931&lt;20,1,IF(O2931&gt;1000,10,MATCH(O2931,Cargas,1))),Coluna_fih,1,1))*(1+0.13*0.25)*(PI()*(fi_h/1000)^2/4)*SQRT(2*9.81*(O2931/100-fi_h/2/1000))*1000)),"",IF(O2931&lt;fi_h/20,0,(OFFSET('Base de dados'!$A$5,IF(O2931&lt;20,1,IF(O2931&gt;1000,10,MATCH(O2931,Cargas,1))),Coluna_fih,1,1))*(PI()*(fi_h/1000)^2/4)*SQRT(2*9.81*(O2931/100-fi_h/2/1000))*1000))</f>
        <v>7.2359865418619931</v>
      </c>
      <c r="Q2931" s="38">
        <f ca="1">IF(O2931="","",IF(Tipo_Vertedor="Retangular",IF(O2931&lt;=cota_s*100,0,IF(Tipo_Vertedor="Retangular",Cd_sr*Lef_sr*((O2931/100-cota_s)^(3/2))*1000)),IF(O2931&lt;=cota_s*100+fi_s/20,0,(OFFSET('Base de dados'!$A$4,IF(O2931&lt;20,1,IF(O2931&gt;1000,10,MATCH(O2931,Cargas,1))),Coluna_fis,1,1))*(PI()*(fi_s/1000)^2/4)*(2*9.81*(O2931/100-cota_s-fi_s/2/1000))^0.5*1000)))</f>
        <v>6.615223053361972</v>
      </c>
      <c r="R2931" s="38">
        <f t="shared" ca="1" si="315"/>
        <v>13.851209595223965</v>
      </c>
      <c r="S2931" s="38">
        <f t="shared" ca="1" si="316"/>
        <v>915.625</v>
      </c>
    </row>
    <row r="2932" spans="13:19">
      <c r="M2932" s="132">
        <f t="shared" ca="1" si="313"/>
        <v>929.79130107091441</v>
      </c>
      <c r="N2932" s="38">
        <f t="shared" si="314"/>
        <v>27.478124999999999</v>
      </c>
      <c r="O2932" s="36">
        <f t="shared" si="312"/>
        <v>732.75</v>
      </c>
      <c r="P2932" s="38">
        <f ca="1">IF(ISERROR(IF(O2932&lt;fi_h/20,0,(OFFSET('Base de dados'!$A$5,IF(O2932&lt;20,1,IF(O2932&gt;1000,10,MATCH(O2932,Cargas,1))),Coluna_fih,1,1))*(1+0.13*0.25)*(PI()*(fi_h/1000)^2/4)*SQRT(2*9.81*(O2932/100-fi_h/2/1000))*1000)),"",IF(O2932&lt;fi_h/20,0,(OFFSET('Base de dados'!$A$5,IF(O2932&lt;20,1,IF(O2932&gt;1000,10,MATCH(O2932,Cargas,1))),Coluna_fih,1,1))*(PI()*(fi_h/1000)^2/4)*SQRT(2*9.81*(O2932/100-fi_h/2/1000))*1000))</f>
        <v>7.2372242200641725</v>
      </c>
      <c r="Q2932" s="38">
        <f ca="1">IF(O2932="","",IF(Tipo_Vertedor="Retangular",IF(O2932&lt;=cota_s*100,0,IF(Tipo_Vertedor="Retangular",Cd_sr*Lef_sr*((O2932/100-cota_s)^(3/2))*1000)),IF(O2932&lt;=cota_s*100+fi_s/20,0,(OFFSET('Base de dados'!$A$4,IF(O2932&lt;20,1,IF(O2932&gt;1000,10,MATCH(O2932,Cargas,1))),Coluna_fis,1,1))*(PI()*(fi_s/1000)^2/4)*(2*9.81*(O2932/100-cota_s-fi_s/2/1000))^0.5*1000)))</f>
        <v>6.6165768508502394</v>
      </c>
      <c r="R2932" s="38">
        <f t="shared" ca="1" si="315"/>
        <v>13.853801070914411</v>
      </c>
      <c r="S2932" s="38">
        <f t="shared" ca="1" si="316"/>
        <v>915.9375</v>
      </c>
    </row>
    <row r="2933" spans="13:19">
      <c r="M2933" s="132">
        <f t="shared" ca="1" si="313"/>
        <v>930.10639205803909</v>
      </c>
      <c r="N2933" s="38">
        <f t="shared" si="314"/>
        <v>27.487500000000001</v>
      </c>
      <c r="O2933" s="36">
        <f t="shared" si="312"/>
        <v>733</v>
      </c>
      <c r="P2933" s="38">
        <f ca="1">IF(ISERROR(IF(O2933&lt;fi_h/20,0,(OFFSET('Base de dados'!$A$5,IF(O2933&lt;20,1,IF(O2933&gt;1000,10,MATCH(O2933,Cargas,1))),Coluna_fih,1,1))*(1+0.13*0.25)*(PI()*(fi_h/1000)^2/4)*SQRT(2*9.81*(O2933/100-fi_h/2/1000))*1000)),"",IF(O2933&lt;fi_h/20,0,(OFFSET('Base de dados'!$A$5,IF(O2933&lt;20,1,IF(O2933&gt;1000,10,MATCH(O2933,Cargas,1))),Coluna_fih,1,1))*(PI()*(fi_h/1000)^2/4)*SQRT(2*9.81*(O2933/100-fi_h/2/1000))*1000))</f>
        <v>7.2384616866402656</v>
      </c>
      <c r="Q2933" s="38">
        <f ca="1">IF(O2933="","",IF(Tipo_Vertedor="Retangular",IF(O2933&lt;=cota_s*100,0,IF(Tipo_Vertedor="Retangular",Cd_sr*Lef_sr*((O2933/100-cota_s)^(3/2))*1000)),IF(O2933&lt;=cota_s*100+fi_s/20,0,(OFFSET('Base de dados'!$A$4,IF(O2933&lt;20,1,IF(O2933&gt;1000,10,MATCH(O2933,Cargas,1))),Coluna_fis,1,1))*(PI()*(fi_s/1000)^2/4)*(2*9.81*(O2933/100-cota_s-fi_s/2/1000))^0.5*1000)))</f>
        <v>6.6179303713988133</v>
      </c>
      <c r="R2933" s="38">
        <f t="shared" ca="1" si="315"/>
        <v>13.856392058039079</v>
      </c>
      <c r="S2933" s="38">
        <f t="shared" ca="1" si="316"/>
        <v>916.25</v>
      </c>
    </row>
    <row r="2934" spans="13:19">
      <c r="M2934" s="132">
        <f t="shared" ca="1" si="313"/>
        <v>930.42148255687641</v>
      </c>
      <c r="N2934" s="38">
        <f t="shared" si="314"/>
        <v>27.496874999999999</v>
      </c>
      <c r="O2934" s="36">
        <f t="shared" si="312"/>
        <v>733.25</v>
      </c>
      <c r="P2934" s="38">
        <f ca="1">IF(ISERROR(IF(O2934&lt;fi_h/20,0,(OFFSET('Base de dados'!$A$5,IF(O2934&lt;20,1,IF(O2934&gt;1000,10,MATCH(O2934,Cargas,1))),Coluna_fih,1,1))*(1+0.13*0.25)*(PI()*(fi_h/1000)^2/4)*SQRT(2*9.81*(O2934/100-fi_h/2/1000))*1000)),"",IF(O2934&lt;fi_h/20,0,(OFFSET('Base de dados'!$A$5,IF(O2934&lt;20,1,IF(O2934&gt;1000,10,MATCH(O2934,Cargas,1))),Coluna_fih,1,1))*(PI()*(fi_h/1000)^2/4)*SQRT(2*9.81*(O2934/100-fi_h/2/1000))*1000))</f>
        <v>7.2396989416987916</v>
      </c>
      <c r="Q2934" s="38">
        <f ca="1">IF(O2934="","",IF(Tipo_Vertedor="Retangular",IF(O2934&lt;=cota_s*100,0,IF(Tipo_Vertedor="Retangular",Cd_sr*Lef_sr*((O2934/100-cota_s)^(3/2))*1000)),IF(O2934&lt;=cota_s*100+fi_s/20,0,(OFFSET('Base de dados'!$A$4,IF(O2934&lt;20,1,IF(O2934&gt;1000,10,MATCH(O2934,Cargas,1))),Coluna_fis,1,1))*(PI()*(fi_s/1000)^2/4)*(2*9.81*(O2934/100-cota_s-fi_s/2/1000))^0.5*1000)))</f>
        <v>6.6192836151775838</v>
      </c>
      <c r="R2934" s="38">
        <f t="shared" ca="1" si="315"/>
        <v>13.858982556876375</v>
      </c>
      <c r="S2934" s="38">
        <f t="shared" ca="1" si="316"/>
        <v>916.5625</v>
      </c>
    </row>
    <row r="2935" spans="13:19">
      <c r="M2935" s="132">
        <f t="shared" ca="1" si="313"/>
        <v>930.73657256770446</v>
      </c>
      <c r="N2935" s="38">
        <f t="shared" si="314"/>
        <v>27.506250000000001</v>
      </c>
      <c r="O2935" s="36">
        <f t="shared" si="312"/>
        <v>733.5</v>
      </c>
      <c r="P2935" s="38">
        <f ca="1">IF(ISERROR(IF(O2935&lt;fi_h/20,0,(OFFSET('Base de dados'!$A$5,IF(O2935&lt;20,1,IF(O2935&gt;1000,10,MATCH(O2935,Cargas,1))),Coluna_fih,1,1))*(1+0.13*0.25)*(PI()*(fi_h/1000)^2/4)*SQRT(2*9.81*(O2935/100-fi_h/2/1000))*1000)),"",IF(O2935&lt;fi_h/20,0,(OFFSET('Base de dados'!$A$5,IF(O2935&lt;20,1,IF(O2935&gt;1000,10,MATCH(O2935,Cargas,1))),Coluna_fih,1,1))*(PI()*(fi_h/1000)^2/4)*SQRT(2*9.81*(O2935/100-fi_h/2/1000))*1000))</f>
        <v>7.2409359853481785</v>
      </c>
      <c r="Q2935" s="38">
        <f ca="1">IF(O2935="","",IF(Tipo_Vertedor="Retangular",IF(O2935&lt;=cota_s*100,0,IF(Tipo_Vertedor="Retangular",Cd_sr*Lef_sr*((O2935/100-cota_s)^(3/2))*1000)),IF(O2935&lt;=cota_s*100+fi_s/20,0,(OFFSET('Base de dados'!$A$4,IF(O2935&lt;20,1,IF(O2935&gt;1000,10,MATCH(O2935,Cargas,1))),Coluna_fis,1,1))*(PI()*(fi_s/1000)^2/4)*(2*9.81*(O2935/100-cota_s-fi_s/2/1000))^0.5*1000)))</f>
        <v>6.6206365823562612</v>
      </c>
      <c r="R2935" s="38">
        <f t="shared" ca="1" si="315"/>
        <v>13.861572567704439</v>
      </c>
      <c r="S2935" s="38">
        <f t="shared" ca="1" si="316"/>
        <v>916.875</v>
      </c>
    </row>
    <row r="2936" spans="13:19">
      <c r="M2936" s="132">
        <f t="shared" ca="1" si="313"/>
        <v>931.05166209080119</v>
      </c>
      <c r="N2936" s="38">
        <f t="shared" si="314"/>
        <v>27.515625</v>
      </c>
      <c r="O2936" s="36">
        <f t="shared" si="312"/>
        <v>733.75</v>
      </c>
      <c r="P2936" s="38">
        <f ca="1">IF(ISERROR(IF(O2936&lt;fi_h/20,0,(OFFSET('Base de dados'!$A$5,IF(O2936&lt;20,1,IF(O2936&gt;1000,10,MATCH(O2936,Cargas,1))),Coluna_fih,1,1))*(1+0.13*0.25)*(PI()*(fi_h/1000)^2/4)*SQRT(2*9.81*(O2936/100-fi_h/2/1000))*1000)),"",IF(O2936&lt;fi_h/20,0,(OFFSET('Base de dados'!$A$5,IF(O2936&lt;20,1,IF(O2936&gt;1000,10,MATCH(O2936,Cargas,1))),Coluna_fih,1,1))*(PI()*(fi_h/1000)^2/4)*SQRT(2*9.81*(O2936/100-fi_h/2/1000))*1000))</f>
        <v>7.2421728176967566</v>
      </c>
      <c r="Q2936" s="38">
        <f ca="1">IF(O2936="","",IF(Tipo_Vertedor="Retangular",IF(O2936&lt;=cota_s*100,0,IF(Tipo_Vertedor="Retangular",Cd_sr*Lef_sr*((O2936/100-cota_s)^(3/2))*1000)),IF(O2936&lt;=cota_s*100+fi_s/20,0,(OFFSET('Base de dados'!$A$4,IF(O2936&lt;20,1,IF(O2936&gt;1000,10,MATCH(O2936,Cargas,1))),Coluna_fis,1,1))*(PI()*(fi_s/1000)^2/4)*(2*9.81*(O2936/100-cota_s-fi_s/2/1000))^0.5*1000)))</f>
        <v>6.6219892731043872</v>
      </c>
      <c r="R2936" s="38">
        <f t="shared" ca="1" si="315"/>
        <v>13.864162090801145</v>
      </c>
      <c r="S2936" s="38">
        <f t="shared" ca="1" si="316"/>
        <v>917.1875</v>
      </c>
    </row>
    <row r="2937" spans="13:19">
      <c r="M2937" s="132">
        <f t="shared" ca="1" si="313"/>
        <v>931.36675112644411</v>
      </c>
      <c r="N2937" s="38">
        <f t="shared" si="314"/>
        <v>27.524999999999999</v>
      </c>
      <c r="O2937" s="36">
        <f t="shared" si="312"/>
        <v>734</v>
      </c>
      <c r="P2937" s="38">
        <f ca="1">IF(ISERROR(IF(O2937&lt;fi_h/20,0,(OFFSET('Base de dados'!$A$5,IF(O2937&lt;20,1,IF(O2937&gt;1000,10,MATCH(O2937,Cargas,1))),Coluna_fih,1,1))*(1+0.13*0.25)*(PI()*(fi_h/1000)^2/4)*SQRT(2*9.81*(O2937/100-fi_h/2/1000))*1000)),"",IF(O2937&lt;fi_h/20,0,(OFFSET('Base de dados'!$A$5,IF(O2937&lt;20,1,IF(O2937&gt;1000,10,MATCH(O2937,Cargas,1))),Coluna_fih,1,1))*(PI()*(fi_h/1000)^2/4)*SQRT(2*9.81*(O2937/100-fi_h/2/1000))*1000))</f>
        <v>7.2434094388527654</v>
      </c>
      <c r="Q2937" s="38">
        <f ca="1">IF(O2937="","",IF(Tipo_Vertedor="Retangular",IF(O2937&lt;=cota_s*100,0,IF(Tipo_Vertedor="Retangular",Cd_sr*Lef_sr*((O2937/100-cota_s)^(3/2))*1000)),IF(O2937&lt;=cota_s*100+fi_s/20,0,(OFFSET('Base de dados'!$A$4,IF(O2937&lt;20,1,IF(O2937&gt;1000,10,MATCH(O2937,Cargas,1))),Coluna_fis,1,1))*(PI()*(fi_s/1000)^2/4)*(2*9.81*(O2937/100-cota_s-fi_s/2/1000))^0.5*1000)))</f>
        <v>6.6233416875913287</v>
      </c>
      <c r="R2937" s="38">
        <f t="shared" ca="1" si="315"/>
        <v>13.866751126444093</v>
      </c>
      <c r="S2937" s="38">
        <f t="shared" ca="1" si="316"/>
        <v>917.5</v>
      </c>
    </row>
    <row r="2938" spans="13:19">
      <c r="M2938" s="132">
        <f t="shared" ca="1" si="313"/>
        <v>931.68183967491063</v>
      </c>
      <c r="N2938" s="38">
        <f t="shared" si="314"/>
        <v>27.534375000000001</v>
      </c>
      <c r="O2938" s="36">
        <f t="shared" si="312"/>
        <v>734.25</v>
      </c>
      <c r="P2938" s="38">
        <f ca="1">IF(ISERROR(IF(O2938&lt;fi_h/20,0,(OFFSET('Base de dados'!$A$5,IF(O2938&lt;20,1,IF(O2938&gt;1000,10,MATCH(O2938,Cargas,1))),Coluna_fih,1,1))*(1+0.13*0.25)*(PI()*(fi_h/1000)^2/4)*SQRT(2*9.81*(O2938/100-fi_h/2/1000))*1000)),"",IF(O2938&lt;fi_h/20,0,(OFFSET('Base de dados'!$A$5,IF(O2938&lt;20,1,IF(O2938&gt;1000,10,MATCH(O2938,Cargas,1))),Coluna_fih,1,1))*(PI()*(fi_h/1000)^2/4)*SQRT(2*9.81*(O2938/100-fi_h/2/1000))*1000))</f>
        <v>7.2446458489243568</v>
      </c>
      <c r="Q2938" s="38">
        <f ca="1">IF(O2938="","",IF(Tipo_Vertedor="Retangular",IF(O2938&lt;=cota_s*100,0,IF(Tipo_Vertedor="Retangular",Cd_sr*Lef_sr*((O2938/100-cota_s)^(3/2))*1000)),IF(O2938&lt;=cota_s*100+fi_s/20,0,(OFFSET('Base de dados'!$A$4,IF(O2938&lt;20,1,IF(O2938&gt;1000,10,MATCH(O2938,Cargas,1))),Coluna_fis,1,1))*(PI()*(fi_s/1000)^2/4)*(2*9.81*(O2938/100-cota_s-fi_s/2/1000))^0.5*1000)))</f>
        <v>6.6246938259862791</v>
      </c>
      <c r="R2938" s="38">
        <f t="shared" ca="1" si="315"/>
        <v>13.869339674910636</v>
      </c>
      <c r="S2938" s="38">
        <f t="shared" ca="1" si="316"/>
        <v>917.8125</v>
      </c>
    </row>
    <row r="2939" spans="13:19">
      <c r="M2939" s="132">
        <f t="shared" ca="1" si="313"/>
        <v>931.9969277364778</v>
      </c>
      <c r="N2939" s="38">
        <f t="shared" si="314"/>
        <v>27.543749999999999</v>
      </c>
      <c r="O2939" s="36">
        <f t="shared" si="312"/>
        <v>734.5</v>
      </c>
      <c r="P2939" s="38">
        <f ca="1">IF(ISERROR(IF(O2939&lt;fi_h/20,0,(OFFSET('Base de dados'!$A$5,IF(O2939&lt;20,1,IF(O2939&gt;1000,10,MATCH(O2939,Cargas,1))),Coluna_fih,1,1))*(1+0.13*0.25)*(PI()*(fi_h/1000)^2/4)*SQRT(2*9.81*(O2939/100-fi_h/2/1000))*1000)),"",IF(O2939&lt;fi_h/20,0,(OFFSET('Base de dados'!$A$5,IF(O2939&lt;20,1,IF(O2939&gt;1000,10,MATCH(O2939,Cargas,1))),Coluna_fih,1,1))*(PI()*(fi_h/1000)^2/4)*SQRT(2*9.81*(O2939/100-fi_h/2/1000))*1000))</f>
        <v>7.2458820480195847</v>
      </c>
      <c r="Q2939" s="38">
        <f ca="1">IF(O2939="","",IF(Tipo_Vertedor="Retangular",IF(O2939&lt;=cota_s*100,0,IF(Tipo_Vertedor="Retangular",Cd_sr*Lef_sr*((O2939/100-cota_s)^(3/2))*1000)),IF(O2939&lt;=cota_s*100+fi_s/20,0,(OFFSET('Base de dados'!$A$4,IF(O2939&lt;20,1,IF(O2939&gt;1000,10,MATCH(O2939,Cargas,1))),Coluna_fis,1,1))*(PI()*(fi_s/1000)^2/4)*(2*9.81*(O2939/100-cota_s-fi_s/2/1000))^0.5*1000)))</f>
        <v>6.6260456884582597</v>
      </c>
      <c r="R2939" s="38">
        <f t="shared" ca="1" si="315"/>
        <v>13.871927736477843</v>
      </c>
      <c r="S2939" s="38">
        <f t="shared" ca="1" si="316"/>
        <v>918.125</v>
      </c>
    </row>
    <row r="2940" spans="13:19">
      <c r="M2940" s="132">
        <f t="shared" ca="1" si="313"/>
        <v>932.31201531142256</v>
      </c>
      <c r="N2940" s="38">
        <f t="shared" si="314"/>
        <v>27.553125000000001</v>
      </c>
      <c r="O2940" s="36">
        <f t="shared" si="312"/>
        <v>734.75</v>
      </c>
      <c r="P2940" s="38">
        <f ca="1">IF(ISERROR(IF(O2940&lt;fi_h/20,0,(OFFSET('Base de dados'!$A$5,IF(O2940&lt;20,1,IF(O2940&gt;1000,10,MATCH(O2940,Cargas,1))),Coluna_fih,1,1))*(1+0.13*0.25)*(PI()*(fi_h/1000)^2/4)*SQRT(2*9.81*(O2940/100-fi_h/2/1000))*1000)),"",IF(O2940&lt;fi_h/20,0,(OFFSET('Base de dados'!$A$5,IF(O2940&lt;20,1,IF(O2940&gt;1000,10,MATCH(O2940,Cargas,1))),Coluna_fih,1,1))*(PI()*(fi_h/1000)^2/4)*SQRT(2*9.81*(O2940/100-fi_h/2/1000))*1000))</f>
        <v>7.2471180362464134</v>
      </c>
      <c r="Q2940" s="38">
        <f ca="1">IF(O2940="","",IF(Tipo_Vertedor="Retangular",IF(O2940&lt;=cota_s*100,0,IF(Tipo_Vertedor="Retangular",Cd_sr*Lef_sr*((O2940/100-cota_s)^(3/2))*1000)),IF(O2940&lt;=cota_s*100+fi_s/20,0,(OFFSET('Base de dados'!$A$4,IF(O2940&lt;20,1,IF(O2940&gt;1000,10,MATCH(O2940,Cargas,1))),Coluna_fis,1,1))*(PI()*(fi_s/1000)^2/4)*(2*9.81*(O2940/100-cota_s-fi_s/2/1000))^0.5*1000)))</f>
        <v>6.6273972751761203</v>
      </c>
      <c r="R2940" s="38">
        <f t="shared" ca="1" si="315"/>
        <v>13.874515311422535</v>
      </c>
      <c r="S2940" s="38">
        <f t="shared" ca="1" si="316"/>
        <v>918.4375</v>
      </c>
    </row>
    <row r="2941" spans="13:19">
      <c r="M2941" s="132">
        <f t="shared" ca="1" si="313"/>
        <v>932.62710240002127</v>
      </c>
      <c r="N2941" s="38">
        <f t="shared" si="314"/>
        <v>27.5625</v>
      </c>
      <c r="O2941" s="36">
        <f t="shared" si="312"/>
        <v>735</v>
      </c>
      <c r="P2941" s="38">
        <f ca="1">IF(ISERROR(IF(O2941&lt;fi_h/20,0,(OFFSET('Base de dados'!$A$5,IF(O2941&lt;20,1,IF(O2941&gt;1000,10,MATCH(O2941,Cargas,1))),Coluna_fih,1,1))*(1+0.13*0.25)*(PI()*(fi_h/1000)^2/4)*SQRT(2*9.81*(O2941/100-fi_h/2/1000))*1000)),"",IF(O2941&lt;fi_h/20,0,(OFFSET('Base de dados'!$A$5,IF(O2941&lt;20,1,IF(O2941&gt;1000,10,MATCH(O2941,Cargas,1))),Coluna_fih,1,1))*(PI()*(fi_h/1000)^2/4)*SQRT(2*9.81*(O2941/100-fi_h/2/1000))*1000))</f>
        <v>7.248353813712713</v>
      </c>
      <c r="Q2941" s="38">
        <f ca="1">IF(O2941="","",IF(Tipo_Vertedor="Retangular",IF(O2941&lt;=cota_s*100,0,IF(Tipo_Vertedor="Retangular",Cd_sr*Lef_sr*((O2941/100-cota_s)^(3/2))*1000)),IF(O2941&lt;=cota_s*100+fi_s/20,0,(OFFSET('Base de dados'!$A$4,IF(O2941&lt;20,1,IF(O2941&gt;1000,10,MATCH(O2941,Cargas,1))),Coluna_fis,1,1))*(PI()*(fi_s/1000)^2/4)*(2*9.81*(O2941/100-cota_s-fi_s/2/1000))^0.5*1000)))</f>
        <v>6.6287485863085385</v>
      </c>
      <c r="R2941" s="38">
        <f t="shared" ca="1" si="315"/>
        <v>13.877102400021251</v>
      </c>
      <c r="S2941" s="38">
        <f t="shared" ca="1" si="316"/>
        <v>918.75</v>
      </c>
    </row>
    <row r="2942" spans="13:19">
      <c r="M2942" s="132">
        <f t="shared" ca="1" si="313"/>
        <v>932.94218900255032</v>
      </c>
      <c r="N2942" s="38">
        <f t="shared" si="314"/>
        <v>27.571874999999999</v>
      </c>
      <c r="O2942" s="36">
        <f t="shared" si="312"/>
        <v>735.25</v>
      </c>
      <c r="P2942" s="38">
        <f ca="1">IF(ISERROR(IF(O2942&lt;fi_h/20,0,(OFFSET('Base de dados'!$A$5,IF(O2942&lt;20,1,IF(O2942&gt;1000,10,MATCH(O2942,Cargas,1))),Coluna_fih,1,1))*(1+0.13*0.25)*(PI()*(fi_h/1000)^2/4)*SQRT(2*9.81*(O2942/100-fi_h/2/1000))*1000)),"",IF(O2942&lt;fi_h/20,0,(OFFSET('Base de dados'!$A$5,IF(O2942&lt;20,1,IF(O2942&gt;1000,10,MATCH(O2942,Cargas,1))),Coluna_fih,1,1))*(PI()*(fi_h/1000)^2/4)*SQRT(2*9.81*(O2942/100-fi_h/2/1000))*1000))</f>
        <v>7.2495893805262668</v>
      </c>
      <c r="Q2942" s="38">
        <f ca="1">IF(O2942="","",IF(Tipo_Vertedor="Retangular",IF(O2942&lt;=cota_s*100,0,IF(Tipo_Vertedor="Retangular",Cd_sr*Lef_sr*((O2942/100-cota_s)^(3/2))*1000)),IF(O2942&lt;=cota_s*100+fi_s/20,0,(OFFSET('Base de dados'!$A$4,IF(O2942&lt;20,1,IF(O2942&gt;1000,10,MATCH(O2942,Cargas,1))),Coluna_fis,1,1))*(PI()*(fi_s/1000)^2/4)*(2*9.81*(O2942/100-cota_s-fi_s/2/1000))^0.5*1000)))</f>
        <v>6.6300996220240176</v>
      </c>
      <c r="R2942" s="38">
        <f t="shared" ca="1" si="315"/>
        <v>13.879689002550284</v>
      </c>
      <c r="S2942" s="38">
        <f t="shared" ca="1" si="316"/>
        <v>919.0625</v>
      </c>
    </row>
    <row r="2943" spans="13:19">
      <c r="M2943" s="132">
        <f t="shared" ca="1" si="313"/>
        <v>933.25727511928562</v>
      </c>
      <c r="N2943" s="38">
        <f t="shared" si="314"/>
        <v>27.581250000000001</v>
      </c>
      <c r="O2943" s="36">
        <f t="shared" si="312"/>
        <v>735.5</v>
      </c>
      <c r="P2943" s="38">
        <f ca="1">IF(ISERROR(IF(O2943&lt;fi_h/20,0,(OFFSET('Base de dados'!$A$5,IF(O2943&lt;20,1,IF(O2943&gt;1000,10,MATCH(O2943,Cargas,1))),Coluna_fih,1,1))*(1+0.13*0.25)*(PI()*(fi_h/1000)^2/4)*SQRT(2*9.81*(O2943/100-fi_h/2/1000))*1000)),"",IF(O2943&lt;fi_h/20,0,(OFFSET('Base de dados'!$A$5,IF(O2943&lt;20,1,IF(O2943&gt;1000,10,MATCH(O2943,Cargas,1))),Coluna_fih,1,1))*(PI()*(fi_h/1000)^2/4)*SQRT(2*9.81*(O2943/100-fi_h/2/1000))*1000))</f>
        <v>7.2508247367947609</v>
      </c>
      <c r="Q2943" s="38">
        <f ca="1">IF(O2943="","",IF(Tipo_Vertedor="Retangular",IF(O2943&lt;=cota_s*100,0,IF(Tipo_Vertedor="Retangular",Cd_sr*Lef_sr*((O2943/100-cota_s)^(3/2))*1000)),IF(O2943&lt;=cota_s*100+fi_s/20,0,(OFFSET('Base de dados'!$A$4,IF(O2943&lt;20,1,IF(O2943&gt;1000,10,MATCH(O2943,Cargas,1))),Coluna_fis,1,1))*(PI()*(fi_s/1000)^2/4)*(2*9.81*(O2943/100-cota_s-fi_s/2/1000))^0.5*1000)))</f>
        <v>6.6314503824908924</v>
      </c>
      <c r="R2943" s="38">
        <f t="shared" ca="1" si="315"/>
        <v>13.882275119285653</v>
      </c>
      <c r="S2943" s="38">
        <f t="shared" ca="1" si="316"/>
        <v>919.375</v>
      </c>
    </row>
    <row r="2944" spans="13:19">
      <c r="M2944" s="132">
        <f t="shared" ca="1" si="313"/>
        <v>933.57236075050309</v>
      </c>
      <c r="N2944" s="38">
        <f t="shared" si="314"/>
        <v>27.590624999999999</v>
      </c>
      <c r="O2944" s="36">
        <f t="shared" si="312"/>
        <v>735.75</v>
      </c>
      <c r="P2944" s="38">
        <f ca="1">IF(ISERROR(IF(O2944&lt;fi_h/20,0,(OFFSET('Base de dados'!$A$5,IF(O2944&lt;20,1,IF(O2944&gt;1000,10,MATCH(O2944,Cargas,1))),Coluna_fih,1,1))*(1+0.13*0.25)*(PI()*(fi_h/1000)^2/4)*SQRT(2*9.81*(O2944/100-fi_h/2/1000))*1000)),"",IF(O2944&lt;fi_h/20,0,(OFFSET('Base de dados'!$A$5,IF(O2944&lt;20,1,IF(O2944&gt;1000,10,MATCH(O2944,Cargas,1))),Coluna_fih,1,1))*(PI()*(fi_h/1000)^2/4)*SQRT(2*9.81*(O2944/100-fi_h/2/1000))*1000))</f>
        <v>7.2520598826257894</v>
      </c>
      <c r="Q2944" s="38">
        <f ca="1">IF(O2944="","",IF(Tipo_Vertedor="Retangular",IF(O2944&lt;=cota_s*100,0,IF(Tipo_Vertedor="Retangular",Cd_sr*Lef_sr*((O2944/100-cota_s)^(3/2))*1000)),IF(O2944&lt;=cota_s*100+fi_s/20,0,(OFFSET('Base de dados'!$A$4,IF(O2944&lt;20,1,IF(O2944&gt;1000,10,MATCH(O2944,Cargas,1))),Coluna_fis,1,1))*(PI()*(fi_s/1000)^2/4)*(2*9.81*(O2944/100-cota_s-fi_s/2/1000))^0.5*1000)))</f>
        <v>6.6328008678773234</v>
      </c>
      <c r="R2944" s="38">
        <f t="shared" ca="1" si="315"/>
        <v>13.884860750503112</v>
      </c>
      <c r="S2944" s="38">
        <f t="shared" ca="1" si="316"/>
        <v>919.6875</v>
      </c>
    </row>
    <row r="2945" spans="13:19">
      <c r="M2945" s="132">
        <f t="shared" ca="1" si="313"/>
        <v>933.8874458964782</v>
      </c>
      <c r="N2945" s="38">
        <f t="shared" si="314"/>
        <v>27.6</v>
      </c>
      <c r="O2945" s="36">
        <f t="shared" si="312"/>
        <v>736</v>
      </c>
      <c r="P2945" s="38">
        <f ca="1">IF(ISERROR(IF(O2945&lt;fi_h/20,0,(OFFSET('Base de dados'!$A$5,IF(O2945&lt;20,1,IF(O2945&gt;1000,10,MATCH(O2945,Cargas,1))),Coluna_fih,1,1))*(1+0.13*0.25)*(PI()*(fi_h/1000)^2/4)*SQRT(2*9.81*(O2945/100-fi_h/2/1000))*1000)),"",IF(O2945&lt;fi_h/20,0,(OFFSET('Base de dados'!$A$5,IF(O2945&lt;20,1,IF(O2945&gt;1000,10,MATCH(O2945,Cargas,1))),Coluna_fih,1,1))*(PI()*(fi_h/1000)^2/4)*SQRT(2*9.81*(O2945/100-fi_h/2/1000))*1000))</f>
        <v>7.2532948181268591</v>
      </c>
      <c r="Q2945" s="38">
        <f ca="1">IF(O2945="","",IF(Tipo_Vertedor="Retangular",IF(O2945&lt;=cota_s*100,0,IF(Tipo_Vertedor="Retangular",Cd_sr*Lef_sr*((O2945/100-cota_s)^(3/2))*1000)),IF(O2945&lt;=cota_s*100+fi_s/20,0,(OFFSET('Base de dados'!$A$4,IF(O2945&lt;20,1,IF(O2945&gt;1000,10,MATCH(O2945,Cargas,1))),Coluna_fis,1,1))*(PI()*(fi_s/1000)^2/4)*(2*9.81*(O2945/100-cota_s-fi_s/2/1000))^0.5*1000)))</f>
        <v>6.6341510783513025</v>
      </c>
      <c r="R2945" s="38">
        <f t="shared" ca="1" si="315"/>
        <v>13.887445896478162</v>
      </c>
      <c r="S2945" s="38">
        <f t="shared" ca="1" si="316"/>
        <v>920</v>
      </c>
    </row>
    <row r="2946" spans="13:19">
      <c r="M2946" s="132">
        <f t="shared" ca="1" si="313"/>
        <v>934.20253055748606</v>
      </c>
      <c r="N2946" s="38">
        <f t="shared" si="314"/>
        <v>27.609375</v>
      </c>
      <c r="O2946" s="36">
        <f t="shared" si="312"/>
        <v>736.25</v>
      </c>
      <c r="P2946" s="38">
        <f ca="1">IF(ISERROR(IF(O2946&lt;fi_h/20,0,(OFFSET('Base de dados'!$A$5,IF(O2946&lt;20,1,IF(O2946&gt;1000,10,MATCH(O2946,Cargas,1))),Coluna_fih,1,1))*(1+0.13*0.25)*(PI()*(fi_h/1000)^2/4)*SQRT(2*9.81*(O2946/100-fi_h/2/1000))*1000)),"",IF(O2946&lt;fi_h/20,0,(OFFSET('Base de dados'!$A$5,IF(O2946&lt;20,1,IF(O2946&gt;1000,10,MATCH(O2946,Cargas,1))),Coluna_fih,1,1))*(PI()*(fi_h/1000)^2/4)*SQRT(2*9.81*(O2946/100-fi_h/2/1000))*1000))</f>
        <v>7.2545295434053845</v>
      </c>
      <c r="Q2946" s="38">
        <f ca="1">IF(O2946="","",IF(Tipo_Vertedor="Retangular",IF(O2946&lt;=cota_s*100,0,IF(Tipo_Vertedor="Retangular",Cd_sr*Lef_sr*((O2946/100-cota_s)^(3/2))*1000)),IF(O2946&lt;=cota_s*100+fi_s/20,0,(OFFSET('Base de dados'!$A$4,IF(O2946&lt;20,1,IF(O2946&gt;1000,10,MATCH(O2946,Cargas,1))),Coluna_fis,1,1))*(PI()*(fi_s/1000)^2/4)*(2*9.81*(O2946/100-cota_s-fi_s/2/1000))^0.5*1000)))</f>
        <v>6.6355010140806492</v>
      </c>
      <c r="R2946" s="38">
        <f t="shared" ca="1" si="315"/>
        <v>13.890030557486034</v>
      </c>
      <c r="S2946" s="38">
        <f t="shared" ca="1" si="316"/>
        <v>920.3125</v>
      </c>
    </row>
    <row r="2947" spans="13:19">
      <c r="M2947" s="132">
        <f t="shared" ca="1" si="313"/>
        <v>934.51761473380179</v>
      </c>
      <c r="N2947" s="38">
        <f t="shared" si="314"/>
        <v>27.618750000000002</v>
      </c>
      <c r="O2947" s="36">
        <f t="shared" si="312"/>
        <v>736.5</v>
      </c>
      <c r="P2947" s="38">
        <f ca="1">IF(ISERROR(IF(O2947&lt;fi_h/20,0,(OFFSET('Base de dados'!$A$5,IF(O2947&lt;20,1,IF(O2947&gt;1000,10,MATCH(O2947,Cargas,1))),Coluna_fih,1,1))*(1+0.13*0.25)*(PI()*(fi_h/1000)^2/4)*SQRT(2*9.81*(O2947/100-fi_h/2/1000))*1000)),"",IF(O2947&lt;fi_h/20,0,(OFFSET('Base de dados'!$A$5,IF(O2947&lt;20,1,IF(O2947&gt;1000,10,MATCH(O2947,Cargas,1))),Coluna_fih,1,1))*(PI()*(fi_h/1000)^2/4)*SQRT(2*9.81*(O2947/100-fi_h/2/1000))*1000))</f>
        <v>7.2557640585686833</v>
      </c>
      <c r="Q2947" s="38">
        <f ca="1">IF(O2947="","",IF(Tipo_Vertedor="Retangular",IF(O2947&lt;=cota_s*100,0,IF(Tipo_Vertedor="Retangular",Cd_sr*Lef_sr*((O2947/100-cota_s)^(3/2))*1000)),IF(O2947&lt;=cota_s*100+fi_s/20,0,(OFFSET('Base de dados'!$A$4,IF(O2947&lt;20,1,IF(O2947&gt;1000,10,MATCH(O2947,Cargas,1))),Coluna_fis,1,1))*(PI()*(fi_s/1000)^2/4)*(2*9.81*(O2947/100-cota_s-fi_s/2/1000))^0.5*1000)))</f>
        <v>6.6368506752330134</v>
      </c>
      <c r="R2947" s="38">
        <f t="shared" ca="1" si="315"/>
        <v>13.892614733801697</v>
      </c>
      <c r="S2947" s="38">
        <f t="shared" ca="1" si="316"/>
        <v>920.62500000000011</v>
      </c>
    </row>
    <row r="2948" spans="13:19">
      <c r="M2948" s="132">
        <f t="shared" ca="1" si="313"/>
        <v>934.83269842569973</v>
      </c>
      <c r="N2948" s="38">
        <f t="shared" si="314"/>
        <v>27.628124999999997</v>
      </c>
      <c r="O2948" s="36">
        <f t="shared" si="312"/>
        <v>736.75</v>
      </c>
      <c r="P2948" s="38">
        <f ca="1">IF(ISERROR(IF(O2948&lt;fi_h/20,0,(OFFSET('Base de dados'!$A$5,IF(O2948&lt;20,1,IF(O2948&gt;1000,10,MATCH(O2948,Cargas,1))),Coluna_fih,1,1))*(1+0.13*0.25)*(PI()*(fi_h/1000)^2/4)*SQRT(2*9.81*(O2948/100-fi_h/2/1000))*1000)),"",IF(O2948&lt;fi_h/20,0,(OFFSET('Base de dados'!$A$5,IF(O2948&lt;20,1,IF(O2948&gt;1000,10,MATCH(O2948,Cargas,1))),Coluna_fih,1,1))*(PI()*(fi_h/1000)^2/4)*SQRT(2*9.81*(O2948/100-fi_h/2/1000))*1000))</f>
        <v>7.2569983637239899</v>
      </c>
      <c r="Q2948" s="38">
        <f ca="1">IF(O2948="","",IF(Tipo_Vertedor="Retangular",IF(O2948&lt;=cota_s*100,0,IF(Tipo_Vertedor="Retangular",Cd_sr*Lef_sr*((O2948/100-cota_s)^(3/2))*1000)),IF(O2948&lt;=cota_s*100+fi_s/20,0,(OFFSET('Base de dados'!$A$4,IF(O2948&lt;20,1,IF(O2948&gt;1000,10,MATCH(O2948,Cargas,1))),Coluna_fis,1,1))*(PI()*(fi_s/1000)^2/4)*(2*9.81*(O2948/100-cota_s-fi_s/2/1000))^0.5*1000)))</f>
        <v>6.6382000619758728</v>
      </c>
      <c r="R2948" s="38">
        <f t="shared" ca="1" si="315"/>
        <v>13.895198425699864</v>
      </c>
      <c r="S2948" s="38">
        <f t="shared" ca="1" si="316"/>
        <v>920.93749999999989</v>
      </c>
    </row>
    <row r="2949" spans="13:19">
      <c r="M2949" s="132">
        <f t="shared" ca="1" si="313"/>
        <v>935.147781633455</v>
      </c>
      <c r="N2949" s="38">
        <f t="shared" si="314"/>
        <v>27.637499999999999</v>
      </c>
      <c r="O2949" s="36">
        <f t="shared" si="312"/>
        <v>737</v>
      </c>
      <c r="P2949" s="38">
        <f ca="1">IF(ISERROR(IF(O2949&lt;fi_h/20,0,(OFFSET('Base de dados'!$A$5,IF(O2949&lt;20,1,IF(O2949&gt;1000,10,MATCH(O2949,Cargas,1))),Coluna_fih,1,1))*(1+0.13*0.25)*(PI()*(fi_h/1000)^2/4)*SQRT(2*9.81*(O2949/100-fi_h/2/1000))*1000)),"",IF(O2949&lt;fi_h/20,0,(OFFSET('Base de dados'!$A$5,IF(O2949&lt;20,1,IF(O2949&gt;1000,10,MATCH(O2949,Cargas,1))),Coluna_fih,1,1))*(PI()*(fi_h/1000)^2/4)*SQRT(2*9.81*(O2949/100-fi_h/2/1000))*1000))</f>
        <v>7.2582324589784424</v>
      </c>
      <c r="Q2949" s="38">
        <f ca="1">IF(O2949="","",IF(Tipo_Vertedor="Retangular",IF(O2949&lt;=cota_s*100,0,IF(Tipo_Vertedor="Retangular",Cd_sr*Lef_sr*((O2949/100-cota_s)^(3/2))*1000)),IF(O2949&lt;=cota_s*100+fi_s/20,0,(OFFSET('Base de dados'!$A$4,IF(O2949&lt;20,1,IF(O2949&gt;1000,10,MATCH(O2949,Cargas,1))),Coluna_fis,1,1))*(PI()*(fi_s/1000)^2/4)*(2*9.81*(O2949/100-cota_s-fi_s/2/1000))^0.5*1000)))</f>
        <v>6.639549174476536</v>
      </c>
      <c r="R2949" s="38">
        <f t="shared" ca="1" si="315"/>
        <v>13.897781633454979</v>
      </c>
      <c r="S2949" s="38">
        <f t="shared" ca="1" si="316"/>
        <v>921.25</v>
      </c>
    </row>
    <row r="2950" spans="13:19">
      <c r="M2950" s="132">
        <f t="shared" ca="1" si="313"/>
        <v>935.46286435734112</v>
      </c>
      <c r="N2950" s="38">
        <f t="shared" si="314"/>
        <v>27.646874999999998</v>
      </c>
      <c r="O2950" s="36">
        <f t="shared" si="312"/>
        <v>737.25</v>
      </c>
      <c r="P2950" s="38">
        <f ca="1">IF(ISERROR(IF(O2950&lt;fi_h/20,0,(OFFSET('Base de dados'!$A$5,IF(O2950&lt;20,1,IF(O2950&gt;1000,10,MATCH(O2950,Cargas,1))),Coluna_fih,1,1))*(1+0.13*0.25)*(PI()*(fi_h/1000)^2/4)*SQRT(2*9.81*(O2950/100-fi_h/2/1000))*1000)),"",IF(O2950&lt;fi_h/20,0,(OFFSET('Base de dados'!$A$5,IF(O2950&lt;20,1,IF(O2950&gt;1000,10,MATCH(O2950,Cargas,1))),Coluna_fih,1,1))*(PI()*(fi_h/1000)^2/4)*SQRT(2*9.81*(O2950/100-fi_h/2/1000))*1000))</f>
        <v>7.2594663444390886</v>
      </c>
      <c r="Q2950" s="38">
        <f ca="1">IF(O2950="","",IF(Tipo_Vertedor="Retangular",IF(O2950&lt;=cota_s*100,0,IF(Tipo_Vertedor="Retangular",Cd_sr*Lef_sr*((O2950/100-cota_s)^(3/2))*1000)),IF(O2950&lt;=cota_s*100+fi_s/20,0,(OFFSET('Base de dados'!$A$4,IF(O2950&lt;20,1,IF(O2950&gt;1000,10,MATCH(O2950,Cargas,1))),Coluna_fis,1,1))*(PI()*(fi_s/1000)^2/4)*(2*9.81*(O2950/100-cota_s-fi_s/2/1000))^0.5*1000)))</f>
        <v>6.6408980129021433</v>
      </c>
      <c r="R2950" s="38">
        <f t="shared" ca="1" si="315"/>
        <v>13.900364357341232</v>
      </c>
      <c r="S2950" s="38">
        <f t="shared" ca="1" si="316"/>
        <v>921.56249999999989</v>
      </c>
    </row>
    <row r="2951" spans="13:19">
      <c r="M2951" s="132">
        <f t="shared" ca="1" si="313"/>
        <v>935.77794659763254</v>
      </c>
      <c r="N2951" s="38">
        <f t="shared" si="314"/>
        <v>27.65625</v>
      </c>
      <c r="O2951" s="36">
        <f t="shared" si="312"/>
        <v>737.5</v>
      </c>
      <c r="P2951" s="38">
        <f ca="1">IF(ISERROR(IF(O2951&lt;fi_h/20,0,(OFFSET('Base de dados'!$A$5,IF(O2951&lt;20,1,IF(O2951&gt;1000,10,MATCH(O2951,Cargas,1))),Coluna_fih,1,1))*(1+0.13*0.25)*(PI()*(fi_h/1000)^2/4)*SQRT(2*9.81*(O2951/100-fi_h/2/1000))*1000)),"",IF(O2951&lt;fi_h/20,0,(OFFSET('Base de dados'!$A$5,IF(O2951&lt;20,1,IF(O2951&gt;1000,10,MATCH(O2951,Cargas,1))),Coluna_fih,1,1))*(PI()*(fi_h/1000)^2/4)*SQRT(2*9.81*(O2951/100-fi_h/2/1000))*1000))</f>
        <v>7.2607000202128864</v>
      </c>
      <c r="Q2951" s="38">
        <f ca="1">IF(O2951="","",IF(Tipo_Vertedor="Retangular",IF(O2951&lt;=cota_s*100,0,IF(Tipo_Vertedor="Retangular",Cd_sr*Lef_sr*((O2951/100-cota_s)^(3/2))*1000)),IF(O2951&lt;=cota_s*100+fi_s/20,0,(OFFSET('Base de dados'!$A$4,IF(O2951&lt;20,1,IF(O2951&gt;1000,10,MATCH(O2951,Cargas,1))),Coluna_fis,1,1))*(PI()*(fi_s/1000)^2/4)*(2*9.81*(O2951/100-cota_s-fi_s/2/1000))^0.5*1000)))</f>
        <v>6.6422465774196615</v>
      </c>
      <c r="R2951" s="38">
        <f t="shared" ca="1" si="315"/>
        <v>13.902946597632548</v>
      </c>
      <c r="S2951" s="38">
        <f t="shared" ca="1" si="316"/>
        <v>921.875</v>
      </c>
    </row>
    <row r="2952" spans="13:19">
      <c r="M2952" s="132">
        <f t="shared" ca="1" si="313"/>
        <v>936.09302835460267</v>
      </c>
      <c r="N2952" s="38">
        <f t="shared" si="314"/>
        <v>27.665625000000002</v>
      </c>
      <c r="O2952" s="36">
        <f t="shared" si="312"/>
        <v>737.75</v>
      </c>
      <c r="P2952" s="38">
        <f ca="1">IF(ISERROR(IF(O2952&lt;fi_h/20,0,(OFFSET('Base de dados'!$A$5,IF(O2952&lt;20,1,IF(O2952&gt;1000,10,MATCH(O2952,Cargas,1))),Coluna_fih,1,1))*(1+0.13*0.25)*(PI()*(fi_h/1000)^2/4)*SQRT(2*9.81*(O2952/100-fi_h/2/1000))*1000)),"",IF(O2952&lt;fi_h/20,0,(OFFSET('Base de dados'!$A$5,IF(O2952&lt;20,1,IF(O2952&gt;1000,10,MATCH(O2952,Cargas,1))),Coluna_fih,1,1))*(PI()*(fi_h/1000)^2/4)*SQRT(2*9.81*(O2952/100-fi_h/2/1000))*1000))</f>
        <v>7.2619334864067007</v>
      </c>
      <c r="Q2952" s="38">
        <f ca="1">IF(O2952="","",IF(Tipo_Vertedor="Retangular",IF(O2952&lt;=cota_s*100,0,IF(Tipo_Vertedor="Retangular",Cd_sr*Lef_sr*((O2952/100-cota_s)^(3/2))*1000)),IF(O2952&lt;=cota_s*100+fi_s/20,0,(OFFSET('Base de dados'!$A$4,IF(O2952&lt;20,1,IF(O2952&gt;1000,10,MATCH(O2952,Cargas,1))),Coluna_fis,1,1))*(PI()*(fi_s/1000)^2/4)*(2*9.81*(O2952/100-cota_s-fi_s/2/1000))^0.5*1000)))</f>
        <v>6.6435948681958914</v>
      </c>
      <c r="R2952" s="38">
        <f t="shared" ca="1" si="315"/>
        <v>13.905528354602591</v>
      </c>
      <c r="S2952" s="38">
        <f t="shared" ca="1" si="316"/>
        <v>922.18750000000011</v>
      </c>
    </row>
    <row r="2953" spans="13:19">
      <c r="M2953" s="132">
        <f t="shared" ca="1" si="313"/>
        <v>936.40810962852481</v>
      </c>
      <c r="N2953" s="38">
        <f t="shared" si="314"/>
        <v>27.675000000000001</v>
      </c>
      <c r="O2953" s="36">
        <f t="shared" si="312"/>
        <v>738</v>
      </c>
      <c r="P2953" s="38">
        <f ca="1">IF(ISERROR(IF(O2953&lt;fi_h/20,0,(OFFSET('Base de dados'!$A$5,IF(O2953&lt;20,1,IF(O2953&gt;1000,10,MATCH(O2953,Cargas,1))),Coluna_fih,1,1))*(1+0.13*0.25)*(PI()*(fi_h/1000)^2/4)*SQRT(2*9.81*(O2953/100-fi_h/2/1000))*1000)),"",IF(O2953&lt;fi_h/20,0,(OFFSET('Base de dados'!$A$5,IF(O2953&lt;20,1,IF(O2953&gt;1000,10,MATCH(O2953,Cargas,1))),Coluna_fih,1,1))*(PI()*(fi_h/1000)^2/4)*SQRT(2*9.81*(O2953/100-fi_h/2/1000))*1000))</f>
        <v>7.2631667431273081</v>
      </c>
      <c r="Q2953" s="38">
        <f ca="1">IF(O2953="","",IF(Tipo_Vertedor="Retangular",IF(O2953&lt;=cota_s*100,0,IF(Tipo_Vertedor="Retangular",Cd_sr*Lef_sr*((O2953/100-cota_s)^(3/2))*1000)),IF(O2953&lt;=cota_s*100+fi_s/20,0,(OFFSET('Base de dados'!$A$4,IF(O2953&lt;20,1,IF(O2953&gt;1000,10,MATCH(O2953,Cargas,1))),Coluna_fis,1,1))*(PI()*(fi_s/1000)^2/4)*(2*9.81*(O2953/100-cota_s-fi_s/2/1000))^0.5*1000)))</f>
        <v>6.6449428853974633</v>
      </c>
      <c r="R2953" s="38">
        <f t="shared" ca="1" si="315"/>
        <v>13.908109628524771</v>
      </c>
      <c r="S2953" s="38">
        <f t="shared" ca="1" si="316"/>
        <v>922.5</v>
      </c>
    </row>
    <row r="2954" spans="13:19">
      <c r="M2954" s="132">
        <f t="shared" ca="1" si="313"/>
        <v>936.72319041967239</v>
      </c>
      <c r="N2954" s="38">
        <f t="shared" si="314"/>
        <v>27.684375000000003</v>
      </c>
      <c r="O2954" s="36">
        <f t="shared" si="312"/>
        <v>738.25</v>
      </c>
      <c r="P2954" s="38">
        <f ca="1">IF(ISERROR(IF(O2954&lt;fi_h/20,0,(OFFSET('Base de dados'!$A$5,IF(O2954&lt;20,1,IF(O2954&gt;1000,10,MATCH(O2954,Cargas,1))),Coluna_fih,1,1))*(1+0.13*0.25)*(PI()*(fi_h/1000)^2/4)*SQRT(2*9.81*(O2954/100-fi_h/2/1000))*1000)),"",IF(O2954&lt;fi_h/20,0,(OFFSET('Base de dados'!$A$5,IF(O2954&lt;20,1,IF(O2954&gt;1000,10,MATCH(O2954,Cargas,1))),Coluna_fih,1,1))*(PI()*(fi_h/1000)^2/4)*SQRT(2*9.81*(O2954/100-fi_h/2/1000))*1000))</f>
        <v>7.2643997904813942</v>
      </c>
      <c r="Q2954" s="38">
        <f ca="1">IF(O2954="","",IF(Tipo_Vertedor="Retangular",IF(O2954&lt;=cota_s*100,0,IF(Tipo_Vertedor="Retangular",Cd_sr*Lef_sr*((O2954/100-cota_s)^(3/2))*1000)),IF(O2954&lt;=cota_s*100+fi_s/20,0,(OFFSET('Base de dados'!$A$4,IF(O2954&lt;20,1,IF(O2954&gt;1000,10,MATCH(O2954,Cargas,1))),Coluna_fis,1,1))*(PI()*(fi_s/1000)^2/4)*(2*9.81*(O2954/100-cota_s-fi_s/2/1000))^0.5*1000)))</f>
        <v>6.6462906291908377</v>
      </c>
      <c r="R2954" s="38">
        <f t="shared" ca="1" si="315"/>
        <v>13.910690419672232</v>
      </c>
      <c r="S2954" s="38">
        <f t="shared" ca="1" si="316"/>
        <v>922.81250000000011</v>
      </c>
    </row>
    <row r="2955" spans="13:19">
      <c r="M2955" s="132">
        <f t="shared" ca="1" si="313"/>
        <v>937.0382707283178</v>
      </c>
      <c r="N2955" s="38">
        <f t="shared" si="314"/>
        <v>27.693749999999998</v>
      </c>
      <c r="O2955" s="36">
        <f t="shared" si="312"/>
        <v>738.5</v>
      </c>
      <c r="P2955" s="38">
        <f ca="1">IF(ISERROR(IF(O2955&lt;fi_h/20,0,(OFFSET('Base de dados'!$A$5,IF(O2955&lt;20,1,IF(O2955&gt;1000,10,MATCH(O2955,Cargas,1))),Coluna_fih,1,1))*(1+0.13*0.25)*(PI()*(fi_h/1000)^2/4)*SQRT(2*9.81*(O2955/100-fi_h/2/1000))*1000)),"",IF(O2955&lt;fi_h/20,0,(OFFSET('Base de dados'!$A$5,IF(O2955&lt;20,1,IF(O2955&gt;1000,10,MATCH(O2955,Cargas,1))),Coluna_fih,1,1))*(PI()*(fi_h/1000)^2/4)*SQRT(2*9.81*(O2955/100-fi_h/2/1000))*1000))</f>
        <v>7.2656326285755526</v>
      </c>
      <c r="Q2955" s="38">
        <f ca="1">IF(O2955="","",IF(Tipo_Vertedor="Retangular",IF(O2955&lt;=cota_s*100,0,IF(Tipo_Vertedor="Retangular",Cd_sr*Lef_sr*((O2955/100-cota_s)^(3/2))*1000)),IF(O2955&lt;=cota_s*100+fi_s/20,0,(OFFSET('Base de dados'!$A$4,IF(O2955&lt;20,1,IF(O2955&gt;1000,10,MATCH(O2955,Cargas,1))),Coluna_fis,1,1))*(PI()*(fi_s/1000)^2/4)*(2*9.81*(O2955/100-cota_s-fi_s/2/1000))^0.5*1000)))</f>
        <v>6.6476380997423066</v>
      </c>
      <c r="R2955" s="38">
        <f t="shared" ca="1" si="315"/>
        <v>13.913270728317858</v>
      </c>
      <c r="S2955" s="38">
        <f t="shared" ca="1" si="316"/>
        <v>923.12499999999989</v>
      </c>
    </row>
    <row r="2956" spans="13:19">
      <c r="M2956" s="132">
        <f t="shared" ca="1" si="313"/>
        <v>937.35335055473433</v>
      </c>
      <c r="N2956" s="38">
        <f t="shared" si="314"/>
        <v>27.703125</v>
      </c>
      <c r="O2956" s="36">
        <f t="shared" si="312"/>
        <v>738.75</v>
      </c>
      <c r="P2956" s="38">
        <f ca="1">IF(ISERROR(IF(O2956&lt;fi_h/20,0,(OFFSET('Base de dados'!$A$5,IF(O2956&lt;20,1,IF(O2956&gt;1000,10,MATCH(O2956,Cargas,1))),Coluna_fih,1,1))*(1+0.13*0.25)*(PI()*(fi_h/1000)^2/4)*SQRT(2*9.81*(O2956/100-fi_h/2/1000))*1000)),"",IF(O2956&lt;fi_h/20,0,(OFFSET('Base de dados'!$A$5,IF(O2956&lt;20,1,IF(O2956&gt;1000,10,MATCH(O2956,Cargas,1))),Coluna_fih,1,1))*(PI()*(fi_h/1000)^2/4)*SQRT(2*9.81*(O2956/100-fi_h/2/1000))*1000))</f>
        <v>7.2668652575162884</v>
      </c>
      <c r="Q2956" s="38">
        <f ca="1">IF(O2956="","",IF(Tipo_Vertedor="Retangular",IF(O2956&lt;=cota_s*100,0,IF(Tipo_Vertedor="Retangular",Cd_sr*Lef_sr*((O2956/100-cota_s)^(3/2))*1000)),IF(O2956&lt;=cota_s*100+fi_s/20,0,(OFFSET('Base de dados'!$A$4,IF(O2956&lt;20,1,IF(O2956&gt;1000,10,MATCH(O2956,Cargas,1))),Coluna_fis,1,1))*(PI()*(fi_s/1000)^2/4)*(2*9.81*(O2956/100-cota_s-fi_s/2/1000))^0.5*1000)))</f>
        <v>6.6489852972179957</v>
      </c>
      <c r="R2956" s="38">
        <f t="shared" ca="1" si="315"/>
        <v>13.915850554734284</v>
      </c>
      <c r="S2956" s="38">
        <f t="shared" ca="1" si="316"/>
        <v>923.4375</v>
      </c>
    </row>
    <row r="2957" spans="13:19">
      <c r="M2957" s="132">
        <f t="shared" ca="1" si="313"/>
        <v>937.66842989919382</v>
      </c>
      <c r="N2957" s="38">
        <f t="shared" si="314"/>
        <v>27.712499999999999</v>
      </c>
      <c r="O2957" s="36">
        <f t="shared" si="312"/>
        <v>739</v>
      </c>
      <c r="P2957" s="38">
        <f ca="1">IF(ISERROR(IF(O2957&lt;fi_h/20,0,(OFFSET('Base de dados'!$A$5,IF(O2957&lt;20,1,IF(O2957&gt;1000,10,MATCH(O2957,Cargas,1))),Coluna_fih,1,1))*(1+0.13*0.25)*(PI()*(fi_h/1000)^2/4)*SQRT(2*9.81*(O2957/100-fi_h/2/1000))*1000)),"",IF(O2957&lt;fi_h/20,0,(OFFSET('Base de dados'!$A$5,IF(O2957&lt;20,1,IF(O2957&gt;1000,10,MATCH(O2957,Cargas,1))),Coluna_fih,1,1))*(PI()*(fi_h/1000)^2/4)*SQRT(2*9.81*(O2957/100-fi_h/2/1000))*1000))</f>
        <v>7.2680976774100152</v>
      </c>
      <c r="Q2957" s="38">
        <f ca="1">IF(O2957="","",IF(Tipo_Vertedor="Retangular",IF(O2957&lt;=cota_s*100,0,IF(Tipo_Vertedor="Retangular",Cd_sr*Lef_sr*((O2957/100-cota_s)^(3/2))*1000)),IF(O2957&lt;=cota_s*100+fi_s/20,0,(OFFSET('Base de dados'!$A$4,IF(O2957&lt;20,1,IF(O2957&gt;1000,10,MATCH(O2957,Cargas,1))),Coluna_fis,1,1))*(PI()*(fi_s/1000)^2/4)*(2*9.81*(O2957/100-cota_s-fi_s/2/1000))^0.5*1000)))</f>
        <v>6.6503322217838594</v>
      </c>
      <c r="R2957" s="38">
        <f t="shared" ca="1" si="315"/>
        <v>13.918429899193875</v>
      </c>
      <c r="S2957" s="38">
        <f t="shared" ca="1" si="316"/>
        <v>923.75</v>
      </c>
    </row>
    <row r="2958" spans="13:19">
      <c r="M2958" s="132">
        <f t="shared" ca="1" si="313"/>
        <v>937.98350876196878</v>
      </c>
      <c r="N2958" s="38">
        <f t="shared" si="314"/>
        <v>27.721875000000001</v>
      </c>
      <c r="O2958" s="36">
        <f t="shared" si="312"/>
        <v>739.25</v>
      </c>
      <c r="P2958" s="38">
        <f ca="1">IF(ISERROR(IF(O2958&lt;fi_h/20,0,(OFFSET('Base de dados'!$A$5,IF(O2958&lt;20,1,IF(O2958&gt;1000,10,MATCH(O2958,Cargas,1))),Coluna_fih,1,1))*(1+0.13*0.25)*(PI()*(fi_h/1000)^2/4)*SQRT(2*9.81*(O2958/100-fi_h/2/1000))*1000)),"",IF(O2958&lt;fi_h/20,0,(OFFSET('Base de dados'!$A$5,IF(O2958&lt;20,1,IF(O2958&gt;1000,10,MATCH(O2958,Cargas,1))),Coluna_fih,1,1))*(PI()*(fi_h/1000)^2/4)*SQRT(2*9.81*(O2958/100-fi_h/2/1000))*1000))</f>
        <v>7.2693298883630559</v>
      </c>
      <c r="Q2958" s="38">
        <f ca="1">IF(O2958="","",IF(Tipo_Vertedor="Retangular",IF(O2958&lt;=cota_s*100,0,IF(Tipo_Vertedor="Retangular",Cd_sr*Lef_sr*((O2958/100-cota_s)^(3/2))*1000)),IF(O2958&lt;=cota_s*100+fi_s/20,0,(OFFSET('Base de dados'!$A$4,IF(O2958&lt;20,1,IF(O2958&gt;1000,10,MATCH(O2958,Cargas,1))),Coluna_fis,1,1))*(PI()*(fi_s/1000)^2/4)*(2*9.81*(O2958/100-cota_s-fi_s/2/1000))^0.5*1000)))</f>
        <v>6.6516788736056878</v>
      </c>
      <c r="R2958" s="38">
        <f t="shared" ca="1" si="315"/>
        <v>13.921008761968743</v>
      </c>
      <c r="S2958" s="38">
        <f t="shared" ca="1" si="316"/>
        <v>924.0625</v>
      </c>
    </row>
    <row r="2959" spans="13:19">
      <c r="M2959" s="132">
        <f t="shared" ca="1" si="313"/>
        <v>938.29858714333079</v>
      </c>
      <c r="N2959" s="38">
        <f t="shared" si="314"/>
        <v>27.731249999999999</v>
      </c>
      <c r="O2959" s="36">
        <f t="shared" si="312"/>
        <v>739.5</v>
      </c>
      <c r="P2959" s="38">
        <f ca="1">IF(ISERROR(IF(O2959&lt;fi_h/20,0,(OFFSET('Base de dados'!$A$5,IF(O2959&lt;20,1,IF(O2959&gt;1000,10,MATCH(O2959,Cargas,1))),Coluna_fih,1,1))*(1+0.13*0.25)*(PI()*(fi_h/1000)^2/4)*SQRT(2*9.81*(O2959/100-fi_h/2/1000))*1000)),"",IF(O2959&lt;fi_h/20,0,(OFFSET('Base de dados'!$A$5,IF(O2959&lt;20,1,IF(O2959&gt;1000,10,MATCH(O2959,Cargas,1))),Coluna_fih,1,1))*(PI()*(fi_h/1000)^2/4)*SQRT(2*9.81*(O2959/100-fi_h/2/1000))*1000))</f>
        <v>7.270561890481642</v>
      </c>
      <c r="Q2959" s="38">
        <f ca="1">IF(O2959="","",IF(Tipo_Vertedor="Retangular",IF(O2959&lt;=cota_s*100,0,IF(Tipo_Vertedor="Retangular",Cd_sr*Lef_sr*((O2959/100-cota_s)^(3/2))*1000)),IF(O2959&lt;=cota_s*100+fi_s/20,0,(OFFSET('Base de dados'!$A$4,IF(O2959&lt;20,1,IF(O2959&gt;1000,10,MATCH(O2959,Cargas,1))),Coluna_fis,1,1))*(PI()*(fi_s/1000)^2/4)*(2*9.81*(O2959/100-cota_s-fi_s/2/1000))^0.5*1000)))</f>
        <v>6.6530252528490985</v>
      </c>
      <c r="R2959" s="38">
        <f t="shared" ca="1" si="315"/>
        <v>13.923587143330741</v>
      </c>
      <c r="S2959" s="38">
        <f t="shared" ca="1" si="316"/>
        <v>924.375</v>
      </c>
    </row>
    <row r="2960" spans="13:19">
      <c r="M2960" s="132">
        <f t="shared" ca="1" si="313"/>
        <v>938.61366504355146</v>
      </c>
      <c r="N2960" s="38">
        <f t="shared" si="314"/>
        <v>27.740625000000001</v>
      </c>
      <c r="O2960" s="36">
        <f t="shared" si="312"/>
        <v>739.75</v>
      </c>
      <c r="P2960" s="38">
        <f ca="1">IF(ISERROR(IF(O2960&lt;fi_h/20,0,(OFFSET('Base de dados'!$A$5,IF(O2960&lt;20,1,IF(O2960&gt;1000,10,MATCH(O2960,Cargas,1))),Coluna_fih,1,1))*(1+0.13*0.25)*(PI()*(fi_h/1000)^2/4)*SQRT(2*9.81*(O2960/100-fi_h/2/1000))*1000)),"",IF(O2960&lt;fi_h/20,0,(OFFSET('Base de dados'!$A$5,IF(O2960&lt;20,1,IF(O2960&gt;1000,10,MATCH(O2960,Cargas,1))),Coluna_fih,1,1))*(PI()*(fi_h/1000)^2/4)*SQRT(2*9.81*(O2960/100-fi_h/2/1000))*1000))</f>
        <v>7.2717936838719224</v>
      </c>
      <c r="Q2960" s="38">
        <f ca="1">IF(O2960="","",IF(Tipo_Vertedor="Retangular",IF(O2960&lt;=cota_s*100,0,IF(Tipo_Vertedor="Retangular",Cd_sr*Lef_sr*((O2960/100-cota_s)^(3/2))*1000)),IF(O2960&lt;=cota_s*100+fi_s/20,0,(OFFSET('Base de dados'!$A$4,IF(O2960&lt;20,1,IF(O2960&gt;1000,10,MATCH(O2960,Cargas,1))),Coluna_fis,1,1))*(PI()*(fi_s/1000)^2/4)*(2*9.81*(O2960/100-cota_s-fi_s/2/1000))^0.5*1000)))</f>
        <v>6.6543713596795442</v>
      </c>
      <c r="R2960" s="38">
        <f t="shared" ca="1" si="315"/>
        <v>13.926165043551467</v>
      </c>
      <c r="S2960" s="38">
        <f t="shared" ca="1" si="316"/>
        <v>924.6875</v>
      </c>
    </row>
    <row r="2961" spans="13:19">
      <c r="M2961" s="132">
        <f t="shared" ca="1" si="313"/>
        <v>938.92874246290228</v>
      </c>
      <c r="N2961" s="38">
        <f t="shared" si="314"/>
        <v>27.75</v>
      </c>
      <c r="O2961" s="36">
        <f t="shared" si="312"/>
        <v>740</v>
      </c>
      <c r="P2961" s="38">
        <f ca="1">IF(ISERROR(IF(O2961&lt;fi_h/20,0,(OFFSET('Base de dados'!$A$5,IF(O2961&lt;20,1,IF(O2961&gt;1000,10,MATCH(O2961,Cargas,1))),Coluna_fih,1,1))*(1+0.13*0.25)*(PI()*(fi_h/1000)^2/4)*SQRT(2*9.81*(O2961/100-fi_h/2/1000))*1000)),"",IF(O2961&lt;fi_h/20,0,(OFFSET('Base de dados'!$A$5,IF(O2961&lt;20,1,IF(O2961&gt;1000,10,MATCH(O2961,Cargas,1))),Coluna_fih,1,1))*(PI()*(fi_h/1000)^2/4)*SQRT(2*9.81*(O2961/100-fi_h/2/1000))*1000))</f>
        <v>7.2730252686399455</v>
      </c>
      <c r="Q2961" s="38">
        <f ca="1">IF(O2961="","",IF(Tipo_Vertedor="Retangular",IF(O2961&lt;=cota_s*100,0,IF(Tipo_Vertedor="Retangular",Cd_sr*Lef_sr*((O2961/100-cota_s)^(3/2))*1000)),IF(O2961&lt;=cota_s*100+fi_s/20,0,(OFFSET('Base de dados'!$A$4,IF(O2961&lt;20,1,IF(O2961&gt;1000,10,MATCH(O2961,Cargas,1))),Coluna_fis,1,1))*(PI()*(fi_s/1000)^2/4)*(2*9.81*(O2961/100-cota_s-fi_s/2/1000))^0.5*1000)))</f>
        <v>6.6557171942623095</v>
      </c>
      <c r="R2961" s="38">
        <f t="shared" ca="1" si="315"/>
        <v>13.928742462902255</v>
      </c>
      <c r="S2961" s="38">
        <f t="shared" ca="1" si="316"/>
        <v>925</v>
      </c>
    </row>
    <row r="2962" spans="13:19">
      <c r="M2962" s="132">
        <f t="shared" ca="1" si="313"/>
        <v>939.24381940165415</v>
      </c>
      <c r="N2962" s="38">
        <f t="shared" si="314"/>
        <v>27.759374999999999</v>
      </c>
      <c r="O2962" s="36">
        <f t="shared" si="312"/>
        <v>740.25</v>
      </c>
      <c r="P2962" s="38">
        <f ca="1">IF(ISERROR(IF(O2962&lt;fi_h/20,0,(OFFSET('Base de dados'!$A$5,IF(O2962&lt;20,1,IF(O2962&gt;1000,10,MATCH(O2962,Cargas,1))),Coluna_fih,1,1))*(1+0.13*0.25)*(PI()*(fi_h/1000)^2/4)*SQRT(2*9.81*(O2962/100-fi_h/2/1000))*1000)),"",IF(O2962&lt;fi_h/20,0,(OFFSET('Base de dados'!$A$5,IF(O2962&lt;20,1,IF(O2962&gt;1000,10,MATCH(O2962,Cargas,1))),Coluna_fih,1,1))*(PI()*(fi_h/1000)^2/4)*SQRT(2*9.81*(O2962/100-fi_h/2/1000))*1000))</f>
        <v>7.2742566448916772</v>
      </c>
      <c r="Q2962" s="38">
        <f ca="1">IF(O2962="","",IF(Tipo_Vertedor="Retangular",IF(O2962&lt;=cota_s*100,0,IF(Tipo_Vertedor="Retangular",Cd_sr*Lef_sr*((O2962/100-cota_s)^(3/2))*1000)),IF(O2962&lt;=cota_s*100+fi_s/20,0,(OFFSET('Base de dados'!$A$4,IF(O2962&lt;20,1,IF(O2962&gt;1000,10,MATCH(O2962,Cargas,1))),Coluna_fis,1,1))*(PI()*(fi_s/1000)^2/4)*(2*9.81*(O2962/100-cota_s-fi_s/2/1000))^0.5*1000)))</f>
        <v>6.6570627567625147</v>
      </c>
      <c r="R2962" s="38">
        <f t="shared" ca="1" si="315"/>
        <v>13.931319401654193</v>
      </c>
      <c r="S2962" s="38">
        <f t="shared" ca="1" si="316"/>
        <v>925.3125</v>
      </c>
    </row>
    <row r="2963" spans="13:19">
      <c r="M2963" s="132">
        <f t="shared" ca="1" si="313"/>
        <v>939.55889586007811</v>
      </c>
      <c r="N2963" s="38">
        <f t="shared" si="314"/>
        <v>27.768750000000001</v>
      </c>
      <c r="O2963" s="36">
        <f t="shared" ref="O2963:O3026" si="317">IF(ISERROR(IF(O2962+passo_altura&gt;h_max_puls*100,"",O2962+passo_altura)),"",IF(O2962+passo_altura&gt;h_max_puls*100,"",O2962+passo_altura))</f>
        <v>740.5</v>
      </c>
      <c r="P2963" s="38">
        <f ca="1">IF(ISERROR(IF(O2963&lt;fi_h/20,0,(OFFSET('Base de dados'!$A$5,IF(O2963&lt;20,1,IF(O2963&gt;1000,10,MATCH(O2963,Cargas,1))),Coluna_fih,1,1))*(1+0.13*0.25)*(PI()*(fi_h/1000)^2/4)*SQRT(2*9.81*(O2963/100-fi_h/2/1000))*1000)),"",IF(O2963&lt;fi_h/20,0,(OFFSET('Base de dados'!$A$5,IF(O2963&lt;20,1,IF(O2963&gt;1000,10,MATCH(O2963,Cargas,1))),Coluna_fih,1,1))*(PI()*(fi_h/1000)^2/4)*SQRT(2*9.81*(O2963/100-fi_h/2/1000))*1000))</f>
        <v>7.2754878127329938</v>
      </c>
      <c r="Q2963" s="38">
        <f ca="1">IF(O2963="","",IF(Tipo_Vertedor="Retangular",IF(O2963&lt;=cota_s*100,0,IF(Tipo_Vertedor="Retangular",Cd_sr*Lef_sr*((O2963/100-cota_s)^(3/2))*1000)),IF(O2963&lt;=cota_s*100+fi_s/20,0,(OFFSET('Base de dados'!$A$4,IF(O2963&lt;20,1,IF(O2963&gt;1000,10,MATCH(O2963,Cargas,1))),Coluna_fis,1,1))*(PI()*(fi_s/1000)^2/4)*(2*9.81*(O2963/100-cota_s-fi_s/2/1000))^0.5*1000)))</f>
        <v>6.6584080473451088</v>
      </c>
      <c r="R2963" s="38">
        <f t="shared" ca="1" si="315"/>
        <v>13.933895860078103</v>
      </c>
      <c r="S2963" s="38">
        <f t="shared" ca="1" si="316"/>
        <v>925.625</v>
      </c>
    </row>
    <row r="2964" spans="13:19">
      <c r="M2964" s="132">
        <f t="shared" ca="1" si="313"/>
        <v>939.8739718384445</v>
      </c>
      <c r="N2964" s="38">
        <f t="shared" si="314"/>
        <v>27.778124999999999</v>
      </c>
      <c r="O2964" s="36">
        <f t="shared" si="317"/>
        <v>740.75</v>
      </c>
      <c r="P2964" s="38">
        <f ca="1">IF(ISERROR(IF(O2964&lt;fi_h/20,0,(OFFSET('Base de dados'!$A$5,IF(O2964&lt;20,1,IF(O2964&gt;1000,10,MATCH(O2964,Cargas,1))),Coluna_fih,1,1))*(1+0.13*0.25)*(PI()*(fi_h/1000)^2/4)*SQRT(2*9.81*(O2964/100-fi_h/2/1000))*1000)),"",IF(O2964&lt;fi_h/20,0,(OFFSET('Base de dados'!$A$5,IF(O2964&lt;20,1,IF(O2964&gt;1000,10,MATCH(O2964,Cargas,1))),Coluna_fih,1,1))*(PI()*(fi_h/1000)^2/4)*SQRT(2*9.81*(O2964/100-fi_h/2/1000))*1000))</f>
        <v>7.2767187722696738</v>
      </c>
      <c r="Q2964" s="38">
        <f ca="1">IF(O2964="","",IF(Tipo_Vertedor="Retangular",IF(O2964&lt;=cota_s*100,0,IF(Tipo_Vertedor="Retangular",Cd_sr*Lef_sr*((O2964/100-cota_s)^(3/2))*1000)),IF(O2964&lt;=cota_s*100+fi_s/20,0,(OFFSET('Base de dados'!$A$4,IF(O2964&lt;20,1,IF(O2964&gt;1000,10,MATCH(O2964,Cargas,1))),Coluna_fis,1,1))*(PI()*(fi_s/1000)^2/4)*(2*9.81*(O2964/100-cota_s-fi_s/2/1000))^0.5*1000)))</f>
        <v>6.6597530661748783</v>
      </c>
      <c r="R2964" s="38">
        <f t="shared" ca="1" si="315"/>
        <v>13.936471838444552</v>
      </c>
      <c r="S2964" s="38">
        <f t="shared" ca="1" si="316"/>
        <v>925.9375</v>
      </c>
    </row>
    <row r="2965" spans="13:19">
      <c r="M2965" s="132">
        <f t="shared" ca="1" si="313"/>
        <v>940.18904733702391</v>
      </c>
      <c r="N2965" s="38">
        <f t="shared" si="314"/>
        <v>27.787500000000001</v>
      </c>
      <c r="O2965" s="36">
        <f t="shared" si="317"/>
        <v>741</v>
      </c>
      <c r="P2965" s="38">
        <f ca="1">IF(ISERROR(IF(O2965&lt;fi_h/20,0,(OFFSET('Base de dados'!$A$5,IF(O2965&lt;20,1,IF(O2965&gt;1000,10,MATCH(O2965,Cargas,1))),Coluna_fih,1,1))*(1+0.13*0.25)*(PI()*(fi_h/1000)^2/4)*SQRT(2*9.81*(O2965/100-fi_h/2/1000))*1000)),"",IF(O2965&lt;fi_h/20,0,(OFFSET('Base de dados'!$A$5,IF(O2965&lt;20,1,IF(O2965&gt;1000,10,MATCH(O2965,Cargas,1))),Coluna_fih,1,1))*(PI()*(fi_h/1000)^2/4)*SQRT(2*9.81*(O2965/100-fi_h/2/1000))*1000))</f>
        <v>7.2779495236074192</v>
      </c>
      <c r="Q2965" s="38">
        <f ca="1">IF(O2965="","",IF(Tipo_Vertedor="Retangular",IF(O2965&lt;=cota_s*100,0,IF(Tipo_Vertedor="Retangular",Cd_sr*Lef_sr*((O2965/100-cota_s)^(3/2))*1000)),IF(O2965&lt;=cota_s*100+fi_s/20,0,(OFFSET('Base de dados'!$A$4,IF(O2965&lt;20,1,IF(O2965&gt;1000,10,MATCH(O2965,Cargas,1))),Coluna_fis,1,1))*(PI()*(fi_s/1000)^2/4)*(2*9.81*(O2965/100-cota_s-fi_s/2/1000))^0.5*1000)))</f>
        <v>6.661097813416438</v>
      </c>
      <c r="R2965" s="38">
        <f t="shared" ca="1" si="315"/>
        <v>13.939047337023858</v>
      </c>
      <c r="S2965" s="38">
        <f t="shared" ca="1" si="316"/>
        <v>926.25</v>
      </c>
    </row>
    <row r="2966" spans="13:19">
      <c r="M2966" s="132">
        <f t="shared" ca="1" si="313"/>
        <v>940.5041223560861</v>
      </c>
      <c r="N2966" s="38">
        <f t="shared" si="314"/>
        <v>27.796875</v>
      </c>
      <c r="O2966" s="36">
        <f t="shared" si="317"/>
        <v>741.25</v>
      </c>
      <c r="P2966" s="38">
        <f ca="1">IF(ISERROR(IF(O2966&lt;fi_h/20,0,(OFFSET('Base de dados'!$A$5,IF(O2966&lt;20,1,IF(O2966&gt;1000,10,MATCH(O2966,Cargas,1))),Coluna_fih,1,1))*(1+0.13*0.25)*(PI()*(fi_h/1000)^2/4)*SQRT(2*9.81*(O2966/100-fi_h/2/1000))*1000)),"",IF(O2966&lt;fi_h/20,0,(OFFSET('Base de dados'!$A$5,IF(O2966&lt;20,1,IF(O2966&gt;1000,10,MATCH(O2966,Cargas,1))),Coluna_fih,1,1))*(PI()*(fi_h/1000)^2/4)*SQRT(2*9.81*(O2966/100-fi_h/2/1000))*1000))</f>
        <v>7.2791800668518309</v>
      </c>
      <c r="Q2966" s="38">
        <f ca="1">IF(O2966="","",IF(Tipo_Vertedor="Retangular",IF(O2966&lt;=cota_s*100,0,IF(Tipo_Vertedor="Retangular",Cd_sr*Lef_sr*((O2966/100-cota_s)^(3/2))*1000)),IF(O2966&lt;=cota_s*100+fi_s/20,0,(OFFSET('Base de dados'!$A$4,IF(O2966&lt;20,1,IF(O2966&gt;1000,10,MATCH(O2966,Cargas,1))),Coluna_fis,1,1))*(PI()*(fi_s/1000)^2/4)*(2*9.81*(O2966/100-cota_s-fi_s/2/1000))^0.5*1000)))</f>
        <v>6.6624422892342432</v>
      </c>
      <c r="R2966" s="38">
        <f t="shared" ca="1" si="315"/>
        <v>13.941622356086075</v>
      </c>
      <c r="S2966" s="38">
        <f t="shared" ca="1" si="316"/>
        <v>926.5625</v>
      </c>
    </row>
    <row r="2967" spans="13:19">
      <c r="M2967" s="132">
        <f t="shared" ref="M2967:M3030" ca="1" si="318">IF(O2967="","",2*N2967*1000/(Passo*60)+R2967)</f>
        <v>940.81919689590097</v>
      </c>
      <c r="N2967" s="38">
        <f t="shared" ref="N2967:N3030" si="319">IF(O2967="","",b_0*(O2967/100)^c_0)</f>
        <v>27.806249999999999</v>
      </c>
      <c r="O2967" s="36">
        <f t="shared" si="317"/>
        <v>741.5</v>
      </c>
      <c r="P2967" s="38">
        <f ca="1">IF(ISERROR(IF(O2967&lt;fi_h/20,0,(OFFSET('Base de dados'!$A$5,IF(O2967&lt;20,1,IF(O2967&gt;1000,10,MATCH(O2967,Cargas,1))),Coluna_fih,1,1))*(1+0.13*0.25)*(PI()*(fi_h/1000)^2/4)*SQRT(2*9.81*(O2967/100-fi_h/2/1000))*1000)),"",IF(O2967&lt;fi_h/20,0,(OFFSET('Base de dados'!$A$5,IF(O2967&lt;20,1,IF(O2967&gt;1000,10,MATCH(O2967,Cargas,1))),Coluna_fih,1,1))*(PI()*(fi_h/1000)^2/4)*SQRT(2*9.81*(O2967/100-fi_h/2/1000))*1000))</f>
        <v>7.2804104021084282</v>
      </c>
      <c r="Q2967" s="38">
        <f ca="1">IF(O2967="","",IF(Tipo_Vertedor="Retangular",IF(O2967&lt;=cota_s*100,0,IF(Tipo_Vertedor="Retangular",Cd_sr*Lef_sr*((O2967/100-cota_s)^(3/2))*1000)),IF(O2967&lt;=cota_s*100+fi_s/20,0,(OFFSET('Base de dados'!$A$4,IF(O2967&lt;20,1,IF(O2967&gt;1000,10,MATCH(O2967,Cargas,1))),Coluna_fis,1,1))*(PI()*(fi_s/1000)^2/4)*(2*9.81*(O2967/100-cota_s-fi_s/2/1000))^0.5*1000)))</f>
        <v>6.6637864937925801</v>
      </c>
      <c r="R2967" s="38">
        <f t="shared" ref="R2967:R3030" ca="1" si="320">IF(O2967="","",Q2967+P2967)</f>
        <v>13.944196895901008</v>
      </c>
      <c r="S2967" s="38">
        <f t="shared" ref="S2967:S3030" ca="1" si="321">IF(M2967="","",2*N2967*1000/(Passo*60))</f>
        <v>926.875</v>
      </c>
    </row>
    <row r="2968" spans="13:19">
      <c r="M2968" s="132">
        <f t="shared" ca="1" si="318"/>
        <v>941.13427095673819</v>
      </c>
      <c r="N2968" s="38">
        <f t="shared" si="319"/>
        <v>27.815625000000001</v>
      </c>
      <c r="O2968" s="36">
        <f t="shared" si="317"/>
        <v>741.75</v>
      </c>
      <c r="P2968" s="38">
        <f ca="1">IF(ISERROR(IF(O2968&lt;fi_h/20,0,(OFFSET('Base de dados'!$A$5,IF(O2968&lt;20,1,IF(O2968&gt;1000,10,MATCH(O2968,Cargas,1))),Coluna_fih,1,1))*(1+0.13*0.25)*(PI()*(fi_h/1000)^2/4)*SQRT(2*9.81*(O2968/100-fi_h/2/1000))*1000)),"",IF(O2968&lt;fi_h/20,0,(OFFSET('Base de dados'!$A$5,IF(O2968&lt;20,1,IF(O2968&gt;1000,10,MATCH(O2968,Cargas,1))),Coluna_fih,1,1))*(PI()*(fi_h/1000)^2/4)*SQRT(2*9.81*(O2968/100-fi_h/2/1000))*1000))</f>
        <v>7.2816405294826376</v>
      </c>
      <c r="Q2968" s="38">
        <f ca="1">IF(O2968="","",IF(Tipo_Vertedor="Retangular",IF(O2968&lt;=cota_s*100,0,IF(Tipo_Vertedor="Retangular",Cd_sr*Lef_sr*((O2968/100-cota_s)^(3/2))*1000)),IF(O2968&lt;=cota_s*100+fi_s/20,0,(OFFSET('Base de dados'!$A$4,IF(O2968&lt;20,1,IF(O2968&gt;1000,10,MATCH(O2968,Cargas,1))),Coluna_fis,1,1))*(PI()*(fi_s/1000)^2/4)*(2*9.81*(O2968/100-cota_s-fi_s/2/1000))^0.5*1000)))</f>
        <v>6.6651304272555683</v>
      </c>
      <c r="R2968" s="38">
        <f t="shared" ca="1" si="320"/>
        <v>13.946770956738206</v>
      </c>
      <c r="S2968" s="38">
        <f t="shared" ca="1" si="321"/>
        <v>927.1875</v>
      </c>
    </row>
    <row r="2969" spans="13:19">
      <c r="M2969" s="132">
        <f t="shared" ca="1" si="318"/>
        <v>941.44934453886697</v>
      </c>
      <c r="N2969" s="38">
        <f t="shared" si="319"/>
        <v>27.824999999999999</v>
      </c>
      <c r="O2969" s="36">
        <f t="shared" si="317"/>
        <v>742</v>
      </c>
      <c r="P2969" s="38">
        <f ca="1">IF(ISERROR(IF(O2969&lt;fi_h/20,0,(OFFSET('Base de dados'!$A$5,IF(O2969&lt;20,1,IF(O2969&gt;1000,10,MATCH(O2969,Cargas,1))),Coluna_fih,1,1))*(1+0.13*0.25)*(PI()*(fi_h/1000)^2/4)*SQRT(2*9.81*(O2969/100-fi_h/2/1000))*1000)),"",IF(O2969&lt;fi_h/20,0,(OFFSET('Base de dados'!$A$5,IF(O2969&lt;20,1,IF(O2969&gt;1000,10,MATCH(O2969,Cargas,1))),Coluna_fih,1,1))*(PI()*(fi_h/1000)^2/4)*SQRT(2*9.81*(O2969/100-fi_h/2/1000))*1000))</f>
        <v>7.2828704490797964</v>
      </c>
      <c r="Q2969" s="38">
        <f ca="1">IF(O2969="","",IF(Tipo_Vertedor="Retangular",IF(O2969&lt;=cota_s*100,0,IF(Tipo_Vertedor="Retangular",Cd_sr*Lef_sr*((O2969/100-cota_s)^(3/2))*1000)),IF(O2969&lt;=cota_s*100+fi_s/20,0,(OFFSET('Base de dados'!$A$4,IF(O2969&lt;20,1,IF(O2969&gt;1000,10,MATCH(O2969,Cargas,1))),Coluna_fis,1,1))*(PI()*(fi_s/1000)^2/4)*(2*9.81*(O2969/100-cota_s-fi_s/2/1000))^0.5*1000)))</f>
        <v>6.6664740897871617</v>
      </c>
      <c r="R2969" s="38">
        <f t="shared" ca="1" si="320"/>
        <v>13.949344538866958</v>
      </c>
      <c r="S2969" s="38">
        <f t="shared" ca="1" si="321"/>
        <v>927.5</v>
      </c>
    </row>
    <row r="2970" spans="13:19">
      <c r="M2970" s="132">
        <f t="shared" ca="1" si="318"/>
        <v>941.76441764255628</v>
      </c>
      <c r="N2970" s="38">
        <f t="shared" si="319"/>
        <v>27.834375000000001</v>
      </c>
      <c r="O2970" s="36">
        <f t="shared" si="317"/>
        <v>742.25</v>
      </c>
      <c r="P2970" s="38">
        <f ca="1">IF(ISERROR(IF(O2970&lt;fi_h/20,0,(OFFSET('Base de dados'!$A$5,IF(O2970&lt;20,1,IF(O2970&gt;1000,10,MATCH(O2970,Cargas,1))),Coluna_fih,1,1))*(1+0.13*0.25)*(PI()*(fi_h/1000)^2/4)*SQRT(2*9.81*(O2970/100-fi_h/2/1000))*1000)),"",IF(O2970&lt;fi_h/20,0,(OFFSET('Base de dados'!$A$5,IF(O2970&lt;20,1,IF(O2970&gt;1000,10,MATCH(O2970,Cargas,1))),Coluna_fih,1,1))*(PI()*(fi_h/1000)^2/4)*SQRT(2*9.81*(O2970/100-fi_h/2/1000))*1000))</f>
        <v>7.2841001610051554</v>
      </c>
      <c r="Q2970" s="38">
        <f ca="1">IF(O2970="","",IF(Tipo_Vertedor="Retangular",IF(O2970&lt;=cota_s*100,0,IF(Tipo_Vertedor="Retangular",Cd_sr*Lef_sr*((O2970/100-cota_s)^(3/2))*1000)),IF(O2970&lt;=cota_s*100+fi_s/20,0,(OFFSET('Base de dados'!$A$4,IF(O2970&lt;20,1,IF(O2970&gt;1000,10,MATCH(O2970,Cargas,1))),Coluna_fis,1,1))*(PI()*(fi_s/1000)^2/4)*(2*9.81*(O2970/100-cota_s-fi_s/2/1000))^0.5*1000)))</f>
        <v>6.6678174815511522</v>
      </c>
      <c r="R2970" s="38">
        <f t="shared" ca="1" si="320"/>
        <v>13.951917642556307</v>
      </c>
      <c r="S2970" s="38">
        <f t="shared" ca="1" si="321"/>
        <v>927.8125</v>
      </c>
    </row>
    <row r="2971" spans="13:19">
      <c r="M2971" s="132">
        <f t="shared" ca="1" si="318"/>
        <v>942.07949026807501</v>
      </c>
      <c r="N2971" s="38">
        <f t="shared" si="319"/>
        <v>27.84375</v>
      </c>
      <c r="O2971" s="36">
        <f t="shared" si="317"/>
        <v>742.5</v>
      </c>
      <c r="P2971" s="38">
        <f ca="1">IF(ISERROR(IF(O2971&lt;fi_h/20,0,(OFFSET('Base de dados'!$A$5,IF(O2971&lt;20,1,IF(O2971&gt;1000,10,MATCH(O2971,Cargas,1))),Coluna_fih,1,1))*(1+0.13*0.25)*(PI()*(fi_h/1000)^2/4)*SQRT(2*9.81*(O2971/100-fi_h/2/1000))*1000)),"",IF(O2971&lt;fi_h/20,0,(OFFSET('Base de dados'!$A$5,IF(O2971&lt;20,1,IF(O2971&gt;1000,10,MATCH(O2971,Cargas,1))),Coluna_fih,1,1))*(PI()*(fi_h/1000)^2/4)*SQRT(2*9.81*(O2971/100-fi_h/2/1000))*1000))</f>
        <v>7.2853296653638751</v>
      </c>
      <c r="Q2971" s="38">
        <f ca="1">IF(O2971="","",IF(Tipo_Vertedor="Retangular",IF(O2971&lt;=cota_s*100,0,IF(Tipo_Vertedor="Retangular",Cd_sr*Lef_sr*((O2971/100-cota_s)^(3/2))*1000)),IF(O2971&lt;=cota_s*100+fi_s/20,0,(OFFSET('Base de dados'!$A$4,IF(O2971&lt;20,1,IF(O2971&gt;1000,10,MATCH(O2971,Cargas,1))),Coluna_fis,1,1))*(PI()*(fi_s/1000)^2/4)*(2*9.81*(O2971/100-cota_s-fi_s/2/1000))^0.5*1000)))</f>
        <v>6.6691606027111616</v>
      </c>
      <c r="R2971" s="38">
        <f t="shared" ca="1" si="320"/>
        <v>13.954490268075038</v>
      </c>
      <c r="S2971" s="38">
        <f t="shared" ca="1" si="321"/>
        <v>928.125</v>
      </c>
    </row>
    <row r="2972" spans="13:19">
      <c r="M2972" s="132">
        <f t="shared" ca="1" si="318"/>
        <v>942.39456241569178</v>
      </c>
      <c r="N2972" s="38">
        <f t="shared" si="319"/>
        <v>27.853125000000002</v>
      </c>
      <c r="O2972" s="36">
        <f t="shared" si="317"/>
        <v>742.75</v>
      </c>
      <c r="P2972" s="38">
        <f ca="1">IF(ISERROR(IF(O2972&lt;fi_h/20,0,(OFFSET('Base de dados'!$A$5,IF(O2972&lt;20,1,IF(O2972&gt;1000,10,MATCH(O2972,Cargas,1))),Coluna_fih,1,1))*(1+0.13*0.25)*(PI()*(fi_h/1000)^2/4)*SQRT(2*9.81*(O2972/100-fi_h/2/1000))*1000)),"",IF(O2972&lt;fi_h/20,0,(OFFSET('Base de dados'!$A$5,IF(O2972&lt;20,1,IF(O2972&gt;1000,10,MATCH(O2972,Cargas,1))),Coluna_fih,1,1))*(PI()*(fi_h/1000)^2/4)*SQRT(2*9.81*(O2972/100-fi_h/2/1000))*1000))</f>
        <v>7.2865589622610267</v>
      </c>
      <c r="Q2972" s="38">
        <f ca="1">IF(O2972="","",IF(Tipo_Vertedor="Retangular",IF(O2972&lt;=cota_s*100,0,IF(Tipo_Vertedor="Retangular",Cd_sr*Lef_sr*((O2972/100-cota_s)^(3/2))*1000)),IF(O2972&lt;=cota_s*100+fi_s/20,0,(OFFSET('Base de dados'!$A$4,IF(O2972&lt;20,1,IF(O2972&gt;1000,10,MATCH(O2972,Cargas,1))),Coluna_fis,1,1))*(PI()*(fi_s/1000)^2/4)*(2*9.81*(O2972/100-cota_s-fi_s/2/1000))^0.5*1000)))</f>
        <v>6.6705034534306549</v>
      </c>
      <c r="R2972" s="38">
        <f t="shared" ca="1" si="320"/>
        <v>13.957062415691681</v>
      </c>
      <c r="S2972" s="38">
        <f t="shared" ca="1" si="321"/>
        <v>928.43750000000011</v>
      </c>
    </row>
    <row r="2973" spans="13:19">
      <c r="M2973" s="132">
        <f t="shared" ca="1" si="318"/>
        <v>942.70963408567445</v>
      </c>
      <c r="N2973" s="38">
        <f t="shared" si="319"/>
        <v>27.862499999999997</v>
      </c>
      <c r="O2973" s="36">
        <f t="shared" si="317"/>
        <v>743</v>
      </c>
      <c r="P2973" s="38">
        <f ca="1">IF(ISERROR(IF(O2973&lt;fi_h/20,0,(OFFSET('Base de dados'!$A$5,IF(O2973&lt;20,1,IF(O2973&gt;1000,10,MATCH(O2973,Cargas,1))),Coluna_fih,1,1))*(1+0.13*0.25)*(PI()*(fi_h/1000)^2/4)*SQRT(2*9.81*(O2973/100-fi_h/2/1000))*1000)),"",IF(O2973&lt;fi_h/20,0,(OFFSET('Base de dados'!$A$5,IF(O2973&lt;20,1,IF(O2973&gt;1000,10,MATCH(O2973,Cargas,1))),Coluna_fih,1,1))*(PI()*(fi_h/1000)^2/4)*SQRT(2*9.81*(O2973/100-fi_h/2/1000))*1000))</f>
        <v>7.2877880518015932</v>
      </c>
      <c r="Q2973" s="38">
        <f ca="1">IF(O2973="","",IF(Tipo_Vertedor="Retangular",IF(O2973&lt;=cota_s*100,0,IF(Tipo_Vertedor="Retangular",Cd_sr*Lef_sr*((O2973/100-cota_s)^(3/2))*1000)),IF(O2973&lt;=cota_s*100+fi_s/20,0,(OFFSET('Base de dados'!$A$4,IF(O2973&lt;20,1,IF(O2973&gt;1000,10,MATCH(O2973,Cargas,1))),Coluna_fis,1,1))*(PI()*(fi_s/1000)^2/4)*(2*9.81*(O2973/100-cota_s-fi_s/2/1000))^0.5*1000)))</f>
        <v>6.6718460338729235</v>
      </c>
      <c r="R2973" s="38">
        <f t="shared" ca="1" si="320"/>
        <v>13.959634085674516</v>
      </c>
      <c r="S2973" s="38">
        <f t="shared" ca="1" si="321"/>
        <v>928.74999999999989</v>
      </c>
    </row>
    <row r="2974" spans="13:19">
      <c r="M2974" s="132">
        <f t="shared" ca="1" si="318"/>
        <v>943.02470527829155</v>
      </c>
      <c r="N2974" s="38">
        <f t="shared" si="319"/>
        <v>27.871874999999999</v>
      </c>
      <c r="O2974" s="36">
        <f t="shared" si="317"/>
        <v>743.25</v>
      </c>
      <c r="P2974" s="38">
        <f ca="1">IF(ISERROR(IF(O2974&lt;fi_h/20,0,(OFFSET('Base de dados'!$A$5,IF(O2974&lt;20,1,IF(O2974&gt;1000,10,MATCH(O2974,Cargas,1))),Coluna_fih,1,1))*(1+0.13*0.25)*(PI()*(fi_h/1000)^2/4)*SQRT(2*9.81*(O2974/100-fi_h/2/1000))*1000)),"",IF(O2974&lt;fi_h/20,0,(OFFSET('Base de dados'!$A$5,IF(O2974&lt;20,1,IF(O2974&gt;1000,10,MATCH(O2974,Cargas,1))),Coluna_fih,1,1))*(PI()*(fi_h/1000)^2/4)*SQRT(2*9.81*(O2974/100-fi_h/2/1000))*1000))</f>
        <v>7.28901693409047</v>
      </c>
      <c r="Q2974" s="38">
        <f ca="1">IF(O2974="","",IF(Tipo_Vertedor="Retangular",IF(O2974&lt;=cota_s*100,0,IF(Tipo_Vertedor="Retangular",Cd_sr*Lef_sr*((O2974/100-cota_s)^(3/2))*1000)),IF(O2974&lt;=cota_s*100+fi_s/20,0,(OFFSET('Base de dados'!$A$4,IF(O2974&lt;20,1,IF(O2974&gt;1000,10,MATCH(O2974,Cargas,1))),Coluna_fis,1,1))*(PI()*(fi_s/1000)^2/4)*(2*9.81*(O2974/100-cota_s-fi_s/2/1000))^0.5*1000)))</f>
        <v>6.673188344201102</v>
      </c>
      <c r="R2974" s="38">
        <f t="shared" ca="1" si="320"/>
        <v>13.962205278291572</v>
      </c>
      <c r="S2974" s="38">
        <f t="shared" ca="1" si="321"/>
        <v>929.0625</v>
      </c>
    </row>
    <row r="2975" spans="13:19">
      <c r="M2975" s="132">
        <f t="shared" ca="1" si="318"/>
        <v>943.33977599381046</v>
      </c>
      <c r="N2975" s="38">
        <f t="shared" si="319"/>
        <v>27.881249999999998</v>
      </c>
      <c r="O2975" s="36">
        <f t="shared" si="317"/>
        <v>743.5</v>
      </c>
      <c r="P2975" s="38">
        <f ca="1">IF(ISERROR(IF(O2975&lt;fi_h/20,0,(OFFSET('Base de dados'!$A$5,IF(O2975&lt;20,1,IF(O2975&gt;1000,10,MATCH(O2975,Cargas,1))),Coluna_fih,1,1))*(1+0.13*0.25)*(PI()*(fi_h/1000)^2/4)*SQRT(2*9.81*(O2975/100-fi_h/2/1000))*1000)),"",IF(O2975&lt;fi_h/20,0,(OFFSET('Base de dados'!$A$5,IF(O2975&lt;20,1,IF(O2975&gt;1000,10,MATCH(O2975,Cargas,1))),Coluna_fih,1,1))*(PI()*(fi_h/1000)^2/4)*SQRT(2*9.81*(O2975/100-fi_h/2/1000))*1000))</f>
        <v>7.2902456092324641</v>
      </c>
      <c r="Q2975" s="38">
        <f ca="1">IF(O2975="","",IF(Tipo_Vertedor="Retangular",IF(O2975&lt;=cota_s*100,0,IF(Tipo_Vertedor="Retangular",Cd_sr*Lef_sr*((O2975/100-cota_s)^(3/2))*1000)),IF(O2975&lt;=cota_s*100+fi_s/20,0,(OFFSET('Base de dados'!$A$4,IF(O2975&lt;20,1,IF(O2975&gt;1000,10,MATCH(O2975,Cargas,1))),Coluna_fis,1,1))*(PI()*(fi_s/1000)^2/4)*(2*9.81*(O2975/100-cota_s-fi_s/2/1000))^0.5*1000)))</f>
        <v>6.674530384578155</v>
      </c>
      <c r="R2975" s="38">
        <f t="shared" ca="1" si="320"/>
        <v>13.964775993810619</v>
      </c>
      <c r="S2975" s="38">
        <f t="shared" ca="1" si="321"/>
        <v>929.37499999999989</v>
      </c>
    </row>
    <row r="2976" spans="13:19">
      <c r="M2976" s="132">
        <f t="shared" ca="1" si="318"/>
        <v>943.65484623249915</v>
      </c>
      <c r="N2976" s="38">
        <f t="shared" si="319"/>
        <v>27.890625</v>
      </c>
      <c r="O2976" s="36">
        <f t="shared" si="317"/>
        <v>743.75</v>
      </c>
      <c r="P2976" s="38">
        <f ca="1">IF(ISERROR(IF(O2976&lt;fi_h/20,0,(OFFSET('Base de dados'!$A$5,IF(O2976&lt;20,1,IF(O2976&gt;1000,10,MATCH(O2976,Cargas,1))),Coluna_fih,1,1))*(1+0.13*0.25)*(PI()*(fi_h/1000)^2/4)*SQRT(2*9.81*(O2976/100-fi_h/2/1000))*1000)),"",IF(O2976&lt;fi_h/20,0,(OFFSET('Base de dados'!$A$5,IF(O2976&lt;20,1,IF(O2976&gt;1000,10,MATCH(O2976,Cargas,1))),Coluna_fih,1,1))*(PI()*(fi_h/1000)^2/4)*SQRT(2*9.81*(O2976/100-fi_h/2/1000))*1000))</f>
        <v>7.2914740773322908</v>
      </c>
      <c r="Q2976" s="38">
        <f ca="1">IF(O2976="","",IF(Tipo_Vertedor="Retangular",IF(O2976&lt;=cota_s*100,0,IF(Tipo_Vertedor="Retangular",Cd_sr*Lef_sr*((O2976/100-cota_s)^(3/2))*1000)),IF(O2976&lt;=cota_s*100+fi_s/20,0,(OFFSET('Base de dados'!$A$4,IF(O2976&lt;20,1,IF(O2976&gt;1000,10,MATCH(O2976,Cargas,1))),Coluna_fis,1,1))*(PI()*(fi_s/1000)^2/4)*(2*9.81*(O2976/100-cota_s-fi_s/2/1000))^0.5*1000)))</f>
        <v>6.6758721551668883</v>
      </c>
      <c r="R2976" s="38">
        <f t="shared" ca="1" si="320"/>
        <v>13.967346232499178</v>
      </c>
      <c r="S2976" s="38">
        <f t="shared" ca="1" si="321"/>
        <v>929.6875</v>
      </c>
    </row>
    <row r="2977" spans="13:19">
      <c r="M2977" s="132">
        <f t="shared" ca="1" si="318"/>
        <v>943.96991599462467</v>
      </c>
      <c r="N2977" s="38">
        <f t="shared" si="319"/>
        <v>27.900000000000002</v>
      </c>
      <c r="O2977" s="36">
        <f t="shared" si="317"/>
        <v>744</v>
      </c>
      <c r="P2977" s="38">
        <f ca="1">IF(ISERROR(IF(O2977&lt;fi_h/20,0,(OFFSET('Base de dados'!$A$5,IF(O2977&lt;20,1,IF(O2977&gt;1000,10,MATCH(O2977,Cargas,1))),Coluna_fih,1,1))*(1+0.13*0.25)*(PI()*(fi_h/1000)^2/4)*SQRT(2*9.81*(O2977/100-fi_h/2/1000))*1000)),"",IF(O2977&lt;fi_h/20,0,(OFFSET('Base de dados'!$A$5,IF(O2977&lt;20,1,IF(O2977&gt;1000,10,MATCH(O2977,Cargas,1))),Coluna_fih,1,1))*(PI()*(fi_h/1000)^2/4)*SQRT(2*9.81*(O2977/100-fi_h/2/1000))*1000))</f>
        <v>7.2927023384945837</v>
      </c>
      <c r="Q2977" s="38">
        <f ca="1">IF(O2977="","",IF(Tipo_Vertedor="Retangular",IF(O2977&lt;=cota_s*100,0,IF(Tipo_Vertedor="Retangular",Cd_sr*Lef_sr*((O2977/100-cota_s)^(3/2))*1000)),IF(O2977&lt;=cota_s*100+fi_s/20,0,(OFFSET('Base de dados'!$A$4,IF(O2977&lt;20,1,IF(O2977&gt;1000,10,MATCH(O2977,Cargas,1))),Coluna_fis,1,1))*(PI()*(fi_s/1000)^2/4)*(2*9.81*(O2977/100-cota_s-fi_s/2/1000))^0.5*1000)))</f>
        <v>6.6772136561299407</v>
      </c>
      <c r="R2977" s="38">
        <f t="shared" ca="1" si="320"/>
        <v>13.969915994624525</v>
      </c>
      <c r="S2977" s="38">
        <f t="shared" ca="1" si="321"/>
        <v>930.00000000000011</v>
      </c>
    </row>
    <row r="2978" spans="13:19">
      <c r="M2978" s="132">
        <f t="shared" ca="1" si="318"/>
        <v>944.28498528045361</v>
      </c>
      <c r="N2978" s="38">
        <f t="shared" si="319"/>
        <v>27.909375000000001</v>
      </c>
      <c r="O2978" s="36">
        <f t="shared" si="317"/>
        <v>744.25</v>
      </c>
      <c r="P2978" s="38">
        <f ca="1">IF(ISERROR(IF(O2978&lt;fi_h/20,0,(OFFSET('Base de dados'!$A$5,IF(O2978&lt;20,1,IF(O2978&gt;1000,10,MATCH(O2978,Cargas,1))),Coluna_fih,1,1))*(1+0.13*0.25)*(PI()*(fi_h/1000)^2/4)*SQRT(2*9.81*(O2978/100-fi_h/2/1000))*1000)),"",IF(O2978&lt;fi_h/20,0,(OFFSET('Base de dados'!$A$5,IF(O2978&lt;20,1,IF(O2978&gt;1000,10,MATCH(O2978,Cargas,1))),Coluna_fih,1,1))*(PI()*(fi_h/1000)^2/4)*SQRT(2*9.81*(O2978/100-fi_h/2/1000))*1000))</f>
        <v>7.2939303928238806</v>
      </c>
      <c r="Q2978" s="38">
        <f ca="1">IF(O2978="","",IF(Tipo_Vertedor="Retangular",IF(O2978&lt;=cota_s*100,0,IF(Tipo_Vertedor="Retangular",Cd_sr*Lef_sr*((O2978/100-cota_s)^(3/2))*1000)),IF(O2978&lt;=cota_s*100+fi_s/20,0,(OFFSET('Base de dados'!$A$4,IF(O2978&lt;20,1,IF(O2978&gt;1000,10,MATCH(O2978,Cargas,1))),Coluna_fis,1,1))*(PI()*(fi_s/1000)^2/4)*(2*9.81*(O2978/100-cota_s-fi_s/2/1000))^0.5*1000)))</f>
        <v>6.6785548876297876</v>
      </c>
      <c r="R2978" s="38">
        <f t="shared" ca="1" si="320"/>
        <v>13.972485280453668</v>
      </c>
      <c r="S2978" s="38">
        <f t="shared" ca="1" si="321"/>
        <v>930.3125</v>
      </c>
    </row>
    <row r="2979" spans="13:19">
      <c r="M2979" s="132">
        <f t="shared" ca="1" si="318"/>
        <v>944.60005409025348</v>
      </c>
      <c r="N2979" s="38">
        <f t="shared" si="319"/>
        <v>27.918750000000003</v>
      </c>
      <c r="O2979" s="36">
        <f t="shared" si="317"/>
        <v>744.5</v>
      </c>
      <c r="P2979" s="38">
        <f ca="1">IF(ISERROR(IF(O2979&lt;fi_h/20,0,(OFFSET('Base de dados'!$A$5,IF(O2979&lt;20,1,IF(O2979&gt;1000,10,MATCH(O2979,Cargas,1))),Coluna_fih,1,1))*(1+0.13*0.25)*(PI()*(fi_h/1000)^2/4)*SQRT(2*9.81*(O2979/100-fi_h/2/1000))*1000)),"",IF(O2979&lt;fi_h/20,0,(OFFSET('Base de dados'!$A$5,IF(O2979&lt;20,1,IF(O2979&gt;1000,10,MATCH(O2979,Cargas,1))),Coluna_fih,1,1))*(PI()*(fi_h/1000)^2/4)*SQRT(2*9.81*(O2979/100-fi_h/2/1000))*1000))</f>
        <v>7.2951582404246391</v>
      </c>
      <c r="Q2979" s="38">
        <f ca="1">IF(O2979="","",IF(Tipo_Vertedor="Retangular",IF(O2979&lt;=cota_s*100,0,IF(Tipo_Vertedor="Retangular",Cd_sr*Lef_sr*((O2979/100-cota_s)^(3/2))*1000)),IF(O2979&lt;=cota_s*100+fi_s/20,0,(OFFSET('Base de dados'!$A$4,IF(O2979&lt;20,1,IF(O2979&gt;1000,10,MATCH(O2979,Cargas,1))),Coluna_fis,1,1))*(PI()*(fi_s/1000)^2/4)*(2*9.81*(O2979/100-cota_s-fi_s/2/1000))^0.5*1000)))</f>
        <v>6.6798958498287462</v>
      </c>
      <c r="R2979" s="38">
        <f t="shared" ca="1" si="320"/>
        <v>13.975054090253385</v>
      </c>
      <c r="S2979" s="38">
        <f t="shared" ca="1" si="321"/>
        <v>930.62500000000011</v>
      </c>
    </row>
    <row r="2980" spans="13:19">
      <c r="M2980" s="132">
        <f t="shared" ca="1" si="318"/>
        <v>944.91512242429008</v>
      </c>
      <c r="N2980" s="38">
        <f t="shared" si="319"/>
        <v>27.928124999999998</v>
      </c>
      <c r="O2980" s="36">
        <f t="shared" si="317"/>
        <v>744.75</v>
      </c>
      <c r="P2980" s="38">
        <f ca="1">IF(ISERROR(IF(O2980&lt;fi_h/20,0,(OFFSET('Base de dados'!$A$5,IF(O2980&lt;20,1,IF(O2980&gt;1000,10,MATCH(O2980,Cargas,1))),Coluna_fih,1,1))*(1+0.13*0.25)*(PI()*(fi_h/1000)^2/4)*SQRT(2*9.81*(O2980/100-fi_h/2/1000))*1000)),"",IF(O2980&lt;fi_h/20,0,(OFFSET('Base de dados'!$A$5,IF(O2980&lt;20,1,IF(O2980&gt;1000,10,MATCH(O2980,Cargas,1))),Coluna_fih,1,1))*(PI()*(fi_h/1000)^2/4)*SQRT(2*9.81*(O2980/100-fi_h/2/1000))*1000))</f>
        <v>7.2963858814012221</v>
      </c>
      <c r="Q2980" s="38">
        <f ca="1">IF(O2980="","",IF(Tipo_Vertedor="Retangular",IF(O2980&lt;=cota_s*100,0,IF(Tipo_Vertedor="Retangular",Cd_sr*Lef_sr*((O2980/100-cota_s)^(3/2))*1000)),IF(O2980&lt;=cota_s*100+fi_s/20,0,(OFFSET('Base de dados'!$A$4,IF(O2980&lt;20,1,IF(O2980&gt;1000,10,MATCH(O2980,Cargas,1))),Coluna_fis,1,1))*(PI()*(fi_s/1000)^2/4)*(2*9.81*(O2980/100-cota_s-fi_s/2/1000))^0.5*1000)))</f>
        <v>6.6812365428889651</v>
      </c>
      <c r="R2980" s="38">
        <f t="shared" ca="1" si="320"/>
        <v>13.977622424290187</v>
      </c>
      <c r="S2980" s="38">
        <f t="shared" ca="1" si="321"/>
        <v>930.93749999999989</v>
      </c>
    </row>
    <row r="2981" spans="13:19">
      <c r="M2981" s="132">
        <f t="shared" ca="1" si="318"/>
        <v>945.23019028283034</v>
      </c>
      <c r="N2981" s="38">
        <f t="shared" si="319"/>
        <v>27.9375</v>
      </c>
      <c r="O2981" s="36">
        <f t="shared" si="317"/>
        <v>745</v>
      </c>
      <c r="P2981" s="38">
        <f ca="1">IF(ISERROR(IF(O2981&lt;fi_h/20,0,(OFFSET('Base de dados'!$A$5,IF(O2981&lt;20,1,IF(O2981&gt;1000,10,MATCH(O2981,Cargas,1))),Coluna_fih,1,1))*(1+0.13*0.25)*(PI()*(fi_h/1000)^2/4)*SQRT(2*9.81*(O2981/100-fi_h/2/1000))*1000)),"",IF(O2981&lt;fi_h/20,0,(OFFSET('Base de dados'!$A$5,IF(O2981&lt;20,1,IF(O2981&gt;1000,10,MATCH(O2981,Cargas,1))),Coluna_fih,1,1))*(PI()*(fi_h/1000)^2/4)*SQRT(2*9.81*(O2981/100-fi_h/2/1000))*1000))</f>
        <v>7.2976133158579088</v>
      </c>
      <c r="Q2981" s="38">
        <f ca="1">IF(O2981="","",IF(Tipo_Vertedor="Retangular",IF(O2981&lt;=cota_s*100,0,IF(Tipo_Vertedor="Retangular",Cd_sr*Lef_sr*((O2981/100-cota_s)^(3/2))*1000)),IF(O2981&lt;=cota_s*100+fi_s/20,0,(OFFSET('Base de dados'!$A$4,IF(O2981&lt;20,1,IF(O2981&gt;1000,10,MATCH(O2981,Cargas,1))),Coluna_fis,1,1))*(PI()*(fi_s/1000)^2/4)*(2*9.81*(O2981/100-cota_s-fi_s/2/1000))^0.5*1000)))</f>
        <v>6.6825769669724311</v>
      </c>
      <c r="R2981" s="38">
        <f t="shared" ca="1" si="320"/>
        <v>13.980190282830339</v>
      </c>
      <c r="S2981" s="38">
        <f t="shared" ca="1" si="321"/>
        <v>931.25</v>
      </c>
    </row>
    <row r="2982" spans="13:19">
      <c r="M2982" s="132">
        <f t="shared" ca="1" si="318"/>
        <v>945.54525766613983</v>
      </c>
      <c r="N2982" s="38">
        <f t="shared" si="319"/>
        <v>27.946874999999999</v>
      </c>
      <c r="O2982" s="36">
        <f t="shared" si="317"/>
        <v>745.25</v>
      </c>
      <c r="P2982" s="38">
        <f ca="1">IF(ISERROR(IF(O2982&lt;fi_h/20,0,(OFFSET('Base de dados'!$A$5,IF(O2982&lt;20,1,IF(O2982&gt;1000,10,MATCH(O2982,Cargas,1))),Coluna_fih,1,1))*(1+0.13*0.25)*(PI()*(fi_h/1000)^2/4)*SQRT(2*9.81*(O2982/100-fi_h/2/1000))*1000)),"",IF(O2982&lt;fi_h/20,0,(OFFSET('Base de dados'!$A$5,IF(O2982&lt;20,1,IF(O2982&gt;1000,10,MATCH(O2982,Cargas,1))),Coluna_fih,1,1))*(PI()*(fi_h/1000)^2/4)*SQRT(2*9.81*(O2982/100-fi_h/2/1000))*1000))</f>
        <v>7.2988405438988897</v>
      </c>
      <c r="Q2982" s="38">
        <f ca="1">IF(O2982="","",IF(Tipo_Vertedor="Retangular",IF(O2982&lt;=cota_s*100,0,IF(Tipo_Vertedor="Retangular",Cd_sr*Lef_sr*((O2982/100-cota_s)^(3/2))*1000)),IF(O2982&lt;=cota_s*100+fi_s/20,0,(OFFSET('Base de dados'!$A$4,IF(O2982&lt;20,1,IF(O2982&gt;1000,10,MATCH(O2982,Cargas,1))),Coluna_fis,1,1))*(PI()*(fi_s/1000)^2/4)*(2*9.81*(O2982/100-cota_s-fi_s/2/1000))^0.5*1000)))</f>
        <v>6.6839171222409721</v>
      </c>
      <c r="R2982" s="38">
        <f t="shared" ca="1" si="320"/>
        <v>13.982757666139861</v>
      </c>
      <c r="S2982" s="38">
        <f t="shared" ca="1" si="321"/>
        <v>931.5625</v>
      </c>
    </row>
    <row r="2983" spans="13:19">
      <c r="M2983" s="132">
        <f t="shared" ca="1" si="318"/>
        <v>945.86032457448448</v>
      </c>
      <c r="N2983" s="38">
        <f t="shared" si="319"/>
        <v>27.956250000000001</v>
      </c>
      <c r="O2983" s="36">
        <f t="shared" si="317"/>
        <v>745.5</v>
      </c>
      <c r="P2983" s="38">
        <f ca="1">IF(ISERROR(IF(O2983&lt;fi_h/20,0,(OFFSET('Base de dados'!$A$5,IF(O2983&lt;20,1,IF(O2983&gt;1000,10,MATCH(O2983,Cargas,1))),Coluna_fih,1,1))*(1+0.13*0.25)*(PI()*(fi_h/1000)^2/4)*SQRT(2*9.81*(O2983/100-fi_h/2/1000))*1000)),"",IF(O2983&lt;fi_h/20,0,(OFFSET('Base de dados'!$A$5,IF(O2983&lt;20,1,IF(O2983&gt;1000,10,MATCH(O2983,Cargas,1))),Coluna_fih,1,1))*(PI()*(fi_h/1000)^2/4)*SQRT(2*9.81*(O2983/100-fi_h/2/1000))*1000))</f>
        <v>7.3000675656282672</v>
      </c>
      <c r="Q2983" s="38">
        <f ca="1">IF(O2983="","",IF(Tipo_Vertedor="Retangular",IF(O2983&lt;=cota_s*100,0,IF(Tipo_Vertedor="Retangular",Cd_sr*Lef_sr*((O2983/100-cota_s)^(3/2))*1000)),IF(O2983&lt;=cota_s*100+fi_s/20,0,(OFFSET('Base de dados'!$A$4,IF(O2983&lt;20,1,IF(O2983&gt;1000,10,MATCH(O2983,Cargas,1))),Coluna_fis,1,1))*(PI()*(fi_s/1000)^2/4)*(2*9.81*(O2983/100-cota_s-fi_s/2/1000))^0.5*1000)))</f>
        <v>6.68525700885625</v>
      </c>
      <c r="R2983" s="38">
        <f t="shared" ca="1" si="320"/>
        <v>13.985324574484517</v>
      </c>
      <c r="S2983" s="38">
        <f t="shared" ca="1" si="321"/>
        <v>931.875</v>
      </c>
    </row>
    <row r="2984" spans="13:19">
      <c r="M2984" s="132">
        <f t="shared" ca="1" si="318"/>
        <v>946.17539100812985</v>
      </c>
      <c r="N2984" s="38">
        <f t="shared" si="319"/>
        <v>27.965624999999999</v>
      </c>
      <c r="O2984" s="36">
        <f t="shared" si="317"/>
        <v>745.75</v>
      </c>
      <c r="P2984" s="38">
        <f ca="1">IF(ISERROR(IF(O2984&lt;fi_h/20,0,(OFFSET('Base de dados'!$A$5,IF(O2984&lt;20,1,IF(O2984&gt;1000,10,MATCH(O2984,Cargas,1))),Coluna_fih,1,1))*(1+0.13*0.25)*(PI()*(fi_h/1000)^2/4)*SQRT(2*9.81*(O2984/100-fi_h/2/1000))*1000)),"",IF(O2984&lt;fi_h/20,0,(OFFSET('Base de dados'!$A$5,IF(O2984&lt;20,1,IF(O2984&gt;1000,10,MATCH(O2984,Cargas,1))),Coluna_fih,1,1))*(PI()*(fi_h/1000)^2/4)*SQRT(2*9.81*(O2984/100-fi_h/2/1000))*1000))</f>
        <v>7.3012943811500577</v>
      </c>
      <c r="Q2984" s="38">
        <f ca="1">IF(O2984="","",IF(Tipo_Vertedor="Retangular",IF(O2984&lt;=cota_s*100,0,IF(Tipo_Vertedor="Retangular",Cd_sr*Lef_sr*((O2984/100-cota_s)^(3/2))*1000)),IF(O2984&lt;=cota_s*100+fi_s/20,0,(OFFSET('Base de dados'!$A$4,IF(O2984&lt;20,1,IF(O2984&gt;1000,10,MATCH(O2984,Cargas,1))),Coluna_fis,1,1))*(PI()*(fi_s/1000)^2/4)*(2*9.81*(O2984/100-cota_s-fi_s/2/1000))^0.5*1000)))</f>
        <v>6.6865966269797665</v>
      </c>
      <c r="R2984" s="38">
        <f t="shared" ca="1" si="320"/>
        <v>13.987891008129825</v>
      </c>
      <c r="S2984" s="38">
        <f t="shared" ca="1" si="321"/>
        <v>932.1875</v>
      </c>
    </row>
    <row r="2985" spans="13:19">
      <c r="M2985" s="132">
        <f t="shared" ca="1" si="318"/>
        <v>946.49045696734106</v>
      </c>
      <c r="N2985" s="38">
        <f t="shared" si="319"/>
        <v>27.975000000000001</v>
      </c>
      <c r="O2985" s="36">
        <f t="shared" si="317"/>
        <v>746</v>
      </c>
      <c r="P2985" s="38">
        <f ca="1">IF(ISERROR(IF(O2985&lt;fi_h/20,0,(OFFSET('Base de dados'!$A$5,IF(O2985&lt;20,1,IF(O2985&gt;1000,10,MATCH(O2985,Cargas,1))),Coluna_fih,1,1))*(1+0.13*0.25)*(PI()*(fi_h/1000)^2/4)*SQRT(2*9.81*(O2985/100-fi_h/2/1000))*1000)),"",IF(O2985&lt;fi_h/20,0,(OFFSET('Base de dados'!$A$5,IF(O2985&lt;20,1,IF(O2985&gt;1000,10,MATCH(O2985,Cargas,1))),Coluna_fih,1,1))*(PI()*(fi_h/1000)^2/4)*SQRT(2*9.81*(O2985/100-fi_h/2/1000))*1000))</f>
        <v>7.3025209905681852</v>
      </c>
      <c r="Q2985" s="38">
        <f ca="1">IF(O2985="","",IF(Tipo_Vertedor="Retangular",IF(O2985&lt;=cota_s*100,0,IF(Tipo_Vertedor="Retangular",Cd_sr*Lef_sr*((O2985/100-cota_s)^(3/2))*1000)),IF(O2985&lt;=cota_s*100+fi_s/20,0,(OFFSET('Base de dados'!$A$4,IF(O2985&lt;20,1,IF(O2985&gt;1000,10,MATCH(O2985,Cargas,1))),Coluna_fis,1,1))*(PI()*(fi_s/1000)^2/4)*(2*9.81*(O2985/100-cota_s-fi_s/2/1000))^0.5*1000)))</f>
        <v>6.6879359767728621</v>
      </c>
      <c r="R2985" s="38">
        <f t="shared" ca="1" si="320"/>
        <v>13.990456967341046</v>
      </c>
      <c r="S2985" s="38">
        <f t="shared" ca="1" si="321"/>
        <v>932.5</v>
      </c>
    </row>
    <row r="2986" spans="13:19">
      <c r="M2986" s="132">
        <f t="shared" ca="1" si="318"/>
        <v>946.80552245238323</v>
      </c>
      <c r="N2986" s="38">
        <f t="shared" si="319"/>
        <v>27.984375</v>
      </c>
      <c r="O2986" s="36">
        <f t="shared" si="317"/>
        <v>746.25</v>
      </c>
      <c r="P2986" s="38">
        <f ca="1">IF(ISERROR(IF(O2986&lt;fi_h/20,0,(OFFSET('Base de dados'!$A$5,IF(O2986&lt;20,1,IF(O2986&gt;1000,10,MATCH(O2986,Cargas,1))),Coluna_fih,1,1))*(1+0.13*0.25)*(PI()*(fi_h/1000)^2/4)*SQRT(2*9.81*(O2986/100-fi_h/2/1000))*1000)),"",IF(O2986&lt;fi_h/20,0,(OFFSET('Base de dados'!$A$5,IF(O2986&lt;20,1,IF(O2986&gt;1000,10,MATCH(O2986,Cargas,1))),Coluna_fih,1,1))*(PI()*(fi_h/1000)^2/4)*SQRT(2*9.81*(O2986/100-fi_h/2/1000))*1000))</f>
        <v>7.3037473939864972</v>
      </c>
      <c r="Q2986" s="38">
        <f ca="1">IF(O2986="","",IF(Tipo_Vertedor="Retangular",IF(O2986&lt;=cota_s*100,0,IF(Tipo_Vertedor="Retangular",Cd_sr*Lef_sr*((O2986/100-cota_s)^(3/2))*1000)),IF(O2986&lt;=cota_s*100+fi_s/20,0,(OFFSET('Base de dados'!$A$4,IF(O2986&lt;20,1,IF(O2986&gt;1000,10,MATCH(O2986,Cargas,1))),Coluna_fis,1,1))*(PI()*(fi_s/1000)^2/4)*(2*9.81*(O2986/100-cota_s-fi_s/2/1000))^0.5*1000)))</f>
        <v>6.6892750583967127</v>
      </c>
      <c r="R2986" s="38">
        <f t="shared" ca="1" si="320"/>
        <v>13.99302245238321</v>
      </c>
      <c r="S2986" s="38">
        <f t="shared" ca="1" si="321"/>
        <v>932.8125</v>
      </c>
    </row>
    <row r="2987" spans="13:19">
      <c r="M2987" s="132">
        <f t="shared" ca="1" si="318"/>
        <v>947.12058746352113</v>
      </c>
      <c r="N2987" s="38">
        <f t="shared" si="319"/>
        <v>27.993749999999999</v>
      </c>
      <c r="O2987" s="36">
        <f t="shared" si="317"/>
        <v>746.5</v>
      </c>
      <c r="P2987" s="38">
        <f ca="1">IF(ISERROR(IF(O2987&lt;fi_h/20,0,(OFFSET('Base de dados'!$A$5,IF(O2987&lt;20,1,IF(O2987&gt;1000,10,MATCH(O2987,Cargas,1))),Coluna_fih,1,1))*(1+0.13*0.25)*(PI()*(fi_h/1000)^2/4)*SQRT(2*9.81*(O2987/100-fi_h/2/1000))*1000)),"",IF(O2987&lt;fi_h/20,0,(OFFSET('Base de dados'!$A$5,IF(O2987&lt;20,1,IF(O2987&gt;1000,10,MATCH(O2987,Cargas,1))),Coluna_fih,1,1))*(PI()*(fi_h/1000)^2/4)*SQRT(2*9.81*(O2987/100-fi_h/2/1000))*1000))</f>
        <v>7.304973591508741</v>
      </c>
      <c r="Q2987" s="38">
        <f ca="1">IF(O2987="","",IF(Tipo_Vertedor="Retangular",IF(O2987&lt;=cota_s*100,0,IF(Tipo_Vertedor="Retangular",Cd_sr*Lef_sr*((O2987/100-cota_s)^(3/2))*1000)),IF(O2987&lt;=cota_s*100+fi_s/20,0,(OFFSET('Base de dados'!$A$4,IF(O2987&lt;20,1,IF(O2987&gt;1000,10,MATCH(O2987,Cargas,1))),Coluna_fis,1,1))*(PI()*(fi_s/1000)^2/4)*(2*9.81*(O2987/100-cota_s-fi_s/2/1000))^0.5*1000)))</f>
        <v>6.6906138720123369</v>
      </c>
      <c r="R2987" s="38">
        <f t="shared" ca="1" si="320"/>
        <v>13.995587463521078</v>
      </c>
      <c r="S2987" s="38">
        <f t="shared" ca="1" si="321"/>
        <v>933.125</v>
      </c>
    </row>
    <row r="2988" spans="13:19">
      <c r="M2988" s="132">
        <f t="shared" ca="1" si="318"/>
        <v>947.43565200101921</v>
      </c>
      <c r="N2988" s="38">
        <f t="shared" si="319"/>
        <v>28.003125000000001</v>
      </c>
      <c r="O2988" s="36">
        <f t="shared" si="317"/>
        <v>746.75</v>
      </c>
      <c r="P2988" s="38">
        <f ca="1">IF(ISERROR(IF(O2988&lt;fi_h/20,0,(OFFSET('Base de dados'!$A$5,IF(O2988&lt;20,1,IF(O2988&gt;1000,10,MATCH(O2988,Cargas,1))),Coluna_fih,1,1))*(1+0.13*0.25)*(PI()*(fi_h/1000)^2/4)*SQRT(2*9.81*(O2988/100-fi_h/2/1000))*1000)),"",IF(O2988&lt;fi_h/20,0,(OFFSET('Base de dados'!$A$5,IF(O2988&lt;20,1,IF(O2988&gt;1000,10,MATCH(O2988,Cargas,1))),Coluna_fih,1,1))*(PI()*(fi_h/1000)^2/4)*SQRT(2*9.81*(O2988/100-fi_h/2/1000))*1000))</f>
        <v>7.3061995832385866</v>
      </c>
      <c r="Q2988" s="38">
        <f ca="1">IF(O2988="","",IF(Tipo_Vertedor="Retangular",IF(O2988&lt;=cota_s*100,0,IF(Tipo_Vertedor="Retangular",Cd_sr*Lef_sr*((O2988/100-cota_s)^(3/2))*1000)),IF(O2988&lt;=cota_s*100+fi_s/20,0,(OFFSET('Base de dados'!$A$4,IF(O2988&lt;20,1,IF(O2988&gt;1000,10,MATCH(O2988,Cargas,1))),Coluna_fis,1,1))*(PI()*(fi_s/1000)^2/4)*(2*9.81*(O2988/100-cota_s-fi_s/2/1000))^0.5*1000)))</f>
        <v>6.6919524177805902</v>
      </c>
      <c r="R2988" s="38">
        <f t="shared" ca="1" si="320"/>
        <v>13.998152001019177</v>
      </c>
      <c r="S2988" s="38">
        <f t="shared" ca="1" si="321"/>
        <v>933.4375</v>
      </c>
    </row>
    <row r="2989" spans="13:19">
      <c r="M2989" s="132">
        <f t="shared" ca="1" si="318"/>
        <v>947.75071606514177</v>
      </c>
      <c r="N2989" s="38">
        <f t="shared" si="319"/>
        <v>28.012499999999999</v>
      </c>
      <c r="O2989" s="36">
        <f t="shared" si="317"/>
        <v>747</v>
      </c>
      <c r="P2989" s="38">
        <f ca="1">IF(ISERROR(IF(O2989&lt;fi_h/20,0,(OFFSET('Base de dados'!$A$5,IF(O2989&lt;20,1,IF(O2989&gt;1000,10,MATCH(O2989,Cargas,1))),Coluna_fih,1,1))*(1+0.13*0.25)*(PI()*(fi_h/1000)^2/4)*SQRT(2*9.81*(O2989/100-fi_h/2/1000))*1000)),"",IF(O2989&lt;fi_h/20,0,(OFFSET('Base de dados'!$A$5,IF(O2989&lt;20,1,IF(O2989&gt;1000,10,MATCH(O2989,Cargas,1))),Coluna_fih,1,1))*(PI()*(fi_h/1000)^2/4)*SQRT(2*9.81*(O2989/100-fi_h/2/1000))*1000))</f>
        <v>7.3074253692796116</v>
      </c>
      <c r="Q2989" s="38">
        <f ca="1">IF(O2989="","",IF(Tipo_Vertedor="Retangular",IF(O2989&lt;=cota_s*100,0,IF(Tipo_Vertedor="Retangular",Cd_sr*Lef_sr*((O2989/100-cota_s)^(3/2))*1000)),IF(O2989&lt;=cota_s*100+fi_s/20,0,(OFFSET('Base de dados'!$A$4,IF(O2989&lt;20,1,IF(O2989&gt;1000,10,MATCH(O2989,Cargas,1))),Coluna_fis,1,1))*(PI()*(fi_s/1000)^2/4)*(2*9.81*(O2989/100-cota_s-fi_s/2/1000))^0.5*1000)))</f>
        <v>6.6932906958621681</v>
      </c>
      <c r="R2989" s="38">
        <f t="shared" ca="1" si="320"/>
        <v>14.000716065141781</v>
      </c>
      <c r="S2989" s="38">
        <f t="shared" ca="1" si="321"/>
        <v>933.75</v>
      </c>
    </row>
    <row r="2990" spans="13:19">
      <c r="M2990" s="132">
        <f t="shared" ca="1" si="318"/>
        <v>948.06577965615293</v>
      </c>
      <c r="N2990" s="38">
        <f t="shared" si="319"/>
        <v>28.021875000000001</v>
      </c>
      <c r="O2990" s="36">
        <f t="shared" si="317"/>
        <v>747.25</v>
      </c>
      <c r="P2990" s="38">
        <f ca="1">IF(ISERROR(IF(O2990&lt;fi_h/20,0,(OFFSET('Base de dados'!$A$5,IF(O2990&lt;20,1,IF(O2990&gt;1000,10,MATCH(O2990,Cargas,1))),Coluna_fih,1,1))*(1+0.13*0.25)*(PI()*(fi_h/1000)^2/4)*SQRT(2*9.81*(O2990/100-fi_h/2/1000))*1000)),"",IF(O2990&lt;fi_h/20,0,(OFFSET('Base de dados'!$A$5,IF(O2990&lt;20,1,IF(O2990&gt;1000,10,MATCH(O2990,Cargas,1))),Coluna_fih,1,1))*(PI()*(fi_h/1000)^2/4)*SQRT(2*9.81*(O2990/100-fi_h/2/1000))*1000))</f>
        <v>7.3086509497353092</v>
      </c>
      <c r="Q2990" s="38">
        <f ca="1">IF(O2990="","",IF(Tipo_Vertedor="Retangular",IF(O2990&lt;=cota_s*100,0,IF(Tipo_Vertedor="Retangular",Cd_sr*Lef_sr*((O2990/100-cota_s)^(3/2))*1000)),IF(O2990&lt;=cota_s*100+fi_s/20,0,(OFFSET('Base de dados'!$A$4,IF(O2990&lt;20,1,IF(O2990&gt;1000,10,MATCH(O2990,Cargas,1))),Coluna_fis,1,1))*(PI()*(fi_s/1000)^2/4)*(2*9.81*(O2990/100-cota_s-fi_s/2/1000))^0.5*1000)))</f>
        <v>6.6946287064176033</v>
      </c>
      <c r="R2990" s="38">
        <f t="shared" ca="1" si="320"/>
        <v>14.003279656152912</v>
      </c>
      <c r="S2990" s="38">
        <f t="shared" ca="1" si="321"/>
        <v>934.0625</v>
      </c>
    </row>
    <row r="2991" spans="13:19">
      <c r="M2991" s="132">
        <f t="shared" ca="1" si="318"/>
        <v>948.38084277431631</v>
      </c>
      <c r="N2991" s="38">
        <f t="shared" si="319"/>
        <v>28.03125</v>
      </c>
      <c r="O2991" s="36">
        <f t="shared" si="317"/>
        <v>747.5</v>
      </c>
      <c r="P2991" s="38">
        <f ca="1">IF(ISERROR(IF(O2991&lt;fi_h/20,0,(OFFSET('Base de dados'!$A$5,IF(O2991&lt;20,1,IF(O2991&gt;1000,10,MATCH(O2991,Cargas,1))),Coluna_fih,1,1))*(1+0.13*0.25)*(PI()*(fi_h/1000)^2/4)*SQRT(2*9.81*(O2991/100-fi_h/2/1000))*1000)),"",IF(O2991&lt;fi_h/20,0,(OFFSET('Base de dados'!$A$5,IF(O2991&lt;20,1,IF(O2991&gt;1000,10,MATCH(O2991,Cargas,1))),Coluna_fih,1,1))*(PI()*(fi_h/1000)^2/4)*SQRT(2*9.81*(O2991/100-fi_h/2/1000))*1000))</f>
        <v>7.3098763247090854</v>
      </c>
      <c r="Q2991" s="38">
        <f ca="1">IF(O2991="","",IF(Tipo_Vertedor="Retangular",IF(O2991&lt;=cota_s*100,0,IF(Tipo_Vertedor="Retangular",Cd_sr*Lef_sr*((O2991/100-cota_s)^(3/2))*1000)),IF(O2991&lt;=cota_s*100+fi_s/20,0,(OFFSET('Base de dados'!$A$4,IF(O2991&lt;20,1,IF(O2991&gt;1000,10,MATCH(O2991,Cargas,1))),Coluna_fis,1,1))*(PI()*(fi_s/1000)^2/4)*(2*9.81*(O2991/100-cota_s-fi_s/2/1000))^0.5*1000)))</f>
        <v>6.6959664496072726</v>
      </c>
      <c r="R2991" s="38">
        <f t="shared" ca="1" si="320"/>
        <v>14.005842774316358</v>
      </c>
      <c r="S2991" s="38">
        <f t="shared" ca="1" si="321"/>
        <v>934.375</v>
      </c>
    </row>
    <row r="2992" spans="13:19">
      <c r="M2992" s="132">
        <f t="shared" ca="1" si="318"/>
        <v>948.69590541989567</v>
      </c>
      <c r="N2992" s="38">
        <f t="shared" si="319"/>
        <v>28.040624999999999</v>
      </c>
      <c r="O2992" s="36">
        <f t="shared" si="317"/>
        <v>747.75</v>
      </c>
      <c r="P2992" s="38">
        <f ca="1">IF(ISERROR(IF(O2992&lt;fi_h/20,0,(OFFSET('Base de dados'!$A$5,IF(O2992&lt;20,1,IF(O2992&gt;1000,10,MATCH(O2992,Cargas,1))),Coluna_fih,1,1))*(1+0.13*0.25)*(PI()*(fi_h/1000)^2/4)*SQRT(2*9.81*(O2992/100-fi_h/2/1000))*1000)),"",IF(O2992&lt;fi_h/20,0,(OFFSET('Base de dados'!$A$5,IF(O2992&lt;20,1,IF(O2992&gt;1000,10,MATCH(O2992,Cargas,1))),Coluna_fih,1,1))*(PI()*(fi_h/1000)^2/4)*SQRT(2*9.81*(O2992/100-fi_h/2/1000))*1000))</f>
        <v>7.3111014943042614</v>
      </c>
      <c r="Q2992" s="38">
        <f ca="1">IF(O2992="","",IF(Tipo_Vertedor="Retangular",IF(O2992&lt;=cota_s*100,0,IF(Tipo_Vertedor="Retangular",Cd_sr*Lef_sr*((O2992/100-cota_s)^(3/2))*1000)),IF(O2992&lt;=cota_s*100+fi_s/20,0,(OFFSET('Base de dados'!$A$4,IF(O2992&lt;20,1,IF(O2992&gt;1000,10,MATCH(O2992,Cargas,1))),Coluna_fis,1,1))*(PI()*(fi_s/1000)^2/4)*(2*9.81*(O2992/100-cota_s-fi_s/2/1000))^0.5*1000)))</f>
        <v>6.6973039255913873</v>
      </c>
      <c r="R2992" s="38">
        <f t="shared" ca="1" si="320"/>
        <v>14.008405419895649</v>
      </c>
      <c r="S2992" s="38">
        <f t="shared" ca="1" si="321"/>
        <v>934.6875</v>
      </c>
    </row>
    <row r="2993" spans="13:19">
      <c r="M2993" s="132">
        <f t="shared" ca="1" si="318"/>
        <v>949.01096759315408</v>
      </c>
      <c r="N2993" s="38">
        <f t="shared" si="319"/>
        <v>28.05</v>
      </c>
      <c r="O2993" s="36">
        <f t="shared" si="317"/>
        <v>748</v>
      </c>
      <c r="P2993" s="38">
        <f ca="1">IF(ISERROR(IF(O2993&lt;fi_h/20,0,(OFFSET('Base de dados'!$A$5,IF(O2993&lt;20,1,IF(O2993&gt;1000,10,MATCH(O2993,Cargas,1))),Coluna_fih,1,1))*(1+0.13*0.25)*(PI()*(fi_h/1000)^2/4)*SQRT(2*9.81*(O2993/100-fi_h/2/1000))*1000)),"",IF(O2993&lt;fi_h/20,0,(OFFSET('Base de dados'!$A$5,IF(O2993&lt;20,1,IF(O2993&gt;1000,10,MATCH(O2993,Cargas,1))),Coluna_fih,1,1))*(PI()*(fi_h/1000)^2/4)*SQRT(2*9.81*(O2993/100-fi_h/2/1000))*1000))</f>
        <v>7.3123264586240655</v>
      </c>
      <c r="Q2993" s="38">
        <f ca="1">IF(O2993="","",IF(Tipo_Vertedor="Retangular",IF(O2993&lt;=cota_s*100,0,IF(Tipo_Vertedor="Retangular",Cd_sr*Lef_sr*((O2993/100-cota_s)^(3/2))*1000)),IF(O2993&lt;=cota_s*100+fi_s/20,0,(OFFSET('Base de dados'!$A$4,IF(O2993&lt;20,1,IF(O2993&gt;1000,10,MATCH(O2993,Cargas,1))),Coluna_fis,1,1))*(PI()*(fi_s/1000)^2/4)*(2*9.81*(O2993/100-cota_s-fi_s/2/1000))^0.5*1000)))</f>
        <v>6.6986411345300008</v>
      </c>
      <c r="R2993" s="38">
        <f t="shared" ca="1" si="320"/>
        <v>14.010967593154067</v>
      </c>
      <c r="S2993" s="38">
        <f t="shared" ca="1" si="321"/>
        <v>935</v>
      </c>
    </row>
    <row r="2994" spans="13:19">
      <c r="M2994" s="132">
        <f t="shared" ca="1" si="318"/>
        <v>949.32602929435461</v>
      </c>
      <c r="N2994" s="38">
        <f t="shared" si="319"/>
        <v>28.059374999999999</v>
      </c>
      <c r="O2994" s="36">
        <f t="shared" si="317"/>
        <v>748.25</v>
      </c>
      <c r="P2994" s="38">
        <f ca="1">IF(ISERROR(IF(O2994&lt;fi_h/20,0,(OFFSET('Base de dados'!$A$5,IF(O2994&lt;20,1,IF(O2994&gt;1000,10,MATCH(O2994,Cargas,1))),Coluna_fih,1,1))*(1+0.13*0.25)*(PI()*(fi_h/1000)^2/4)*SQRT(2*9.81*(O2994/100-fi_h/2/1000))*1000)),"",IF(O2994&lt;fi_h/20,0,(OFFSET('Base de dados'!$A$5,IF(O2994&lt;20,1,IF(O2994&gt;1000,10,MATCH(O2994,Cargas,1))),Coluna_fih,1,1))*(PI()*(fi_h/1000)^2/4)*SQRT(2*9.81*(O2994/100-fi_h/2/1000))*1000))</f>
        <v>7.3135512177716473</v>
      </c>
      <c r="Q2994" s="38">
        <f ca="1">IF(O2994="","",IF(Tipo_Vertedor="Retangular",IF(O2994&lt;=cota_s*100,0,IF(Tipo_Vertedor="Retangular",Cd_sr*Lef_sr*((O2994/100-cota_s)^(3/2))*1000)),IF(O2994&lt;=cota_s*100+fi_s/20,0,(OFFSET('Base de dados'!$A$4,IF(O2994&lt;20,1,IF(O2994&gt;1000,10,MATCH(O2994,Cargas,1))),Coluna_fis,1,1))*(PI()*(fi_s/1000)^2/4)*(2*9.81*(O2994/100-cota_s-fi_s/2/1000))^0.5*1000)))</f>
        <v>6.6999780765830081</v>
      </c>
      <c r="R2994" s="38">
        <f t="shared" ca="1" si="320"/>
        <v>14.013529294354655</v>
      </c>
      <c r="S2994" s="38">
        <f t="shared" ca="1" si="321"/>
        <v>935.3125</v>
      </c>
    </row>
    <row r="2995" spans="13:19">
      <c r="M2995" s="132">
        <f t="shared" ca="1" si="318"/>
        <v>949.64109052376023</v>
      </c>
      <c r="N2995" s="38">
        <f t="shared" si="319"/>
        <v>28.068750000000001</v>
      </c>
      <c r="O2995" s="36">
        <f t="shared" si="317"/>
        <v>748.5</v>
      </c>
      <c r="P2995" s="38">
        <f ca="1">IF(ISERROR(IF(O2995&lt;fi_h/20,0,(OFFSET('Base de dados'!$A$5,IF(O2995&lt;20,1,IF(O2995&gt;1000,10,MATCH(O2995,Cargas,1))),Coluna_fih,1,1))*(1+0.13*0.25)*(PI()*(fi_h/1000)^2/4)*SQRT(2*9.81*(O2995/100-fi_h/2/1000))*1000)),"",IF(O2995&lt;fi_h/20,0,(OFFSET('Base de dados'!$A$5,IF(O2995&lt;20,1,IF(O2995&gt;1000,10,MATCH(O2995,Cargas,1))),Coluna_fih,1,1))*(PI()*(fi_h/1000)^2/4)*SQRT(2*9.81*(O2995/100-fi_h/2/1000))*1000))</f>
        <v>7.3147757718500657</v>
      </c>
      <c r="Q2995" s="38">
        <f ca="1">IF(O2995="","",IF(Tipo_Vertedor="Retangular",IF(O2995&lt;=cota_s*100,0,IF(Tipo_Vertedor="Retangular",Cd_sr*Lef_sr*((O2995/100-cota_s)^(3/2))*1000)),IF(O2995&lt;=cota_s*100+fi_s/20,0,(OFFSET('Base de dados'!$A$4,IF(O2995&lt;20,1,IF(O2995&gt;1000,10,MATCH(O2995,Cargas,1))),Coluna_fis,1,1))*(PI()*(fi_s/1000)^2/4)*(2*9.81*(O2995/100-cota_s-fi_s/2/1000))^0.5*1000)))</f>
        <v>6.7013147519101439</v>
      </c>
      <c r="R2995" s="38">
        <f t="shared" ca="1" si="320"/>
        <v>14.016090523760209</v>
      </c>
      <c r="S2995" s="38">
        <f t="shared" ca="1" si="321"/>
        <v>935.625</v>
      </c>
    </row>
    <row r="2996" spans="13:19">
      <c r="M2996" s="132">
        <f t="shared" ca="1" si="318"/>
        <v>949.95615128163331</v>
      </c>
      <c r="N2996" s="38">
        <f t="shared" si="319"/>
        <v>28.078125</v>
      </c>
      <c r="O2996" s="36">
        <f t="shared" si="317"/>
        <v>748.75</v>
      </c>
      <c r="P2996" s="38">
        <f ca="1">IF(ISERROR(IF(O2996&lt;fi_h/20,0,(OFFSET('Base de dados'!$A$5,IF(O2996&lt;20,1,IF(O2996&gt;1000,10,MATCH(O2996,Cargas,1))),Coluna_fih,1,1))*(1+0.13*0.25)*(PI()*(fi_h/1000)^2/4)*SQRT(2*9.81*(O2996/100-fi_h/2/1000))*1000)),"",IF(O2996&lt;fi_h/20,0,(OFFSET('Base de dados'!$A$5,IF(O2996&lt;20,1,IF(O2996&gt;1000,10,MATCH(O2996,Cargas,1))),Coluna_fih,1,1))*(PI()*(fi_h/1000)^2/4)*SQRT(2*9.81*(O2996/100-fi_h/2/1000))*1000))</f>
        <v>7.3160001209622925</v>
      </c>
      <c r="Q2996" s="38">
        <f ca="1">IF(O2996="","",IF(Tipo_Vertedor="Retangular",IF(O2996&lt;=cota_s*100,0,IF(Tipo_Vertedor="Retangular",Cd_sr*Lef_sr*((O2996/100-cota_s)^(3/2))*1000)),IF(O2996&lt;=cota_s*100+fi_s/20,0,(OFFSET('Base de dados'!$A$4,IF(O2996&lt;20,1,IF(O2996&gt;1000,10,MATCH(O2996,Cargas,1))),Coluna_fis,1,1))*(PI()*(fi_s/1000)^2/4)*(2*9.81*(O2996/100-cota_s-fi_s/2/1000))^0.5*1000)))</f>
        <v>6.7026511606709844</v>
      </c>
      <c r="R2996" s="38">
        <f t="shared" ca="1" si="320"/>
        <v>14.018651281633277</v>
      </c>
      <c r="S2996" s="38">
        <f t="shared" ca="1" si="321"/>
        <v>935.9375</v>
      </c>
    </row>
    <row r="2997" spans="13:19">
      <c r="M2997" s="132">
        <f t="shared" ca="1" si="318"/>
        <v>950.27121156823625</v>
      </c>
      <c r="N2997" s="38">
        <f t="shared" si="319"/>
        <v>28.087500000000002</v>
      </c>
      <c r="O2997" s="36">
        <f t="shared" si="317"/>
        <v>749</v>
      </c>
      <c r="P2997" s="38">
        <f ca="1">IF(ISERROR(IF(O2997&lt;fi_h/20,0,(OFFSET('Base de dados'!$A$5,IF(O2997&lt;20,1,IF(O2997&gt;1000,10,MATCH(O2997,Cargas,1))),Coluna_fih,1,1))*(1+0.13*0.25)*(PI()*(fi_h/1000)^2/4)*SQRT(2*9.81*(O2997/100-fi_h/2/1000))*1000)),"",IF(O2997&lt;fi_h/20,0,(OFFSET('Base de dados'!$A$5,IF(O2997&lt;20,1,IF(O2997&gt;1000,10,MATCH(O2997,Cargas,1))),Coluna_fih,1,1))*(PI()*(fi_h/1000)^2/4)*SQRT(2*9.81*(O2997/100-fi_h/2/1000))*1000))</f>
        <v>7.3172242652112196</v>
      </c>
      <c r="Q2997" s="38">
        <f ca="1">IF(O2997="","",IF(Tipo_Vertedor="Retangular",IF(O2997&lt;=cota_s*100,0,IF(Tipo_Vertedor="Retangular",Cd_sr*Lef_sr*((O2997/100-cota_s)^(3/2))*1000)),IF(O2997&lt;=cota_s*100+fi_s/20,0,(OFFSET('Base de dados'!$A$4,IF(O2997&lt;20,1,IF(O2997&gt;1000,10,MATCH(O2997,Cargas,1))),Coluna_fis,1,1))*(PI()*(fi_s/1000)^2/4)*(2*9.81*(O2997/100-cota_s-fi_s/2/1000))^0.5*1000)))</f>
        <v>6.7039873030249453</v>
      </c>
      <c r="R2997" s="38">
        <f t="shared" ca="1" si="320"/>
        <v>14.021211568236165</v>
      </c>
      <c r="S2997" s="38">
        <f t="shared" ca="1" si="321"/>
        <v>936.25000000000011</v>
      </c>
    </row>
    <row r="2998" spans="13:19">
      <c r="M2998" s="132">
        <f t="shared" ca="1" si="318"/>
        <v>950.58627138383076</v>
      </c>
      <c r="N2998" s="38">
        <f t="shared" si="319"/>
        <v>28.096874999999997</v>
      </c>
      <c r="O2998" s="36">
        <f t="shared" si="317"/>
        <v>749.25</v>
      </c>
      <c r="P2998" s="38">
        <f ca="1">IF(ISERROR(IF(O2998&lt;fi_h/20,0,(OFFSET('Base de dados'!$A$5,IF(O2998&lt;20,1,IF(O2998&gt;1000,10,MATCH(O2998,Cargas,1))),Coluna_fih,1,1))*(1+0.13*0.25)*(PI()*(fi_h/1000)^2/4)*SQRT(2*9.81*(O2998/100-fi_h/2/1000))*1000)),"",IF(O2998&lt;fi_h/20,0,(OFFSET('Base de dados'!$A$5,IF(O2998&lt;20,1,IF(O2998&gt;1000,10,MATCH(O2998,Cargas,1))),Coluna_fih,1,1))*(PI()*(fi_h/1000)^2/4)*SQRT(2*9.81*(O2998/100-fi_h/2/1000))*1000))</f>
        <v>7.3184482046996431</v>
      </c>
      <c r="Q2998" s="38">
        <f ca="1">IF(O2998="","",IF(Tipo_Vertedor="Retangular",IF(O2998&lt;=cota_s*100,0,IF(Tipo_Vertedor="Retangular",Cd_sr*Lef_sr*((O2998/100-cota_s)^(3/2))*1000)),IF(O2998&lt;=cota_s*100+fi_s/20,0,(OFFSET('Base de dados'!$A$4,IF(O2998&lt;20,1,IF(O2998&gt;1000,10,MATCH(O2998,Cargas,1))),Coluna_fis,1,1))*(PI()*(fi_s/1000)^2/4)*(2*9.81*(O2998/100-cota_s-fi_s/2/1000))^0.5*1000)))</f>
        <v>6.7053231791312831</v>
      </c>
      <c r="R2998" s="38">
        <f t="shared" ca="1" si="320"/>
        <v>14.023771383830926</v>
      </c>
      <c r="S2998" s="38">
        <f t="shared" ca="1" si="321"/>
        <v>936.56249999999989</v>
      </c>
    </row>
    <row r="2999" spans="13:19">
      <c r="M2999" s="132">
        <f t="shared" ca="1" si="318"/>
        <v>950.90133072867934</v>
      </c>
      <c r="N2999" s="38">
        <f t="shared" si="319"/>
        <v>28.106249999999999</v>
      </c>
      <c r="O2999" s="36">
        <f t="shared" si="317"/>
        <v>749.5</v>
      </c>
      <c r="P2999" s="38">
        <f ca="1">IF(ISERROR(IF(O2999&lt;fi_h/20,0,(OFFSET('Base de dados'!$A$5,IF(O2999&lt;20,1,IF(O2999&gt;1000,10,MATCH(O2999,Cargas,1))),Coluna_fih,1,1))*(1+0.13*0.25)*(PI()*(fi_h/1000)^2/4)*SQRT(2*9.81*(O2999/100-fi_h/2/1000))*1000)),"",IF(O2999&lt;fi_h/20,0,(OFFSET('Base de dados'!$A$5,IF(O2999&lt;20,1,IF(O2999&gt;1000,10,MATCH(O2999,Cargas,1))),Coluna_fih,1,1))*(PI()*(fi_h/1000)^2/4)*SQRT(2*9.81*(O2999/100-fi_h/2/1000))*1000))</f>
        <v>7.3196719395302834</v>
      </c>
      <c r="Q2999" s="38">
        <f ca="1">IF(O2999="","",IF(Tipo_Vertedor="Retangular",IF(O2999&lt;=cota_s*100,0,IF(Tipo_Vertedor="Retangular",Cd_sr*Lef_sr*((O2999/100-cota_s)^(3/2))*1000)),IF(O2999&lt;=cota_s*100+fi_s/20,0,(OFFSET('Base de dados'!$A$4,IF(O2999&lt;20,1,IF(O2999&gt;1000,10,MATCH(O2999,Cargas,1))),Coluna_fis,1,1))*(PI()*(fi_s/1000)^2/4)*(2*9.81*(O2999/100-cota_s-fi_s/2/1000))^0.5*1000)))</f>
        <v>6.7066587891490963</v>
      </c>
      <c r="R2999" s="38">
        <f t="shared" ca="1" si="320"/>
        <v>14.02633072867938</v>
      </c>
      <c r="S2999" s="38">
        <f t="shared" ca="1" si="321"/>
        <v>936.875</v>
      </c>
    </row>
    <row r="3000" spans="13:19">
      <c r="M3000" s="132">
        <f t="shared" ca="1" si="318"/>
        <v>951.21638960304301</v>
      </c>
      <c r="N3000" s="38">
        <f t="shared" si="319"/>
        <v>28.115624999999998</v>
      </c>
      <c r="O3000" s="36">
        <f t="shared" si="317"/>
        <v>749.75</v>
      </c>
      <c r="P3000" s="38">
        <f ca="1">IF(ISERROR(IF(O3000&lt;fi_h/20,0,(OFFSET('Base de dados'!$A$5,IF(O3000&lt;20,1,IF(O3000&gt;1000,10,MATCH(O3000,Cargas,1))),Coluna_fih,1,1))*(1+0.13*0.25)*(PI()*(fi_h/1000)^2/4)*SQRT(2*9.81*(O3000/100-fi_h/2/1000))*1000)),"",IF(O3000&lt;fi_h/20,0,(OFFSET('Base de dados'!$A$5,IF(O3000&lt;20,1,IF(O3000&gt;1000,10,MATCH(O3000,Cargas,1))),Coluna_fih,1,1))*(PI()*(fi_h/1000)^2/4)*SQRT(2*9.81*(O3000/100-fi_h/2/1000))*1000))</f>
        <v>7.3208954698057669</v>
      </c>
      <c r="Q3000" s="38">
        <f ca="1">IF(O3000="","",IF(Tipo_Vertedor="Retangular",IF(O3000&lt;=cota_s*100,0,IF(Tipo_Vertedor="Retangular",Cd_sr*Lef_sr*((O3000/100-cota_s)^(3/2))*1000)),IF(O3000&lt;=cota_s*100+fi_s/20,0,(OFFSET('Base de dados'!$A$4,IF(O3000&lt;20,1,IF(O3000&gt;1000,10,MATCH(O3000,Cargas,1))),Coluna_fis,1,1))*(PI()*(fi_s/1000)^2/4)*(2*9.81*(O3000/100-cota_s-fi_s/2/1000))^0.5*1000)))</f>
        <v>6.7079941332373272</v>
      </c>
      <c r="R3000" s="38">
        <f t="shared" ca="1" si="320"/>
        <v>14.028889603043094</v>
      </c>
      <c r="S3000" s="38">
        <f t="shared" ca="1" si="321"/>
        <v>937.18749999999989</v>
      </c>
    </row>
    <row r="3001" spans="13:19">
      <c r="M3001" s="132">
        <f t="shared" ca="1" si="318"/>
        <v>951.53144800718337</v>
      </c>
      <c r="N3001" s="38">
        <f t="shared" si="319"/>
        <v>28.125</v>
      </c>
      <c r="O3001" s="36">
        <f t="shared" si="317"/>
        <v>750</v>
      </c>
      <c r="P3001" s="38">
        <f ca="1">IF(ISERROR(IF(O3001&lt;fi_h/20,0,(OFFSET('Base de dados'!$A$5,IF(O3001&lt;20,1,IF(O3001&gt;1000,10,MATCH(O3001,Cargas,1))),Coluna_fih,1,1))*(1+0.13*0.25)*(PI()*(fi_h/1000)^2/4)*SQRT(2*9.81*(O3001/100-fi_h/2/1000))*1000)),"",IF(O3001&lt;fi_h/20,0,(OFFSET('Base de dados'!$A$5,IF(O3001&lt;20,1,IF(O3001&gt;1000,10,MATCH(O3001,Cargas,1))),Coluna_fih,1,1))*(PI()*(fi_h/1000)^2/4)*SQRT(2*9.81*(O3001/100-fi_h/2/1000))*1000))</f>
        <v>7.3221187956286373</v>
      </c>
      <c r="Q3001" s="38">
        <f ca="1">IF(O3001="","",IF(Tipo_Vertedor="Retangular",IF(O3001&lt;=cota_s*100,0,IF(Tipo_Vertedor="Retangular",Cd_sr*Lef_sr*((O3001/100-cota_s)^(3/2))*1000)),IF(O3001&lt;=cota_s*100+fi_s/20,0,(OFFSET('Base de dados'!$A$4,IF(O3001&lt;20,1,IF(O3001&gt;1000,10,MATCH(O3001,Cargas,1))),Coluna_fis,1,1))*(PI()*(fi_s/1000)^2/4)*(2*9.81*(O3001/100-cota_s-fi_s/2/1000))^0.5*1000)))</f>
        <v>6.7093292115547563</v>
      </c>
      <c r="R3001" s="38">
        <f t="shared" ca="1" si="320"/>
        <v>14.031448007183393</v>
      </c>
      <c r="S3001" s="38">
        <f t="shared" ca="1" si="321"/>
        <v>937.5</v>
      </c>
    </row>
    <row r="3002" spans="13:19">
      <c r="M3002" s="132">
        <f t="shared" ca="1" si="318"/>
        <v>951.84650594136144</v>
      </c>
      <c r="N3002" s="38">
        <f t="shared" si="319"/>
        <v>28.134375000000002</v>
      </c>
      <c r="O3002" s="36">
        <f t="shared" si="317"/>
        <v>750.25</v>
      </c>
      <c r="P3002" s="38">
        <f ca="1">IF(ISERROR(IF(O3002&lt;fi_h/20,0,(OFFSET('Base de dados'!$A$5,IF(O3002&lt;20,1,IF(O3002&gt;1000,10,MATCH(O3002,Cargas,1))),Coluna_fih,1,1))*(1+0.13*0.25)*(PI()*(fi_h/1000)^2/4)*SQRT(2*9.81*(O3002/100-fi_h/2/1000))*1000)),"",IF(O3002&lt;fi_h/20,0,(OFFSET('Base de dados'!$A$5,IF(O3002&lt;20,1,IF(O3002&gt;1000,10,MATCH(O3002,Cargas,1))),Coluna_fih,1,1))*(PI()*(fi_h/1000)^2/4)*SQRT(2*9.81*(O3002/100-fi_h/2/1000))*1000))</f>
        <v>7.323341917101355</v>
      </c>
      <c r="Q3002" s="38">
        <f ca="1">IF(O3002="","",IF(Tipo_Vertedor="Retangular",IF(O3002&lt;=cota_s*100,0,IF(Tipo_Vertedor="Retangular",Cd_sr*Lef_sr*((O3002/100-cota_s)^(3/2))*1000)),IF(O3002&lt;=cota_s*100+fi_s/20,0,(OFFSET('Base de dados'!$A$4,IF(O3002&lt;20,1,IF(O3002&gt;1000,10,MATCH(O3002,Cargas,1))),Coluna_fis,1,1))*(PI()*(fi_s/1000)^2/4)*(2*9.81*(O3002/100-cota_s-fi_s/2/1000))^0.5*1000)))</f>
        <v>6.7106640242600095</v>
      </c>
      <c r="R3002" s="38">
        <f t="shared" ca="1" si="320"/>
        <v>14.034005941361364</v>
      </c>
      <c r="S3002" s="38">
        <f t="shared" ca="1" si="321"/>
        <v>937.81250000000011</v>
      </c>
    </row>
    <row r="3003" spans="13:19">
      <c r="M3003" s="132">
        <f t="shared" ca="1" si="318"/>
        <v>952.1615634058378</v>
      </c>
      <c r="N3003" s="38">
        <f t="shared" si="319"/>
        <v>28.143750000000001</v>
      </c>
      <c r="O3003" s="36">
        <f t="shared" si="317"/>
        <v>750.5</v>
      </c>
      <c r="P3003" s="38">
        <f ca="1">IF(ISERROR(IF(O3003&lt;fi_h/20,0,(OFFSET('Base de dados'!$A$5,IF(O3003&lt;20,1,IF(O3003&gt;1000,10,MATCH(O3003,Cargas,1))),Coluna_fih,1,1))*(1+0.13*0.25)*(PI()*(fi_h/1000)^2/4)*SQRT(2*9.81*(O3003/100-fi_h/2/1000))*1000)),"",IF(O3003&lt;fi_h/20,0,(OFFSET('Base de dados'!$A$5,IF(O3003&lt;20,1,IF(O3003&gt;1000,10,MATCH(O3003,Cargas,1))),Coluna_fih,1,1))*(PI()*(fi_h/1000)^2/4)*SQRT(2*9.81*(O3003/100-fi_h/2/1000))*1000))</f>
        <v>7.3245648343262904</v>
      </c>
      <c r="Q3003" s="38">
        <f ca="1">IF(O3003="","",IF(Tipo_Vertedor="Retangular",IF(O3003&lt;=cota_s*100,0,IF(Tipo_Vertedor="Retangular",Cd_sr*Lef_sr*((O3003/100-cota_s)^(3/2))*1000)),IF(O3003&lt;=cota_s*100+fi_s/20,0,(OFFSET('Base de dados'!$A$4,IF(O3003&lt;20,1,IF(O3003&gt;1000,10,MATCH(O3003,Cargas,1))),Coluna_fis,1,1))*(PI()*(fi_s/1000)^2/4)*(2*9.81*(O3003/100-cota_s-fi_s/2/1000))^0.5*1000)))</f>
        <v>6.7119985715115531</v>
      </c>
      <c r="R3003" s="38">
        <f t="shared" ca="1" si="320"/>
        <v>14.036563405837843</v>
      </c>
      <c r="S3003" s="38">
        <f t="shared" ca="1" si="321"/>
        <v>938.125</v>
      </c>
    </row>
    <row r="3004" spans="13:19">
      <c r="M3004" s="132">
        <f t="shared" ca="1" si="318"/>
        <v>952.47662040087357</v>
      </c>
      <c r="N3004" s="38">
        <f t="shared" si="319"/>
        <v>28.153125000000003</v>
      </c>
      <c r="O3004" s="36">
        <f t="shared" si="317"/>
        <v>750.75</v>
      </c>
      <c r="P3004" s="38">
        <f ca="1">IF(ISERROR(IF(O3004&lt;fi_h/20,0,(OFFSET('Base de dados'!$A$5,IF(O3004&lt;20,1,IF(O3004&gt;1000,10,MATCH(O3004,Cargas,1))),Coluna_fih,1,1))*(1+0.13*0.25)*(PI()*(fi_h/1000)^2/4)*SQRT(2*9.81*(O3004/100-fi_h/2/1000))*1000)),"",IF(O3004&lt;fi_h/20,0,(OFFSET('Base de dados'!$A$5,IF(O3004&lt;20,1,IF(O3004&gt;1000,10,MATCH(O3004,Cargas,1))),Coluna_fih,1,1))*(PI()*(fi_h/1000)^2/4)*SQRT(2*9.81*(O3004/100-fi_h/2/1000))*1000))</f>
        <v>7.3257875474057323</v>
      </c>
      <c r="Q3004" s="38">
        <f ca="1">IF(O3004="","",IF(Tipo_Vertedor="Retangular",IF(O3004&lt;=cota_s*100,0,IF(Tipo_Vertedor="Retangular",Cd_sr*Lef_sr*((O3004/100-cota_s)^(3/2))*1000)),IF(O3004&lt;=cota_s*100+fi_s/20,0,(OFFSET('Base de dados'!$A$4,IF(O3004&lt;20,1,IF(O3004&gt;1000,10,MATCH(O3004,Cargas,1))),Coluna_fis,1,1))*(PI()*(fi_s/1000)^2/4)*(2*9.81*(O3004/100-cota_s-fi_s/2/1000))^0.5*1000)))</f>
        <v>6.713332853467695</v>
      </c>
      <c r="R3004" s="38">
        <f t="shared" ca="1" si="320"/>
        <v>14.039120400873427</v>
      </c>
      <c r="S3004" s="38">
        <f t="shared" ca="1" si="321"/>
        <v>938.43750000000011</v>
      </c>
    </row>
    <row r="3005" spans="13:19">
      <c r="M3005" s="132">
        <f t="shared" ca="1" si="318"/>
        <v>952.79167692672831</v>
      </c>
      <c r="N3005" s="38">
        <f t="shared" si="319"/>
        <v>28.162499999999998</v>
      </c>
      <c r="O3005" s="36">
        <f t="shared" si="317"/>
        <v>751</v>
      </c>
      <c r="P3005" s="38">
        <f ca="1">IF(ISERROR(IF(O3005&lt;fi_h/20,0,(OFFSET('Base de dados'!$A$5,IF(O3005&lt;20,1,IF(O3005&gt;1000,10,MATCH(O3005,Cargas,1))),Coluna_fih,1,1))*(1+0.13*0.25)*(PI()*(fi_h/1000)^2/4)*SQRT(2*9.81*(O3005/100-fi_h/2/1000))*1000)),"",IF(O3005&lt;fi_h/20,0,(OFFSET('Base de dados'!$A$5,IF(O3005&lt;20,1,IF(O3005&gt;1000,10,MATCH(O3005,Cargas,1))),Coluna_fih,1,1))*(PI()*(fi_h/1000)^2/4)*SQRT(2*9.81*(O3005/100-fi_h/2/1000))*1000))</f>
        <v>7.3270100564418819</v>
      </c>
      <c r="Q3005" s="38">
        <f ca="1">IF(O3005="","",IF(Tipo_Vertedor="Retangular",IF(O3005&lt;=cota_s*100,0,IF(Tipo_Vertedor="Retangular",Cd_sr*Lef_sr*((O3005/100-cota_s)^(3/2))*1000)),IF(O3005&lt;=cota_s*100+fi_s/20,0,(OFFSET('Base de dados'!$A$4,IF(O3005&lt;20,1,IF(O3005&gt;1000,10,MATCH(O3005,Cargas,1))),Coluna_fis,1,1))*(PI()*(fi_s/1000)^2/4)*(2*9.81*(O3005/100-cota_s-fi_s/2/1000))^0.5*1000)))</f>
        <v>6.7146668702865879</v>
      </c>
      <c r="R3005" s="38">
        <f t="shared" ca="1" si="320"/>
        <v>14.041676926728471</v>
      </c>
      <c r="S3005" s="38">
        <f t="shared" ca="1" si="321"/>
        <v>938.74999999999989</v>
      </c>
    </row>
    <row r="3006" spans="13:19">
      <c r="M3006" s="132">
        <f t="shared" ca="1" si="318"/>
        <v>953.10673298366305</v>
      </c>
      <c r="N3006" s="38">
        <f t="shared" si="319"/>
        <v>28.171875</v>
      </c>
      <c r="O3006" s="36">
        <f t="shared" si="317"/>
        <v>751.25</v>
      </c>
      <c r="P3006" s="38">
        <f ca="1">IF(ISERROR(IF(O3006&lt;fi_h/20,0,(OFFSET('Base de dados'!$A$5,IF(O3006&lt;20,1,IF(O3006&gt;1000,10,MATCH(O3006,Cargas,1))),Coluna_fih,1,1))*(1+0.13*0.25)*(PI()*(fi_h/1000)^2/4)*SQRT(2*9.81*(O3006/100-fi_h/2/1000))*1000)),"",IF(O3006&lt;fi_h/20,0,(OFFSET('Base de dados'!$A$5,IF(O3006&lt;20,1,IF(O3006&gt;1000,10,MATCH(O3006,Cargas,1))),Coluna_fih,1,1))*(PI()*(fi_h/1000)^2/4)*SQRT(2*9.81*(O3006/100-fi_h/2/1000))*1000))</f>
        <v>7.3282323615368563</v>
      </c>
      <c r="Q3006" s="38">
        <f ca="1">IF(O3006="","",IF(Tipo_Vertedor="Retangular",IF(O3006&lt;=cota_s*100,0,IF(Tipo_Vertedor="Retangular",Cd_sr*Lef_sr*((O3006/100-cota_s)^(3/2))*1000)),IF(O3006&lt;=cota_s*100+fi_s/20,0,(OFFSET('Base de dados'!$A$4,IF(O3006&lt;20,1,IF(O3006&gt;1000,10,MATCH(O3006,Cargas,1))),Coluna_fis,1,1))*(PI()*(fi_s/1000)^2/4)*(2*9.81*(O3006/100-cota_s-fi_s/2/1000))^0.5*1000)))</f>
        <v>6.7160006221262254</v>
      </c>
      <c r="R3006" s="38">
        <f t="shared" ca="1" si="320"/>
        <v>14.044232983663083</v>
      </c>
      <c r="S3006" s="38">
        <f t="shared" ca="1" si="321"/>
        <v>939.0625</v>
      </c>
    </row>
    <row r="3007" spans="13:19">
      <c r="M3007" s="132">
        <f t="shared" ca="1" si="318"/>
        <v>953.4217885719371</v>
      </c>
      <c r="N3007" s="38">
        <f t="shared" si="319"/>
        <v>28.181249999999999</v>
      </c>
      <c r="O3007" s="36">
        <f t="shared" si="317"/>
        <v>751.5</v>
      </c>
      <c r="P3007" s="38">
        <f ca="1">IF(ISERROR(IF(O3007&lt;fi_h/20,0,(OFFSET('Base de dados'!$A$5,IF(O3007&lt;20,1,IF(O3007&gt;1000,10,MATCH(O3007,Cargas,1))),Coluna_fih,1,1))*(1+0.13*0.25)*(PI()*(fi_h/1000)^2/4)*SQRT(2*9.81*(O3007/100-fi_h/2/1000))*1000)),"",IF(O3007&lt;fi_h/20,0,(OFFSET('Base de dados'!$A$5,IF(O3007&lt;20,1,IF(O3007&gt;1000,10,MATCH(O3007,Cargas,1))),Coluna_fih,1,1))*(PI()*(fi_h/1000)^2/4)*SQRT(2*9.81*(O3007/100-fi_h/2/1000))*1000))</f>
        <v>7.3294544627926861</v>
      </c>
      <c r="Q3007" s="38">
        <f ca="1">IF(O3007="","",IF(Tipo_Vertedor="Retangular",IF(O3007&lt;=cota_s*100,0,IF(Tipo_Vertedor="Retangular",Cd_sr*Lef_sr*((O3007/100-cota_s)^(3/2))*1000)),IF(O3007&lt;=cota_s*100+fi_s/20,0,(OFFSET('Base de dados'!$A$4,IF(O3007&lt;20,1,IF(O3007&gt;1000,10,MATCH(O3007,Cargas,1))),Coluna_fis,1,1))*(PI()*(fi_s/1000)^2/4)*(2*9.81*(O3007/100-cota_s-fi_s/2/1000))^0.5*1000)))</f>
        <v>6.7173341091444465</v>
      </c>
      <c r="R3007" s="38">
        <f t="shared" ca="1" si="320"/>
        <v>14.046788571937132</v>
      </c>
      <c r="S3007" s="38">
        <f t="shared" ca="1" si="321"/>
        <v>939.375</v>
      </c>
    </row>
    <row r="3008" spans="13:19">
      <c r="M3008" s="132">
        <f t="shared" ca="1" si="318"/>
        <v>953.73684369181024</v>
      </c>
      <c r="N3008" s="38">
        <f t="shared" si="319"/>
        <v>28.190625000000001</v>
      </c>
      <c r="O3008" s="36">
        <f t="shared" si="317"/>
        <v>751.75</v>
      </c>
      <c r="P3008" s="38">
        <f ca="1">IF(ISERROR(IF(O3008&lt;fi_h/20,0,(OFFSET('Base de dados'!$A$5,IF(O3008&lt;20,1,IF(O3008&gt;1000,10,MATCH(O3008,Cargas,1))),Coluna_fih,1,1))*(1+0.13*0.25)*(PI()*(fi_h/1000)^2/4)*SQRT(2*9.81*(O3008/100-fi_h/2/1000))*1000)),"",IF(O3008&lt;fi_h/20,0,(OFFSET('Base de dados'!$A$5,IF(O3008&lt;20,1,IF(O3008&gt;1000,10,MATCH(O3008,Cargas,1))),Coluna_fih,1,1))*(PI()*(fi_h/1000)^2/4)*SQRT(2*9.81*(O3008/100-fi_h/2/1000))*1000))</f>
        <v>7.3306763603113181</v>
      </c>
      <c r="Q3008" s="38">
        <f ca="1">IF(O3008="","",IF(Tipo_Vertedor="Retangular",IF(O3008&lt;=cota_s*100,0,IF(Tipo_Vertedor="Retangular",Cd_sr*Lef_sr*((O3008/100-cota_s)^(3/2))*1000)),IF(O3008&lt;=cota_s*100+fi_s/20,0,(OFFSET('Base de dados'!$A$4,IF(O3008&lt;20,1,IF(O3008&gt;1000,10,MATCH(O3008,Cargas,1))),Coluna_fis,1,1))*(PI()*(fi_s/1000)^2/4)*(2*9.81*(O3008/100-cota_s-fi_s/2/1000))^0.5*1000)))</f>
        <v>6.7186673314989331</v>
      </c>
      <c r="R3008" s="38">
        <f t="shared" ca="1" si="320"/>
        <v>14.04934369181025</v>
      </c>
      <c r="S3008" s="38">
        <f t="shared" ca="1" si="321"/>
        <v>939.6875</v>
      </c>
    </row>
    <row r="3009" spans="13:19">
      <c r="M3009" s="132">
        <f t="shared" ca="1" si="318"/>
        <v>954.05189834354178</v>
      </c>
      <c r="N3009" s="38">
        <f t="shared" si="319"/>
        <v>28.2</v>
      </c>
      <c r="O3009" s="36">
        <f t="shared" si="317"/>
        <v>752</v>
      </c>
      <c r="P3009" s="38">
        <f ca="1">IF(ISERROR(IF(O3009&lt;fi_h/20,0,(OFFSET('Base de dados'!$A$5,IF(O3009&lt;20,1,IF(O3009&gt;1000,10,MATCH(O3009,Cargas,1))),Coluna_fih,1,1))*(1+0.13*0.25)*(PI()*(fi_h/1000)^2/4)*SQRT(2*9.81*(O3009/100-fi_h/2/1000))*1000)),"",IF(O3009&lt;fi_h/20,0,(OFFSET('Base de dados'!$A$5,IF(O3009&lt;20,1,IF(O3009&gt;1000,10,MATCH(O3009,Cargas,1))),Coluna_fih,1,1))*(PI()*(fi_h/1000)^2/4)*SQRT(2*9.81*(O3009/100-fi_h/2/1000))*1000))</f>
        <v>7.3318980541946148</v>
      </c>
      <c r="Q3009" s="38">
        <f ca="1">IF(O3009="","",IF(Tipo_Vertedor="Retangular",IF(O3009&lt;=cota_s*100,0,IF(Tipo_Vertedor="Retangular",Cd_sr*Lef_sr*((O3009/100-cota_s)^(3/2))*1000)),IF(O3009&lt;=cota_s*100+fi_s/20,0,(OFFSET('Base de dados'!$A$4,IF(O3009&lt;20,1,IF(O3009&gt;1000,10,MATCH(O3009,Cargas,1))),Coluna_fis,1,1))*(PI()*(fi_s/1000)^2/4)*(2*9.81*(O3009/100-cota_s-fi_s/2/1000))^0.5*1000)))</f>
        <v>6.7200002893472091</v>
      </c>
      <c r="R3009" s="38">
        <f t="shared" ca="1" si="320"/>
        <v>14.051898343541824</v>
      </c>
      <c r="S3009" s="38">
        <f t="shared" ca="1" si="321"/>
        <v>940</v>
      </c>
    </row>
    <row r="3010" spans="13:19">
      <c r="M3010" s="132">
        <f t="shared" ca="1" si="318"/>
        <v>954.36695252739105</v>
      </c>
      <c r="N3010" s="38">
        <f t="shared" si="319"/>
        <v>28.209375000000001</v>
      </c>
      <c r="O3010" s="36">
        <f t="shared" si="317"/>
        <v>752.25</v>
      </c>
      <c r="P3010" s="38">
        <f ca="1">IF(ISERROR(IF(O3010&lt;fi_h/20,0,(OFFSET('Base de dados'!$A$5,IF(O3010&lt;20,1,IF(O3010&gt;1000,10,MATCH(O3010,Cargas,1))),Coluna_fih,1,1))*(1+0.13*0.25)*(PI()*(fi_h/1000)^2/4)*SQRT(2*9.81*(O3010/100-fi_h/2/1000))*1000)),"",IF(O3010&lt;fi_h/20,0,(OFFSET('Base de dados'!$A$5,IF(O3010&lt;20,1,IF(O3010&gt;1000,10,MATCH(O3010,Cargas,1))),Coluna_fih,1,1))*(PI()*(fi_h/1000)^2/4)*SQRT(2*9.81*(O3010/100-fi_h/2/1000))*1000))</f>
        <v>7.3331195445443509</v>
      </c>
      <c r="Q3010" s="38">
        <f ca="1">IF(O3010="","",IF(Tipo_Vertedor="Retangular",IF(O3010&lt;=cota_s*100,0,IF(Tipo_Vertedor="Retangular",Cd_sr*Lef_sr*((O3010/100-cota_s)^(3/2))*1000)),IF(O3010&lt;=cota_s*100+fi_s/20,0,(OFFSET('Base de dados'!$A$4,IF(O3010&lt;20,1,IF(O3010&gt;1000,10,MATCH(O3010,Cargas,1))),Coluna_fis,1,1))*(PI()*(fi_s/1000)^2/4)*(2*9.81*(O3010/100-cota_s-fi_s/2/1000))^0.5*1000)))</f>
        <v>6.7213329828466435</v>
      </c>
      <c r="R3010" s="38">
        <f t="shared" ca="1" si="320"/>
        <v>14.054452527390994</v>
      </c>
      <c r="S3010" s="38">
        <f t="shared" ca="1" si="321"/>
        <v>940.3125</v>
      </c>
    </row>
    <row r="3011" spans="13:19">
      <c r="M3011" s="132">
        <f t="shared" ca="1" si="318"/>
        <v>954.68200624361668</v>
      </c>
      <c r="N3011" s="38">
        <f t="shared" si="319"/>
        <v>28.21875</v>
      </c>
      <c r="O3011" s="36">
        <f t="shared" si="317"/>
        <v>752.5</v>
      </c>
      <c r="P3011" s="38">
        <f ca="1">IF(ISERROR(IF(O3011&lt;fi_h/20,0,(OFFSET('Base de dados'!$A$5,IF(O3011&lt;20,1,IF(O3011&gt;1000,10,MATCH(O3011,Cargas,1))),Coluna_fih,1,1))*(1+0.13*0.25)*(PI()*(fi_h/1000)^2/4)*SQRT(2*9.81*(O3011/100-fi_h/2/1000))*1000)),"",IF(O3011&lt;fi_h/20,0,(OFFSET('Base de dados'!$A$5,IF(O3011&lt;20,1,IF(O3011&gt;1000,10,MATCH(O3011,Cargas,1))),Coluna_fih,1,1))*(PI()*(fi_h/1000)^2/4)*SQRT(2*9.81*(O3011/100-fi_h/2/1000))*1000))</f>
        <v>7.33434083146222</v>
      </c>
      <c r="Q3011" s="38">
        <f ca="1">IF(O3011="","",IF(Tipo_Vertedor="Retangular",IF(O3011&lt;=cota_s*100,0,IF(Tipo_Vertedor="Retangular",Cd_sr*Lef_sr*((O3011/100-cota_s)^(3/2))*1000)),IF(O3011&lt;=cota_s*100+fi_s/20,0,(OFFSET('Base de dados'!$A$4,IF(O3011&lt;20,1,IF(O3011&gt;1000,10,MATCH(O3011,Cargas,1))),Coluna_fis,1,1))*(PI()*(fi_s/1000)^2/4)*(2*9.81*(O3011/100-cota_s-fi_s/2/1000))^0.5*1000)))</f>
        <v>6.7226654121544476</v>
      </c>
      <c r="R3011" s="38">
        <f t="shared" ca="1" si="320"/>
        <v>14.057006243616668</v>
      </c>
      <c r="S3011" s="38">
        <f t="shared" ca="1" si="321"/>
        <v>940.625</v>
      </c>
    </row>
    <row r="3012" spans="13:19">
      <c r="M3012" s="132">
        <f t="shared" ca="1" si="318"/>
        <v>954.99705949247755</v>
      </c>
      <c r="N3012" s="38">
        <f t="shared" si="319"/>
        <v>28.228124999999999</v>
      </c>
      <c r="O3012" s="36">
        <f t="shared" si="317"/>
        <v>752.75</v>
      </c>
      <c r="P3012" s="38">
        <f ca="1">IF(ISERROR(IF(O3012&lt;fi_h/20,0,(OFFSET('Base de dados'!$A$5,IF(O3012&lt;20,1,IF(O3012&gt;1000,10,MATCH(O3012,Cargas,1))),Coluna_fih,1,1))*(1+0.13*0.25)*(PI()*(fi_h/1000)^2/4)*SQRT(2*9.81*(O3012/100-fi_h/2/1000))*1000)),"",IF(O3012&lt;fi_h/20,0,(OFFSET('Base de dados'!$A$5,IF(O3012&lt;20,1,IF(O3012&gt;1000,10,MATCH(O3012,Cargas,1))),Coluna_fih,1,1))*(PI()*(fi_h/1000)^2/4)*SQRT(2*9.81*(O3012/100-fi_h/2/1000))*1000))</f>
        <v>7.3355619150498281</v>
      </c>
      <c r="Q3012" s="38">
        <f ca="1">IF(O3012="","",IF(Tipo_Vertedor="Retangular",IF(O3012&lt;=cota_s*100,0,IF(Tipo_Vertedor="Retangular",Cd_sr*Lef_sr*((O3012/100-cota_s)^(3/2))*1000)),IF(O3012&lt;=cota_s*100+fi_s/20,0,(OFFSET('Base de dados'!$A$4,IF(O3012&lt;20,1,IF(O3012&gt;1000,10,MATCH(O3012,Cargas,1))),Coluna_fis,1,1))*(PI()*(fi_s/1000)^2/4)*(2*9.81*(O3012/100-cota_s-fi_s/2/1000))^0.5*1000)))</f>
        <v>6.7239975774276797</v>
      </c>
      <c r="R3012" s="38">
        <f t="shared" ca="1" si="320"/>
        <v>14.059559492477508</v>
      </c>
      <c r="S3012" s="38">
        <f t="shared" ca="1" si="321"/>
        <v>940.9375</v>
      </c>
    </row>
    <row r="3013" spans="13:19">
      <c r="M3013" s="132">
        <f t="shared" ca="1" si="318"/>
        <v>955.31211227423194</v>
      </c>
      <c r="N3013" s="38">
        <f t="shared" si="319"/>
        <v>28.237500000000001</v>
      </c>
      <c r="O3013" s="36">
        <f t="shared" si="317"/>
        <v>753</v>
      </c>
      <c r="P3013" s="38">
        <f ca="1">IF(ISERROR(IF(O3013&lt;fi_h/20,0,(OFFSET('Base de dados'!$A$5,IF(O3013&lt;20,1,IF(O3013&gt;1000,10,MATCH(O3013,Cargas,1))),Coluna_fih,1,1))*(1+0.13*0.25)*(PI()*(fi_h/1000)^2/4)*SQRT(2*9.81*(O3013/100-fi_h/2/1000))*1000)),"",IF(O3013&lt;fi_h/20,0,(OFFSET('Base de dados'!$A$5,IF(O3013&lt;20,1,IF(O3013&gt;1000,10,MATCH(O3013,Cargas,1))),Coluna_fih,1,1))*(PI()*(fi_h/1000)^2/4)*SQRT(2*9.81*(O3013/100-fi_h/2/1000))*1000))</f>
        <v>7.3367827954086984</v>
      </c>
      <c r="Q3013" s="38">
        <f ca="1">IF(O3013="","",IF(Tipo_Vertedor="Retangular",IF(O3013&lt;=cota_s*100,0,IF(Tipo_Vertedor="Retangular",Cd_sr*Lef_sr*((O3013/100-cota_s)^(3/2))*1000)),IF(O3013&lt;=cota_s*100+fi_s/20,0,(OFFSET('Base de dados'!$A$4,IF(O3013&lt;20,1,IF(O3013&gt;1000,10,MATCH(O3013,Cargas,1))),Coluna_fis,1,1))*(PI()*(fi_s/1000)^2/4)*(2*9.81*(O3013/100-cota_s-fi_s/2/1000))^0.5*1000)))</f>
        <v>6.7253294788232401</v>
      </c>
      <c r="R3013" s="38">
        <f t="shared" ca="1" si="320"/>
        <v>14.062112274231939</v>
      </c>
      <c r="S3013" s="38">
        <f t="shared" ca="1" si="321"/>
        <v>941.25</v>
      </c>
    </row>
    <row r="3014" spans="13:19">
      <c r="M3014" s="132">
        <f t="shared" ca="1" si="318"/>
        <v>955.62716458913815</v>
      </c>
      <c r="N3014" s="38">
        <f t="shared" si="319"/>
        <v>28.246874999999999</v>
      </c>
      <c r="O3014" s="36">
        <f t="shared" si="317"/>
        <v>753.25</v>
      </c>
      <c r="P3014" s="38">
        <f ca="1">IF(ISERROR(IF(O3014&lt;fi_h/20,0,(OFFSET('Base de dados'!$A$5,IF(O3014&lt;20,1,IF(O3014&gt;1000,10,MATCH(O3014,Cargas,1))),Coluna_fih,1,1))*(1+0.13*0.25)*(PI()*(fi_h/1000)^2/4)*SQRT(2*9.81*(O3014/100-fi_h/2/1000))*1000)),"",IF(O3014&lt;fi_h/20,0,(OFFSET('Base de dados'!$A$5,IF(O3014&lt;20,1,IF(O3014&gt;1000,10,MATCH(O3014,Cargas,1))),Coluna_fih,1,1))*(PI()*(fi_h/1000)^2/4)*SQRT(2*9.81*(O3014/100-fi_h/2/1000))*1000))</f>
        <v>7.3380034726402688</v>
      </c>
      <c r="Q3014" s="38">
        <f ca="1">IF(O3014="","",IF(Tipo_Vertedor="Retangular",IF(O3014&lt;=cota_s*100,0,IF(Tipo_Vertedor="Retangular",Cd_sr*Lef_sr*((O3014/100-cota_s)^(3/2))*1000)),IF(O3014&lt;=cota_s*100+fi_s/20,0,(OFFSET('Base de dados'!$A$4,IF(O3014&lt;20,1,IF(O3014&gt;1000,10,MATCH(O3014,Cargas,1))),Coluna_fis,1,1))*(PI()*(fi_s/1000)^2/4)*(2*9.81*(O3014/100-cota_s-fi_s/2/1000))^0.5*1000)))</f>
        <v>6.7266611164978753</v>
      </c>
      <c r="R3014" s="38">
        <f t="shared" ca="1" si="320"/>
        <v>14.064664589138143</v>
      </c>
      <c r="S3014" s="38">
        <f t="shared" ca="1" si="321"/>
        <v>941.5625</v>
      </c>
    </row>
    <row r="3015" spans="13:19">
      <c r="M3015" s="132">
        <f t="shared" ca="1" si="318"/>
        <v>955.94221643745402</v>
      </c>
      <c r="N3015" s="38">
        <f t="shared" si="319"/>
        <v>28.256250000000001</v>
      </c>
      <c r="O3015" s="36">
        <f t="shared" si="317"/>
        <v>753.5</v>
      </c>
      <c r="P3015" s="38">
        <f ca="1">IF(ISERROR(IF(O3015&lt;fi_h/20,0,(OFFSET('Base de dados'!$A$5,IF(O3015&lt;20,1,IF(O3015&gt;1000,10,MATCH(O3015,Cargas,1))),Coluna_fih,1,1))*(1+0.13*0.25)*(PI()*(fi_h/1000)^2/4)*SQRT(2*9.81*(O3015/100-fi_h/2/1000))*1000)),"",IF(O3015&lt;fi_h/20,0,(OFFSET('Base de dados'!$A$5,IF(O3015&lt;20,1,IF(O3015&gt;1000,10,MATCH(O3015,Cargas,1))),Coluna_fih,1,1))*(PI()*(fi_h/1000)^2/4)*SQRT(2*9.81*(O3015/100-fi_h/2/1000))*1000))</f>
        <v>7.3392239468458937</v>
      </c>
      <c r="Q3015" s="38">
        <f ca="1">IF(O3015="","",IF(Tipo_Vertedor="Retangular",IF(O3015&lt;=cota_s*100,0,IF(Tipo_Vertedor="Retangular",Cd_sr*Lef_sr*((O3015/100-cota_s)^(3/2))*1000)),IF(O3015&lt;=cota_s*100+fi_s/20,0,(OFFSET('Base de dados'!$A$4,IF(O3015&lt;20,1,IF(O3015&gt;1000,10,MATCH(O3015,Cargas,1))),Coluna_fis,1,1))*(PI()*(fi_s/1000)^2/4)*(2*9.81*(O3015/100-cota_s-fi_s/2/1000))^0.5*1000)))</f>
        <v>6.7279924906081767</v>
      </c>
      <c r="R3015" s="38">
        <f t="shared" ca="1" si="320"/>
        <v>14.067216437454071</v>
      </c>
      <c r="S3015" s="38">
        <f t="shared" ca="1" si="321"/>
        <v>941.875</v>
      </c>
    </row>
    <row r="3016" spans="13:19">
      <c r="M3016" s="132">
        <f t="shared" ca="1" si="318"/>
        <v>956.2572678194374</v>
      </c>
      <c r="N3016" s="38">
        <f t="shared" si="319"/>
        <v>28.265625</v>
      </c>
      <c r="O3016" s="36">
        <f t="shared" si="317"/>
        <v>753.75</v>
      </c>
      <c r="P3016" s="38">
        <f ca="1">IF(ISERROR(IF(O3016&lt;fi_h/20,0,(OFFSET('Base de dados'!$A$5,IF(O3016&lt;20,1,IF(O3016&gt;1000,10,MATCH(O3016,Cargas,1))),Coluna_fih,1,1))*(1+0.13*0.25)*(PI()*(fi_h/1000)^2/4)*SQRT(2*9.81*(O3016/100-fi_h/2/1000))*1000)),"",IF(O3016&lt;fi_h/20,0,(OFFSET('Base de dados'!$A$5,IF(O3016&lt;20,1,IF(O3016&gt;1000,10,MATCH(O3016,Cargas,1))),Coluna_fih,1,1))*(PI()*(fi_h/1000)^2/4)*SQRT(2*9.81*(O3016/100-fi_h/2/1000))*1000))</f>
        <v>7.3404442181268426</v>
      </c>
      <c r="Q3016" s="38">
        <f ca="1">IF(O3016="","",IF(Tipo_Vertedor="Retangular",IF(O3016&lt;=cota_s*100,0,IF(Tipo_Vertedor="Retangular",Cd_sr*Lef_sr*((O3016/100-cota_s)^(3/2))*1000)),IF(O3016&lt;=cota_s*100+fi_s/20,0,(OFFSET('Base de dados'!$A$4,IF(O3016&lt;20,1,IF(O3016&gt;1000,10,MATCH(O3016,Cargas,1))),Coluna_fis,1,1))*(PI()*(fi_s/1000)^2/4)*(2*9.81*(O3016/100-cota_s-fi_s/2/1000))^0.5*1000)))</f>
        <v>6.7293236013105808</v>
      </c>
      <c r="R3016" s="38">
        <f t="shared" ca="1" si="320"/>
        <v>14.069767819437423</v>
      </c>
      <c r="S3016" s="38">
        <f t="shared" ca="1" si="321"/>
        <v>942.1875</v>
      </c>
    </row>
    <row r="3017" spans="13:19">
      <c r="M3017" s="132">
        <f t="shared" ca="1" si="318"/>
        <v>956.57231873534568</v>
      </c>
      <c r="N3017" s="38">
        <f t="shared" si="319"/>
        <v>28.274999999999999</v>
      </c>
      <c r="O3017" s="36">
        <f t="shared" si="317"/>
        <v>754</v>
      </c>
      <c r="P3017" s="38">
        <f ca="1">IF(ISERROR(IF(O3017&lt;fi_h/20,0,(OFFSET('Base de dados'!$A$5,IF(O3017&lt;20,1,IF(O3017&gt;1000,10,MATCH(O3017,Cargas,1))),Coluna_fih,1,1))*(1+0.13*0.25)*(PI()*(fi_h/1000)^2/4)*SQRT(2*9.81*(O3017/100-fi_h/2/1000))*1000)),"",IF(O3017&lt;fi_h/20,0,(OFFSET('Base de dados'!$A$5,IF(O3017&lt;20,1,IF(O3017&gt;1000,10,MATCH(O3017,Cargas,1))),Coluna_fih,1,1))*(PI()*(fi_h/1000)^2/4)*SQRT(2*9.81*(O3017/100-fi_h/2/1000))*1000))</f>
        <v>7.3416642865843009</v>
      </c>
      <c r="Q3017" s="38">
        <f ca="1">IF(O3017="","",IF(Tipo_Vertedor="Retangular",IF(O3017&lt;=cota_s*100,0,IF(Tipo_Vertedor="Retangular",Cd_sr*Lef_sr*((O3017/100-cota_s)^(3/2))*1000)),IF(O3017&lt;=cota_s*100+fi_s/20,0,(OFFSET('Base de dados'!$A$4,IF(O3017&lt;20,1,IF(O3017&gt;1000,10,MATCH(O3017,Cargas,1))),Coluna_fis,1,1))*(PI()*(fi_s/1000)^2/4)*(2*9.81*(O3017/100-cota_s-fi_s/2/1000))^0.5*1000)))</f>
        <v>6.7306544487613662</v>
      </c>
      <c r="R3017" s="38">
        <f t="shared" ca="1" si="320"/>
        <v>14.072318735345668</v>
      </c>
      <c r="S3017" s="38">
        <f t="shared" ca="1" si="321"/>
        <v>942.5</v>
      </c>
    </row>
    <row r="3018" spans="13:19">
      <c r="M3018" s="132">
        <f t="shared" ca="1" si="318"/>
        <v>956.887369185436</v>
      </c>
      <c r="N3018" s="38">
        <f t="shared" si="319"/>
        <v>28.284375000000001</v>
      </c>
      <c r="O3018" s="36">
        <f t="shared" si="317"/>
        <v>754.25</v>
      </c>
      <c r="P3018" s="38">
        <f ca="1">IF(ISERROR(IF(O3018&lt;fi_h/20,0,(OFFSET('Base de dados'!$A$5,IF(O3018&lt;20,1,IF(O3018&gt;1000,10,MATCH(O3018,Cargas,1))),Coluna_fih,1,1))*(1+0.13*0.25)*(PI()*(fi_h/1000)^2/4)*SQRT(2*9.81*(O3018/100-fi_h/2/1000))*1000)),"",IF(O3018&lt;fi_h/20,0,(OFFSET('Base de dados'!$A$5,IF(O3018&lt;20,1,IF(O3018&gt;1000,10,MATCH(O3018,Cargas,1))),Coluna_fih,1,1))*(PI()*(fi_h/1000)^2/4)*SQRT(2*9.81*(O3018/100-fi_h/2/1000))*1000))</f>
        <v>7.3428841523193702</v>
      </c>
      <c r="Q3018" s="38">
        <f ca="1">IF(O3018="","",IF(Tipo_Vertedor="Retangular",IF(O3018&lt;=cota_s*100,0,IF(Tipo_Vertedor="Retangular",Cd_sr*Lef_sr*((O3018/100-cota_s)^(3/2))*1000)),IF(O3018&lt;=cota_s*100+fi_s/20,0,(OFFSET('Base de dados'!$A$4,IF(O3018&lt;20,1,IF(O3018&gt;1000,10,MATCH(O3018,Cargas,1))),Coluna_fis,1,1))*(PI()*(fi_s/1000)^2/4)*(2*9.81*(O3018/100-cota_s-fi_s/2/1000))^0.5*1000)))</f>
        <v>6.7319850331166631</v>
      </c>
      <c r="R3018" s="38">
        <f t="shared" ca="1" si="320"/>
        <v>14.074869185436032</v>
      </c>
      <c r="S3018" s="38">
        <f t="shared" ca="1" si="321"/>
        <v>942.8125</v>
      </c>
    </row>
    <row r="3019" spans="13:19">
      <c r="M3019" s="132">
        <f t="shared" ca="1" si="318"/>
        <v>957.20241916996554</v>
      </c>
      <c r="N3019" s="38">
        <f t="shared" si="319"/>
        <v>28.293749999999999</v>
      </c>
      <c r="O3019" s="36">
        <f t="shared" si="317"/>
        <v>754.5</v>
      </c>
      <c r="P3019" s="38">
        <f ca="1">IF(ISERROR(IF(O3019&lt;fi_h/20,0,(OFFSET('Base de dados'!$A$5,IF(O3019&lt;20,1,IF(O3019&gt;1000,10,MATCH(O3019,Cargas,1))),Coluna_fih,1,1))*(1+0.13*0.25)*(PI()*(fi_h/1000)^2/4)*SQRT(2*9.81*(O3019/100-fi_h/2/1000))*1000)),"",IF(O3019&lt;fi_h/20,0,(OFFSET('Base de dados'!$A$5,IF(O3019&lt;20,1,IF(O3019&gt;1000,10,MATCH(O3019,Cargas,1))),Coluna_fih,1,1))*(PI()*(fi_h/1000)^2/4)*SQRT(2*9.81*(O3019/100-fi_h/2/1000))*1000))</f>
        <v>7.3441038154330665</v>
      </c>
      <c r="Q3019" s="38">
        <f ca="1">IF(O3019="","",IF(Tipo_Vertedor="Retangular",IF(O3019&lt;=cota_s*100,0,IF(Tipo_Vertedor="Retangular",Cd_sr*Lef_sr*((O3019/100-cota_s)^(3/2))*1000)),IF(O3019&lt;=cota_s*100+fi_s/20,0,(OFFSET('Base de dados'!$A$4,IF(O3019&lt;20,1,IF(O3019&gt;1000,10,MATCH(O3019,Cargas,1))),Coluna_fis,1,1))*(PI()*(fi_s/1000)^2/4)*(2*9.81*(O3019/100-cota_s-fi_s/2/1000))^0.5*1000)))</f>
        <v>6.7333153545324409</v>
      </c>
      <c r="R3019" s="38">
        <f t="shared" ca="1" si="320"/>
        <v>14.077419169965507</v>
      </c>
      <c r="S3019" s="38">
        <f t="shared" ca="1" si="321"/>
        <v>943.125</v>
      </c>
    </row>
    <row r="3020" spans="13:19">
      <c r="M3020" s="132">
        <f t="shared" ca="1" si="318"/>
        <v>957.51746868919088</v>
      </c>
      <c r="N3020" s="38">
        <f t="shared" si="319"/>
        <v>28.303125000000001</v>
      </c>
      <c r="O3020" s="36">
        <f t="shared" si="317"/>
        <v>754.75</v>
      </c>
      <c r="P3020" s="38">
        <f ca="1">IF(ISERROR(IF(O3020&lt;fi_h/20,0,(OFFSET('Base de dados'!$A$5,IF(O3020&lt;20,1,IF(O3020&gt;1000,10,MATCH(O3020,Cargas,1))),Coluna_fih,1,1))*(1+0.13*0.25)*(PI()*(fi_h/1000)^2/4)*SQRT(2*9.81*(O3020/100-fi_h/2/1000))*1000)),"",IF(O3020&lt;fi_h/20,0,(OFFSET('Base de dados'!$A$5,IF(O3020&lt;20,1,IF(O3020&gt;1000,10,MATCH(O3020,Cargas,1))),Coluna_fih,1,1))*(PI()*(fi_h/1000)^2/4)*SQRT(2*9.81*(O3020/100-fi_h/2/1000))*1000))</f>
        <v>7.345323276026325</v>
      </c>
      <c r="Q3020" s="38">
        <f ca="1">IF(O3020="","",IF(Tipo_Vertedor="Retangular",IF(O3020&lt;=cota_s*100,0,IF(Tipo_Vertedor="Retangular",Cd_sr*Lef_sr*((O3020/100-cota_s)^(3/2))*1000)),IF(O3020&lt;=cota_s*100+fi_s/20,0,(OFFSET('Base de dados'!$A$4,IF(O3020&lt;20,1,IF(O3020&gt;1000,10,MATCH(O3020,Cargas,1))),Coluna_fis,1,1))*(PI()*(fi_s/1000)^2/4)*(2*9.81*(O3020/100-cota_s-fi_s/2/1000))^0.5*1000)))</f>
        <v>6.7346454131645208</v>
      </c>
      <c r="R3020" s="38">
        <f t="shared" ca="1" si="320"/>
        <v>14.079968689190846</v>
      </c>
      <c r="S3020" s="38">
        <f t="shared" ca="1" si="321"/>
        <v>943.4375</v>
      </c>
    </row>
    <row r="3021" spans="13:19">
      <c r="M3021" s="132">
        <f t="shared" ca="1" si="318"/>
        <v>957.83251774336861</v>
      </c>
      <c r="N3021" s="38">
        <f t="shared" si="319"/>
        <v>28.3125</v>
      </c>
      <c r="O3021" s="36">
        <f t="shared" si="317"/>
        <v>755</v>
      </c>
      <c r="P3021" s="38">
        <f ca="1">IF(ISERROR(IF(O3021&lt;fi_h/20,0,(OFFSET('Base de dados'!$A$5,IF(O3021&lt;20,1,IF(O3021&gt;1000,10,MATCH(O3021,Cargas,1))),Coluna_fih,1,1))*(1+0.13*0.25)*(PI()*(fi_h/1000)^2/4)*SQRT(2*9.81*(O3021/100-fi_h/2/1000))*1000)),"",IF(O3021&lt;fi_h/20,0,(OFFSET('Base de dados'!$A$5,IF(O3021&lt;20,1,IF(O3021&gt;1000,10,MATCH(O3021,Cargas,1))),Coluna_fih,1,1))*(PI()*(fi_h/1000)^2/4)*SQRT(2*9.81*(O3021/100-fi_h/2/1000))*1000))</f>
        <v>7.3465425341999939</v>
      </c>
      <c r="Q3021" s="38">
        <f ca="1">IF(O3021="","",IF(Tipo_Vertedor="Retangular",IF(O3021&lt;=cota_s*100,0,IF(Tipo_Vertedor="Retangular",Cd_sr*Lef_sr*((O3021/100-cota_s)^(3/2))*1000)),IF(O3021&lt;=cota_s*100+fi_s/20,0,(OFFSET('Base de dados'!$A$4,IF(O3021&lt;20,1,IF(O3021&gt;1000,10,MATCH(O3021,Cargas,1))),Coluna_fis,1,1))*(PI()*(fi_s/1000)^2/4)*(2*9.81*(O3021/100-cota_s-fi_s/2/1000))^0.5*1000)))</f>
        <v>6.7359752091685632</v>
      </c>
      <c r="R3021" s="38">
        <f t="shared" ca="1" si="320"/>
        <v>14.082517743368557</v>
      </c>
      <c r="S3021" s="38">
        <f t="shared" ca="1" si="321"/>
        <v>943.75</v>
      </c>
    </row>
    <row r="3022" spans="13:19">
      <c r="M3022" s="132">
        <f t="shared" ca="1" si="318"/>
        <v>958.14756633275499</v>
      </c>
      <c r="N3022" s="38">
        <f t="shared" si="319"/>
        <v>28.321875000000002</v>
      </c>
      <c r="O3022" s="36">
        <f t="shared" si="317"/>
        <v>755.25</v>
      </c>
      <c r="P3022" s="38">
        <f ca="1">IF(ISERROR(IF(O3022&lt;fi_h/20,0,(OFFSET('Base de dados'!$A$5,IF(O3022&lt;20,1,IF(O3022&gt;1000,10,MATCH(O3022,Cargas,1))),Coluna_fih,1,1))*(1+0.13*0.25)*(PI()*(fi_h/1000)^2/4)*SQRT(2*9.81*(O3022/100-fi_h/2/1000))*1000)),"",IF(O3022&lt;fi_h/20,0,(OFFSET('Base de dados'!$A$5,IF(O3022&lt;20,1,IF(O3022&gt;1000,10,MATCH(O3022,Cargas,1))),Coluna_fih,1,1))*(PI()*(fi_h/1000)^2/4)*SQRT(2*9.81*(O3022/100-fi_h/2/1000))*1000))</f>
        <v>7.3477615900548425</v>
      </c>
      <c r="Q3022" s="38">
        <f ca="1">IF(O3022="","",IF(Tipo_Vertedor="Retangular",IF(O3022&lt;=cota_s*100,0,IF(Tipo_Vertedor="Retangular",Cd_sr*Lef_sr*((O3022/100-cota_s)^(3/2))*1000)),IF(O3022&lt;=cota_s*100+fi_s/20,0,(OFFSET('Base de dados'!$A$4,IF(O3022&lt;20,1,IF(O3022&gt;1000,10,MATCH(O3022,Cargas,1))),Coluna_fis,1,1))*(PI()*(fi_s/1000)^2/4)*(2*9.81*(O3022/100-cota_s-fi_s/2/1000))^0.5*1000)))</f>
        <v>6.7373047427000854</v>
      </c>
      <c r="R3022" s="38">
        <f t="shared" ca="1" si="320"/>
        <v>14.085066332754927</v>
      </c>
      <c r="S3022" s="38">
        <f t="shared" ca="1" si="321"/>
        <v>944.06250000000011</v>
      </c>
    </row>
    <row r="3023" spans="13:19">
      <c r="M3023" s="132">
        <f t="shared" ca="1" si="318"/>
        <v>958.46261445760592</v>
      </c>
      <c r="N3023" s="38">
        <f t="shared" si="319"/>
        <v>28.331249999999997</v>
      </c>
      <c r="O3023" s="36">
        <f t="shared" si="317"/>
        <v>755.5</v>
      </c>
      <c r="P3023" s="38">
        <f ca="1">IF(ISERROR(IF(O3023&lt;fi_h/20,0,(OFFSET('Base de dados'!$A$5,IF(O3023&lt;20,1,IF(O3023&gt;1000,10,MATCH(O3023,Cargas,1))),Coluna_fih,1,1))*(1+0.13*0.25)*(PI()*(fi_h/1000)^2/4)*SQRT(2*9.81*(O3023/100-fi_h/2/1000))*1000)),"",IF(O3023&lt;fi_h/20,0,(OFFSET('Base de dados'!$A$5,IF(O3023&lt;20,1,IF(O3023&gt;1000,10,MATCH(O3023,Cargas,1))),Coluna_fih,1,1))*(PI()*(fi_h/1000)^2/4)*SQRT(2*9.81*(O3023/100-fi_h/2/1000))*1000))</f>
        <v>7.3489804436915485</v>
      </c>
      <c r="Q3023" s="38">
        <f ca="1">IF(O3023="","",IF(Tipo_Vertedor="Retangular",IF(O3023&lt;=cota_s*100,0,IF(Tipo_Vertedor="Retangular",Cd_sr*Lef_sr*((O3023/100-cota_s)^(3/2))*1000)),IF(O3023&lt;=cota_s*100+fi_s/20,0,(OFFSET('Base de dados'!$A$4,IF(O3023&lt;20,1,IF(O3023&gt;1000,10,MATCH(O3023,Cargas,1))),Coluna_fis,1,1))*(PI()*(fi_s/1000)^2/4)*(2*9.81*(O3023/100-cota_s-fi_s/2/1000))^0.5*1000)))</f>
        <v>6.7386340139144405</v>
      </c>
      <c r="R3023" s="38">
        <f t="shared" ca="1" si="320"/>
        <v>14.087614457605989</v>
      </c>
      <c r="S3023" s="38">
        <f t="shared" ca="1" si="321"/>
        <v>944.37499999999989</v>
      </c>
    </row>
    <row r="3024" spans="13:19">
      <c r="M3024" s="132">
        <f t="shared" ca="1" si="318"/>
        <v>958.77766211817755</v>
      </c>
      <c r="N3024" s="38">
        <f t="shared" si="319"/>
        <v>28.340624999999999</v>
      </c>
      <c r="O3024" s="36">
        <f t="shared" si="317"/>
        <v>755.75</v>
      </c>
      <c r="P3024" s="38">
        <f ca="1">IF(ISERROR(IF(O3024&lt;fi_h/20,0,(OFFSET('Base de dados'!$A$5,IF(O3024&lt;20,1,IF(O3024&gt;1000,10,MATCH(O3024,Cargas,1))),Coluna_fih,1,1))*(1+0.13*0.25)*(PI()*(fi_h/1000)^2/4)*SQRT(2*9.81*(O3024/100-fi_h/2/1000))*1000)),"",IF(O3024&lt;fi_h/20,0,(OFFSET('Base de dados'!$A$5,IF(O3024&lt;20,1,IF(O3024&gt;1000,10,MATCH(O3024,Cargas,1))),Coluna_fih,1,1))*(PI()*(fi_h/1000)^2/4)*SQRT(2*9.81*(O3024/100-fi_h/2/1000))*1000))</f>
        <v>7.3501990952107139</v>
      </c>
      <c r="Q3024" s="38">
        <f ca="1">IF(O3024="","",IF(Tipo_Vertedor="Retangular",IF(O3024&lt;=cota_s*100,0,IF(Tipo_Vertedor="Retangular",Cd_sr*Lef_sr*((O3024/100-cota_s)^(3/2))*1000)),IF(O3024&lt;=cota_s*100+fi_s/20,0,(OFFSET('Base de dados'!$A$4,IF(O3024&lt;20,1,IF(O3024&gt;1000,10,MATCH(O3024,Cargas,1))),Coluna_fis,1,1))*(PI()*(fi_s/1000)^2/4)*(2*9.81*(O3024/100-cota_s-fi_s/2/1000))^0.5*1000)))</f>
        <v>6.7399630229668333</v>
      </c>
      <c r="R3024" s="38">
        <f t="shared" ca="1" si="320"/>
        <v>14.090162118177547</v>
      </c>
      <c r="S3024" s="38">
        <f t="shared" ca="1" si="321"/>
        <v>944.6875</v>
      </c>
    </row>
    <row r="3025" spans="13:19">
      <c r="M3025" s="132">
        <f t="shared" ca="1" si="318"/>
        <v>959.09270931472508</v>
      </c>
      <c r="N3025" s="38">
        <f t="shared" si="319"/>
        <v>28.349999999999998</v>
      </c>
      <c r="O3025" s="36">
        <f t="shared" si="317"/>
        <v>756</v>
      </c>
      <c r="P3025" s="38">
        <f ca="1">IF(ISERROR(IF(O3025&lt;fi_h/20,0,(OFFSET('Base de dados'!$A$5,IF(O3025&lt;20,1,IF(O3025&gt;1000,10,MATCH(O3025,Cargas,1))),Coluna_fih,1,1))*(1+0.13*0.25)*(PI()*(fi_h/1000)^2/4)*SQRT(2*9.81*(O3025/100-fi_h/2/1000))*1000)),"",IF(O3025&lt;fi_h/20,0,(OFFSET('Base de dados'!$A$5,IF(O3025&lt;20,1,IF(O3025&gt;1000,10,MATCH(O3025,Cargas,1))),Coluna_fih,1,1))*(PI()*(fi_h/1000)^2/4)*SQRT(2*9.81*(O3025/100-fi_h/2/1000))*1000))</f>
        <v>7.3514175447128549</v>
      </c>
      <c r="Q3025" s="38">
        <f ca="1">IF(O3025="","",IF(Tipo_Vertedor="Retangular",IF(O3025&lt;=cota_s*100,0,IF(Tipo_Vertedor="Retangular",Cd_sr*Lef_sr*((O3025/100-cota_s)^(3/2))*1000)),IF(O3025&lt;=cota_s*100+fi_s/20,0,(OFFSET('Base de dados'!$A$4,IF(O3025&lt;20,1,IF(O3025&gt;1000,10,MATCH(O3025,Cargas,1))),Coluna_fis,1,1))*(PI()*(fi_s/1000)^2/4)*(2*9.81*(O3025/100-cota_s-fi_s/2/1000))^0.5*1000)))</f>
        <v>6.7412917700123147</v>
      </c>
      <c r="R3025" s="38">
        <f t="shared" ca="1" si="320"/>
        <v>14.09270931472517</v>
      </c>
      <c r="S3025" s="38">
        <f t="shared" ca="1" si="321"/>
        <v>944.99999999999989</v>
      </c>
    </row>
    <row r="3026" spans="13:19">
      <c r="M3026" s="132">
        <f t="shared" ca="1" si="318"/>
        <v>959.40775604750422</v>
      </c>
      <c r="N3026" s="38">
        <f t="shared" si="319"/>
        <v>28.359375</v>
      </c>
      <c r="O3026" s="36">
        <f t="shared" si="317"/>
        <v>756.25</v>
      </c>
      <c r="P3026" s="38">
        <f ca="1">IF(ISERROR(IF(O3026&lt;fi_h/20,0,(OFFSET('Base de dados'!$A$5,IF(O3026&lt;20,1,IF(O3026&gt;1000,10,MATCH(O3026,Cargas,1))),Coluna_fih,1,1))*(1+0.13*0.25)*(PI()*(fi_h/1000)^2/4)*SQRT(2*9.81*(O3026/100-fi_h/2/1000))*1000)),"",IF(O3026&lt;fi_h/20,0,(OFFSET('Base de dados'!$A$5,IF(O3026&lt;20,1,IF(O3026&gt;1000,10,MATCH(O3026,Cargas,1))),Coluna_fih,1,1))*(PI()*(fi_h/1000)^2/4)*SQRT(2*9.81*(O3026/100-fi_h/2/1000))*1000))</f>
        <v>7.3526357922984031</v>
      </c>
      <c r="Q3026" s="38">
        <f ca="1">IF(O3026="","",IF(Tipo_Vertedor="Retangular",IF(O3026&lt;=cota_s*100,0,IF(Tipo_Vertedor="Retangular",Cd_sr*Lef_sr*((O3026/100-cota_s)^(3/2))*1000)),IF(O3026&lt;=cota_s*100+fi_s/20,0,(OFFSET('Base de dados'!$A$4,IF(O3026&lt;20,1,IF(O3026&gt;1000,10,MATCH(O3026,Cargas,1))),Coluna_fis,1,1))*(PI()*(fi_s/1000)^2/4)*(2*9.81*(O3026/100-cota_s-fi_s/2/1000))^0.5*1000)))</f>
        <v>6.7426202552057877</v>
      </c>
      <c r="R3026" s="38">
        <f t="shared" ca="1" si="320"/>
        <v>14.09525604750419</v>
      </c>
      <c r="S3026" s="38">
        <f t="shared" ca="1" si="321"/>
        <v>945.3125</v>
      </c>
    </row>
    <row r="3027" spans="13:19">
      <c r="M3027" s="132">
        <f t="shared" ca="1" si="318"/>
        <v>959.72280231676984</v>
      </c>
      <c r="N3027" s="38">
        <f t="shared" si="319"/>
        <v>28.368750000000002</v>
      </c>
      <c r="O3027" s="36">
        <f t="shared" ref="O3027:O3090" si="322">IF(ISERROR(IF(O3026+passo_altura&gt;h_max_puls*100,"",O3026+passo_altura)),"",IF(O3026+passo_altura&gt;h_max_puls*100,"",O3026+passo_altura))</f>
        <v>756.5</v>
      </c>
      <c r="P3027" s="38">
        <f ca="1">IF(ISERROR(IF(O3027&lt;fi_h/20,0,(OFFSET('Base de dados'!$A$5,IF(O3027&lt;20,1,IF(O3027&gt;1000,10,MATCH(O3027,Cargas,1))),Coluna_fih,1,1))*(1+0.13*0.25)*(PI()*(fi_h/1000)^2/4)*SQRT(2*9.81*(O3027/100-fi_h/2/1000))*1000)),"",IF(O3027&lt;fi_h/20,0,(OFFSET('Base de dados'!$A$5,IF(O3027&lt;20,1,IF(O3027&gt;1000,10,MATCH(O3027,Cargas,1))),Coluna_fih,1,1))*(PI()*(fi_h/1000)^2/4)*SQRT(2*9.81*(O3027/100-fi_h/2/1000))*1000))</f>
        <v>7.3538538380677068</v>
      </c>
      <c r="Q3027" s="38">
        <f ca="1">IF(O3027="","",IF(Tipo_Vertedor="Retangular",IF(O3027&lt;=cota_s*100,0,IF(Tipo_Vertedor="Retangular",Cd_sr*Lef_sr*((O3027/100-cota_s)^(3/2))*1000)),IF(O3027&lt;=cota_s*100+fi_s/20,0,(OFFSET('Base de dados'!$A$4,IF(O3027&lt;20,1,IF(O3027&gt;1000,10,MATCH(O3027,Cargas,1))),Coluna_fis,1,1))*(PI()*(fi_s/1000)^2/4)*(2*9.81*(O3027/100-cota_s-fi_s/2/1000))^0.5*1000)))</f>
        <v>6.7439484787019932</v>
      </c>
      <c r="R3027" s="38">
        <f t="shared" ca="1" si="320"/>
        <v>14.0978023167697</v>
      </c>
      <c r="S3027" s="38">
        <f t="shared" ca="1" si="321"/>
        <v>945.62500000000011</v>
      </c>
    </row>
    <row r="3028" spans="13:19">
      <c r="M3028" s="132">
        <f t="shared" ca="1" si="318"/>
        <v>960.03784812277661</v>
      </c>
      <c r="N3028" s="38">
        <f t="shared" si="319"/>
        <v>28.378125000000001</v>
      </c>
      <c r="O3028" s="36">
        <f t="shared" si="322"/>
        <v>756.75</v>
      </c>
      <c r="P3028" s="38">
        <f ca="1">IF(ISERROR(IF(O3028&lt;fi_h/20,0,(OFFSET('Base de dados'!$A$5,IF(O3028&lt;20,1,IF(O3028&gt;1000,10,MATCH(O3028,Cargas,1))),Coluna_fih,1,1))*(1+0.13*0.25)*(PI()*(fi_h/1000)^2/4)*SQRT(2*9.81*(O3028/100-fi_h/2/1000))*1000)),"",IF(O3028&lt;fi_h/20,0,(OFFSET('Base de dados'!$A$5,IF(O3028&lt;20,1,IF(O3028&gt;1000,10,MATCH(O3028,Cargas,1))),Coluna_fih,1,1))*(PI()*(fi_h/1000)^2/4)*SQRT(2*9.81*(O3028/100-fi_h/2/1000))*1000))</f>
        <v>7.3550716821210322</v>
      </c>
      <c r="Q3028" s="38">
        <f ca="1">IF(O3028="","",IF(Tipo_Vertedor="Retangular",IF(O3028&lt;=cota_s*100,0,IF(Tipo_Vertedor="Retangular",Cd_sr*Lef_sr*((O3028/100-cota_s)^(3/2))*1000)),IF(O3028&lt;=cota_s*100+fi_s/20,0,(OFFSET('Base de dados'!$A$4,IF(O3028&lt;20,1,IF(O3028&gt;1000,10,MATCH(O3028,Cargas,1))),Coluna_fis,1,1))*(PI()*(fi_s/1000)^2/4)*(2*9.81*(O3028/100-cota_s-fi_s/2/1000))^0.5*1000)))</f>
        <v>6.7452764406555277</v>
      </c>
      <c r="R3028" s="38">
        <f t="shared" ca="1" si="320"/>
        <v>14.100348122776559</v>
      </c>
      <c r="S3028" s="38">
        <f t="shared" ca="1" si="321"/>
        <v>945.9375</v>
      </c>
    </row>
    <row r="3029" spans="13:19">
      <c r="M3029" s="132">
        <f t="shared" ca="1" si="318"/>
        <v>960.35289346577952</v>
      </c>
      <c r="N3029" s="38">
        <f t="shared" si="319"/>
        <v>28.387500000000003</v>
      </c>
      <c r="O3029" s="36">
        <f t="shared" si="322"/>
        <v>757</v>
      </c>
      <c r="P3029" s="38">
        <f ca="1">IF(ISERROR(IF(O3029&lt;fi_h/20,0,(OFFSET('Base de dados'!$A$5,IF(O3029&lt;20,1,IF(O3029&gt;1000,10,MATCH(O3029,Cargas,1))),Coluna_fih,1,1))*(1+0.13*0.25)*(PI()*(fi_h/1000)^2/4)*SQRT(2*9.81*(O3029/100-fi_h/2/1000))*1000)),"",IF(O3029&lt;fi_h/20,0,(OFFSET('Base de dados'!$A$5,IF(O3029&lt;20,1,IF(O3029&gt;1000,10,MATCH(O3029,Cargas,1))),Coluna_fih,1,1))*(PI()*(fi_h/1000)^2/4)*SQRT(2*9.81*(O3029/100-fi_h/2/1000))*1000))</f>
        <v>7.3562893245585634</v>
      </c>
      <c r="Q3029" s="38">
        <f ca="1">IF(O3029="","",IF(Tipo_Vertedor="Retangular",IF(O3029&lt;=cota_s*100,0,IF(Tipo_Vertedor="Retangular",Cd_sr*Lef_sr*((O3029/100-cota_s)^(3/2))*1000)),IF(O3029&lt;=cota_s*100+fi_s/20,0,(OFFSET('Base de dados'!$A$4,IF(O3029&lt;20,1,IF(O3029&gt;1000,10,MATCH(O3029,Cargas,1))),Coluna_fis,1,1))*(PI()*(fi_s/1000)^2/4)*(2*9.81*(O3029/100-cota_s-fi_s/2/1000))^0.5*1000)))</f>
        <v>6.746604141220832</v>
      </c>
      <c r="R3029" s="38">
        <f t="shared" ca="1" si="320"/>
        <v>14.102893465779395</v>
      </c>
      <c r="S3029" s="38">
        <f t="shared" ca="1" si="321"/>
        <v>946.25000000000011</v>
      </c>
    </row>
    <row r="3030" spans="13:19">
      <c r="M3030" s="132">
        <f t="shared" ca="1" si="318"/>
        <v>960.66793834603243</v>
      </c>
      <c r="N3030" s="38">
        <f t="shared" si="319"/>
        <v>28.396874999999998</v>
      </c>
      <c r="O3030" s="36">
        <f t="shared" si="322"/>
        <v>757.25</v>
      </c>
      <c r="P3030" s="38">
        <f ca="1">IF(ISERROR(IF(O3030&lt;fi_h/20,0,(OFFSET('Base de dados'!$A$5,IF(O3030&lt;20,1,IF(O3030&gt;1000,10,MATCH(O3030,Cargas,1))),Coluna_fih,1,1))*(1+0.13*0.25)*(PI()*(fi_h/1000)^2/4)*SQRT(2*9.81*(O3030/100-fi_h/2/1000))*1000)),"",IF(O3030&lt;fi_h/20,0,(OFFSET('Base de dados'!$A$5,IF(O3030&lt;20,1,IF(O3030&gt;1000,10,MATCH(O3030,Cargas,1))),Coluna_fih,1,1))*(PI()*(fi_h/1000)^2/4)*SQRT(2*9.81*(O3030/100-fi_h/2/1000))*1000))</f>
        <v>7.3575067654803989</v>
      </c>
      <c r="Q3030" s="38">
        <f ca="1">IF(O3030="","",IF(Tipo_Vertedor="Retangular",IF(O3030&lt;=cota_s*100,0,IF(Tipo_Vertedor="Retangular",Cd_sr*Lef_sr*((O3030/100-cota_s)^(3/2))*1000)),IF(O3030&lt;=cota_s*100+fi_s/20,0,(OFFSET('Base de dados'!$A$4,IF(O3030&lt;20,1,IF(O3030&gt;1000,10,MATCH(O3030,Cargas,1))),Coluna_fis,1,1))*(PI()*(fi_s/1000)^2/4)*(2*9.81*(O3030/100-cota_s-fi_s/2/1000))^0.5*1000)))</f>
        <v>6.747931580552196</v>
      </c>
      <c r="R3030" s="38">
        <f t="shared" ca="1" si="320"/>
        <v>14.105438346032596</v>
      </c>
      <c r="S3030" s="38">
        <f t="shared" ca="1" si="321"/>
        <v>946.56249999999989</v>
      </c>
    </row>
    <row r="3031" spans="13:19">
      <c r="M3031" s="132">
        <f t="shared" ref="M3031:M3094" ca="1" si="323">IF(O3031="","",2*N3031*1000/(Passo*60)+R3031)</f>
        <v>960.98298276379035</v>
      </c>
      <c r="N3031" s="38">
        <f t="shared" ref="N3031:N3094" si="324">IF(O3031="","",b_0*(O3031/100)^c_0)</f>
        <v>28.40625</v>
      </c>
      <c r="O3031" s="36">
        <f t="shared" si="322"/>
        <v>757.5</v>
      </c>
      <c r="P3031" s="38">
        <f ca="1">IF(ISERROR(IF(O3031&lt;fi_h/20,0,(OFFSET('Base de dados'!$A$5,IF(O3031&lt;20,1,IF(O3031&gt;1000,10,MATCH(O3031,Cargas,1))),Coluna_fih,1,1))*(1+0.13*0.25)*(PI()*(fi_h/1000)^2/4)*SQRT(2*9.81*(O3031/100-fi_h/2/1000))*1000)),"",IF(O3031&lt;fi_h/20,0,(OFFSET('Base de dados'!$A$5,IF(O3031&lt;20,1,IF(O3031&gt;1000,10,MATCH(O3031,Cargas,1))),Coluna_fih,1,1))*(PI()*(fi_h/1000)^2/4)*SQRT(2*9.81*(O3031/100-fi_h/2/1000))*1000))</f>
        <v>7.3587240049865601</v>
      </c>
      <c r="Q3031" s="38">
        <f ca="1">IF(O3031="","",IF(Tipo_Vertedor="Retangular",IF(O3031&lt;=cota_s*100,0,IF(Tipo_Vertedor="Retangular",Cd_sr*Lef_sr*((O3031/100-cota_s)^(3/2))*1000)),IF(O3031&lt;=cota_s*100+fi_s/20,0,(OFFSET('Base de dados'!$A$4,IF(O3031&lt;20,1,IF(O3031&gt;1000,10,MATCH(O3031,Cargas,1))),Coluna_fis,1,1))*(PI()*(fi_s/1000)^2/4)*(2*9.81*(O3031/100-cota_s-fi_s/2/1000))^0.5*1000)))</f>
        <v>6.7492587588037578</v>
      </c>
      <c r="R3031" s="38">
        <f t="shared" ref="R3031:R3094" ca="1" si="325">IF(O3031="","",Q3031+P3031)</f>
        <v>14.107982763790318</v>
      </c>
      <c r="S3031" s="38">
        <f t="shared" ref="S3031:S3094" ca="1" si="326">IF(M3031="","",2*N3031*1000/(Passo*60))</f>
        <v>946.875</v>
      </c>
    </row>
    <row r="3032" spans="13:19">
      <c r="M3032" s="132">
        <f t="shared" ca="1" si="323"/>
        <v>961.29802671930645</v>
      </c>
      <c r="N3032" s="38">
        <f t="shared" si="324"/>
        <v>28.415624999999999</v>
      </c>
      <c r="O3032" s="36">
        <f t="shared" si="322"/>
        <v>757.75</v>
      </c>
      <c r="P3032" s="38">
        <f ca="1">IF(ISERROR(IF(O3032&lt;fi_h/20,0,(OFFSET('Base de dados'!$A$5,IF(O3032&lt;20,1,IF(O3032&gt;1000,10,MATCH(O3032,Cargas,1))),Coluna_fih,1,1))*(1+0.13*0.25)*(PI()*(fi_h/1000)^2/4)*SQRT(2*9.81*(O3032/100-fi_h/2/1000))*1000)),"",IF(O3032&lt;fi_h/20,0,(OFFSET('Base de dados'!$A$5,IF(O3032&lt;20,1,IF(O3032&gt;1000,10,MATCH(O3032,Cargas,1))),Coluna_fih,1,1))*(PI()*(fi_h/1000)^2/4)*SQRT(2*9.81*(O3032/100-fi_h/2/1000))*1000))</f>
        <v>7.3599410431769767</v>
      </c>
      <c r="Q3032" s="38">
        <f ca="1">IF(O3032="","",IF(Tipo_Vertedor="Retangular",IF(O3032&lt;=cota_s*100,0,IF(Tipo_Vertedor="Retangular",Cd_sr*Lef_sr*((O3032/100-cota_s)^(3/2))*1000)),IF(O3032&lt;=cota_s*100+fi_s/20,0,(OFFSET('Base de dados'!$A$4,IF(O3032&lt;20,1,IF(O3032&gt;1000,10,MATCH(O3032,Cargas,1))),Coluna_fis,1,1))*(PI()*(fi_s/1000)^2/4)*(2*9.81*(O3032/100-cota_s-fi_s/2/1000))^0.5*1000)))</f>
        <v>6.7505856761295018</v>
      </c>
      <c r="R3032" s="38">
        <f t="shared" ca="1" si="325"/>
        <v>14.110526719306478</v>
      </c>
      <c r="S3032" s="38">
        <f t="shared" ca="1" si="326"/>
        <v>947.1875</v>
      </c>
    </row>
    <row r="3033" spans="13:19">
      <c r="M3033" s="132">
        <f t="shared" ca="1" si="323"/>
        <v>961.61307021283483</v>
      </c>
      <c r="N3033" s="38">
        <f t="shared" si="324"/>
        <v>28.425000000000001</v>
      </c>
      <c r="O3033" s="36">
        <f t="shared" si="322"/>
        <v>758</v>
      </c>
      <c r="P3033" s="38">
        <f ca="1">IF(ISERROR(IF(O3033&lt;fi_h/20,0,(OFFSET('Base de dados'!$A$5,IF(O3033&lt;20,1,IF(O3033&gt;1000,10,MATCH(O3033,Cargas,1))),Coluna_fih,1,1))*(1+0.13*0.25)*(PI()*(fi_h/1000)^2/4)*SQRT(2*9.81*(O3033/100-fi_h/2/1000))*1000)),"",IF(O3033&lt;fi_h/20,0,(OFFSET('Base de dados'!$A$5,IF(O3033&lt;20,1,IF(O3033&gt;1000,10,MATCH(O3033,Cargas,1))),Coluna_fih,1,1))*(PI()*(fi_h/1000)^2/4)*SQRT(2*9.81*(O3033/100-fi_h/2/1000))*1000))</f>
        <v>7.3611578801515041</v>
      </c>
      <c r="Q3033" s="38">
        <f ca="1">IF(O3033="","",IF(Tipo_Vertedor="Retangular",IF(O3033&lt;=cota_s*100,0,IF(Tipo_Vertedor="Retangular",Cd_sr*Lef_sr*((O3033/100-cota_s)^(3/2))*1000)),IF(O3033&lt;=cota_s*100+fi_s/20,0,(OFFSET('Base de dados'!$A$4,IF(O3033&lt;20,1,IF(O3033&gt;1000,10,MATCH(O3033,Cargas,1))),Coluna_fis,1,1))*(PI()*(fi_s/1000)^2/4)*(2*9.81*(O3033/100-cota_s-fi_s/2/1000))^0.5*1000)))</f>
        <v>6.7519123326832657</v>
      </c>
      <c r="R3033" s="38">
        <f t="shared" ca="1" si="325"/>
        <v>14.113070212834771</v>
      </c>
      <c r="S3033" s="38">
        <f t="shared" ca="1" si="326"/>
        <v>947.5</v>
      </c>
    </row>
    <row r="3034" spans="13:19">
      <c r="M3034" s="132">
        <f t="shared" ca="1" si="323"/>
        <v>961.92811324462866</v>
      </c>
      <c r="N3034" s="38">
        <f t="shared" si="324"/>
        <v>28.434374999999999</v>
      </c>
      <c r="O3034" s="36">
        <f t="shared" si="322"/>
        <v>758.25</v>
      </c>
      <c r="P3034" s="38">
        <f ca="1">IF(ISERROR(IF(O3034&lt;fi_h/20,0,(OFFSET('Base de dados'!$A$5,IF(O3034&lt;20,1,IF(O3034&gt;1000,10,MATCH(O3034,Cargas,1))),Coluna_fih,1,1))*(1+0.13*0.25)*(PI()*(fi_h/1000)^2/4)*SQRT(2*9.81*(O3034/100-fi_h/2/1000))*1000)),"",IF(O3034&lt;fi_h/20,0,(OFFSET('Base de dados'!$A$5,IF(O3034&lt;20,1,IF(O3034&gt;1000,10,MATCH(O3034,Cargas,1))),Coluna_fih,1,1))*(PI()*(fi_h/1000)^2/4)*SQRT(2*9.81*(O3034/100-fi_h/2/1000))*1000))</f>
        <v>7.3623745160099094</v>
      </c>
      <c r="Q3034" s="38">
        <f ca="1">IF(O3034="","",IF(Tipo_Vertedor="Retangular",IF(O3034&lt;=cota_s*100,0,IF(Tipo_Vertedor="Retangular",Cd_sr*Lef_sr*((O3034/100-cota_s)^(3/2))*1000)),IF(O3034&lt;=cota_s*100+fi_s/20,0,(OFFSET('Base de dados'!$A$4,IF(O3034&lt;20,1,IF(O3034&gt;1000,10,MATCH(O3034,Cargas,1))),Coluna_fis,1,1))*(PI()*(fi_s/1000)^2/4)*(2*9.81*(O3034/100-cota_s-fi_s/2/1000))^0.5*1000)))</f>
        <v>6.753238728618733</v>
      </c>
      <c r="R3034" s="38">
        <f t="shared" ca="1" si="325"/>
        <v>14.115613244628642</v>
      </c>
      <c r="S3034" s="38">
        <f t="shared" ca="1" si="326"/>
        <v>947.8125</v>
      </c>
    </row>
    <row r="3035" spans="13:19">
      <c r="M3035" s="132">
        <f t="shared" ca="1" si="323"/>
        <v>962.24315581494136</v>
      </c>
      <c r="N3035" s="38">
        <f t="shared" si="324"/>
        <v>28.443750000000001</v>
      </c>
      <c r="O3035" s="36">
        <f t="shared" si="322"/>
        <v>758.5</v>
      </c>
      <c r="P3035" s="38">
        <f ca="1">IF(ISERROR(IF(O3035&lt;fi_h/20,0,(OFFSET('Base de dados'!$A$5,IF(O3035&lt;20,1,IF(O3035&gt;1000,10,MATCH(O3035,Cargas,1))),Coluna_fih,1,1))*(1+0.13*0.25)*(PI()*(fi_h/1000)^2/4)*SQRT(2*9.81*(O3035/100-fi_h/2/1000))*1000)),"",IF(O3035&lt;fi_h/20,0,(OFFSET('Base de dados'!$A$5,IF(O3035&lt;20,1,IF(O3035&gt;1000,10,MATCH(O3035,Cargas,1))),Coluna_fih,1,1))*(PI()*(fi_h/1000)^2/4)*SQRT(2*9.81*(O3035/100-fi_h/2/1000))*1000))</f>
        <v>7.3635909508518829</v>
      </c>
      <c r="Q3035" s="38">
        <f ca="1">IF(O3035="","",IF(Tipo_Vertedor="Retangular",IF(O3035&lt;=cota_s*100,0,IF(Tipo_Vertedor="Retangular",Cd_sr*Lef_sr*((O3035/100-cota_s)^(3/2))*1000)),IF(O3035&lt;=cota_s*100+fi_s/20,0,(OFFSET('Base de dados'!$A$4,IF(O3035&lt;20,1,IF(O3035&gt;1000,10,MATCH(O3035,Cargas,1))),Coluna_fis,1,1))*(PI()*(fi_s/1000)^2/4)*(2*9.81*(O3035/100-cota_s-fi_s/2/1000))^0.5*1000)))</f>
        <v>6.7545648640894367</v>
      </c>
      <c r="R3035" s="38">
        <f t="shared" ca="1" si="325"/>
        <v>14.11815581494132</v>
      </c>
      <c r="S3035" s="38">
        <f t="shared" ca="1" si="326"/>
        <v>948.125</v>
      </c>
    </row>
    <row r="3036" spans="13:19">
      <c r="M3036" s="132">
        <f t="shared" ca="1" si="323"/>
        <v>962.55819792402576</v>
      </c>
      <c r="N3036" s="38">
        <f t="shared" si="324"/>
        <v>28.453125</v>
      </c>
      <c r="O3036" s="36">
        <f t="shared" si="322"/>
        <v>758.75</v>
      </c>
      <c r="P3036" s="38">
        <f ca="1">IF(ISERROR(IF(O3036&lt;fi_h/20,0,(OFFSET('Base de dados'!$A$5,IF(O3036&lt;20,1,IF(O3036&gt;1000,10,MATCH(O3036,Cargas,1))),Coluna_fih,1,1))*(1+0.13*0.25)*(PI()*(fi_h/1000)^2/4)*SQRT(2*9.81*(O3036/100-fi_h/2/1000))*1000)),"",IF(O3036&lt;fi_h/20,0,(OFFSET('Base de dados'!$A$5,IF(O3036&lt;20,1,IF(O3036&gt;1000,10,MATCH(O3036,Cargas,1))),Coluna_fih,1,1))*(PI()*(fi_h/1000)^2/4)*SQRT(2*9.81*(O3036/100-fi_h/2/1000))*1000))</f>
        <v>7.3648071847770273</v>
      </c>
      <c r="Q3036" s="38">
        <f ca="1">IF(O3036="","",IF(Tipo_Vertedor="Retangular",IF(O3036&lt;=cota_s*100,0,IF(Tipo_Vertedor="Retangular",Cd_sr*Lef_sr*((O3036/100-cota_s)^(3/2))*1000)),IF(O3036&lt;=cota_s*100+fi_s/20,0,(OFFSET('Base de dados'!$A$4,IF(O3036&lt;20,1,IF(O3036&gt;1000,10,MATCH(O3036,Cargas,1))),Coluna_fis,1,1))*(PI()*(fi_s/1000)^2/4)*(2*9.81*(O3036/100-cota_s-fi_s/2/1000))^0.5*1000)))</f>
        <v>6.7558907392487564</v>
      </c>
      <c r="R3036" s="38">
        <f t="shared" ca="1" si="325"/>
        <v>14.120697924025784</v>
      </c>
      <c r="S3036" s="38">
        <f t="shared" ca="1" si="326"/>
        <v>948.4375</v>
      </c>
    </row>
    <row r="3037" spans="13:19">
      <c r="M3037" s="132">
        <f t="shared" ca="1" si="323"/>
        <v>962.87323957213482</v>
      </c>
      <c r="N3037" s="38">
        <f t="shared" si="324"/>
        <v>28.462499999999999</v>
      </c>
      <c r="O3037" s="36">
        <f t="shared" si="322"/>
        <v>759</v>
      </c>
      <c r="P3037" s="38">
        <f ca="1">IF(ISERROR(IF(O3037&lt;fi_h/20,0,(OFFSET('Base de dados'!$A$5,IF(O3037&lt;20,1,IF(O3037&gt;1000,10,MATCH(O3037,Cargas,1))),Coluna_fih,1,1))*(1+0.13*0.25)*(PI()*(fi_h/1000)^2/4)*SQRT(2*9.81*(O3037/100-fi_h/2/1000))*1000)),"",IF(O3037&lt;fi_h/20,0,(OFFSET('Base de dados'!$A$5,IF(O3037&lt;20,1,IF(O3037&gt;1000,10,MATCH(O3037,Cargas,1))),Coluna_fih,1,1))*(PI()*(fi_h/1000)^2/4)*SQRT(2*9.81*(O3037/100-fi_h/2/1000))*1000))</f>
        <v>7.366023217884865</v>
      </c>
      <c r="Q3037" s="38">
        <f ca="1">IF(O3037="","",IF(Tipo_Vertedor="Retangular",IF(O3037&lt;=cota_s*100,0,IF(Tipo_Vertedor="Retangular",Cd_sr*Lef_sr*((O3037/100-cota_s)^(3/2))*1000)),IF(O3037&lt;=cota_s*100+fi_s/20,0,(OFFSET('Base de dados'!$A$4,IF(O3037&lt;20,1,IF(O3037&gt;1000,10,MATCH(O3037,Cargas,1))),Coluna_fis,1,1))*(PI()*(fi_s/1000)^2/4)*(2*9.81*(O3037/100-cota_s-fi_s/2/1000))^0.5*1000)))</f>
        <v>6.7572163542499268</v>
      </c>
      <c r="R3037" s="38">
        <f t="shared" ca="1" si="325"/>
        <v>14.123239572134793</v>
      </c>
      <c r="S3037" s="38">
        <f t="shared" ca="1" si="326"/>
        <v>948.75</v>
      </c>
    </row>
    <row r="3038" spans="13:19">
      <c r="M3038" s="132">
        <f t="shared" ca="1" si="323"/>
        <v>963.18828075952092</v>
      </c>
      <c r="N3038" s="38">
        <f t="shared" si="324"/>
        <v>28.471875000000001</v>
      </c>
      <c r="O3038" s="36">
        <f t="shared" si="322"/>
        <v>759.25</v>
      </c>
      <c r="P3038" s="38">
        <f ca="1">IF(ISERROR(IF(O3038&lt;fi_h/20,0,(OFFSET('Base de dados'!$A$5,IF(O3038&lt;20,1,IF(O3038&gt;1000,10,MATCH(O3038,Cargas,1))),Coluna_fih,1,1))*(1+0.13*0.25)*(PI()*(fi_h/1000)^2/4)*SQRT(2*9.81*(O3038/100-fi_h/2/1000))*1000)),"",IF(O3038&lt;fi_h/20,0,(OFFSET('Base de dados'!$A$5,IF(O3038&lt;20,1,IF(O3038&gt;1000,10,MATCH(O3038,Cargas,1))),Coluna_fih,1,1))*(PI()*(fi_h/1000)^2/4)*SQRT(2*9.81*(O3038/100-fi_h/2/1000))*1000))</f>
        <v>7.3672390502748346</v>
      </c>
      <c r="Q3038" s="38">
        <f ca="1">IF(O3038="","",IF(Tipo_Vertedor="Retangular",IF(O3038&lt;=cota_s*100,0,IF(Tipo_Vertedor="Retangular",Cd_sr*Lef_sr*((O3038/100-cota_s)^(3/2))*1000)),IF(O3038&lt;=cota_s*100+fi_s/20,0,(OFFSET('Base de dados'!$A$4,IF(O3038&lt;20,1,IF(O3038&gt;1000,10,MATCH(O3038,Cargas,1))),Coluna_fis,1,1))*(PI()*(fi_s/1000)^2/4)*(2*9.81*(O3038/100-cota_s-fi_s/2/1000))^0.5*1000)))</f>
        <v>6.7585417092460309</v>
      </c>
      <c r="R3038" s="38">
        <f t="shared" ca="1" si="325"/>
        <v>14.125780759520865</v>
      </c>
      <c r="S3038" s="38">
        <f t="shared" ca="1" si="326"/>
        <v>949.0625</v>
      </c>
    </row>
    <row r="3039" spans="13:19">
      <c r="M3039" s="132">
        <f t="shared" ca="1" si="323"/>
        <v>963.50332148643633</v>
      </c>
      <c r="N3039" s="38">
        <f t="shared" si="324"/>
        <v>28.481249999999999</v>
      </c>
      <c r="O3039" s="36">
        <f t="shared" si="322"/>
        <v>759.5</v>
      </c>
      <c r="P3039" s="38">
        <f ca="1">IF(ISERROR(IF(O3039&lt;fi_h/20,0,(OFFSET('Base de dados'!$A$5,IF(O3039&lt;20,1,IF(O3039&gt;1000,10,MATCH(O3039,Cargas,1))),Coluna_fih,1,1))*(1+0.13*0.25)*(PI()*(fi_h/1000)^2/4)*SQRT(2*9.81*(O3039/100-fi_h/2/1000))*1000)),"",IF(O3039&lt;fi_h/20,0,(OFFSET('Base de dados'!$A$5,IF(O3039&lt;20,1,IF(O3039&gt;1000,10,MATCH(O3039,Cargas,1))),Coluna_fih,1,1))*(PI()*(fi_h/1000)^2/4)*SQRT(2*9.81*(O3039/100-fi_h/2/1000))*1000))</f>
        <v>7.3684546820462984</v>
      </c>
      <c r="Q3039" s="38">
        <f ca="1">IF(O3039="","",IF(Tipo_Vertedor="Retangular",IF(O3039&lt;=cota_s*100,0,IF(Tipo_Vertedor="Retangular",Cd_sr*Lef_sr*((O3039/100-cota_s)^(3/2))*1000)),IF(O3039&lt;=cota_s*100+fi_s/20,0,(OFFSET('Base de dados'!$A$4,IF(O3039&lt;20,1,IF(O3039&gt;1000,10,MATCH(O3039,Cargas,1))),Coluna_fis,1,1))*(PI()*(fi_s/1000)^2/4)*(2*9.81*(O3039/100-cota_s-fi_s/2/1000))^0.5*1000)))</f>
        <v>6.7598668043899979</v>
      </c>
      <c r="R3039" s="38">
        <f t="shared" ca="1" si="325"/>
        <v>14.128321486436295</v>
      </c>
      <c r="S3039" s="38">
        <f t="shared" ca="1" si="326"/>
        <v>949.375</v>
      </c>
    </row>
    <row r="3040" spans="13:19">
      <c r="M3040" s="132">
        <f t="shared" ca="1" si="323"/>
        <v>963.8183617531331</v>
      </c>
      <c r="N3040" s="38">
        <f t="shared" si="324"/>
        <v>28.490625000000001</v>
      </c>
      <c r="O3040" s="36">
        <f t="shared" si="322"/>
        <v>759.75</v>
      </c>
      <c r="P3040" s="38">
        <f ca="1">IF(ISERROR(IF(O3040&lt;fi_h/20,0,(OFFSET('Base de dados'!$A$5,IF(O3040&lt;20,1,IF(O3040&gt;1000,10,MATCH(O3040,Cargas,1))),Coluna_fih,1,1))*(1+0.13*0.25)*(PI()*(fi_h/1000)^2/4)*SQRT(2*9.81*(O3040/100-fi_h/2/1000))*1000)),"",IF(O3040&lt;fi_h/20,0,(OFFSET('Base de dados'!$A$5,IF(O3040&lt;20,1,IF(O3040&gt;1000,10,MATCH(O3040,Cargas,1))),Coluna_fih,1,1))*(PI()*(fi_h/1000)^2/4)*SQRT(2*9.81*(O3040/100-fi_h/2/1000))*1000))</f>
        <v>7.3696701132985325</v>
      </c>
      <c r="Q3040" s="38">
        <f ca="1">IF(O3040="","",IF(Tipo_Vertedor="Retangular",IF(O3040&lt;=cota_s*100,0,IF(Tipo_Vertedor="Retangular",Cd_sr*Lef_sr*((O3040/100-cota_s)^(3/2))*1000)),IF(O3040&lt;=cota_s*100+fi_s/20,0,(OFFSET('Base de dados'!$A$4,IF(O3040&lt;20,1,IF(O3040&gt;1000,10,MATCH(O3040,Cargas,1))),Coluna_fis,1,1))*(PI()*(fi_s/1000)^2/4)*(2*9.81*(O3040/100-cota_s-fi_s/2/1000))^0.5*1000)))</f>
        <v>6.7611916398346095</v>
      </c>
      <c r="R3040" s="38">
        <f t="shared" ca="1" si="325"/>
        <v>14.130861753133143</v>
      </c>
      <c r="S3040" s="38">
        <f t="shared" ca="1" si="326"/>
        <v>949.6875</v>
      </c>
    </row>
    <row r="3041" spans="13:19">
      <c r="M3041" s="132">
        <f t="shared" ca="1" si="323"/>
        <v>964.13340155986327</v>
      </c>
      <c r="N3041" s="38">
        <f t="shared" si="324"/>
        <v>28.5</v>
      </c>
      <c r="O3041" s="36">
        <f t="shared" si="322"/>
        <v>760</v>
      </c>
      <c r="P3041" s="38">
        <f ca="1">IF(ISERROR(IF(O3041&lt;fi_h/20,0,(OFFSET('Base de dados'!$A$5,IF(O3041&lt;20,1,IF(O3041&gt;1000,10,MATCH(O3041,Cargas,1))),Coluna_fih,1,1))*(1+0.13*0.25)*(PI()*(fi_h/1000)^2/4)*SQRT(2*9.81*(O3041/100-fi_h/2/1000))*1000)),"",IF(O3041&lt;fi_h/20,0,(OFFSET('Base de dados'!$A$5,IF(O3041&lt;20,1,IF(O3041&gt;1000,10,MATCH(O3041,Cargas,1))),Coluna_fih,1,1))*(PI()*(fi_h/1000)^2/4)*SQRT(2*9.81*(O3041/100-fi_h/2/1000))*1000))</f>
        <v>7.3708853441307296</v>
      </c>
      <c r="Q3041" s="38">
        <f ca="1">IF(O3041="","",IF(Tipo_Vertedor="Retangular",IF(O3041&lt;=cota_s*100,0,IF(Tipo_Vertedor="Retangular",Cd_sr*Lef_sr*((O3041/100-cota_s)^(3/2))*1000)),IF(O3041&lt;=cota_s*100+fi_s/20,0,(OFFSET('Base de dados'!$A$4,IF(O3041&lt;20,1,IF(O3041&gt;1000,10,MATCH(O3041,Cargas,1))),Coluna_fis,1,1))*(PI()*(fi_s/1000)^2/4)*(2*9.81*(O3041/100-cota_s-fi_s/2/1000))^0.5*1000)))</f>
        <v>6.7625162157324983</v>
      </c>
      <c r="R3041" s="38">
        <f t="shared" ca="1" si="325"/>
        <v>14.133401559863227</v>
      </c>
      <c r="S3041" s="38">
        <f t="shared" ca="1" si="326"/>
        <v>950</v>
      </c>
    </row>
    <row r="3042" spans="13:19">
      <c r="M3042" s="132">
        <f t="shared" ca="1" si="323"/>
        <v>964.4484409068782</v>
      </c>
      <c r="N3042" s="38">
        <f t="shared" si="324"/>
        <v>28.509374999999999</v>
      </c>
      <c r="O3042" s="36">
        <f t="shared" si="322"/>
        <v>760.25</v>
      </c>
      <c r="P3042" s="38">
        <f ca="1">IF(ISERROR(IF(O3042&lt;fi_h/20,0,(OFFSET('Base de dados'!$A$5,IF(O3042&lt;20,1,IF(O3042&gt;1000,10,MATCH(O3042,Cargas,1))),Coluna_fih,1,1))*(1+0.13*0.25)*(PI()*(fi_h/1000)^2/4)*SQRT(2*9.81*(O3042/100-fi_h/2/1000))*1000)),"",IF(O3042&lt;fi_h/20,0,(OFFSET('Base de dados'!$A$5,IF(O3042&lt;20,1,IF(O3042&gt;1000,10,MATCH(O3042,Cargas,1))),Coluna_fih,1,1))*(PI()*(fi_h/1000)^2/4)*SQRT(2*9.81*(O3042/100-fi_h/2/1000))*1000))</f>
        <v>7.3721003746420024</v>
      </c>
      <c r="Q3042" s="38">
        <f ca="1">IF(O3042="","",IF(Tipo_Vertedor="Retangular",IF(O3042&lt;=cota_s*100,0,IF(Tipo_Vertedor="Retangular",Cd_sr*Lef_sr*((O3042/100-cota_s)^(3/2))*1000)),IF(O3042&lt;=cota_s*100+fi_s/20,0,(OFFSET('Base de dados'!$A$4,IF(O3042&lt;20,1,IF(O3042&gt;1000,10,MATCH(O3042,Cargas,1))),Coluna_fis,1,1))*(PI()*(fi_s/1000)^2/4)*(2*9.81*(O3042/100-cota_s-fi_s/2/1000))^0.5*1000)))</f>
        <v>6.7638405322361468</v>
      </c>
      <c r="R3042" s="38">
        <f t="shared" ca="1" si="325"/>
        <v>14.135940906878149</v>
      </c>
      <c r="S3042" s="38">
        <f t="shared" ca="1" si="326"/>
        <v>950.3125</v>
      </c>
    </row>
    <row r="3043" spans="13:19">
      <c r="M3043" s="132">
        <f t="shared" ca="1" si="323"/>
        <v>964.76347979442926</v>
      </c>
      <c r="N3043" s="38">
        <f t="shared" si="324"/>
        <v>28.518750000000001</v>
      </c>
      <c r="O3043" s="36">
        <f t="shared" si="322"/>
        <v>760.5</v>
      </c>
      <c r="P3043" s="38">
        <f ca="1">IF(ISERROR(IF(O3043&lt;fi_h/20,0,(OFFSET('Base de dados'!$A$5,IF(O3043&lt;20,1,IF(O3043&gt;1000,10,MATCH(O3043,Cargas,1))),Coluna_fih,1,1))*(1+0.13*0.25)*(PI()*(fi_h/1000)^2/4)*SQRT(2*9.81*(O3043/100-fi_h/2/1000))*1000)),"",IF(O3043&lt;fi_h/20,0,(OFFSET('Base de dados'!$A$5,IF(O3043&lt;20,1,IF(O3043&gt;1000,10,MATCH(O3043,Cargas,1))),Coluna_fih,1,1))*(PI()*(fi_h/1000)^2/4)*SQRT(2*9.81*(O3043/100-fi_h/2/1000))*1000))</f>
        <v>7.3733152049313855</v>
      </c>
      <c r="Q3043" s="38">
        <f ca="1">IF(O3043="","",IF(Tipo_Vertedor="Retangular",IF(O3043&lt;=cota_s*100,0,IF(Tipo_Vertedor="Retangular",Cd_sr*Lef_sr*((O3043/100-cota_s)^(3/2))*1000)),IF(O3043&lt;=cota_s*100+fi_s/20,0,(OFFSET('Base de dados'!$A$4,IF(O3043&lt;20,1,IF(O3043&gt;1000,10,MATCH(O3043,Cargas,1))),Coluna_fis,1,1))*(PI()*(fi_s/1000)^2/4)*(2*9.81*(O3043/100-cota_s-fi_s/2/1000))^0.5*1000)))</f>
        <v>6.7651645894978882</v>
      </c>
      <c r="R3043" s="38">
        <f t="shared" ca="1" si="325"/>
        <v>14.138479794429273</v>
      </c>
      <c r="S3043" s="38">
        <f t="shared" ca="1" si="326"/>
        <v>950.625</v>
      </c>
    </row>
    <row r="3044" spans="13:19">
      <c r="M3044" s="132">
        <f t="shared" ca="1" si="323"/>
        <v>965.07851822276768</v>
      </c>
      <c r="N3044" s="38">
        <f t="shared" si="324"/>
        <v>28.528124999999999</v>
      </c>
      <c r="O3044" s="36">
        <f t="shared" si="322"/>
        <v>760.75</v>
      </c>
      <c r="P3044" s="38">
        <f ca="1">IF(ISERROR(IF(O3044&lt;fi_h/20,0,(OFFSET('Base de dados'!$A$5,IF(O3044&lt;20,1,IF(O3044&gt;1000,10,MATCH(O3044,Cargas,1))),Coluna_fih,1,1))*(1+0.13*0.25)*(PI()*(fi_h/1000)^2/4)*SQRT(2*9.81*(O3044/100-fi_h/2/1000))*1000)),"",IF(O3044&lt;fi_h/20,0,(OFFSET('Base de dados'!$A$5,IF(O3044&lt;20,1,IF(O3044&gt;1000,10,MATCH(O3044,Cargas,1))),Coluna_fih,1,1))*(PI()*(fi_h/1000)^2/4)*SQRT(2*9.81*(O3044/100-fi_h/2/1000))*1000))</f>
        <v>7.3745298350978219</v>
      </c>
      <c r="Q3044" s="38">
        <f ca="1">IF(O3044="","",IF(Tipo_Vertedor="Retangular",IF(O3044&lt;=cota_s*100,0,IF(Tipo_Vertedor="Retangular",Cd_sr*Lef_sr*((O3044/100-cota_s)^(3/2))*1000)),IF(O3044&lt;=cota_s*100+fi_s/20,0,(OFFSET('Base de dados'!$A$4,IF(O3044&lt;20,1,IF(O3044&gt;1000,10,MATCH(O3044,Cargas,1))),Coluna_fis,1,1))*(PI()*(fi_s/1000)^2/4)*(2*9.81*(O3044/100-cota_s-fi_s/2/1000))^0.5*1000)))</f>
        <v>6.7664883876699085</v>
      </c>
      <c r="R3044" s="38">
        <f t="shared" ca="1" si="325"/>
        <v>14.14101822276773</v>
      </c>
      <c r="S3044" s="38">
        <f t="shared" ca="1" si="326"/>
        <v>950.9375</v>
      </c>
    </row>
    <row r="3045" spans="13:19">
      <c r="M3045" s="132">
        <f t="shared" ca="1" si="323"/>
        <v>965.39355619214439</v>
      </c>
      <c r="N3045" s="38">
        <f t="shared" si="324"/>
        <v>28.537500000000001</v>
      </c>
      <c r="O3045" s="36">
        <f t="shared" si="322"/>
        <v>761</v>
      </c>
      <c r="P3045" s="38">
        <f ca="1">IF(ISERROR(IF(O3045&lt;fi_h/20,0,(OFFSET('Base de dados'!$A$5,IF(O3045&lt;20,1,IF(O3045&gt;1000,10,MATCH(O3045,Cargas,1))),Coluna_fih,1,1))*(1+0.13*0.25)*(PI()*(fi_h/1000)^2/4)*SQRT(2*9.81*(O3045/100-fi_h/2/1000))*1000)),"",IF(O3045&lt;fi_h/20,0,(OFFSET('Base de dados'!$A$5,IF(O3045&lt;20,1,IF(O3045&gt;1000,10,MATCH(O3045,Cargas,1))),Coluna_fih,1,1))*(PI()*(fi_h/1000)^2/4)*SQRT(2*9.81*(O3045/100-fi_h/2/1000))*1000))</f>
        <v>7.3757442652401854</v>
      </c>
      <c r="Q3045" s="38">
        <f ca="1">IF(O3045="","",IF(Tipo_Vertedor="Retangular",IF(O3045&lt;=cota_s*100,0,IF(Tipo_Vertedor="Retangular",Cd_sr*Lef_sr*((O3045/100-cota_s)^(3/2))*1000)),IF(O3045&lt;=cota_s*100+fi_s/20,0,(OFFSET('Base de dados'!$A$4,IF(O3045&lt;20,1,IF(O3045&gt;1000,10,MATCH(O3045,Cargas,1))),Coluna_fis,1,1))*(PI()*(fi_s/1000)^2/4)*(2*9.81*(O3045/100-cota_s-fi_s/2/1000))^0.5*1000)))</f>
        <v>6.7678119269042414</v>
      </c>
      <c r="R3045" s="38">
        <f t="shared" ca="1" si="325"/>
        <v>14.143556192144427</v>
      </c>
      <c r="S3045" s="38">
        <f t="shared" ca="1" si="326"/>
        <v>951.25</v>
      </c>
    </row>
    <row r="3046" spans="13:19">
      <c r="M3046" s="132">
        <f t="shared" ca="1" si="323"/>
        <v>965.70859370281005</v>
      </c>
      <c r="N3046" s="38">
        <f t="shared" si="324"/>
        <v>28.546875</v>
      </c>
      <c r="O3046" s="36">
        <f t="shared" si="322"/>
        <v>761.25</v>
      </c>
      <c r="P3046" s="38">
        <f ca="1">IF(ISERROR(IF(O3046&lt;fi_h/20,0,(OFFSET('Base de dados'!$A$5,IF(O3046&lt;20,1,IF(O3046&gt;1000,10,MATCH(O3046,Cargas,1))),Coluna_fih,1,1))*(1+0.13*0.25)*(PI()*(fi_h/1000)^2/4)*SQRT(2*9.81*(O3046/100-fi_h/2/1000))*1000)),"",IF(O3046&lt;fi_h/20,0,(OFFSET('Base de dados'!$A$5,IF(O3046&lt;20,1,IF(O3046&gt;1000,10,MATCH(O3046,Cargas,1))),Coluna_fih,1,1))*(PI()*(fi_h/1000)^2/4)*SQRT(2*9.81*(O3046/100-fi_h/2/1000))*1000))</f>
        <v>7.3769584954572611</v>
      </c>
      <c r="Q3046" s="38">
        <f ca="1">IF(O3046="","",IF(Tipo_Vertedor="Retangular",IF(O3046&lt;=cota_s*100,0,IF(Tipo_Vertedor="Retangular",Cd_sr*Lef_sr*((O3046/100-cota_s)^(3/2))*1000)),IF(O3046&lt;=cota_s*100+fi_s/20,0,(OFFSET('Base de dados'!$A$4,IF(O3046&lt;20,1,IF(O3046&gt;1000,10,MATCH(O3046,Cargas,1))),Coluna_fis,1,1))*(PI()*(fi_s/1000)^2/4)*(2*9.81*(O3046/100-cota_s-fi_s/2/1000))^0.5*1000)))</f>
        <v>6.7691352073527726</v>
      </c>
      <c r="R3046" s="38">
        <f t="shared" ca="1" si="325"/>
        <v>14.146093702810035</v>
      </c>
      <c r="S3046" s="38">
        <f t="shared" ca="1" si="326"/>
        <v>951.5625</v>
      </c>
    </row>
    <row r="3047" spans="13:19">
      <c r="M3047" s="132">
        <f t="shared" ca="1" si="323"/>
        <v>966.02363075501512</v>
      </c>
      <c r="N3047" s="38">
        <f t="shared" si="324"/>
        <v>28.556250000000002</v>
      </c>
      <c r="O3047" s="36">
        <f t="shared" si="322"/>
        <v>761.5</v>
      </c>
      <c r="P3047" s="38">
        <f ca="1">IF(ISERROR(IF(O3047&lt;fi_h/20,0,(OFFSET('Base de dados'!$A$5,IF(O3047&lt;20,1,IF(O3047&gt;1000,10,MATCH(O3047,Cargas,1))),Coluna_fih,1,1))*(1+0.13*0.25)*(PI()*(fi_h/1000)^2/4)*SQRT(2*9.81*(O3047/100-fi_h/2/1000))*1000)),"",IF(O3047&lt;fi_h/20,0,(OFFSET('Base de dados'!$A$5,IF(O3047&lt;20,1,IF(O3047&gt;1000,10,MATCH(O3047,Cargas,1))),Coluna_fih,1,1))*(PI()*(fi_h/1000)^2/4)*SQRT(2*9.81*(O3047/100-fi_h/2/1000))*1000))</f>
        <v>7.378172525847754</v>
      </c>
      <c r="Q3047" s="38">
        <f ca="1">IF(O3047="","",IF(Tipo_Vertedor="Retangular",IF(O3047&lt;=cota_s*100,0,IF(Tipo_Vertedor="Retangular",Cd_sr*Lef_sr*((O3047/100-cota_s)^(3/2))*1000)),IF(O3047&lt;=cota_s*100+fi_s/20,0,(OFFSET('Base de dados'!$A$4,IF(O3047&lt;20,1,IF(O3047&gt;1000,10,MATCH(O3047,Cargas,1))),Coluna_fis,1,1))*(PI()*(fi_s/1000)^2/4)*(2*9.81*(O3047/100-cota_s-fi_s/2/1000))^0.5*1000)))</f>
        <v>6.770458229167243</v>
      </c>
      <c r="R3047" s="38">
        <f t="shared" ca="1" si="325"/>
        <v>14.148630755014997</v>
      </c>
      <c r="S3047" s="38">
        <f t="shared" ca="1" si="326"/>
        <v>951.87500000000011</v>
      </c>
    </row>
    <row r="3048" spans="13:19">
      <c r="M3048" s="132">
        <f t="shared" ca="1" si="323"/>
        <v>966.33866734900937</v>
      </c>
      <c r="N3048" s="38">
        <f t="shared" si="324"/>
        <v>28.565624999999997</v>
      </c>
      <c r="O3048" s="36">
        <f t="shared" si="322"/>
        <v>761.75</v>
      </c>
      <c r="P3048" s="38">
        <f ca="1">IF(ISERROR(IF(O3048&lt;fi_h/20,0,(OFFSET('Base de dados'!$A$5,IF(O3048&lt;20,1,IF(O3048&gt;1000,10,MATCH(O3048,Cargas,1))),Coluna_fih,1,1))*(1+0.13*0.25)*(PI()*(fi_h/1000)^2/4)*SQRT(2*9.81*(O3048/100-fi_h/2/1000))*1000)),"",IF(O3048&lt;fi_h/20,0,(OFFSET('Base de dados'!$A$5,IF(O3048&lt;20,1,IF(O3048&gt;1000,10,MATCH(O3048,Cargas,1))),Coluna_fih,1,1))*(PI()*(fi_h/1000)^2/4)*SQRT(2*9.81*(O3048/100-fi_h/2/1000))*1000))</f>
        <v>7.37938635651029</v>
      </c>
      <c r="Q3048" s="38">
        <f ca="1">IF(O3048="","",IF(Tipo_Vertedor="Retangular",IF(O3048&lt;=cota_s*100,0,IF(Tipo_Vertedor="Retangular",Cd_sr*Lef_sr*((O3048/100-cota_s)^(3/2))*1000)),IF(O3048&lt;=cota_s*100+fi_s/20,0,(OFFSET('Base de dados'!$A$4,IF(O3048&lt;20,1,IF(O3048&gt;1000,10,MATCH(O3048,Cargas,1))),Coluna_fis,1,1))*(PI()*(fi_s/1000)^2/4)*(2*9.81*(O3048/100-cota_s-fi_s/2/1000))^0.5*1000)))</f>
        <v>6.7717809924992425</v>
      </c>
      <c r="R3048" s="38">
        <f t="shared" ca="1" si="325"/>
        <v>14.151167349009533</v>
      </c>
      <c r="S3048" s="38">
        <f t="shared" ca="1" si="326"/>
        <v>952.18749999999989</v>
      </c>
    </row>
    <row r="3049" spans="13:19">
      <c r="M3049" s="132">
        <f t="shared" ca="1" si="323"/>
        <v>966.65370348504359</v>
      </c>
      <c r="N3049" s="38">
        <f t="shared" si="324"/>
        <v>28.574999999999999</v>
      </c>
      <c r="O3049" s="36">
        <f t="shared" si="322"/>
        <v>762</v>
      </c>
      <c r="P3049" s="38">
        <f ca="1">IF(ISERROR(IF(O3049&lt;fi_h/20,0,(OFFSET('Base de dados'!$A$5,IF(O3049&lt;20,1,IF(O3049&gt;1000,10,MATCH(O3049,Cargas,1))),Coluna_fih,1,1))*(1+0.13*0.25)*(PI()*(fi_h/1000)^2/4)*SQRT(2*9.81*(O3049/100-fi_h/2/1000))*1000)),"",IF(O3049&lt;fi_h/20,0,(OFFSET('Base de dados'!$A$5,IF(O3049&lt;20,1,IF(O3049&gt;1000,10,MATCH(O3049,Cargas,1))),Coluna_fih,1,1))*(PI()*(fi_h/1000)^2/4)*SQRT(2*9.81*(O3049/100-fi_h/2/1000))*1000))</f>
        <v>7.3805999875434107</v>
      </c>
      <c r="Q3049" s="38">
        <f ca="1">IF(O3049="","",IF(Tipo_Vertedor="Retangular",IF(O3049&lt;=cota_s*100,0,IF(Tipo_Vertedor="Retangular",Cd_sr*Lef_sr*((O3049/100-cota_s)^(3/2))*1000)),IF(O3049&lt;=cota_s*100+fi_s/20,0,(OFFSET('Base de dados'!$A$4,IF(O3049&lt;20,1,IF(O3049&gt;1000,10,MATCH(O3049,Cargas,1))),Coluna_fis,1,1))*(PI()*(fi_s/1000)^2/4)*(2*9.81*(O3049/100-cota_s-fi_s/2/1000))^0.5*1000)))</f>
        <v>6.7731034975002116</v>
      </c>
      <c r="R3049" s="38">
        <f t="shared" ca="1" si="325"/>
        <v>14.153703485043621</v>
      </c>
      <c r="S3049" s="38">
        <f t="shared" ca="1" si="326"/>
        <v>952.5</v>
      </c>
    </row>
    <row r="3050" spans="13:19">
      <c r="M3050" s="132">
        <f t="shared" ca="1" si="323"/>
        <v>966.96873916336688</v>
      </c>
      <c r="N3050" s="38">
        <f t="shared" si="324"/>
        <v>28.584374999999998</v>
      </c>
      <c r="O3050" s="36">
        <f t="shared" si="322"/>
        <v>762.25</v>
      </c>
      <c r="P3050" s="38">
        <f ca="1">IF(ISERROR(IF(O3050&lt;fi_h/20,0,(OFFSET('Base de dados'!$A$5,IF(O3050&lt;20,1,IF(O3050&gt;1000,10,MATCH(O3050,Cargas,1))),Coluna_fih,1,1))*(1+0.13*0.25)*(PI()*(fi_h/1000)^2/4)*SQRT(2*9.81*(O3050/100-fi_h/2/1000))*1000)),"",IF(O3050&lt;fi_h/20,0,(OFFSET('Base de dados'!$A$5,IF(O3050&lt;20,1,IF(O3050&gt;1000,10,MATCH(O3050,Cargas,1))),Coluna_fih,1,1))*(PI()*(fi_h/1000)^2/4)*SQRT(2*9.81*(O3050/100-fi_h/2/1000))*1000))</f>
        <v>7.381813419045578</v>
      </c>
      <c r="Q3050" s="38">
        <f ca="1">IF(O3050="","",IF(Tipo_Vertedor="Retangular",IF(O3050&lt;=cota_s*100,0,IF(Tipo_Vertedor="Retangular",Cd_sr*Lef_sr*((O3050/100-cota_s)^(3/2))*1000)),IF(O3050&lt;=cota_s*100+fi_s/20,0,(OFFSET('Base de dados'!$A$4,IF(O3050&lt;20,1,IF(O3050&gt;1000,10,MATCH(O3050,Cargas,1))),Coluna_fis,1,1))*(PI()*(fi_s/1000)^2/4)*(2*9.81*(O3050/100-cota_s-fi_s/2/1000))^0.5*1000)))</f>
        <v>6.7744257443214453</v>
      </c>
      <c r="R3050" s="38">
        <f t="shared" ca="1" si="325"/>
        <v>14.156239163367022</v>
      </c>
      <c r="S3050" s="38">
        <f t="shared" ca="1" si="326"/>
        <v>952.81249999999989</v>
      </c>
    </row>
    <row r="3051" spans="13:19">
      <c r="M3051" s="132">
        <f t="shared" ca="1" si="323"/>
        <v>967.28377438422922</v>
      </c>
      <c r="N3051" s="38">
        <f t="shared" si="324"/>
        <v>28.59375</v>
      </c>
      <c r="O3051" s="36">
        <f t="shared" si="322"/>
        <v>762.5</v>
      </c>
      <c r="P3051" s="38">
        <f ca="1">IF(ISERROR(IF(O3051&lt;fi_h/20,0,(OFFSET('Base de dados'!$A$5,IF(O3051&lt;20,1,IF(O3051&gt;1000,10,MATCH(O3051,Cargas,1))),Coluna_fih,1,1))*(1+0.13*0.25)*(PI()*(fi_h/1000)^2/4)*SQRT(2*9.81*(O3051/100-fi_h/2/1000))*1000)),"",IF(O3051&lt;fi_h/20,0,(OFFSET('Base de dados'!$A$5,IF(O3051&lt;20,1,IF(O3051&gt;1000,10,MATCH(O3051,Cargas,1))),Coluna_fih,1,1))*(PI()*(fi_h/1000)^2/4)*SQRT(2*9.81*(O3051/100-fi_h/2/1000))*1000))</f>
        <v>7.3830266511151743</v>
      </c>
      <c r="Q3051" s="38">
        <f ca="1">IF(O3051="","",IF(Tipo_Vertedor="Retangular",IF(O3051&lt;=cota_s*100,0,IF(Tipo_Vertedor="Retangular",Cd_sr*Lef_sr*((O3051/100-cota_s)^(3/2))*1000)),IF(O3051&lt;=cota_s*100+fi_s/20,0,(OFFSET('Base de dados'!$A$4,IF(O3051&lt;20,1,IF(O3051&gt;1000,10,MATCH(O3051,Cargas,1))),Coluna_fis,1,1))*(PI()*(fi_s/1000)^2/4)*(2*9.81*(O3051/100-cota_s-fi_s/2/1000))^0.5*1000)))</f>
        <v>6.7757477331140903</v>
      </c>
      <c r="R3051" s="38">
        <f t="shared" ca="1" si="325"/>
        <v>14.158774384229265</v>
      </c>
      <c r="S3051" s="38">
        <f t="shared" ca="1" si="326"/>
        <v>953.125</v>
      </c>
    </row>
    <row r="3052" spans="13:19">
      <c r="M3052" s="132">
        <f t="shared" ca="1" si="323"/>
        <v>967.59880914787982</v>
      </c>
      <c r="N3052" s="38">
        <f t="shared" si="324"/>
        <v>28.603125000000002</v>
      </c>
      <c r="O3052" s="36">
        <f t="shared" si="322"/>
        <v>762.75</v>
      </c>
      <c r="P3052" s="38">
        <f ca="1">IF(ISERROR(IF(O3052&lt;fi_h/20,0,(OFFSET('Base de dados'!$A$5,IF(O3052&lt;20,1,IF(O3052&gt;1000,10,MATCH(O3052,Cargas,1))),Coluna_fih,1,1))*(1+0.13*0.25)*(PI()*(fi_h/1000)^2/4)*SQRT(2*9.81*(O3052/100-fi_h/2/1000))*1000)),"",IF(O3052&lt;fi_h/20,0,(OFFSET('Base de dados'!$A$5,IF(O3052&lt;20,1,IF(O3052&gt;1000,10,MATCH(O3052,Cargas,1))),Coluna_fih,1,1))*(PI()*(fi_h/1000)^2/4)*SQRT(2*9.81*(O3052/100-fi_h/2/1000))*1000))</f>
        <v>7.3842396838504998</v>
      </c>
      <c r="Q3052" s="38">
        <f ca="1">IF(O3052="","",IF(Tipo_Vertedor="Retangular",IF(O3052&lt;=cota_s*100,0,IF(Tipo_Vertedor="Retangular",Cd_sr*Lef_sr*((O3052/100-cota_s)^(3/2))*1000)),IF(O3052&lt;=cota_s*100+fi_s/20,0,(OFFSET('Base de dados'!$A$4,IF(O3052&lt;20,1,IF(O3052&gt;1000,10,MATCH(O3052,Cargas,1))),Coluna_fis,1,1))*(PI()*(fi_s/1000)^2/4)*(2*9.81*(O3052/100-cota_s-fi_s/2/1000))^0.5*1000)))</f>
        <v>6.7770694640291484</v>
      </c>
      <c r="R3052" s="38">
        <f t="shared" ca="1" si="325"/>
        <v>14.161309147879649</v>
      </c>
      <c r="S3052" s="38">
        <f t="shared" ca="1" si="326"/>
        <v>953.43750000000011</v>
      </c>
    </row>
    <row r="3053" spans="13:19">
      <c r="M3053" s="132">
        <f t="shared" ca="1" si="323"/>
        <v>967.9138434545672</v>
      </c>
      <c r="N3053" s="38">
        <f t="shared" si="324"/>
        <v>28.612500000000001</v>
      </c>
      <c r="O3053" s="36">
        <f t="shared" si="322"/>
        <v>763</v>
      </c>
      <c r="P3053" s="38">
        <f ca="1">IF(ISERROR(IF(O3053&lt;fi_h/20,0,(OFFSET('Base de dados'!$A$5,IF(O3053&lt;20,1,IF(O3053&gt;1000,10,MATCH(O3053,Cargas,1))),Coluna_fih,1,1))*(1+0.13*0.25)*(PI()*(fi_h/1000)^2/4)*SQRT(2*9.81*(O3053/100-fi_h/2/1000))*1000)),"",IF(O3053&lt;fi_h/20,0,(OFFSET('Base de dados'!$A$5,IF(O3053&lt;20,1,IF(O3053&gt;1000,10,MATCH(O3053,Cargas,1))),Coluna_fih,1,1))*(PI()*(fi_h/1000)^2/4)*SQRT(2*9.81*(O3053/100-fi_h/2/1000))*1000))</f>
        <v>7.3854525173497727</v>
      </c>
      <c r="Q3053" s="38">
        <f ca="1">IF(O3053="","",IF(Tipo_Vertedor="Retangular",IF(O3053&lt;=cota_s*100,0,IF(Tipo_Vertedor="Retangular",Cd_sr*Lef_sr*((O3053/100-cota_s)^(3/2))*1000)),IF(O3053&lt;=cota_s*100+fi_s/20,0,(OFFSET('Base de dados'!$A$4,IF(O3053&lt;20,1,IF(O3053&gt;1000,10,MATCH(O3053,Cargas,1))),Coluna_fis,1,1))*(PI()*(fi_s/1000)^2/4)*(2*9.81*(O3053/100-cota_s-fi_s/2/1000))^0.5*1000)))</f>
        <v>6.7783909372174671</v>
      </c>
      <c r="R3053" s="38">
        <f t="shared" ca="1" si="325"/>
        <v>14.163843454567239</v>
      </c>
      <c r="S3053" s="38">
        <f t="shared" ca="1" si="326"/>
        <v>953.75</v>
      </c>
    </row>
    <row r="3054" spans="13:19">
      <c r="M3054" s="132">
        <f t="shared" ca="1" si="323"/>
        <v>968.22887730454102</v>
      </c>
      <c r="N3054" s="38">
        <f t="shared" si="324"/>
        <v>28.621875000000003</v>
      </c>
      <c r="O3054" s="36">
        <f t="shared" si="322"/>
        <v>763.25</v>
      </c>
      <c r="P3054" s="38">
        <f ca="1">IF(ISERROR(IF(O3054&lt;fi_h/20,0,(OFFSET('Base de dados'!$A$5,IF(O3054&lt;20,1,IF(O3054&gt;1000,10,MATCH(O3054,Cargas,1))),Coluna_fih,1,1))*(1+0.13*0.25)*(PI()*(fi_h/1000)^2/4)*SQRT(2*9.81*(O3054/100-fi_h/2/1000))*1000)),"",IF(O3054&lt;fi_h/20,0,(OFFSET('Base de dados'!$A$5,IF(O3054&lt;20,1,IF(O3054&gt;1000,10,MATCH(O3054,Cargas,1))),Coluna_fih,1,1))*(PI()*(fi_h/1000)^2/4)*SQRT(2*9.81*(O3054/100-fi_h/2/1000))*1000))</f>
        <v>7.3866651517111341</v>
      </c>
      <c r="Q3054" s="38">
        <f ca="1">IF(O3054="","",IF(Tipo_Vertedor="Retangular",IF(O3054&lt;=cota_s*100,0,IF(Tipo_Vertedor="Retangular",Cd_sr*Lef_sr*((O3054/100-cota_s)^(3/2))*1000)),IF(O3054&lt;=cota_s*100+fi_s/20,0,(OFFSET('Base de dados'!$A$4,IF(O3054&lt;20,1,IF(O3054&gt;1000,10,MATCH(O3054,Cargas,1))),Coluna_fis,1,1))*(PI()*(fi_s/1000)^2/4)*(2*9.81*(O3054/100-cota_s-fi_s/2/1000))^0.5*1000)))</f>
        <v>6.779712152829755</v>
      </c>
      <c r="R3054" s="38">
        <f t="shared" ca="1" si="325"/>
        <v>14.166377304540889</v>
      </c>
      <c r="S3054" s="38">
        <f t="shared" ca="1" si="326"/>
        <v>954.06250000000011</v>
      </c>
    </row>
    <row r="3055" spans="13:19">
      <c r="M3055" s="132">
        <f t="shared" ca="1" si="323"/>
        <v>968.5439106980491</v>
      </c>
      <c r="N3055" s="38">
        <f t="shared" si="324"/>
        <v>28.631249999999998</v>
      </c>
      <c r="O3055" s="36">
        <f t="shared" si="322"/>
        <v>763.5</v>
      </c>
      <c r="P3055" s="38">
        <f ca="1">IF(ISERROR(IF(O3055&lt;fi_h/20,0,(OFFSET('Base de dados'!$A$5,IF(O3055&lt;20,1,IF(O3055&gt;1000,10,MATCH(O3055,Cargas,1))),Coluna_fih,1,1))*(1+0.13*0.25)*(PI()*(fi_h/1000)^2/4)*SQRT(2*9.81*(O3055/100-fi_h/2/1000))*1000)),"",IF(O3055&lt;fi_h/20,0,(OFFSET('Base de dados'!$A$5,IF(O3055&lt;20,1,IF(O3055&gt;1000,10,MATCH(O3055,Cargas,1))),Coluna_fih,1,1))*(PI()*(fi_h/1000)^2/4)*SQRT(2*9.81*(O3055/100-fi_h/2/1000))*1000))</f>
        <v>7.3878775870326416</v>
      </c>
      <c r="Q3055" s="38">
        <f ca="1">IF(O3055="","",IF(Tipo_Vertedor="Retangular",IF(O3055&lt;=cota_s*100,0,IF(Tipo_Vertedor="Retangular",Cd_sr*Lef_sr*((O3055/100-cota_s)^(3/2))*1000)),IF(O3055&lt;=cota_s*100+fi_s/20,0,(OFFSET('Base de dados'!$A$4,IF(O3055&lt;20,1,IF(O3055&gt;1000,10,MATCH(O3055,Cargas,1))),Coluna_fis,1,1))*(PI()*(fi_s/1000)^2/4)*(2*9.81*(O3055/100-cota_s-fi_s/2/1000))^0.5*1000)))</f>
        <v>6.7810331110165691</v>
      </c>
      <c r="R3055" s="38">
        <f t="shared" ca="1" si="325"/>
        <v>14.16891069804921</v>
      </c>
      <c r="S3055" s="38">
        <f t="shared" ca="1" si="326"/>
        <v>954.37499999999989</v>
      </c>
    </row>
    <row r="3056" spans="13:19">
      <c r="M3056" s="132">
        <f t="shared" ca="1" si="323"/>
        <v>968.85894363534055</v>
      </c>
      <c r="N3056" s="38">
        <f t="shared" si="324"/>
        <v>28.640625</v>
      </c>
      <c r="O3056" s="36">
        <f t="shared" si="322"/>
        <v>763.75</v>
      </c>
      <c r="P3056" s="38">
        <f ca="1">IF(ISERROR(IF(O3056&lt;fi_h/20,0,(OFFSET('Base de dados'!$A$5,IF(O3056&lt;20,1,IF(O3056&gt;1000,10,MATCH(O3056,Cargas,1))),Coluna_fih,1,1))*(1+0.13*0.25)*(PI()*(fi_h/1000)^2/4)*SQRT(2*9.81*(O3056/100-fi_h/2/1000))*1000)),"",IF(O3056&lt;fi_h/20,0,(OFFSET('Base de dados'!$A$5,IF(O3056&lt;20,1,IF(O3056&gt;1000,10,MATCH(O3056,Cargas,1))),Coluna_fih,1,1))*(PI()*(fi_h/1000)^2/4)*SQRT(2*9.81*(O3056/100-fi_h/2/1000))*1000))</f>
        <v>7.3890898234122728</v>
      </c>
      <c r="Q3056" s="38">
        <f ca="1">IF(O3056="","",IF(Tipo_Vertedor="Retangular",IF(O3056&lt;=cota_s*100,0,IF(Tipo_Vertedor="Retangular",Cd_sr*Lef_sr*((O3056/100-cota_s)^(3/2))*1000)),IF(O3056&lt;=cota_s*100+fi_s/20,0,(OFFSET('Base de dados'!$A$4,IF(O3056&lt;20,1,IF(O3056&gt;1000,10,MATCH(O3056,Cargas,1))),Coluna_fis,1,1))*(PI()*(fi_s/1000)^2/4)*(2*9.81*(O3056/100-cota_s-fi_s/2/1000))^0.5*1000)))</f>
        <v>6.7823538119283207</v>
      </c>
      <c r="R3056" s="38">
        <f t="shared" ca="1" si="325"/>
        <v>14.171443635340594</v>
      </c>
      <c r="S3056" s="38">
        <f t="shared" ca="1" si="326"/>
        <v>954.6875</v>
      </c>
    </row>
    <row r="3057" spans="13:19">
      <c r="M3057" s="132">
        <f t="shared" ca="1" si="323"/>
        <v>969.1739761166632</v>
      </c>
      <c r="N3057" s="38">
        <f t="shared" si="324"/>
        <v>28.65</v>
      </c>
      <c r="O3057" s="36">
        <f t="shared" si="322"/>
        <v>764</v>
      </c>
      <c r="P3057" s="38">
        <f ca="1">IF(ISERROR(IF(O3057&lt;fi_h/20,0,(OFFSET('Base de dados'!$A$5,IF(O3057&lt;20,1,IF(O3057&gt;1000,10,MATCH(O3057,Cargas,1))),Coluna_fih,1,1))*(1+0.13*0.25)*(PI()*(fi_h/1000)^2/4)*SQRT(2*9.81*(O3057/100-fi_h/2/1000))*1000)),"",IF(O3057&lt;fi_h/20,0,(OFFSET('Base de dados'!$A$5,IF(O3057&lt;20,1,IF(O3057&gt;1000,10,MATCH(O3057,Cargas,1))),Coluna_fih,1,1))*(PI()*(fi_h/1000)^2/4)*SQRT(2*9.81*(O3057/100-fi_h/2/1000))*1000))</f>
        <v>7.3903018609479263</v>
      </c>
      <c r="Q3057" s="38">
        <f ca="1">IF(O3057="","",IF(Tipo_Vertedor="Retangular",IF(O3057&lt;=cota_s*100,0,IF(Tipo_Vertedor="Retangular",Cd_sr*Lef_sr*((O3057/100-cota_s)^(3/2))*1000)),IF(O3057&lt;=cota_s*100+fi_s/20,0,(OFFSET('Base de dados'!$A$4,IF(O3057&lt;20,1,IF(O3057&gt;1000,10,MATCH(O3057,Cargas,1))),Coluna_fis,1,1))*(PI()*(fi_s/1000)^2/4)*(2*9.81*(O3057/100-cota_s-fi_s/2/1000))^0.5*1000)))</f>
        <v>6.7836742557152752</v>
      </c>
      <c r="R3057" s="38">
        <f t="shared" ca="1" si="325"/>
        <v>14.173976116663201</v>
      </c>
      <c r="S3057" s="38">
        <f t="shared" ca="1" si="326"/>
        <v>955</v>
      </c>
    </row>
    <row r="3058" spans="13:19">
      <c r="M3058" s="132">
        <f t="shared" ca="1" si="323"/>
        <v>969.48900814226499</v>
      </c>
      <c r="N3058" s="38">
        <f t="shared" si="324"/>
        <v>28.659375000000001</v>
      </c>
      <c r="O3058" s="36">
        <f t="shared" si="322"/>
        <v>764.25</v>
      </c>
      <c r="P3058" s="38">
        <f ca="1">IF(ISERROR(IF(O3058&lt;fi_h/20,0,(OFFSET('Base de dados'!$A$5,IF(O3058&lt;20,1,IF(O3058&gt;1000,10,MATCH(O3058,Cargas,1))),Coluna_fih,1,1))*(1+0.13*0.25)*(PI()*(fi_h/1000)^2/4)*SQRT(2*9.81*(O3058/100-fi_h/2/1000))*1000)),"",IF(O3058&lt;fi_h/20,0,(OFFSET('Base de dados'!$A$5,IF(O3058&lt;20,1,IF(O3058&gt;1000,10,MATCH(O3058,Cargas,1))),Coluna_fih,1,1))*(PI()*(fi_h/1000)^2/4)*SQRT(2*9.81*(O3058/100-fi_h/2/1000))*1000))</f>
        <v>7.3915136997374198</v>
      </c>
      <c r="Q3058" s="38">
        <f ca="1">IF(O3058="","",IF(Tipo_Vertedor="Retangular",IF(O3058&lt;=cota_s*100,0,IF(Tipo_Vertedor="Retangular",Cd_sr*Lef_sr*((O3058/100-cota_s)^(3/2))*1000)),IF(O3058&lt;=cota_s*100+fi_s/20,0,(OFFSET('Base de dados'!$A$4,IF(O3058&lt;20,1,IF(O3058&gt;1000,10,MATCH(O3058,Cargas,1))),Coluna_fis,1,1))*(PI()*(fi_s/1000)^2/4)*(2*9.81*(O3058/100-cota_s-fi_s/2/1000))^0.5*1000)))</f>
        <v>6.7849944425275526</v>
      </c>
      <c r="R3058" s="38">
        <f t="shared" ca="1" si="325"/>
        <v>14.176508142264971</v>
      </c>
      <c r="S3058" s="38">
        <f t="shared" ca="1" si="326"/>
        <v>955.3125</v>
      </c>
    </row>
    <row r="3059" spans="13:19">
      <c r="M3059" s="132">
        <f t="shared" ca="1" si="323"/>
        <v>969.80403971239366</v>
      </c>
      <c r="N3059" s="38">
        <f t="shared" si="324"/>
        <v>28.668749999999999</v>
      </c>
      <c r="O3059" s="36">
        <f t="shared" si="322"/>
        <v>764.5</v>
      </c>
      <c r="P3059" s="38">
        <f ca="1">IF(ISERROR(IF(O3059&lt;fi_h/20,0,(OFFSET('Base de dados'!$A$5,IF(O3059&lt;20,1,IF(O3059&gt;1000,10,MATCH(O3059,Cargas,1))),Coluna_fih,1,1))*(1+0.13*0.25)*(PI()*(fi_h/1000)^2/4)*SQRT(2*9.81*(O3059/100-fi_h/2/1000))*1000)),"",IF(O3059&lt;fi_h/20,0,(OFFSET('Base de dados'!$A$5,IF(O3059&lt;20,1,IF(O3059&gt;1000,10,MATCH(O3059,Cargas,1))),Coluna_fih,1,1))*(PI()*(fi_h/1000)^2/4)*SQRT(2*9.81*(O3059/100-fi_h/2/1000))*1000))</f>
        <v>7.3927253398784902</v>
      </c>
      <c r="Q3059" s="38">
        <f ca="1">IF(O3059="","",IF(Tipo_Vertedor="Retangular",IF(O3059&lt;=cota_s*100,0,IF(Tipo_Vertedor="Retangular",Cd_sr*Lef_sr*((O3059/100-cota_s)^(3/2))*1000)),IF(O3059&lt;=cota_s*100+fi_s/20,0,(OFFSET('Base de dados'!$A$4,IF(O3059&lt;20,1,IF(O3059&gt;1000,10,MATCH(O3059,Cargas,1))),Coluna_fis,1,1))*(PI()*(fi_s/1000)^2/4)*(2*9.81*(O3059/100-cota_s-fi_s/2/1000))^0.5*1000)))</f>
        <v>6.7863143725151245</v>
      </c>
      <c r="R3059" s="38">
        <f t="shared" ca="1" si="325"/>
        <v>14.179039712393614</v>
      </c>
      <c r="S3059" s="38">
        <f t="shared" ca="1" si="326"/>
        <v>955.625</v>
      </c>
    </row>
    <row r="3060" spans="13:19">
      <c r="M3060" s="132">
        <f t="shared" ca="1" si="323"/>
        <v>970.11907082729658</v>
      </c>
      <c r="N3060" s="38">
        <f t="shared" si="324"/>
        <v>28.678125000000001</v>
      </c>
      <c r="O3060" s="36">
        <f t="shared" si="322"/>
        <v>764.75</v>
      </c>
      <c r="P3060" s="38">
        <f ca="1">IF(ISERROR(IF(O3060&lt;fi_h/20,0,(OFFSET('Base de dados'!$A$5,IF(O3060&lt;20,1,IF(O3060&gt;1000,10,MATCH(O3060,Cargas,1))),Coluna_fih,1,1))*(1+0.13*0.25)*(PI()*(fi_h/1000)^2/4)*SQRT(2*9.81*(O3060/100-fi_h/2/1000))*1000)),"",IF(O3060&lt;fi_h/20,0,(OFFSET('Base de dados'!$A$5,IF(O3060&lt;20,1,IF(O3060&gt;1000,10,MATCH(O3060,Cargas,1))),Coluna_fih,1,1))*(PI()*(fi_h/1000)^2/4)*SQRT(2*9.81*(O3060/100-fi_h/2/1000))*1000))</f>
        <v>7.3939367814687955</v>
      </c>
      <c r="Q3060" s="38">
        <f ca="1">IF(O3060="","",IF(Tipo_Vertedor="Retangular",IF(O3060&lt;=cota_s*100,0,IF(Tipo_Vertedor="Retangular",Cd_sr*Lef_sr*((O3060/100-cota_s)^(3/2))*1000)),IF(O3060&lt;=cota_s*100+fi_s/20,0,(OFFSET('Base de dados'!$A$4,IF(O3060&lt;20,1,IF(O3060&gt;1000,10,MATCH(O3060,Cargas,1))),Coluna_fis,1,1))*(PI()*(fi_s/1000)^2/4)*(2*9.81*(O3060/100-cota_s-fi_s/2/1000))^0.5*1000)))</f>
        <v>6.7876340458278177</v>
      </c>
      <c r="R3060" s="38">
        <f t="shared" ca="1" si="325"/>
        <v>14.181570827296614</v>
      </c>
      <c r="S3060" s="38">
        <f t="shared" ca="1" si="326"/>
        <v>955.9375</v>
      </c>
    </row>
    <row r="3061" spans="13:19">
      <c r="M3061" s="132">
        <f t="shared" ca="1" si="323"/>
        <v>970.43410148722126</v>
      </c>
      <c r="N3061" s="38">
        <f t="shared" si="324"/>
        <v>28.6875</v>
      </c>
      <c r="O3061" s="36">
        <f t="shared" si="322"/>
        <v>765</v>
      </c>
      <c r="P3061" s="38">
        <f ca="1">IF(ISERROR(IF(O3061&lt;fi_h/20,0,(OFFSET('Base de dados'!$A$5,IF(O3061&lt;20,1,IF(O3061&gt;1000,10,MATCH(O3061,Cargas,1))),Coluna_fih,1,1))*(1+0.13*0.25)*(PI()*(fi_h/1000)^2/4)*SQRT(2*9.81*(O3061/100-fi_h/2/1000))*1000)),"",IF(O3061&lt;fi_h/20,0,(OFFSET('Base de dados'!$A$5,IF(O3061&lt;20,1,IF(O3061&gt;1000,10,MATCH(O3061,Cargas,1))),Coluna_fih,1,1))*(PI()*(fi_h/1000)^2/4)*SQRT(2*9.81*(O3061/100-fi_h/2/1000))*1000))</f>
        <v>7.39514802460591</v>
      </c>
      <c r="Q3061" s="38">
        <f ca="1">IF(O3061="","",IF(Tipo_Vertedor="Retangular",IF(O3061&lt;=cota_s*100,0,IF(Tipo_Vertedor="Retangular",Cd_sr*Lef_sr*((O3061/100-cota_s)^(3/2))*1000)),IF(O3061&lt;=cota_s*100+fi_s/20,0,(OFFSET('Base de dados'!$A$4,IF(O3061&lt;20,1,IF(O3061&gt;1000,10,MATCH(O3061,Cargas,1))),Coluna_fis,1,1))*(PI()*(fi_s/1000)^2/4)*(2*9.81*(O3061/100-cota_s-fi_s/2/1000))^0.5*1000)))</f>
        <v>6.788953462615317</v>
      </c>
      <c r="R3061" s="38">
        <f t="shared" ca="1" si="325"/>
        <v>14.184101487221227</v>
      </c>
      <c r="S3061" s="38">
        <f t="shared" ca="1" si="326"/>
        <v>956.25</v>
      </c>
    </row>
    <row r="3062" spans="13:19">
      <c r="M3062" s="132">
        <f t="shared" ca="1" si="323"/>
        <v>970.74913169241449</v>
      </c>
      <c r="N3062" s="38">
        <f t="shared" si="324"/>
        <v>28.696874999999999</v>
      </c>
      <c r="O3062" s="36">
        <f t="shared" si="322"/>
        <v>765.25</v>
      </c>
      <c r="P3062" s="38">
        <f ca="1">IF(ISERROR(IF(O3062&lt;fi_h/20,0,(OFFSET('Base de dados'!$A$5,IF(O3062&lt;20,1,IF(O3062&gt;1000,10,MATCH(O3062,Cargas,1))),Coluna_fih,1,1))*(1+0.13*0.25)*(PI()*(fi_h/1000)^2/4)*SQRT(2*9.81*(O3062/100-fi_h/2/1000))*1000)),"",IF(O3062&lt;fi_h/20,0,(OFFSET('Base de dados'!$A$5,IF(O3062&lt;20,1,IF(O3062&gt;1000,10,MATCH(O3062,Cargas,1))),Coluna_fih,1,1))*(PI()*(fi_h/1000)^2/4)*SQRT(2*9.81*(O3062/100-fi_h/2/1000))*1000))</f>
        <v>7.3963590693873345</v>
      </c>
      <c r="Q3062" s="38">
        <f ca="1">IF(O3062="","",IF(Tipo_Vertedor="Retangular",IF(O3062&lt;=cota_s*100,0,IF(Tipo_Vertedor="Retangular",Cd_sr*Lef_sr*((O3062/100-cota_s)^(3/2))*1000)),IF(O3062&lt;=cota_s*100+fi_s/20,0,(OFFSET('Base de dados'!$A$4,IF(O3062&lt;20,1,IF(O3062&gt;1000,10,MATCH(O3062,Cargas,1))),Coluna_fis,1,1))*(PI()*(fi_s/1000)^2/4)*(2*9.81*(O3062/100-cota_s-fi_s/2/1000))^0.5*1000)))</f>
        <v>6.7902726230271551</v>
      </c>
      <c r="R3062" s="38">
        <f t="shared" ca="1" si="325"/>
        <v>14.18663169241449</v>
      </c>
      <c r="S3062" s="38">
        <f t="shared" ca="1" si="326"/>
        <v>956.5625</v>
      </c>
    </row>
    <row r="3063" spans="13:19">
      <c r="M3063" s="132">
        <f t="shared" ca="1" si="323"/>
        <v>971.06416144312323</v>
      </c>
      <c r="N3063" s="38">
        <f t="shared" si="324"/>
        <v>28.706250000000001</v>
      </c>
      <c r="O3063" s="36">
        <f t="shared" si="322"/>
        <v>765.5</v>
      </c>
      <c r="P3063" s="38">
        <f ca="1">IF(ISERROR(IF(O3063&lt;fi_h/20,0,(OFFSET('Base de dados'!$A$5,IF(O3063&lt;20,1,IF(O3063&gt;1000,10,MATCH(O3063,Cargas,1))),Coluna_fih,1,1))*(1+0.13*0.25)*(PI()*(fi_h/1000)^2/4)*SQRT(2*9.81*(O3063/100-fi_h/2/1000))*1000)),"",IF(O3063&lt;fi_h/20,0,(OFFSET('Base de dados'!$A$5,IF(O3063&lt;20,1,IF(O3063&gt;1000,10,MATCH(O3063,Cargas,1))),Coluna_fih,1,1))*(PI()*(fi_h/1000)^2/4)*SQRT(2*9.81*(O3063/100-fi_h/2/1000))*1000))</f>
        <v>7.3975699159104842</v>
      </c>
      <c r="Q3063" s="38">
        <f ca="1">IF(O3063="","",IF(Tipo_Vertedor="Retangular",IF(O3063&lt;=cota_s*100,0,IF(Tipo_Vertedor="Retangular",Cd_sr*Lef_sr*((O3063/100-cota_s)^(3/2))*1000)),IF(O3063&lt;=cota_s*100+fi_s/20,0,(OFFSET('Base de dados'!$A$4,IF(O3063&lt;20,1,IF(O3063&gt;1000,10,MATCH(O3063,Cargas,1))),Coluna_fis,1,1))*(PI()*(fi_s/1000)^2/4)*(2*9.81*(O3063/100-cota_s-fi_s/2/1000))^0.5*1000)))</f>
        <v>6.7915915272127227</v>
      </c>
      <c r="R3063" s="38">
        <f t="shared" ca="1" si="325"/>
        <v>14.189161443123208</v>
      </c>
      <c r="S3063" s="38">
        <f t="shared" ca="1" si="326"/>
        <v>956.875</v>
      </c>
    </row>
    <row r="3064" spans="13:19">
      <c r="M3064" s="132">
        <f t="shared" ca="1" si="323"/>
        <v>971.37919073959392</v>
      </c>
      <c r="N3064" s="38">
        <f t="shared" si="324"/>
        <v>28.715624999999999</v>
      </c>
      <c r="O3064" s="36">
        <f t="shared" si="322"/>
        <v>765.75</v>
      </c>
      <c r="P3064" s="38">
        <f ca="1">IF(ISERROR(IF(O3064&lt;fi_h/20,0,(OFFSET('Base de dados'!$A$5,IF(O3064&lt;20,1,IF(O3064&gt;1000,10,MATCH(O3064,Cargas,1))),Coluna_fih,1,1))*(1+0.13*0.25)*(PI()*(fi_h/1000)^2/4)*SQRT(2*9.81*(O3064/100-fi_h/2/1000))*1000)),"",IF(O3064&lt;fi_h/20,0,(OFFSET('Base de dados'!$A$5,IF(O3064&lt;20,1,IF(O3064&gt;1000,10,MATCH(O3064,Cargas,1))),Coluna_fih,1,1))*(PI()*(fi_h/1000)^2/4)*SQRT(2*9.81*(O3064/100-fi_h/2/1000))*1000))</f>
        <v>7.3987805642726965</v>
      </c>
      <c r="Q3064" s="38">
        <f ca="1">IF(O3064="","",IF(Tipo_Vertedor="Retangular",IF(O3064&lt;=cota_s*100,0,IF(Tipo_Vertedor="Retangular",Cd_sr*Lef_sr*((O3064/100-cota_s)^(3/2))*1000)),IF(O3064&lt;=cota_s*100+fi_s/20,0,(OFFSET('Base de dados'!$A$4,IF(O3064&lt;20,1,IF(O3064&gt;1000,10,MATCH(O3064,Cargas,1))),Coluna_fis,1,1))*(PI()*(fi_s/1000)^2/4)*(2*9.81*(O3064/100-cota_s-fi_s/2/1000))^0.5*1000)))</f>
        <v>6.7929101753212677</v>
      </c>
      <c r="R3064" s="38">
        <f t="shared" ca="1" si="325"/>
        <v>14.191690739593964</v>
      </c>
      <c r="S3064" s="38">
        <f t="shared" ca="1" si="326"/>
        <v>957.1875</v>
      </c>
    </row>
    <row r="3065" spans="13:19">
      <c r="M3065" s="132">
        <f t="shared" ca="1" si="323"/>
        <v>971.69421958207317</v>
      </c>
      <c r="N3065" s="38">
        <f t="shared" si="324"/>
        <v>28.725000000000001</v>
      </c>
      <c r="O3065" s="36">
        <f t="shared" si="322"/>
        <v>766</v>
      </c>
      <c r="P3065" s="38">
        <f ca="1">IF(ISERROR(IF(O3065&lt;fi_h/20,0,(OFFSET('Base de dados'!$A$5,IF(O3065&lt;20,1,IF(O3065&gt;1000,10,MATCH(O3065,Cargas,1))),Coluna_fih,1,1))*(1+0.13*0.25)*(PI()*(fi_h/1000)^2/4)*SQRT(2*9.81*(O3065/100-fi_h/2/1000))*1000)),"",IF(O3065&lt;fi_h/20,0,(OFFSET('Base de dados'!$A$5,IF(O3065&lt;20,1,IF(O3065&gt;1000,10,MATCH(O3065,Cargas,1))),Coluna_fih,1,1))*(PI()*(fi_h/1000)^2/4)*SQRT(2*9.81*(O3065/100-fi_h/2/1000))*1000))</f>
        <v>7.399991014571234</v>
      </c>
      <c r="Q3065" s="38">
        <f ca="1">IF(O3065="","",IF(Tipo_Vertedor="Retangular",IF(O3065&lt;=cota_s*100,0,IF(Tipo_Vertedor="Retangular",Cd_sr*Lef_sr*((O3065/100-cota_s)^(3/2))*1000)),IF(O3065&lt;=cota_s*100+fi_s/20,0,(OFFSET('Base de dados'!$A$4,IF(O3065&lt;20,1,IF(O3065&gt;1000,10,MATCH(O3065,Cargas,1))),Coluna_fis,1,1))*(PI()*(fi_s/1000)^2/4)*(2*9.81*(O3065/100-cota_s-fi_s/2/1000))^0.5*1000)))</f>
        <v>6.7942285675018912</v>
      </c>
      <c r="R3065" s="38">
        <f t="shared" ca="1" si="325"/>
        <v>14.194219582073124</v>
      </c>
      <c r="S3065" s="38">
        <f t="shared" ca="1" si="326"/>
        <v>957.5</v>
      </c>
    </row>
    <row r="3066" spans="13:19">
      <c r="M3066" s="132">
        <f t="shared" ca="1" si="323"/>
        <v>972.00924797080677</v>
      </c>
      <c r="N3066" s="38">
        <f t="shared" si="324"/>
        <v>28.734375</v>
      </c>
      <c r="O3066" s="36">
        <f t="shared" si="322"/>
        <v>766.25</v>
      </c>
      <c r="P3066" s="38">
        <f ca="1">IF(ISERROR(IF(O3066&lt;fi_h/20,0,(OFFSET('Base de dados'!$A$5,IF(O3066&lt;20,1,IF(O3066&gt;1000,10,MATCH(O3066,Cargas,1))),Coluna_fih,1,1))*(1+0.13*0.25)*(PI()*(fi_h/1000)^2/4)*SQRT(2*9.81*(O3066/100-fi_h/2/1000))*1000)),"",IF(O3066&lt;fi_h/20,0,(OFFSET('Base de dados'!$A$5,IF(O3066&lt;20,1,IF(O3066&gt;1000,10,MATCH(O3066,Cargas,1))),Coluna_fih,1,1))*(PI()*(fi_h/1000)^2/4)*SQRT(2*9.81*(O3066/100-fi_h/2/1000))*1000))</f>
        <v>7.4012012669032696</v>
      </c>
      <c r="Q3066" s="38">
        <f ca="1">IF(O3066="","",IF(Tipo_Vertedor="Retangular",IF(O3066&lt;=cota_s*100,0,IF(Tipo_Vertedor="Retangular",Cd_sr*Lef_sr*((O3066/100-cota_s)^(3/2))*1000)),IF(O3066&lt;=cota_s*100+fi_s/20,0,(OFFSET('Base de dados'!$A$4,IF(O3066&lt;20,1,IF(O3066&gt;1000,10,MATCH(O3066,Cargas,1))),Coluna_fis,1,1))*(PI()*(fi_s/1000)^2/4)*(2*9.81*(O3066/100-cota_s-fi_s/2/1000))^0.5*1000)))</f>
        <v>6.7955467039035478</v>
      </c>
      <c r="R3066" s="38">
        <f t="shared" ca="1" si="325"/>
        <v>14.196747970806818</v>
      </c>
      <c r="S3066" s="38">
        <f t="shared" ca="1" si="326"/>
        <v>957.8125</v>
      </c>
    </row>
    <row r="3067" spans="13:19">
      <c r="M3067" s="132">
        <f t="shared" ca="1" si="323"/>
        <v>972.32427590604095</v>
      </c>
      <c r="N3067" s="38">
        <f t="shared" si="324"/>
        <v>28.743749999999999</v>
      </c>
      <c r="O3067" s="36">
        <f t="shared" si="322"/>
        <v>766.5</v>
      </c>
      <c r="P3067" s="38">
        <f ca="1">IF(ISERROR(IF(O3067&lt;fi_h/20,0,(OFFSET('Base de dados'!$A$5,IF(O3067&lt;20,1,IF(O3067&gt;1000,10,MATCH(O3067,Cargas,1))),Coluna_fih,1,1))*(1+0.13*0.25)*(PI()*(fi_h/1000)^2/4)*SQRT(2*9.81*(O3067/100-fi_h/2/1000))*1000)),"",IF(O3067&lt;fi_h/20,0,(OFFSET('Base de dados'!$A$5,IF(O3067&lt;20,1,IF(O3067&gt;1000,10,MATCH(O3067,Cargas,1))),Coluna_fih,1,1))*(PI()*(fi_h/1000)^2/4)*SQRT(2*9.81*(O3067/100-fi_h/2/1000))*1000))</f>
        <v>7.4024113213659062</v>
      </c>
      <c r="Q3067" s="38">
        <f ca="1">IF(O3067="","",IF(Tipo_Vertedor="Retangular",IF(O3067&lt;=cota_s*100,0,IF(Tipo_Vertedor="Retangular",Cd_sr*Lef_sr*((O3067/100-cota_s)^(3/2))*1000)),IF(O3067&lt;=cota_s*100+fi_s/20,0,(OFFSET('Base de dados'!$A$4,IF(O3067&lt;20,1,IF(O3067&gt;1000,10,MATCH(O3067,Cargas,1))),Coluna_fis,1,1))*(PI()*(fi_s/1000)^2/4)*(2*9.81*(O3067/100-cota_s-fi_s/2/1000))^0.5*1000)))</f>
        <v>6.7968645846750508</v>
      </c>
      <c r="R3067" s="38">
        <f t="shared" ca="1" si="325"/>
        <v>14.199275906040956</v>
      </c>
      <c r="S3067" s="38">
        <f t="shared" ca="1" si="326"/>
        <v>958.125</v>
      </c>
    </row>
    <row r="3068" spans="13:19">
      <c r="M3068" s="132">
        <f t="shared" ca="1" si="323"/>
        <v>972.63930338802118</v>
      </c>
      <c r="N3068" s="38">
        <f t="shared" si="324"/>
        <v>28.753125000000001</v>
      </c>
      <c r="O3068" s="36">
        <f t="shared" si="322"/>
        <v>766.75</v>
      </c>
      <c r="P3068" s="38">
        <f ca="1">IF(ISERROR(IF(O3068&lt;fi_h/20,0,(OFFSET('Base de dados'!$A$5,IF(O3068&lt;20,1,IF(O3068&gt;1000,10,MATCH(O3068,Cargas,1))),Coluna_fih,1,1))*(1+0.13*0.25)*(PI()*(fi_h/1000)^2/4)*SQRT(2*9.81*(O3068/100-fi_h/2/1000))*1000)),"",IF(O3068&lt;fi_h/20,0,(OFFSET('Base de dados'!$A$5,IF(O3068&lt;20,1,IF(O3068&gt;1000,10,MATCH(O3068,Cargas,1))),Coluna_fih,1,1))*(PI()*(fi_h/1000)^2/4)*SQRT(2*9.81*(O3068/100-fi_h/2/1000))*1000))</f>
        <v>7.4036211780561629</v>
      </c>
      <c r="Q3068" s="38">
        <f ca="1">IF(O3068="","",IF(Tipo_Vertedor="Retangular",IF(O3068&lt;=cota_s*100,0,IF(Tipo_Vertedor="Retangular",Cd_sr*Lef_sr*((O3068/100-cota_s)^(3/2))*1000)),IF(O3068&lt;=cota_s*100+fi_s/20,0,(OFFSET('Base de dados'!$A$4,IF(O3068&lt;20,1,IF(O3068&gt;1000,10,MATCH(O3068,Cargas,1))),Coluna_fis,1,1))*(PI()*(fi_s/1000)^2/4)*(2*9.81*(O3068/100-cota_s-fi_s/2/1000))^0.5*1000)))</f>
        <v>6.7981822099650682</v>
      </c>
      <c r="R3068" s="38">
        <f t="shared" ca="1" si="325"/>
        <v>14.201803388021231</v>
      </c>
      <c r="S3068" s="38">
        <f t="shared" ca="1" si="326"/>
        <v>958.4375</v>
      </c>
    </row>
    <row r="3069" spans="13:19">
      <c r="M3069" s="132">
        <f t="shared" ca="1" si="323"/>
        <v>972.95433041699312</v>
      </c>
      <c r="N3069" s="38">
        <f t="shared" si="324"/>
        <v>28.762499999999999</v>
      </c>
      <c r="O3069" s="36">
        <f t="shared" si="322"/>
        <v>767</v>
      </c>
      <c r="P3069" s="38">
        <f ca="1">IF(ISERROR(IF(O3069&lt;fi_h/20,0,(OFFSET('Base de dados'!$A$5,IF(O3069&lt;20,1,IF(O3069&gt;1000,10,MATCH(O3069,Cargas,1))),Coluna_fih,1,1))*(1+0.13*0.25)*(PI()*(fi_h/1000)^2/4)*SQRT(2*9.81*(O3069/100-fi_h/2/1000))*1000)),"",IF(O3069&lt;fi_h/20,0,(OFFSET('Base de dados'!$A$5,IF(O3069&lt;20,1,IF(O3069&gt;1000,10,MATCH(O3069,Cargas,1))),Coluna_fih,1,1))*(PI()*(fi_h/1000)^2/4)*SQRT(2*9.81*(O3069/100-fi_h/2/1000))*1000))</f>
        <v>7.4048308370709792</v>
      </c>
      <c r="Q3069" s="38">
        <f ca="1">IF(O3069="","",IF(Tipo_Vertedor="Retangular",IF(O3069&lt;=cota_s*100,0,IF(Tipo_Vertedor="Retangular",Cd_sr*Lef_sr*((O3069/100-cota_s)^(3/2))*1000)),IF(O3069&lt;=cota_s*100+fi_s/20,0,(OFFSET('Base de dados'!$A$4,IF(O3069&lt;20,1,IF(O3069&gt;1000,10,MATCH(O3069,Cargas,1))),Coluna_fis,1,1))*(PI()*(fi_s/1000)^2/4)*(2*9.81*(O3069/100-cota_s-fi_s/2/1000))^0.5*1000)))</f>
        <v>6.7994995799221201</v>
      </c>
      <c r="R3069" s="38">
        <f t="shared" ca="1" si="325"/>
        <v>14.204330416993098</v>
      </c>
      <c r="S3069" s="38">
        <f t="shared" ca="1" si="326"/>
        <v>958.75</v>
      </c>
    </row>
    <row r="3070" spans="13:19">
      <c r="M3070" s="132">
        <f t="shared" ca="1" si="323"/>
        <v>973.26935699320177</v>
      </c>
      <c r="N3070" s="38">
        <f t="shared" si="324"/>
        <v>28.771875000000001</v>
      </c>
      <c r="O3070" s="36">
        <f t="shared" si="322"/>
        <v>767.25</v>
      </c>
      <c r="P3070" s="38">
        <f ca="1">IF(ISERROR(IF(O3070&lt;fi_h/20,0,(OFFSET('Base de dados'!$A$5,IF(O3070&lt;20,1,IF(O3070&gt;1000,10,MATCH(O3070,Cargas,1))),Coluna_fih,1,1))*(1+0.13*0.25)*(PI()*(fi_h/1000)^2/4)*SQRT(2*9.81*(O3070/100-fi_h/2/1000))*1000)),"",IF(O3070&lt;fi_h/20,0,(OFFSET('Base de dados'!$A$5,IF(O3070&lt;20,1,IF(O3070&gt;1000,10,MATCH(O3070,Cargas,1))),Coluna_fih,1,1))*(PI()*(fi_h/1000)^2/4)*SQRT(2*9.81*(O3070/100-fi_h/2/1000))*1000))</f>
        <v>7.406040298507218</v>
      </c>
      <c r="Q3070" s="38">
        <f ca="1">IF(O3070="","",IF(Tipo_Vertedor="Retangular",IF(O3070&lt;=cota_s*100,0,IF(Tipo_Vertedor="Retangular",Cd_sr*Lef_sr*((O3070/100-cota_s)^(3/2))*1000)),IF(O3070&lt;=cota_s*100+fi_s/20,0,(OFFSET('Base de dados'!$A$4,IF(O3070&lt;20,1,IF(O3070&gt;1000,10,MATCH(O3070,Cargas,1))),Coluna_fis,1,1))*(PI()*(fi_s/1000)^2/4)*(2*9.81*(O3070/100-cota_s-fi_s/2/1000))^0.5*1000)))</f>
        <v>6.8008166946945918</v>
      </c>
      <c r="R3070" s="38">
        <f t="shared" ca="1" si="325"/>
        <v>14.206856993201811</v>
      </c>
      <c r="S3070" s="38">
        <f t="shared" ca="1" si="326"/>
        <v>959.0625</v>
      </c>
    </row>
    <row r="3071" spans="13:19">
      <c r="M3071" s="132">
        <f t="shared" ca="1" si="323"/>
        <v>973.58438311689235</v>
      </c>
      <c r="N3071" s="38">
        <f t="shared" si="324"/>
        <v>28.78125</v>
      </c>
      <c r="O3071" s="36">
        <f t="shared" si="322"/>
        <v>767.5</v>
      </c>
      <c r="P3071" s="38">
        <f ca="1">IF(ISERROR(IF(O3071&lt;fi_h/20,0,(OFFSET('Base de dados'!$A$5,IF(O3071&lt;20,1,IF(O3071&gt;1000,10,MATCH(O3071,Cargas,1))),Coluna_fih,1,1))*(1+0.13*0.25)*(PI()*(fi_h/1000)^2/4)*SQRT(2*9.81*(O3071/100-fi_h/2/1000))*1000)),"",IF(O3071&lt;fi_h/20,0,(OFFSET('Base de dados'!$A$5,IF(O3071&lt;20,1,IF(O3071&gt;1000,10,MATCH(O3071,Cargas,1))),Coluna_fih,1,1))*(PI()*(fi_h/1000)^2/4)*SQRT(2*9.81*(O3071/100-fi_h/2/1000))*1000))</f>
        <v>7.4072495624616597</v>
      </c>
      <c r="Q3071" s="38">
        <f ca="1">IF(O3071="","",IF(Tipo_Vertedor="Retangular",IF(O3071&lt;=cota_s*100,0,IF(Tipo_Vertedor="Retangular",Cd_sr*Lef_sr*((O3071/100-cota_s)^(3/2))*1000)),IF(O3071&lt;=cota_s*100+fi_s/20,0,(OFFSET('Base de dados'!$A$4,IF(O3071&lt;20,1,IF(O3071&gt;1000,10,MATCH(O3071,Cargas,1))),Coluna_fis,1,1))*(PI()*(fi_s/1000)^2/4)*(2*9.81*(O3071/100-cota_s-fi_s/2/1000))^0.5*1000)))</f>
        <v>6.802133554430716</v>
      </c>
      <c r="R3071" s="38">
        <f t="shared" ca="1" si="325"/>
        <v>14.209383116892376</v>
      </c>
      <c r="S3071" s="38">
        <f t="shared" ca="1" si="326"/>
        <v>959.375</v>
      </c>
    </row>
    <row r="3072" spans="13:19">
      <c r="M3072" s="132">
        <f t="shared" ca="1" si="323"/>
        <v>973.89940878830976</v>
      </c>
      <c r="N3072" s="38">
        <f t="shared" si="324"/>
        <v>28.790625000000002</v>
      </c>
      <c r="O3072" s="36">
        <f t="shared" si="322"/>
        <v>767.75</v>
      </c>
      <c r="P3072" s="38">
        <f ca="1">IF(ISERROR(IF(O3072&lt;fi_h/20,0,(OFFSET('Base de dados'!$A$5,IF(O3072&lt;20,1,IF(O3072&gt;1000,10,MATCH(O3072,Cargas,1))),Coluna_fih,1,1))*(1+0.13*0.25)*(PI()*(fi_h/1000)^2/4)*SQRT(2*9.81*(O3072/100-fi_h/2/1000))*1000)),"",IF(O3072&lt;fi_h/20,0,(OFFSET('Base de dados'!$A$5,IF(O3072&lt;20,1,IF(O3072&gt;1000,10,MATCH(O3072,Cargas,1))),Coluna_fih,1,1))*(PI()*(fi_h/1000)^2/4)*SQRT(2*9.81*(O3072/100-fi_h/2/1000))*1000))</f>
        <v>7.4084586290310082</v>
      </c>
      <c r="Q3072" s="38">
        <f ca="1">IF(O3072="","",IF(Tipo_Vertedor="Retangular",IF(O3072&lt;=cota_s*100,0,IF(Tipo_Vertedor="Retangular",Cd_sr*Lef_sr*((O3072/100-cota_s)^(3/2))*1000)),IF(O3072&lt;=cota_s*100+fi_s/20,0,(OFFSET('Base de dados'!$A$4,IF(O3072&lt;20,1,IF(O3072&gt;1000,10,MATCH(O3072,Cargas,1))),Coluna_fis,1,1))*(PI()*(fi_s/1000)^2/4)*(2*9.81*(O3072/100-cota_s-fi_s/2/1000))^0.5*1000)))</f>
        <v>6.8034501592785865</v>
      </c>
      <c r="R3072" s="38">
        <f t="shared" ca="1" si="325"/>
        <v>14.211908788309595</v>
      </c>
      <c r="S3072" s="38">
        <f t="shared" ca="1" si="326"/>
        <v>959.68750000000011</v>
      </c>
    </row>
    <row r="3073" spans="13:19">
      <c r="M3073" s="132">
        <f t="shared" ca="1" si="323"/>
        <v>974.21443400769795</v>
      </c>
      <c r="N3073" s="38">
        <f t="shared" si="324"/>
        <v>28.799999999999997</v>
      </c>
      <c r="O3073" s="36">
        <f t="shared" si="322"/>
        <v>768</v>
      </c>
      <c r="P3073" s="38">
        <f ca="1">IF(ISERROR(IF(O3073&lt;fi_h/20,0,(OFFSET('Base de dados'!$A$5,IF(O3073&lt;20,1,IF(O3073&gt;1000,10,MATCH(O3073,Cargas,1))),Coluna_fih,1,1))*(1+0.13*0.25)*(PI()*(fi_h/1000)^2/4)*SQRT(2*9.81*(O3073/100-fi_h/2/1000))*1000)),"",IF(O3073&lt;fi_h/20,0,(OFFSET('Base de dados'!$A$5,IF(O3073&lt;20,1,IF(O3073&gt;1000,10,MATCH(O3073,Cargas,1))),Coluna_fih,1,1))*(PI()*(fi_h/1000)^2/4)*SQRT(2*9.81*(O3073/100-fi_h/2/1000))*1000))</f>
        <v>7.4096674983118911</v>
      </c>
      <c r="Q3073" s="38">
        <f ca="1">IF(O3073="","",IF(Tipo_Vertedor="Retangular",IF(O3073&lt;=cota_s*100,0,IF(Tipo_Vertedor="Retangular",Cd_sr*Lef_sr*((O3073/100-cota_s)^(3/2))*1000)),IF(O3073&lt;=cota_s*100+fi_s/20,0,(OFFSET('Base de dados'!$A$4,IF(O3073&lt;20,1,IF(O3073&gt;1000,10,MATCH(O3073,Cargas,1))),Coluna_fis,1,1))*(PI()*(fi_s/1000)^2/4)*(2*9.81*(O3073/100-cota_s-fi_s/2/1000))^0.5*1000)))</f>
        <v>6.8047665093861527</v>
      </c>
      <c r="R3073" s="38">
        <f t="shared" ca="1" si="325"/>
        <v>14.214434007698044</v>
      </c>
      <c r="S3073" s="38">
        <f t="shared" ca="1" si="326"/>
        <v>959.99999999999989</v>
      </c>
    </row>
    <row r="3074" spans="13:19">
      <c r="M3074" s="132">
        <f t="shared" ca="1" si="323"/>
        <v>974.52945877530203</v>
      </c>
      <c r="N3074" s="38">
        <f t="shared" si="324"/>
        <v>28.809374999999999</v>
      </c>
      <c r="O3074" s="36">
        <f t="shared" si="322"/>
        <v>768.25</v>
      </c>
      <c r="P3074" s="38">
        <f ca="1">IF(ISERROR(IF(O3074&lt;fi_h/20,0,(OFFSET('Base de dados'!$A$5,IF(O3074&lt;20,1,IF(O3074&gt;1000,10,MATCH(O3074,Cargas,1))),Coluna_fih,1,1))*(1+0.13*0.25)*(PI()*(fi_h/1000)^2/4)*SQRT(2*9.81*(O3074/100-fi_h/2/1000))*1000)),"",IF(O3074&lt;fi_h/20,0,(OFFSET('Base de dados'!$A$5,IF(O3074&lt;20,1,IF(O3074&gt;1000,10,MATCH(O3074,Cargas,1))),Coluna_fih,1,1))*(PI()*(fi_h/1000)^2/4)*SQRT(2*9.81*(O3074/100-fi_h/2/1000))*1000))</f>
        <v>7.4108761704008508</v>
      </c>
      <c r="Q3074" s="38">
        <f ca="1">IF(O3074="","",IF(Tipo_Vertedor="Retangular",IF(O3074&lt;=cota_s*100,0,IF(Tipo_Vertedor="Retangular",Cd_sr*Lef_sr*((O3074/100-cota_s)^(3/2))*1000)),IF(O3074&lt;=cota_s*100+fi_s/20,0,(OFFSET('Base de dados'!$A$4,IF(O3074&lt;20,1,IF(O3074&gt;1000,10,MATCH(O3074,Cargas,1))),Coluna_fis,1,1))*(PI()*(fi_s/1000)^2/4)*(2*9.81*(O3074/100-cota_s-fi_s/2/1000))^0.5*1000)))</f>
        <v>6.8060826049012206</v>
      </c>
      <c r="R3074" s="38">
        <f t="shared" ca="1" si="325"/>
        <v>14.216958775302071</v>
      </c>
      <c r="S3074" s="38">
        <f t="shared" ca="1" si="326"/>
        <v>960.3125</v>
      </c>
    </row>
    <row r="3075" spans="13:19">
      <c r="M3075" s="132">
        <f t="shared" ca="1" si="323"/>
        <v>974.84448309136565</v>
      </c>
      <c r="N3075" s="38">
        <f t="shared" si="324"/>
        <v>28.818749999999998</v>
      </c>
      <c r="O3075" s="36">
        <f t="shared" si="322"/>
        <v>768.5</v>
      </c>
      <c r="P3075" s="38">
        <f ca="1">IF(ISERROR(IF(O3075&lt;fi_h/20,0,(OFFSET('Base de dados'!$A$5,IF(O3075&lt;20,1,IF(O3075&gt;1000,10,MATCH(O3075,Cargas,1))),Coluna_fih,1,1))*(1+0.13*0.25)*(PI()*(fi_h/1000)^2/4)*SQRT(2*9.81*(O3075/100-fi_h/2/1000))*1000)),"",IF(O3075&lt;fi_h/20,0,(OFFSET('Base de dados'!$A$5,IF(O3075&lt;20,1,IF(O3075&gt;1000,10,MATCH(O3075,Cargas,1))),Coluna_fih,1,1))*(PI()*(fi_h/1000)^2/4)*SQRT(2*9.81*(O3075/100-fi_h/2/1000))*1000))</f>
        <v>7.4120846453943541</v>
      </c>
      <c r="Q3075" s="38">
        <f ca="1">IF(O3075="","",IF(Tipo_Vertedor="Retangular",IF(O3075&lt;=cota_s*100,0,IF(Tipo_Vertedor="Retangular",Cd_sr*Lef_sr*((O3075/100-cota_s)^(3/2))*1000)),IF(O3075&lt;=cota_s*100+fi_s/20,0,(OFFSET('Base de dados'!$A$4,IF(O3075&lt;20,1,IF(O3075&gt;1000,10,MATCH(O3075,Cargas,1))),Coluna_fis,1,1))*(PI()*(fi_s/1000)^2/4)*(2*9.81*(O3075/100-cota_s-fi_s/2/1000))^0.5*1000)))</f>
        <v>6.8073984459714527</v>
      </c>
      <c r="R3075" s="38">
        <f t="shared" ca="1" si="325"/>
        <v>14.219483091365806</v>
      </c>
      <c r="S3075" s="38">
        <f t="shared" ca="1" si="326"/>
        <v>960.62499999999989</v>
      </c>
    </row>
    <row r="3076" spans="13:19">
      <c r="M3076" s="132">
        <f t="shared" ca="1" si="323"/>
        <v>975.15950695613321</v>
      </c>
      <c r="N3076" s="38">
        <f t="shared" si="324"/>
        <v>28.828125</v>
      </c>
      <c r="O3076" s="36">
        <f t="shared" si="322"/>
        <v>768.75</v>
      </c>
      <c r="P3076" s="38">
        <f ca="1">IF(ISERROR(IF(O3076&lt;fi_h/20,0,(OFFSET('Base de dados'!$A$5,IF(O3076&lt;20,1,IF(O3076&gt;1000,10,MATCH(O3076,Cargas,1))),Coluna_fih,1,1))*(1+0.13*0.25)*(PI()*(fi_h/1000)^2/4)*SQRT(2*9.81*(O3076/100-fi_h/2/1000))*1000)),"",IF(O3076&lt;fi_h/20,0,(OFFSET('Base de dados'!$A$5,IF(O3076&lt;20,1,IF(O3076&gt;1000,10,MATCH(O3076,Cargas,1))),Coluna_fih,1,1))*(PI()*(fi_h/1000)^2/4)*SQRT(2*9.81*(O3076/100-fi_h/2/1000))*1000))</f>
        <v>7.4132929233887905</v>
      </c>
      <c r="Q3076" s="38">
        <f ca="1">IF(O3076="","",IF(Tipo_Vertedor="Retangular",IF(O3076&lt;=cota_s*100,0,IF(Tipo_Vertedor="Retangular",Cd_sr*Lef_sr*((O3076/100-cota_s)^(3/2))*1000)),IF(O3076&lt;=cota_s*100+fi_s/20,0,(OFFSET('Base de dados'!$A$4,IF(O3076&lt;20,1,IF(O3076&gt;1000,10,MATCH(O3076,Cargas,1))),Coluna_fis,1,1))*(PI()*(fi_s/1000)^2/4)*(2*9.81*(O3076/100-cota_s-fi_s/2/1000))^0.5*1000)))</f>
        <v>6.8087140327443718</v>
      </c>
      <c r="R3076" s="38">
        <f t="shared" ca="1" si="325"/>
        <v>14.222006956133162</v>
      </c>
      <c r="S3076" s="38">
        <f t="shared" ca="1" si="326"/>
        <v>960.9375</v>
      </c>
    </row>
    <row r="3077" spans="13:19">
      <c r="M3077" s="132">
        <f t="shared" ca="1" si="323"/>
        <v>975.47453036984791</v>
      </c>
      <c r="N3077" s="38">
        <f t="shared" si="324"/>
        <v>28.837500000000002</v>
      </c>
      <c r="O3077" s="36">
        <f t="shared" si="322"/>
        <v>769</v>
      </c>
      <c r="P3077" s="38">
        <f ca="1">IF(ISERROR(IF(O3077&lt;fi_h/20,0,(OFFSET('Base de dados'!$A$5,IF(O3077&lt;20,1,IF(O3077&gt;1000,10,MATCH(O3077,Cargas,1))),Coluna_fih,1,1))*(1+0.13*0.25)*(PI()*(fi_h/1000)^2/4)*SQRT(2*9.81*(O3077/100-fi_h/2/1000))*1000)),"",IF(O3077&lt;fi_h/20,0,(OFFSET('Base de dados'!$A$5,IF(O3077&lt;20,1,IF(O3077&gt;1000,10,MATCH(O3077,Cargas,1))),Coluna_fih,1,1))*(PI()*(fi_h/1000)^2/4)*SQRT(2*9.81*(O3077/100-fi_h/2/1000))*1000))</f>
        <v>7.4145010044804707</v>
      </c>
      <c r="Q3077" s="38">
        <f ca="1">IF(O3077="","",IF(Tipo_Vertedor="Retangular",IF(O3077&lt;=cota_s*100,0,IF(Tipo_Vertedor="Retangular",Cd_sr*Lef_sr*((O3077/100-cota_s)^(3/2))*1000)),IF(O3077&lt;=cota_s*100+fi_s/20,0,(OFFSET('Base de dados'!$A$4,IF(O3077&lt;20,1,IF(O3077&gt;1000,10,MATCH(O3077,Cargas,1))),Coluna_fis,1,1))*(PI()*(fi_s/1000)^2/4)*(2*9.81*(O3077/100-cota_s-fi_s/2/1000))^0.5*1000)))</f>
        <v>6.8100293653673551</v>
      </c>
      <c r="R3077" s="38">
        <f t="shared" ca="1" si="325"/>
        <v>14.224530369847827</v>
      </c>
      <c r="S3077" s="38">
        <f t="shared" ca="1" si="326"/>
        <v>961.25000000000011</v>
      </c>
    </row>
    <row r="3078" spans="13:19">
      <c r="M3078" s="132">
        <f t="shared" ca="1" si="323"/>
        <v>975.78955333275326</v>
      </c>
      <c r="N3078" s="38">
        <f t="shared" si="324"/>
        <v>28.846875000000001</v>
      </c>
      <c r="O3078" s="36">
        <f t="shared" si="322"/>
        <v>769.25</v>
      </c>
      <c r="P3078" s="38">
        <f ca="1">IF(ISERROR(IF(O3078&lt;fi_h/20,0,(OFFSET('Base de dados'!$A$5,IF(O3078&lt;20,1,IF(O3078&gt;1000,10,MATCH(O3078,Cargas,1))),Coluna_fih,1,1))*(1+0.13*0.25)*(PI()*(fi_h/1000)^2/4)*SQRT(2*9.81*(O3078/100-fi_h/2/1000))*1000)),"",IF(O3078&lt;fi_h/20,0,(OFFSET('Base de dados'!$A$5,IF(O3078&lt;20,1,IF(O3078&gt;1000,10,MATCH(O3078,Cargas,1))),Coluna_fih,1,1))*(PI()*(fi_h/1000)^2/4)*SQRT(2*9.81*(O3078/100-fi_h/2/1000))*1000))</f>
        <v>7.4157088887656224</v>
      </c>
      <c r="Q3078" s="38">
        <f ca="1">IF(O3078="","",IF(Tipo_Vertedor="Retangular",IF(O3078&lt;=cota_s*100,0,IF(Tipo_Vertedor="Retangular",Cd_sr*Lef_sr*((O3078/100-cota_s)^(3/2))*1000)),IF(O3078&lt;=cota_s*100+fi_s/20,0,(OFFSET('Base de dados'!$A$4,IF(O3078&lt;20,1,IF(O3078&gt;1000,10,MATCH(O3078,Cargas,1))),Coluna_fis,1,1))*(PI()*(fi_s/1000)^2/4)*(2*9.81*(O3078/100-cota_s-fi_s/2/1000))^0.5*1000)))</f>
        <v>6.8113444439876396</v>
      </c>
      <c r="R3078" s="38">
        <f t="shared" ca="1" si="325"/>
        <v>14.227053332753261</v>
      </c>
      <c r="S3078" s="38">
        <f t="shared" ca="1" si="326"/>
        <v>961.5625</v>
      </c>
    </row>
    <row r="3079" spans="13:19">
      <c r="M3079" s="132">
        <f t="shared" ca="1" si="323"/>
        <v>976.10457584509288</v>
      </c>
      <c r="N3079" s="38">
        <f t="shared" si="324"/>
        <v>28.856250000000003</v>
      </c>
      <c r="O3079" s="36">
        <f t="shared" si="322"/>
        <v>769.5</v>
      </c>
      <c r="P3079" s="38">
        <f ca="1">IF(ISERROR(IF(O3079&lt;fi_h/20,0,(OFFSET('Base de dados'!$A$5,IF(O3079&lt;20,1,IF(O3079&gt;1000,10,MATCH(O3079,Cargas,1))),Coluna_fih,1,1))*(1+0.13*0.25)*(PI()*(fi_h/1000)^2/4)*SQRT(2*9.81*(O3079/100-fi_h/2/1000))*1000)),"",IF(O3079&lt;fi_h/20,0,(OFFSET('Base de dados'!$A$5,IF(O3079&lt;20,1,IF(O3079&gt;1000,10,MATCH(O3079,Cargas,1))),Coluna_fih,1,1))*(PI()*(fi_h/1000)^2/4)*SQRT(2*9.81*(O3079/100-fi_h/2/1000))*1000))</f>
        <v>7.4169165763404044</v>
      </c>
      <c r="Q3079" s="38">
        <f ca="1">IF(O3079="","",IF(Tipo_Vertedor="Retangular",IF(O3079&lt;=cota_s*100,0,IF(Tipo_Vertedor="Retangular",Cd_sr*Lef_sr*((O3079/100-cota_s)^(3/2))*1000)),IF(O3079&lt;=cota_s*100+fi_s/20,0,(OFFSET('Base de dados'!$A$4,IF(O3079&lt;20,1,IF(O3079&gt;1000,10,MATCH(O3079,Cargas,1))),Coluna_fis,1,1))*(PI()*(fi_s/1000)^2/4)*(2*9.81*(O3079/100-cota_s-fi_s/2/1000))^0.5*1000)))</f>
        <v>6.8126592687523173</v>
      </c>
      <c r="R3079" s="38">
        <f t="shared" ca="1" si="325"/>
        <v>14.229575845092722</v>
      </c>
      <c r="S3079" s="38">
        <f t="shared" ca="1" si="326"/>
        <v>961.87500000000011</v>
      </c>
    </row>
    <row r="3080" spans="13:19">
      <c r="M3080" s="132">
        <f t="shared" ca="1" si="323"/>
        <v>976.41959790710916</v>
      </c>
      <c r="N3080" s="38">
        <f t="shared" si="324"/>
        <v>28.865624999999998</v>
      </c>
      <c r="O3080" s="36">
        <f t="shared" si="322"/>
        <v>769.75</v>
      </c>
      <c r="P3080" s="38">
        <f ca="1">IF(ISERROR(IF(O3080&lt;fi_h/20,0,(OFFSET('Base de dados'!$A$5,IF(O3080&lt;20,1,IF(O3080&gt;1000,10,MATCH(O3080,Cargas,1))),Coluna_fih,1,1))*(1+0.13*0.25)*(PI()*(fi_h/1000)^2/4)*SQRT(2*9.81*(O3080/100-fi_h/2/1000))*1000)),"",IF(O3080&lt;fi_h/20,0,(OFFSET('Base de dados'!$A$5,IF(O3080&lt;20,1,IF(O3080&gt;1000,10,MATCH(O3080,Cargas,1))),Coluna_fih,1,1))*(PI()*(fi_h/1000)^2/4)*SQRT(2*9.81*(O3080/100-fi_h/2/1000))*1000))</f>
        <v>7.4181240673008855</v>
      </c>
      <c r="Q3080" s="38">
        <f ca="1">IF(O3080="","",IF(Tipo_Vertedor="Retangular",IF(O3080&lt;=cota_s*100,0,IF(Tipo_Vertedor="Retangular",Cd_sr*Lef_sr*((O3080/100-cota_s)^(3/2))*1000)),IF(O3080&lt;=cota_s*100+fi_s/20,0,(OFFSET('Base de dados'!$A$4,IF(O3080&lt;20,1,IF(O3080&gt;1000,10,MATCH(O3080,Cargas,1))),Coluna_fis,1,1))*(PI()*(fi_s/1000)^2/4)*(2*9.81*(O3080/100-cota_s-fi_s/2/1000))^0.5*1000)))</f>
        <v>6.8139738398083409</v>
      </c>
      <c r="R3080" s="38">
        <f t="shared" ca="1" si="325"/>
        <v>14.232097907109226</v>
      </c>
      <c r="S3080" s="38">
        <f t="shared" ca="1" si="326"/>
        <v>962.18749999999989</v>
      </c>
    </row>
    <row r="3081" spans="13:19">
      <c r="M3081" s="132">
        <f t="shared" ca="1" si="323"/>
        <v>976.73461951904562</v>
      </c>
      <c r="N3081" s="38">
        <f t="shared" si="324"/>
        <v>28.875</v>
      </c>
      <c r="O3081" s="36">
        <f t="shared" si="322"/>
        <v>770</v>
      </c>
      <c r="P3081" s="38">
        <f ca="1">IF(ISERROR(IF(O3081&lt;fi_h/20,0,(OFFSET('Base de dados'!$A$5,IF(O3081&lt;20,1,IF(O3081&gt;1000,10,MATCH(O3081,Cargas,1))),Coluna_fih,1,1))*(1+0.13*0.25)*(PI()*(fi_h/1000)^2/4)*SQRT(2*9.81*(O3081/100-fi_h/2/1000))*1000)),"",IF(O3081&lt;fi_h/20,0,(OFFSET('Base de dados'!$A$5,IF(O3081&lt;20,1,IF(O3081&gt;1000,10,MATCH(O3081,Cargas,1))),Coluna_fih,1,1))*(PI()*(fi_h/1000)^2/4)*SQRT(2*9.81*(O3081/100-fi_h/2/1000))*1000))</f>
        <v>7.4193313617430654</v>
      </c>
      <c r="Q3081" s="38">
        <f ca="1">IF(O3081="","",IF(Tipo_Vertedor="Retangular",IF(O3081&lt;=cota_s*100,0,IF(Tipo_Vertedor="Retangular",Cd_sr*Lef_sr*((O3081/100-cota_s)^(3/2))*1000)),IF(O3081&lt;=cota_s*100+fi_s/20,0,(OFFSET('Base de dados'!$A$4,IF(O3081&lt;20,1,IF(O3081&gt;1000,10,MATCH(O3081,Cargas,1))),Coluna_fis,1,1))*(PI()*(fi_s/1000)^2/4)*(2*9.81*(O3081/100-cota_s-fi_s/2/1000))^0.5*1000)))</f>
        <v>6.8152881573025228</v>
      </c>
      <c r="R3081" s="38">
        <f t="shared" ca="1" si="325"/>
        <v>14.234619519045587</v>
      </c>
      <c r="S3081" s="38">
        <f t="shared" ca="1" si="326"/>
        <v>962.5</v>
      </c>
    </row>
    <row r="3082" spans="13:19">
      <c r="M3082" s="132">
        <f t="shared" ca="1" si="323"/>
        <v>977.04964068114441</v>
      </c>
      <c r="N3082" s="38">
        <f t="shared" si="324"/>
        <v>28.884374999999999</v>
      </c>
      <c r="O3082" s="36">
        <f t="shared" si="322"/>
        <v>770.25</v>
      </c>
      <c r="P3082" s="38">
        <f ca="1">IF(ISERROR(IF(O3082&lt;fi_h/20,0,(OFFSET('Base de dados'!$A$5,IF(O3082&lt;20,1,IF(O3082&gt;1000,10,MATCH(O3082,Cargas,1))),Coluna_fih,1,1))*(1+0.13*0.25)*(PI()*(fi_h/1000)^2/4)*SQRT(2*9.81*(O3082/100-fi_h/2/1000))*1000)),"",IF(O3082&lt;fi_h/20,0,(OFFSET('Base de dados'!$A$5,IF(O3082&lt;20,1,IF(O3082&gt;1000,10,MATCH(O3082,Cargas,1))),Coluna_fih,1,1))*(PI()*(fi_h/1000)^2/4)*SQRT(2*9.81*(O3082/100-fi_h/2/1000))*1000))</f>
        <v>7.4205384597628603</v>
      </c>
      <c r="Q3082" s="38">
        <f ca="1">IF(O3082="","",IF(Tipo_Vertedor="Retangular",IF(O3082&lt;=cota_s*100,0,IF(Tipo_Vertedor="Retangular",Cd_sr*Lef_sr*((O3082/100-cota_s)^(3/2))*1000)),IF(O3082&lt;=cota_s*100+fi_s/20,0,(OFFSET('Base de dados'!$A$4,IF(O3082&lt;20,1,IF(O3082&gt;1000,10,MATCH(O3082,Cargas,1))),Coluna_fis,1,1))*(PI()*(fi_s/1000)^2/4)*(2*9.81*(O3082/100-cota_s-fi_s/2/1000))^0.5*1000)))</f>
        <v>6.8166022213815278</v>
      </c>
      <c r="R3082" s="38">
        <f t="shared" ca="1" si="325"/>
        <v>14.237140681144389</v>
      </c>
      <c r="S3082" s="38">
        <f t="shared" ca="1" si="326"/>
        <v>962.8125</v>
      </c>
    </row>
    <row r="3083" spans="13:19">
      <c r="M3083" s="132">
        <f t="shared" ca="1" si="323"/>
        <v>977.36466139364802</v>
      </c>
      <c r="N3083" s="38">
        <f t="shared" si="324"/>
        <v>28.893750000000001</v>
      </c>
      <c r="O3083" s="36">
        <f t="shared" si="322"/>
        <v>770.5</v>
      </c>
      <c r="P3083" s="38">
        <f ca="1">IF(ISERROR(IF(O3083&lt;fi_h/20,0,(OFFSET('Base de dados'!$A$5,IF(O3083&lt;20,1,IF(O3083&gt;1000,10,MATCH(O3083,Cargas,1))),Coluna_fih,1,1))*(1+0.13*0.25)*(PI()*(fi_h/1000)^2/4)*SQRT(2*9.81*(O3083/100-fi_h/2/1000))*1000)),"",IF(O3083&lt;fi_h/20,0,(OFFSET('Base de dados'!$A$5,IF(O3083&lt;20,1,IF(O3083&gt;1000,10,MATCH(O3083,Cargas,1))),Coluna_fih,1,1))*(PI()*(fi_h/1000)^2/4)*SQRT(2*9.81*(O3083/100-fi_h/2/1000))*1000))</f>
        <v>7.4217453614561144</v>
      </c>
      <c r="Q3083" s="38">
        <f ca="1">IF(O3083="","",IF(Tipo_Vertedor="Retangular",IF(O3083&lt;=cota_s*100,0,IF(Tipo_Vertedor="Retangular",Cd_sr*Lef_sr*((O3083/100-cota_s)^(3/2))*1000)),IF(O3083&lt;=cota_s*100+fi_s/20,0,(OFFSET('Base de dados'!$A$4,IF(O3083&lt;20,1,IF(O3083&gt;1000,10,MATCH(O3083,Cargas,1))),Coluna_fis,1,1))*(PI()*(fi_s/1000)^2/4)*(2*9.81*(O3083/100-cota_s-fi_s/2/1000))^0.5*1000)))</f>
        <v>6.8179160321918868</v>
      </c>
      <c r="R3083" s="38">
        <f t="shared" ca="1" si="325"/>
        <v>14.239661393648001</v>
      </c>
      <c r="S3083" s="38">
        <f t="shared" ca="1" si="326"/>
        <v>963.125</v>
      </c>
    </row>
    <row r="3084" spans="13:19">
      <c r="M3084" s="132">
        <f t="shared" ca="1" si="323"/>
        <v>977.67968165679861</v>
      </c>
      <c r="N3084" s="38">
        <f t="shared" si="324"/>
        <v>28.903124999999999</v>
      </c>
      <c r="O3084" s="36">
        <f t="shared" si="322"/>
        <v>770.75</v>
      </c>
      <c r="P3084" s="38">
        <f ca="1">IF(ISERROR(IF(O3084&lt;fi_h/20,0,(OFFSET('Base de dados'!$A$5,IF(O3084&lt;20,1,IF(O3084&gt;1000,10,MATCH(O3084,Cargas,1))),Coluna_fih,1,1))*(1+0.13*0.25)*(PI()*(fi_h/1000)^2/4)*SQRT(2*9.81*(O3084/100-fi_h/2/1000))*1000)),"",IF(O3084&lt;fi_h/20,0,(OFFSET('Base de dados'!$A$5,IF(O3084&lt;20,1,IF(O3084&gt;1000,10,MATCH(O3084,Cargas,1))),Coluna_fih,1,1))*(PI()*(fi_h/1000)^2/4)*SQRT(2*9.81*(O3084/100-fi_h/2/1000))*1000))</f>
        <v>7.4229520669185876</v>
      </c>
      <c r="Q3084" s="38">
        <f ca="1">IF(O3084="","",IF(Tipo_Vertedor="Retangular",IF(O3084&lt;=cota_s*100,0,IF(Tipo_Vertedor="Retangular",Cd_sr*Lef_sr*((O3084/100-cota_s)^(3/2))*1000)),IF(O3084&lt;=cota_s*100+fi_s/20,0,(OFFSET('Base de dados'!$A$4,IF(O3084&lt;20,1,IF(O3084&gt;1000,10,MATCH(O3084,Cargas,1))),Coluna_fis,1,1))*(PI()*(fi_s/1000)^2/4)*(2*9.81*(O3084/100-cota_s-fi_s/2/1000))^0.5*1000)))</f>
        <v>6.819229589879984</v>
      </c>
      <c r="R3084" s="38">
        <f t="shared" ca="1" si="325"/>
        <v>14.242181656798572</v>
      </c>
      <c r="S3084" s="38">
        <f t="shared" ca="1" si="326"/>
        <v>963.4375</v>
      </c>
    </row>
    <row r="3085" spans="13:19">
      <c r="M3085" s="132">
        <f t="shared" ca="1" si="323"/>
        <v>977.99470147083798</v>
      </c>
      <c r="N3085" s="38">
        <f t="shared" si="324"/>
        <v>28.912500000000001</v>
      </c>
      <c r="O3085" s="36">
        <f t="shared" si="322"/>
        <v>771</v>
      </c>
      <c r="P3085" s="38">
        <f ca="1">IF(ISERROR(IF(O3085&lt;fi_h/20,0,(OFFSET('Base de dados'!$A$5,IF(O3085&lt;20,1,IF(O3085&gt;1000,10,MATCH(O3085,Cargas,1))),Coluna_fih,1,1))*(1+0.13*0.25)*(PI()*(fi_h/1000)^2/4)*SQRT(2*9.81*(O3085/100-fi_h/2/1000))*1000)),"",IF(O3085&lt;fi_h/20,0,(OFFSET('Base de dados'!$A$5,IF(O3085&lt;20,1,IF(O3085&gt;1000,10,MATCH(O3085,Cargas,1))),Coluna_fih,1,1))*(PI()*(fi_h/1000)^2/4)*SQRT(2*9.81*(O3085/100-fi_h/2/1000))*1000))</f>
        <v>7.424158576245965</v>
      </c>
      <c r="Q3085" s="38">
        <f ca="1">IF(O3085="","",IF(Tipo_Vertedor="Retangular",IF(O3085&lt;=cota_s*100,0,IF(Tipo_Vertedor="Retangular",Cd_sr*Lef_sr*((O3085/100-cota_s)^(3/2))*1000)),IF(O3085&lt;=cota_s*100+fi_s/20,0,(OFFSET('Base de dados'!$A$4,IF(O3085&lt;20,1,IF(O3085&gt;1000,10,MATCH(O3085,Cargas,1))),Coluna_fis,1,1))*(PI()*(fi_s/1000)^2/4)*(2*9.81*(O3085/100-cota_s-fi_s/2/1000))^0.5*1000)))</f>
        <v>6.820542894592065</v>
      </c>
      <c r="R3085" s="38">
        <f t="shared" ca="1" si="325"/>
        <v>14.244701470838031</v>
      </c>
      <c r="S3085" s="38">
        <f t="shared" ca="1" si="326"/>
        <v>963.75</v>
      </c>
    </row>
    <row r="3086" spans="13:19">
      <c r="M3086" s="132">
        <f t="shared" ca="1" si="323"/>
        <v>978.30972083600807</v>
      </c>
      <c r="N3086" s="38">
        <f t="shared" si="324"/>
        <v>28.921875</v>
      </c>
      <c r="O3086" s="36">
        <f t="shared" si="322"/>
        <v>771.25</v>
      </c>
      <c r="P3086" s="38">
        <f ca="1">IF(ISERROR(IF(O3086&lt;fi_h/20,0,(OFFSET('Base de dados'!$A$5,IF(O3086&lt;20,1,IF(O3086&gt;1000,10,MATCH(O3086,Cargas,1))),Coluna_fih,1,1))*(1+0.13*0.25)*(PI()*(fi_h/1000)^2/4)*SQRT(2*9.81*(O3086/100-fi_h/2/1000))*1000)),"",IF(O3086&lt;fi_h/20,0,(OFFSET('Base de dados'!$A$5,IF(O3086&lt;20,1,IF(O3086&gt;1000,10,MATCH(O3086,Cargas,1))),Coluna_fih,1,1))*(PI()*(fi_h/1000)^2/4)*SQRT(2*9.81*(O3086/100-fi_h/2/1000))*1000))</f>
        <v>7.425364889533852</v>
      </c>
      <c r="Q3086" s="38">
        <f ca="1">IF(O3086="","",IF(Tipo_Vertedor="Retangular",IF(O3086&lt;=cota_s*100,0,IF(Tipo_Vertedor="Retangular",Cd_sr*Lef_sr*((O3086/100-cota_s)^(3/2))*1000)),IF(O3086&lt;=cota_s*100+fi_s/20,0,(OFFSET('Base de dados'!$A$4,IF(O3086&lt;20,1,IF(O3086&gt;1000,10,MATCH(O3086,Cargas,1))),Coluna_fis,1,1))*(PI()*(fi_s/1000)^2/4)*(2*9.81*(O3086/100-cota_s-fi_s/2/1000))^0.5*1000)))</f>
        <v>6.8218559464742361</v>
      </c>
      <c r="R3086" s="38">
        <f t="shared" ca="1" si="325"/>
        <v>14.247220836008088</v>
      </c>
      <c r="S3086" s="38">
        <f t="shared" ca="1" si="326"/>
        <v>964.0625</v>
      </c>
    </row>
    <row r="3087" spans="13:19">
      <c r="M3087" s="132">
        <f t="shared" ca="1" si="323"/>
        <v>978.62473975255023</v>
      </c>
      <c r="N3087" s="38">
        <f t="shared" si="324"/>
        <v>28.931249999999999</v>
      </c>
      <c r="O3087" s="36">
        <f t="shared" si="322"/>
        <v>771.5</v>
      </c>
      <c r="P3087" s="38">
        <f ca="1">IF(ISERROR(IF(O3087&lt;fi_h/20,0,(OFFSET('Base de dados'!$A$5,IF(O3087&lt;20,1,IF(O3087&gt;1000,10,MATCH(O3087,Cargas,1))),Coluna_fih,1,1))*(1+0.13*0.25)*(PI()*(fi_h/1000)^2/4)*SQRT(2*9.81*(O3087/100-fi_h/2/1000))*1000)),"",IF(O3087&lt;fi_h/20,0,(OFFSET('Base de dados'!$A$5,IF(O3087&lt;20,1,IF(O3087&gt;1000,10,MATCH(O3087,Cargas,1))),Coluna_fih,1,1))*(PI()*(fi_h/1000)^2/4)*SQRT(2*9.81*(O3087/100-fi_h/2/1000))*1000))</f>
        <v>7.426571006877781</v>
      </c>
      <c r="Q3087" s="38">
        <f ca="1">IF(O3087="","",IF(Tipo_Vertedor="Retangular",IF(O3087&lt;=cota_s*100,0,IF(Tipo_Vertedor="Retangular",Cd_sr*Lef_sr*((O3087/100-cota_s)^(3/2))*1000)),IF(O3087&lt;=cota_s*100+fi_s/20,0,(OFFSET('Base de dados'!$A$4,IF(O3087&lt;20,1,IF(O3087&gt;1000,10,MATCH(O3087,Cargas,1))),Coluna_fis,1,1))*(PI()*(fi_s/1000)^2/4)*(2*9.81*(O3087/100-cota_s-fi_s/2/1000))^0.5*1000)))</f>
        <v>6.8231687456724579</v>
      </c>
      <c r="R3087" s="38">
        <f t="shared" ca="1" si="325"/>
        <v>14.249739752550239</v>
      </c>
      <c r="S3087" s="38">
        <f t="shared" ca="1" si="326"/>
        <v>964.375</v>
      </c>
    </row>
    <row r="3088" spans="13:19">
      <c r="M3088" s="132">
        <f t="shared" ca="1" si="323"/>
        <v>978.93975822070581</v>
      </c>
      <c r="N3088" s="38">
        <f t="shared" si="324"/>
        <v>28.940625000000001</v>
      </c>
      <c r="O3088" s="36">
        <f t="shared" si="322"/>
        <v>771.75</v>
      </c>
      <c r="P3088" s="38">
        <f ca="1">IF(ISERROR(IF(O3088&lt;fi_h/20,0,(OFFSET('Base de dados'!$A$5,IF(O3088&lt;20,1,IF(O3088&gt;1000,10,MATCH(O3088,Cargas,1))),Coluna_fih,1,1))*(1+0.13*0.25)*(PI()*(fi_h/1000)^2/4)*SQRT(2*9.81*(O3088/100-fi_h/2/1000))*1000)),"",IF(O3088&lt;fi_h/20,0,(OFFSET('Base de dados'!$A$5,IF(O3088&lt;20,1,IF(O3088&gt;1000,10,MATCH(O3088,Cargas,1))),Coluna_fih,1,1))*(PI()*(fi_h/1000)^2/4)*SQRT(2*9.81*(O3088/100-fi_h/2/1000))*1000))</f>
        <v>7.427776928373202</v>
      </c>
      <c r="Q3088" s="38">
        <f ca="1">IF(O3088="","",IF(Tipo_Vertedor="Retangular",IF(O3088&lt;=cota_s*100,0,IF(Tipo_Vertedor="Retangular",Cd_sr*Lef_sr*((O3088/100-cota_s)^(3/2))*1000)),IF(O3088&lt;=cota_s*100+fi_s/20,0,(OFFSET('Base de dados'!$A$4,IF(O3088&lt;20,1,IF(O3088&gt;1000,10,MATCH(O3088,Cargas,1))),Coluna_fis,1,1))*(PI()*(fi_s/1000)^2/4)*(2*9.81*(O3088/100-cota_s-fi_s/2/1000))^0.5*1000)))</f>
        <v>6.824481292332556</v>
      </c>
      <c r="R3088" s="38">
        <f t="shared" ca="1" si="325"/>
        <v>14.252258220705759</v>
      </c>
      <c r="S3088" s="38">
        <f t="shared" ca="1" si="326"/>
        <v>964.6875</v>
      </c>
    </row>
    <row r="3089" spans="13:19">
      <c r="M3089" s="132">
        <f t="shared" ca="1" si="323"/>
        <v>979.25477624071573</v>
      </c>
      <c r="N3089" s="38">
        <f t="shared" si="324"/>
        <v>28.95</v>
      </c>
      <c r="O3089" s="36">
        <f t="shared" si="322"/>
        <v>772</v>
      </c>
      <c r="P3089" s="38">
        <f ca="1">IF(ISERROR(IF(O3089&lt;fi_h/20,0,(OFFSET('Base de dados'!$A$5,IF(O3089&lt;20,1,IF(O3089&gt;1000,10,MATCH(O3089,Cargas,1))),Coluna_fih,1,1))*(1+0.13*0.25)*(PI()*(fi_h/1000)^2/4)*SQRT(2*9.81*(O3089/100-fi_h/2/1000))*1000)),"",IF(O3089&lt;fi_h/20,0,(OFFSET('Base de dados'!$A$5,IF(O3089&lt;20,1,IF(O3089&gt;1000,10,MATCH(O3089,Cargas,1))),Coluna_fih,1,1))*(PI()*(fi_h/1000)^2/4)*SQRT(2*9.81*(O3089/100-fi_h/2/1000))*1000))</f>
        <v>7.4289826541154893</v>
      </c>
      <c r="Q3089" s="38">
        <f ca="1">IF(O3089="","",IF(Tipo_Vertedor="Retangular",IF(O3089&lt;=cota_s*100,0,IF(Tipo_Vertedor="Retangular",Cd_sr*Lef_sr*((O3089/100-cota_s)^(3/2))*1000)),IF(O3089&lt;=cota_s*100+fi_s/20,0,(OFFSET('Base de dados'!$A$4,IF(O3089&lt;20,1,IF(O3089&gt;1000,10,MATCH(O3089,Cargas,1))),Coluna_fis,1,1))*(PI()*(fi_s/1000)^2/4)*(2*9.81*(O3089/100-cota_s-fi_s/2/1000))^0.5*1000)))</f>
        <v>6.8257935866002137</v>
      </c>
      <c r="R3089" s="38">
        <f t="shared" ca="1" si="325"/>
        <v>14.254776240715703</v>
      </c>
      <c r="S3089" s="38">
        <f t="shared" ca="1" si="326"/>
        <v>965</v>
      </c>
    </row>
    <row r="3090" spans="13:19">
      <c r="M3090" s="132">
        <f t="shared" ca="1" si="323"/>
        <v>979.56979381282088</v>
      </c>
      <c r="N3090" s="38">
        <f t="shared" si="324"/>
        <v>28.959375000000001</v>
      </c>
      <c r="O3090" s="36">
        <f t="shared" si="322"/>
        <v>772.25</v>
      </c>
      <c r="P3090" s="38">
        <f ca="1">IF(ISERROR(IF(O3090&lt;fi_h/20,0,(OFFSET('Base de dados'!$A$5,IF(O3090&lt;20,1,IF(O3090&gt;1000,10,MATCH(O3090,Cargas,1))),Coluna_fih,1,1))*(1+0.13*0.25)*(PI()*(fi_h/1000)^2/4)*SQRT(2*9.81*(O3090/100-fi_h/2/1000))*1000)),"",IF(O3090&lt;fi_h/20,0,(OFFSET('Base de dados'!$A$5,IF(O3090&lt;20,1,IF(O3090&gt;1000,10,MATCH(O3090,Cargas,1))),Coluna_fih,1,1))*(PI()*(fi_h/1000)^2/4)*SQRT(2*9.81*(O3090/100-fi_h/2/1000))*1000))</f>
        <v>7.4301881841999391</v>
      </c>
      <c r="Q3090" s="38">
        <f ca="1">IF(O3090="","",IF(Tipo_Vertedor="Retangular",IF(O3090&lt;=cota_s*100,0,IF(Tipo_Vertedor="Retangular",Cd_sr*Lef_sr*((O3090/100-cota_s)^(3/2))*1000)),IF(O3090&lt;=cota_s*100+fi_s/20,0,(OFFSET('Base de dados'!$A$4,IF(O3090&lt;20,1,IF(O3090&gt;1000,10,MATCH(O3090,Cargas,1))),Coluna_fis,1,1))*(PI()*(fi_s/1000)^2/4)*(2*9.81*(O3090/100-cota_s-fi_s/2/1000))^0.5*1000)))</f>
        <v>6.8271056286209735</v>
      </c>
      <c r="R3090" s="38">
        <f t="shared" ca="1" si="325"/>
        <v>14.257293812820912</v>
      </c>
      <c r="S3090" s="38">
        <f t="shared" ca="1" si="326"/>
        <v>965.3125</v>
      </c>
    </row>
    <row r="3091" spans="13:19">
      <c r="M3091" s="132">
        <f t="shared" ca="1" si="323"/>
        <v>979.88481093726205</v>
      </c>
      <c r="N3091" s="38">
        <f t="shared" si="324"/>
        <v>28.96875</v>
      </c>
      <c r="O3091" s="36">
        <f t="shared" ref="O3091:O3154" si="327">IF(ISERROR(IF(O3090+passo_altura&gt;h_max_puls*100,"",O3090+passo_altura)),"",IF(O3090+passo_altura&gt;h_max_puls*100,"",O3090+passo_altura))</f>
        <v>772.5</v>
      </c>
      <c r="P3091" s="38">
        <f ca="1">IF(ISERROR(IF(O3091&lt;fi_h/20,0,(OFFSET('Base de dados'!$A$5,IF(O3091&lt;20,1,IF(O3091&gt;1000,10,MATCH(O3091,Cargas,1))),Coluna_fih,1,1))*(1+0.13*0.25)*(PI()*(fi_h/1000)^2/4)*SQRT(2*9.81*(O3091/100-fi_h/2/1000))*1000)),"",IF(O3091&lt;fi_h/20,0,(OFFSET('Base de dados'!$A$5,IF(O3091&lt;20,1,IF(O3091&gt;1000,10,MATCH(O3091,Cargas,1))),Coluna_fih,1,1))*(PI()*(fi_h/1000)^2/4)*SQRT(2*9.81*(O3091/100-fi_h/2/1000))*1000))</f>
        <v>7.4313935187217721</v>
      </c>
      <c r="Q3091" s="38">
        <f ca="1">IF(O3091="","",IF(Tipo_Vertedor="Retangular",IF(O3091&lt;=cota_s*100,0,IF(Tipo_Vertedor="Retangular",Cd_sr*Lef_sr*((O3091/100-cota_s)^(3/2))*1000)),IF(O3091&lt;=cota_s*100+fi_s/20,0,(OFFSET('Base de dados'!$A$4,IF(O3091&lt;20,1,IF(O3091&gt;1000,10,MATCH(O3091,Cargas,1))),Coluna_fis,1,1))*(PI()*(fi_s/1000)^2/4)*(2*9.81*(O3091/100-cota_s-fi_s/2/1000))^0.5*1000)))</f>
        <v>6.8284174185402406</v>
      </c>
      <c r="R3091" s="38">
        <f t="shared" ca="1" si="325"/>
        <v>14.259810937262014</v>
      </c>
      <c r="S3091" s="38">
        <f t="shared" ca="1" si="326"/>
        <v>965.625</v>
      </c>
    </row>
    <row r="3092" spans="13:19">
      <c r="M3092" s="132">
        <f t="shared" ca="1" si="323"/>
        <v>980.19982761427946</v>
      </c>
      <c r="N3092" s="38">
        <f t="shared" si="324"/>
        <v>28.978124999999999</v>
      </c>
      <c r="O3092" s="36">
        <f t="shared" si="327"/>
        <v>772.75</v>
      </c>
      <c r="P3092" s="38">
        <f ca="1">IF(ISERROR(IF(O3092&lt;fi_h/20,0,(OFFSET('Base de dados'!$A$5,IF(O3092&lt;20,1,IF(O3092&gt;1000,10,MATCH(O3092,Cargas,1))),Coluna_fih,1,1))*(1+0.13*0.25)*(PI()*(fi_h/1000)^2/4)*SQRT(2*9.81*(O3092/100-fi_h/2/1000))*1000)),"",IF(O3092&lt;fi_h/20,0,(OFFSET('Base de dados'!$A$5,IF(O3092&lt;20,1,IF(O3092&gt;1000,10,MATCH(O3092,Cargas,1))),Coluna_fih,1,1))*(PI()*(fi_h/1000)^2/4)*SQRT(2*9.81*(O3092/100-fi_h/2/1000))*1000))</f>
        <v>7.4325986577761309</v>
      </c>
      <c r="Q3092" s="38">
        <f ca="1">IF(O3092="","",IF(Tipo_Vertedor="Retangular",IF(O3092&lt;=cota_s*100,0,IF(Tipo_Vertedor="Retangular",Cd_sr*Lef_sr*((O3092/100-cota_s)^(3/2))*1000)),IF(O3092&lt;=cota_s*100+fi_s/20,0,(OFFSET('Base de dados'!$A$4,IF(O3092&lt;20,1,IF(O3092&gt;1000,10,MATCH(O3092,Cargas,1))),Coluna_fis,1,1))*(PI()*(fi_s/1000)^2/4)*(2*9.81*(O3092/100-cota_s-fi_s/2/1000))^0.5*1000)))</f>
        <v>6.8297289565032768</v>
      </c>
      <c r="R3092" s="38">
        <f t="shared" ca="1" si="325"/>
        <v>14.262327614279407</v>
      </c>
      <c r="S3092" s="38">
        <f t="shared" ca="1" si="326"/>
        <v>965.9375</v>
      </c>
    </row>
    <row r="3093" spans="13:19">
      <c r="M3093" s="132">
        <f t="shared" ca="1" si="323"/>
        <v>980.51484384411333</v>
      </c>
      <c r="N3093" s="38">
        <f t="shared" si="324"/>
        <v>28.987500000000001</v>
      </c>
      <c r="O3093" s="36">
        <f t="shared" si="327"/>
        <v>773</v>
      </c>
      <c r="P3093" s="38">
        <f ca="1">IF(ISERROR(IF(O3093&lt;fi_h/20,0,(OFFSET('Base de dados'!$A$5,IF(O3093&lt;20,1,IF(O3093&gt;1000,10,MATCH(O3093,Cargas,1))),Coluna_fih,1,1))*(1+0.13*0.25)*(PI()*(fi_h/1000)^2/4)*SQRT(2*9.81*(O3093/100-fi_h/2/1000))*1000)),"",IF(O3093&lt;fi_h/20,0,(OFFSET('Base de dados'!$A$5,IF(O3093&lt;20,1,IF(O3093&gt;1000,10,MATCH(O3093,Cargas,1))),Coluna_fih,1,1))*(PI()*(fi_h/1000)^2/4)*SQRT(2*9.81*(O3093/100-fi_h/2/1000))*1000))</f>
        <v>7.4338036014580799</v>
      </c>
      <c r="Q3093" s="38">
        <f ca="1">IF(O3093="","",IF(Tipo_Vertedor="Retangular",IF(O3093&lt;=cota_s*100,0,IF(Tipo_Vertedor="Retangular",Cd_sr*Lef_sr*((O3093/100-cota_s)^(3/2))*1000)),IF(O3093&lt;=cota_s*100+fi_s/20,0,(OFFSET('Base de dados'!$A$4,IF(O3093&lt;20,1,IF(O3093&gt;1000,10,MATCH(O3093,Cargas,1))),Coluna_fis,1,1))*(PI()*(fi_s/1000)^2/4)*(2*9.81*(O3093/100-cota_s-fi_s/2/1000))^0.5*1000)))</f>
        <v>6.8310402426552077</v>
      </c>
      <c r="R3093" s="38">
        <f t="shared" ca="1" si="325"/>
        <v>14.264843844113287</v>
      </c>
      <c r="S3093" s="38">
        <f t="shared" ca="1" si="326"/>
        <v>966.25</v>
      </c>
    </row>
    <row r="3094" spans="13:19">
      <c r="M3094" s="132">
        <f t="shared" ca="1" si="323"/>
        <v>980.82985962700366</v>
      </c>
      <c r="N3094" s="38">
        <f t="shared" si="324"/>
        <v>28.996874999999999</v>
      </c>
      <c r="O3094" s="36">
        <f t="shared" si="327"/>
        <v>773.25</v>
      </c>
      <c r="P3094" s="38">
        <f ca="1">IF(ISERROR(IF(O3094&lt;fi_h/20,0,(OFFSET('Base de dados'!$A$5,IF(O3094&lt;20,1,IF(O3094&gt;1000,10,MATCH(O3094,Cargas,1))),Coluna_fih,1,1))*(1+0.13*0.25)*(PI()*(fi_h/1000)^2/4)*SQRT(2*9.81*(O3094/100-fi_h/2/1000))*1000)),"",IF(O3094&lt;fi_h/20,0,(OFFSET('Base de dados'!$A$5,IF(O3094&lt;20,1,IF(O3094&gt;1000,10,MATCH(O3094,Cargas,1))),Coluna_fih,1,1))*(PI()*(fi_h/1000)^2/4)*SQRT(2*9.81*(O3094/100-fi_h/2/1000))*1000))</f>
        <v>7.4350083498626063</v>
      </c>
      <c r="Q3094" s="38">
        <f ca="1">IF(O3094="","",IF(Tipo_Vertedor="Retangular",IF(O3094&lt;=cota_s*100,0,IF(Tipo_Vertedor="Retangular",Cd_sr*Lef_sr*((O3094/100-cota_s)^(3/2))*1000)),IF(O3094&lt;=cota_s*100+fi_s/20,0,(OFFSET('Base de dados'!$A$4,IF(O3094&lt;20,1,IF(O3094&gt;1000,10,MATCH(O3094,Cargas,1))),Coluna_fis,1,1))*(PI()*(fi_s/1000)^2/4)*(2*9.81*(O3094/100-cota_s-fi_s/2/1000))^0.5*1000)))</f>
        <v>6.8323512771410169</v>
      </c>
      <c r="R3094" s="38">
        <f t="shared" ca="1" si="325"/>
        <v>14.267359627003623</v>
      </c>
      <c r="S3094" s="38">
        <f t="shared" ca="1" si="326"/>
        <v>966.5625</v>
      </c>
    </row>
    <row r="3095" spans="13:19">
      <c r="M3095" s="132">
        <f t="shared" ref="M3095:M3158" ca="1" si="328">IF(O3095="","",2*N3095*1000/(Passo*60)+R3095)</f>
        <v>981.1448749631902</v>
      </c>
      <c r="N3095" s="38">
        <f t="shared" ref="N3095:N3158" si="329">IF(O3095="","",b_0*(O3095/100)^c_0)</f>
        <v>29.006250000000001</v>
      </c>
      <c r="O3095" s="36">
        <f t="shared" si="327"/>
        <v>773.5</v>
      </c>
      <c r="P3095" s="38">
        <f ca="1">IF(ISERROR(IF(O3095&lt;fi_h/20,0,(OFFSET('Base de dados'!$A$5,IF(O3095&lt;20,1,IF(O3095&gt;1000,10,MATCH(O3095,Cargas,1))),Coluna_fih,1,1))*(1+0.13*0.25)*(PI()*(fi_h/1000)^2/4)*SQRT(2*9.81*(O3095/100-fi_h/2/1000))*1000)),"",IF(O3095&lt;fi_h/20,0,(OFFSET('Base de dados'!$A$5,IF(O3095&lt;20,1,IF(O3095&gt;1000,10,MATCH(O3095,Cargas,1))),Coluna_fih,1,1))*(PI()*(fi_h/1000)^2/4)*SQRT(2*9.81*(O3095/100-fi_h/2/1000))*1000))</f>
        <v>7.4362129030846233</v>
      </c>
      <c r="Q3095" s="38">
        <f ca="1">IF(O3095="","",IF(Tipo_Vertedor="Retangular",IF(O3095&lt;=cota_s*100,0,IF(Tipo_Vertedor="Retangular",Cd_sr*Lef_sr*((O3095/100-cota_s)^(3/2))*1000)),IF(O3095&lt;=cota_s*100+fi_s/20,0,(OFFSET('Base de dados'!$A$4,IF(O3095&lt;20,1,IF(O3095&gt;1000,10,MATCH(O3095,Cargas,1))),Coluna_fis,1,1))*(PI()*(fi_s/1000)^2/4)*(2*9.81*(O3095/100-cota_s-fi_s/2/1000))^0.5*1000)))</f>
        <v>6.833662060105552</v>
      </c>
      <c r="R3095" s="38">
        <f t="shared" ref="R3095:R3158" ca="1" si="330">IF(O3095="","",Q3095+P3095)</f>
        <v>14.269874963190176</v>
      </c>
      <c r="S3095" s="38">
        <f t="shared" ref="S3095:S3158" ca="1" si="331">IF(M3095="","",2*N3095*1000/(Passo*60))</f>
        <v>966.875</v>
      </c>
    </row>
    <row r="3096" spans="13:19">
      <c r="M3096" s="132">
        <f t="shared" ca="1" si="328"/>
        <v>981.45988985291251</v>
      </c>
      <c r="N3096" s="38">
        <f t="shared" si="329"/>
        <v>29.015625</v>
      </c>
      <c r="O3096" s="36">
        <f t="shared" si="327"/>
        <v>773.75</v>
      </c>
      <c r="P3096" s="38">
        <f ca="1">IF(ISERROR(IF(O3096&lt;fi_h/20,0,(OFFSET('Base de dados'!$A$5,IF(O3096&lt;20,1,IF(O3096&gt;1000,10,MATCH(O3096,Cargas,1))),Coluna_fih,1,1))*(1+0.13*0.25)*(PI()*(fi_h/1000)^2/4)*SQRT(2*9.81*(O3096/100-fi_h/2/1000))*1000)),"",IF(O3096&lt;fi_h/20,0,(OFFSET('Base de dados'!$A$5,IF(O3096&lt;20,1,IF(O3096&gt;1000,10,MATCH(O3096,Cargas,1))),Coluna_fih,1,1))*(PI()*(fi_h/1000)^2/4)*SQRT(2*9.81*(O3096/100-fi_h/2/1000))*1000))</f>
        <v>7.4374172612189655</v>
      </c>
      <c r="Q3096" s="38">
        <f ca="1">IF(O3096="","",IF(Tipo_Vertedor="Retangular",IF(O3096&lt;=cota_s*100,0,IF(Tipo_Vertedor="Retangular",Cd_sr*Lef_sr*((O3096/100-cota_s)^(3/2))*1000)),IF(O3096&lt;=cota_s*100+fi_s/20,0,(OFFSET('Base de dados'!$A$4,IF(O3096&lt;20,1,IF(O3096&gt;1000,10,MATCH(O3096,Cargas,1))),Coluna_fis,1,1))*(PI()*(fi_s/1000)^2/4)*(2*9.81*(O3096/100-cota_s-fi_s/2/1000))^0.5*1000)))</f>
        <v>6.8349725916935196</v>
      </c>
      <c r="R3096" s="38">
        <f t="shared" ca="1" si="330"/>
        <v>14.272389852912486</v>
      </c>
      <c r="S3096" s="38">
        <f t="shared" ca="1" si="331"/>
        <v>967.1875</v>
      </c>
    </row>
    <row r="3097" spans="13:19">
      <c r="M3097" s="132">
        <f t="shared" ca="1" si="328"/>
        <v>981.77490429641</v>
      </c>
      <c r="N3097" s="38">
        <f t="shared" si="329"/>
        <v>29.025000000000002</v>
      </c>
      <c r="O3097" s="36">
        <f t="shared" si="327"/>
        <v>774</v>
      </c>
      <c r="P3097" s="38">
        <f ca="1">IF(ISERROR(IF(O3097&lt;fi_h/20,0,(OFFSET('Base de dados'!$A$5,IF(O3097&lt;20,1,IF(O3097&gt;1000,10,MATCH(O3097,Cargas,1))),Coluna_fih,1,1))*(1+0.13*0.25)*(PI()*(fi_h/1000)^2/4)*SQRT(2*9.81*(O3097/100-fi_h/2/1000))*1000)),"",IF(O3097&lt;fi_h/20,0,(OFFSET('Base de dados'!$A$5,IF(O3097&lt;20,1,IF(O3097&gt;1000,10,MATCH(O3097,Cargas,1))),Coluna_fih,1,1))*(PI()*(fi_h/1000)^2/4)*SQRT(2*9.81*(O3097/100-fi_h/2/1000))*1000))</f>
        <v>7.4386214243603916</v>
      </c>
      <c r="Q3097" s="38">
        <f ca="1">IF(O3097="","",IF(Tipo_Vertedor="Retangular",IF(O3097&lt;=cota_s*100,0,IF(Tipo_Vertedor="Retangular",Cd_sr*Lef_sr*((O3097/100-cota_s)^(3/2))*1000)),IF(O3097&lt;=cota_s*100+fi_s/20,0,(OFFSET('Base de dados'!$A$4,IF(O3097&lt;20,1,IF(O3097&gt;1000,10,MATCH(O3097,Cargas,1))),Coluna_fis,1,1))*(PI()*(fi_s/1000)^2/4)*(2*9.81*(O3097/100-cota_s-fi_s/2/1000))^0.5*1000)))</f>
        <v>6.8362828720494893</v>
      </c>
      <c r="R3097" s="38">
        <f t="shared" ca="1" si="330"/>
        <v>14.274904296409881</v>
      </c>
      <c r="S3097" s="38">
        <f t="shared" ca="1" si="331"/>
        <v>967.50000000000011</v>
      </c>
    </row>
    <row r="3098" spans="13:19">
      <c r="M3098" s="132">
        <f t="shared" ca="1" si="328"/>
        <v>982.0899182939213</v>
      </c>
      <c r="N3098" s="38">
        <f t="shared" si="329"/>
        <v>29.034374999999997</v>
      </c>
      <c r="O3098" s="36">
        <f t="shared" si="327"/>
        <v>774.25</v>
      </c>
      <c r="P3098" s="38">
        <f ca="1">IF(ISERROR(IF(O3098&lt;fi_h/20,0,(OFFSET('Base de dados'!$A$5,IF(O3098&lt;20,1,IF(O3098&gt;1000,10,MATCH(O3098,Cargas,1))),Coluna_fih,1,1))*(1+0.13*0.25)*(PI()*(fi_h/1000)^2/4)*SQRT(2*9.81*(O3098/100-fi_h/2/1000))*1000)),"",IF(O3098&lt;fi_h/20,0,(OFFSET('Base de dados'!$A$5,IF(O3098&lt;20,1,IF(O3098&gt;1000,10,MATCH(O3098,Cargas,1))),Coluna_fih,1,1))*(PI()*(fi_h/1000)^2/4)*SQRT(2*9.81*(O3098/100-fi_h/2/1000))*1000))</f>
        <v>7.439825392603578</v>
      </c>
      <c r="Q3098" s="38">
        <f ca="1">IF(O3098="","",IF(Tipo_Vertedor="Retangular",IF(O3098&lt;=cota_s*100,0,IF(Tipo_Vertedor="Retangular",Cd_sr*Lef_sr*((O3098/100-cota_s)^(3/2))*1000)),IF(O3098&lt;=cota_s*100+fi_s/20,0,(OFFSET('Base de dados'!$A$4,IF(O3098&lt;20,1,IF(O3098&gt;1000,10,MATCH(O3098,Cargas,1))),Coluna_fis,1,1))*(PI()*(fi_s/1000)^2/4)*(2*9.81*(O3098/100-cota_s-fi_s/2/1000))^0.5*1000)))</f>
        <v>6.8375929013178895</v>
      </c>
      <c r="R3098" s="38">
        <f t="shared" ca="1" si="330"/>
        <v>14.277418293921468</v>
      </c>
      <c r="S3098" s="38">
        <f t="shared" ca="1" si="331"/>
        <v>967.81249999999989</v>
      </c>
    </row>
    <row r="3099" spans="13:19">
      <c r="M3099" s="132">
        <f t="shared" ca="1" si="328"/>
        <v>982.40493184568618</v>
      </c>
      <c r="N3099" s="38">
        <f t="shared" si="329"/>
        <v>29.043749999999999</v>
      </c>
      <c r="O3099" s="36">
        <f t="shared" si="327"/>
        <v>774.5</v>
      </c>
      <c r="P3099" s="38">
        <f ca="1">IF(ISERROR(IF(O3099&lt;fi_h/20,0,(OFFSET('Base de dados'!$A$5,IF(O3099&lt;20,1,IF(O3099&gt;1000,10,MATCH(O3099,Cargas,1))),Coluna_fih,1,1))*(1+0.13*0.25)*(PI()*(fi_h/1000)^2/4)*SQRT(2*9.81*(O3099/100-fi_h/2/1000))*1000)),"",IF(O3099&lt;fi_h/20,0,(OFFSET('Base de dados'!$A$5,IF(O3099&lt;20,1,IF(O3099&gt;1000,10,MATCH(O3099,Cargas,1))),Coluna_fih,1,1))*(PI()*(fi_h/1000)^2/4)*SQRT(2*9.81*(O3099/100-fi_h/2/1000))*1000))</f>
        <v>7.4410291660431334</v>
      </c>
      <c r="Q3099" s="38">
        <f ca="1">IF(O3099="","",IF(Tipo_Vertedor="Retangular",IF(O3099&lt;=cota_s*100,0,IF(Tipo_Vertedor="Retangular",Cd_sr*Lef_sr*((O3099/100-cota_s)^(3/2))*1000)),IF(O3099&lt;=cota_s*100+fi_s/20,0,(OFFSET('Base de dados'!$A$4,IF(O3099&lt;20,1,IF(O3099&gt;1000,10,MATCH(O3099,Cargas,1))),Coluna_fis,1,1))*(PI()*(fi_s/1000)^2/4)*(2*9.81*(O3099/100-cota_s-fi_s/2/1000))^0.5*1000)))</f>
        <v>6.8389026796430112</v>
      </c>
      <c r="R3099" s="38">
        <f t="shared" ca="1" si="330"/>
        <v>14.279931845686145</v>
      </c>
      <c r="S3099" s="38">
        <f t="shared" ca="1" si="331"/>
        <v>968.125</v>
      </c>
    </row>
    <row r="3100" spans="13:19">
      <c r="M3100" s="132">
        <f t="shared" ca="1" si="328"/>
        <v>982.71994495194247</v>
      </c>
      <c r="N3100" s="38">
        <f t="shared" si="329"/>
        <v>29.053124999999998</v>
      </c>
      <c r="O3100" s="36">
        <f t="shared" si="327"/>
        <v>774.75</v>
      </c>
      <c r="P3100" s="38">
        <f ca="1">IF(ISERROR(IF(O3100&lt;fi_h/20,0,(OFFSET('Base de dados'!$A$5,IF(O3100&lt;20,1,IF(O3100&gt;1000,10,MATCH(O3100,Cargas,1))),Coluna_fih,1,1))*(1+0.13*0.25)*(PI()*(fi_h/1000)^2/4)*SQRT(2*9.81*(O3100/100-fi_h/2/1000))*1000)),"",IF(O3100&lt;fi_h/20,0,(OFFSET('Base de dados'!$A$5,IF(O3100&lt;20,1,IF(O3100&gt;1000,10,MATCH(O3100,Cargas,1))),Coluna_fih,1,1))*(PI()*(fi_h/1000)^2/4)*SQRT(2*9.81*(O3100/100-fi_h/2/1000))*1000))</f>
        <v>7.442232744773583</v>
      </c>
      <c r="Q3100" s="38">
        <f ca="1">IF(O3100="","",IF(Tipo_Vertedor="Retangular",IF(O3100&lt;=cota_s*100,0,IF(Tipo_Vertedor="Retangular",Cd_sr*Lef_sr*((O3100/100-cota_s)^(3/2))*1000)),IF(O3100&lt;=cota_s*100+fi_s/20,0,(OFFSET('Base de dados'!$A$4,IF(O3100&lt;20,1,IF(O3100&gt;1000,10,MATCH(O3100,Cargas,1))),Coluna_fis,1,1))*(PI()*(fi_s/1000)^2/4)*(2*9.81*(O3100/100-cota_s-fi_s/2/1000))^0.5*1000)))</f>
        <v>6.8402122071690092</v>
      </c>
      <c r="R3100" s="38">
        <f t="shared" ca="1" si="330"/>
        <v>14.282444951942592</v>
      </c>
      <c r="S3100" s="38">
        <f t="shared" ca="1" si="331"/>
        <v>968.43749999999989</v>
      </c>
    </row>
    <row r="3101" spans="13:19">
      <c r="M3101" s="132">
        <f t="shared" ca="1" si="328"/>
        <v>983.03495761292925</v>
      </c>
      <c r="N3101" s="38">
        <f t="shared" si="329"/>
        <v>29.0625</v>
      </c>
      <c r="O3101" s="36">
        <f t="shared" si="327"/>
        <v>775</v>
      </c>
      <c r="P3101" s="38">
        <f ca="1">IF(ISERROR(IF(O3101&lt;fi_h/20,0,(OFFSET('Base de dados'!$A$5,IF(O3101&lt;20,1,IF(O3101&gt;1000,10,MATCH(O3101,Cargas,1))),Coluna_fih,1,1))*(1+0.13*0.25)*(PI()*(fi_h/1000)^2/4)*SQRT(2*9.81*(O3101/100-fi_h/2/1000))*1000)),"",IF(O3101&lt;fi_h/20,0,(OFFSET('Base de dados'!$A$5,IF(O3101&lt;20,1,IF(O3101&gt;1000,10,MATCH(O3101,Cargas,1))),Coluna_fih,1,1))*(PI()*(fi_h/1000)^2/4)*SQRT(2*9.81*(O3101/100-fi_h/2/1000))*1000))</f>
        <v>7.4434361288893793</v>
      </c>
      <c r="Q3101" s="38">
        <f ca="1">IF(O3101="","",IF(Tipo_Vertedor="Retangular",IF(O3101&lt;=cota_s*100,0,IF(Tipo_Vertedor="Retangular",Cd_sr*Lef_sr*((O3101/100-cota_s)^(3/2))*1000)),IF(O3101&lt;=cota_s*100+fi_s/20,0,(OFFSET('Base de dados'!$A$4,IF(O3101&lt;20,1,IF(O3101&gt;1000,10,MATCH(O3101,Cargas,1))),Coluna_fis,1,1))*(PI()*(fi_s/1000)^2/4)*(2*9.81*(O3101/100-cota_s-fi_s/2/1000))^0.5*1000)))</f>
        <v>6.8415214840399008</v>
      </c>
      <c r="R3101" s="38">
        <f t="shared" ca="1" si="330"/>
        <v>14.284957612929279</v>
      </c>
      <c r="S3101" s="38">
        <f t="shared" ca="1" si="331"/>
        <v>968.75</v>
      </c>
    </row>
    <row r="3102" spans="13:19">
      <c r="M3102" s="132">
        <f t="shared" ca="1" si="328"/>
        <v>983.34996982888458</v>
      </c>
      <c r="N3102" s="38">
        <f t="shared" si="329"/>
        <v>29.071875000000002</v>
      </c>
      <c r="O3102" s="36">
        <f t="shared" si="327"/>
        <v>775.25</v>
      </c>
      <c r="P3102" s="38">
        <f ca="1">IF(ISERROR(IF(O3102&lt;fi_h/20,0,(OFFSET('Base de dados'!$A$5,IF(O3102&lt;20,1,IF(O3102&gt;1000,10,MATCH(O3102,Cargas,1))),Coluna_fih,1,1))*(1+0.13*0.25)*(PI()*(fi_h/1000)^2/4)*SQRT(2*9.81*(O3102/100-fi_h/2/1000))*1000)),"",IF(O3102&lt;fi_h/20,0,(OFFSET('Base de dados'!$A$5,IF(O3102&lt;20,1,IF(O3102&gt;1000,10,MATCH(O3102,Cargas,1))),Coluna_fih,1,1))*(PI()*(fi_h/1000)^2/4)*SQRT(2*9.81*(O3102/100-fi_h/2/1000))*1000))</f>
        <v>7.4446393184848985</v>
      </c>
      <c r="Q3102" s="38">
        <f ca="1">IF(O3102="","",IF(Tipo_Vertedor="Retangular",IF(O3102&lt;=cota_s*100,0,IF(Tipo_Vertedor="Retangular",Cd_sr*Lef_sr*((O3102/100-cota_s)^(3/2))*1000)),IF(O3102&lt;=cota_s*100+fi_s/20,0,(OFFSET('Base de dados'!$A$4,IF(O3102&lt;20,1,IF(O3102&gt;1000,10,MATCH(O3102,Cargas,1))),Coluna_fis,1,1))*(PI()*(fi_s/1000)^2/4)*(2*9.81*(O3102/100-cota_s-fi_s/2/1000))^0.5*1000)))</f>
        <v>6.8428305103995593</v>
      </c>
      <c r="R3102" s="38">
        <f t="shared" ca="1" si="330"/>
        <v>14.287469828884458</v>
      </c>
      <c r="S3102" s="38">
        <f t="shared" ca="1" si="331"/>
        <v>969.06250000000011</v>
      </c>
    </row>
    <row r="3103" spans="13:19">
      <c r="M3103" s="132">
        <f t="shared" ca="1" si="328"/>
        <v>983.66498160004619</v>
      </c>
      <c r="N3103" s="38">
        <f t="shared" si="329"/>
        <v>29.081250000000001</v>
      </c>
      <c r="O3103" s="36">
        <f t="shared" si="327"/>
        <v>775.5</v>
      </c>
      <c r="P3103" s="38">
        <f ca="1">IF(ISERROR(IF(O3103&lt;fi_h/20,0,(OFFSET('Base de dados'!$A$5,IF(O3103&lt;20,1,IF(O3103&gt;1000,10,MATCH(O3103,Cargas,1))),Coluna_fih,1,1))*(1+0.13*0.25)*(PI()*(fi_h/1000)^2/4)*SQRT(2*9.81*(O3103/100-fi_h/2/1000))*1000)),"",IF(O3103&lt;fi_h/20,0,(OFFSET('Base de dados'!$A$5,IF(O3103&lt;20,1,IF(O3103&gt;1000,10,MATCH(O3103,Cargas,1))),Coluna_fih,1,1))*(PI()*(fi_h/1000)^2/4)*SQRT(2*9.81*(O3103/100-fi_h/2/1000))*1000))</f>
        <v>7.4458423136544374</v>
      </c>
      <c r="Q3103" s="38">
        <f ca="1">IF(O3103="","",IF(Tipo_Vertedor="Retangular",IF(O3103&lt;=cota_s*100,0,IF(Tipo_Vertedor="Retangular",Cd_sr*Lef_sr*((O3103/100-cota_s)^(3/2))*1000)),IF(O3103&lt;=cota_s*100+fi_s/20,0,(OFFSET('Base de dados'!$A$4,IF(O3103&lt;20,1,IF(O3103&gt;1000,10,MATCH(O3103,Cargas,1))),Coluna_fis,1,1))*(PI()*(fi_s/1000)^2/4)*(2*9.81*(O3103/100-cota_s-fi_s/2/1000))^0.5*1000)))</f>
        <v>6.8441392863917274</v>
      </c>
      <c r="R3103" s="38">
        <f t="shared" ca="1" si="330"/>
        <v>14.289981600046165</v>
      </c>
      <c r="S3103" s="38">
        <f t="shared" ca="1" si="331"/>
        <v>969.375</v>
      </c>
    </row>
    <row r="3104" spans="13:19">
      <c r="M3104" s="132">
        <f t="shared" ca="1" si="328"/>
        <v>983.97999292665236</v>
      </c>
      <c r="N3104" s="38">
        <f t="shared" si="329"/>
        <v>29.090625000000003</v>
      </c>
      <c r="O3104" s="36">
        <f t="shared" si="327"/>
        <v>775.75</v>
      </c>
      <c r="P3104" s="38">
        <f ca="1">IF(ISERROR(IF(O3104&lt;fi_h/20,0,(OFFSET('Base de dados'!$A$5,IF(O3104&lt;20,1,IF(O3104&gt;1000,10,MATCH(O3104,Cargas,1))),Coluna_fih,1,1))*(1+0.13*0.25)*(PI()*(fi_h/1000)^2/4)*SQRT(2*9.81*(O3104/100-fi_h/2/1000))*1000)),"",IF(O3104&lt;fi_h/20,0,(OFFSET('Base de dados'!$A$5,IF(O3104&lt;20,1,IF(O3104&gt;1000,10,MATCH(O3104,Cargas,1))),Coluna_fih,1,1))*(PI()*(fi_h/1000)^2/4)*SQRT(2*9.81*(O3104/100-fi_h/2/1000))*1000))</f>
        <v>7.4470451144922194</v>
      </c>
      <c r="Q3104" s="38">
        <f ca="1">IF(O3104="","",IF(Tipo_Vertedor="Retangular",IF(O3104&lt;=cota_s*100,0,IF(Tipo_Vertedor="Retangular",Cd_sr*Lef_sr*((O3104/100-cota_s)^(3/2))*1000)),IF(O3104&lt;=cota_s*100+fi_s/20,0,(OFFSET('Base de dados'!$A$4,IF(O3104&lt;20,1,IF(O3104&gt;1000,10,MATCH(O3104,Cargas,1))),Coluna_fis,1,1))*(PI()*(fi_s/1000)^2/4)*(2*9.81*(O3104/100-cota_s-fi_s/2/1000))^0.5*1000)))</f>
        <v>6.8454478121600078</v>
      </c>
      <c r="R3104" s="38">
        <f t="shared" ca="1" si="330"/>
        <v>14.292492926652226</v>
      </c>
      <c r="S3104" s="38">
        <f t="shared" ca="1" si="331"/>
        <v>969.68750000000011</v>
      </c>
    </row>
    <row r="3105" spans="13:19">
      <c r="M3105" s="132">
        <f t="shared" ca="1" si="328"/>
        <v>984.29500380894012</v>
      </c>
      <c r="N3105" s="38">
        <f t="shared" si="329"/>
        <v>29.099999999999998</v>
      </c>
      <c r="O3105" s="36">
        <f t="shared" si="327"/>
        <v>776</v>
      </c>
      <c r="P3105" s="38">
        <f ca="1">IF(ISERROR(IF(O3105&lt;fi_h/20,0,(OFFSET('Base de dados'!$A$5,IF(O3105&lt;20,1,IF(O3105&gt;1000,10,MATCH(O3105,Cargas,1))),Coluna_fih,1,1))*(1+0.13*0.25)*(PI()*(fi_h/1000)^2/4)*SQRT(2*9.81*(O3105/100-fi_h/2/1000))*1000)),"",IF(O3105&lt;fi_h/20,0,(OFFSET('Base de dados'!$A$5,IF(O3105&lt;20,1,IF(O3105&gt;1000,10,MATCH(O3105,Cargas,1))),Coluna_fih,1,1))*(PI()*(fi_h/1000)^2/4)*SQRT(2*9.81*(O3105/100-fi_h/2/1000))*1000))</f>
        <v>7.4482477210923923</v>
      </c>
      <c r="Q3105" s="38">
        <f ca="1">IF(O3105="","",IF(Tipo_Vertedor="Retangular",IF(O3105&lt;=cota_s*100,0,IF(Tipo_Vertedor="Retangular",Cd_sr*Lef_sr*((O3105/100-cota_s)^(3/2))*1000)),IF(O3105&lt;=cota_s*100+fi_s/20,0,(OFFSET('Base de dados'!$A$4,IF(O3105&lt;20,1,IF(O3105&gt;1000,10,MATCH(O3105,Cargas,1))),Coluna_fis,1,1))*(PI()*(fi_s/1000)^2/4)*(2*9.81*(O3105/100-cota_s-fi_s/2/1000))^0.5*1000)))</f>
        <v>6.8467560878478659</v>
      </c>
      <c r="R3105" s="38">
        <f t="shared" ca="1" si="330"/>
        <v>14.295003808940258</v>
      </c>
      <c r="S3105" s="38">
        <f t="shared" ca="1" si="331"/>
        <v>969.99999999999989</v>
      </c>
    </row>
    <row r="3106" spans="13:19">
      <c r="M3106" s="132">
        <f t="shared" ca="1" si="328"/>
        <v>984.61001424714766</v>
      </c>
      <c r="N3106" s="38">
        <f t="shared" si="329"/>
        <v>29.109375</v>
      </c>
      <c r="O3106" s="36">
        <f t="shared" si="327"/>
        <v>776.25</v>
      </c>
      <c r="P3106" s="38">
        <f ca="1">IF(ISERROR(IF(O3106&lt;fi_h/20,0,(OFFSET('Base de dados'!$A$5,IF(O3106&lt;20,1,IF(O3106&gt;1000,10,MATCH(O3106,Cargas,1))),Coluna_fih,1,1))*(1+0.13*0.25)*(PI()*(fi_h/1000)^2/4)*SQRT(2*9.81*(O3106/100-fi_h/2/1000))*1000)),"",IF(O3106&lt;fi_h/20,0,(OFFSET('Base de dados'!$A$5,IF(O3106&lt;20,1,IF(O3106&gt;1000,10,MATCH(O3106,Cargas,1))),Coluna_fih,1,1))*(PI()*(fi_h/1000)^2/4)*SQRT(2*9.81*(O3106/100-fi_h/2/1000))*1000))</f>
        <v>7.4494501335490249</v>
      </c>
      <c r="Q3106" s="38">
        <f ca="1">IF(O3106="","",IF(Tipo_Vertedor="Retangular",IF(O3106&lt;=cota_s*100,0,IF(Tipo_Vertedor="Retangular",Cd_sr*Lef_sr*((O3106/100-cota_s)^(3/2))*1000)),IF(O3106&lt;=cota_s*100+fi_s/20,0,(OFFSET('Base de dados'!$A$4,IF(O3106&lt;20,1,IF(O3106&gt;1000,10,MATCH(O3106,Cargas,1))),Coluna_fis,1,1))*(PI()*(fi_s/1000)^2/4)*(2*9.81*(O3106/100-cota_s-fi_s/2/1000))^0.5*1000)))</f>
        <v>6.8480641135986309</v>
      </c>
      <c r="R3106" s="38">
        <f t="shared" ca="1" si="330"/>
        <v>14.297514247147657</v>
      </c>
      <c r="S3106" s="38">
        <f t="shared" ca="1" si="331"/>
        <v>970.3125</v>
      </c>
    </row>
    <row r="3107" spans="13:19">
      <c r="M3107" s="132">
        <f t="shared" ca="1" si="328"/>
        <v>984.92502424151155</v>
      </c>
      <c r="N3107" s="38">
        <f t="shared" si="329"/>
        <v>29.118749999999999</v>
      </c>
      <c r="O3107" s="36">
        <f t="shared" si="327"/>
        <v>776.5</v>
      </c>
      <c r="P3107" s="38">
        <f ca="1">IF(ISERROR(IF(O3107&lt;fi_h/20,0,(OFFSET('Base de dados'!$A$5,IF(O3107&lt;20,1,IF(O3107&gt;1000,10,MATCH(O3107,Cargas,1))),Coluna_fih,1,1))*(1+0.13*0.25)*(PI()*(fi_h/1000)^2/4)*SQRT(2*9.81*(O3107/100-fi_h/2/1000))*1000)),"",IF(O3107&lt;fi_h/20,0,(OFFSET('Base de dados'!$A$5,IF(O3107&lt;20,1,IF(O3107&gt;1000,10,MATCH(O3107,Cargas,1))),Coluna_fih,1,1))*(PI()*(fi_h/1000)^2/4)*SQRT(2*9.81*(O3107/100-fi_h/2/1000))*1000))</f>
        <v>7.4506523519561121</v>
      </c>
      <c r="Q3107" s="38">
        <f ca="1">IF(O3107="","",IF(Tipo_Vertedor="Retangular",IF(O3107&lt;=cota_s*100,0,IF(Tipo_Vertedor="Retangular",Cd_sr*Lef_sr*((O3107/100-cota_s)^(3/2))*1000)),IF(O3107&lt;=cota_s*100+fi_s/20,0,(OFFSET('Base de dados'!$A$4,IF(O3107&lt;20,1,IF(O3107&gt;1000,10,MATCH(O3107,Cargas,1))),Coluna_fis,1,1))*(PI()*(fi_s/1000)^2/4)*(2*9.81*(O3107/100-cota_s-fi_s/2/1000))^0.5*1000)))</f>
        <v>6.8493718895554929</v>
      </c>
      <c r="R3107" s="38">
        <f t="shared" ca="1" si="330"/>
        <v>14.300024241511604</v>
      </c>
      <c r="S3107" s="38">
        <f t="shared" ca="1" si="331"/>
        <v>970.625</v>
      </c>
    </row>
    <row r="3108" spans="13:19">
      <c r="M3108" s="132">
        <f t="shared" ca="1" si="328"/>
        <v>985.24003379226906</v>
      </c>
      <c r="N3108" s="38">
        <f t="shared" si="329"/>
        <v>29.128125000000001</v>
      </c>
      <c r="O3108" s="36">
        <f t="shared" si="327"/>
        <v>776.75</v>
      </c>
      <c r="P3108" s="38">
        <f ca="1">IF(ISERROR(IF(O3108&lt;fi_h/20,0,(OFFSET('Base de dados'!$A$5,IF(O3108&lt;20,1,IF(O3108&gt;1000,10,MATCH(O3108,Cargas,1))),Coluna_fih,1,1))*(1+0.13*0.25)*(PI()*(fi_h/1000)^2/4)*SQRT(2*9.81*(O3108/100-fi_h/2/1000))*1000)),"",IF(O3108&lt;fi_h/20,0,(OFFSET('Base de dados'!$A$5,IF(O3108&lt;20,1,IF(O3108&gt;1000,10,MATCH(O3108,Cargas,1))),Coluna_fih,1,1))*(PI()*(fi_h/1000)^2/4)*SQRT(2*9.81*(O3108/100-fi_h/2/1000))*1000))</f>
        <v>7.4518543764075762</v>
      </c>
      <c r="Q3108" s="38">
        <f ca="1">IF(O3108="","",IF(Tipo_Vertedor="Retangular",IF(O3108&lt;=cota_s*100,0,IF(Tipo_Vertedor="Retangular",Cd_sr*Lef_sr*((O3108/100-cota_s)^(3/2))*1000)),IF(O3108&lt;=cota_s*100+fi_s/20,0,(OFFSET('Base de dados'!$A$4,IF(O3108&lt;20,1,IF(O3108&gt;1000,10,MATCH(O3108,Cargas,1))),Coluna_fis,1,1))*(PI()*(fi_s/1000)^2/4)*(2*9.81*(O3108/100-cota_s-fi_s/2/1000))^0.5*1000)))</f>
        <v>6.8506794158615056</v>
      </c>
      <c r="R3108" s="38">
        <f t="shared" ca="1" si="330"/>
        <v>14.302533792269081</v>
      </c>
      <c r="S3108" s="38">
        <f t="shared" ca="1" si="331"/>
        <v>970.9375</v>
      </c>
    </row>
    <row r="3109" spans="13:19">
      <c r="M3109" s="132">
        <f t="shared" ca="1" si="328"/>
        <v>985.55504289965688</v>
      </c>
      <c r="N3109" s="38">
        <f t="shared" si="329"/>
        <v>29.137499999999999</v>
      </c>
      <c r="O3109" s="36">
        <f t="shared" si="327"/>
        <v>777</v>
      </c>
      <c r="P3109" s="38">
        <f ca="1">IF(ISERROR(IF(O3109&lt;fi_h/20,0,(OFFSET('Base de dados'!$A$5,IF(O3109&lt;20,1,IF(O3109&gt;1000,10,MATCH(O3109,Cargas,1))),Coluna_fih,1,1))*(1+0.13*0.25)*(PI()*(fi_h/1000)^2/4)*SQRT(2*9.81*(O3109/100-fi_h/2/1000))*1000)),"",IF(O3109&lt;fi_h/20,0,(OFFSET('Base de dados'!$A$5,IF(O3109&lt;20,1,IF(O3109&gt;1000,10,MATCH(O3109,Cargas,1))),Coluna_fih,1,1))*(PI()*(fi_h/1000)^2/4)*SQRT(2*9.81*(O3109/100-fi_h/2/1000))*1000))</f>
        <v>7.453056206997255</v>
      </c>
      <c r="Q3109" s="38">
        <f ca="1">IF(O3109="","",IF(Tipo_Vertedor="Retangular",IF(O3109&lt;=cota_s*100,0,IF(Tipo_Vertedor="Retangular",Cd_sr*Lef_sr*((O3109/100-cota_s)^(3/2))*1000)),IF(O3109&lt;=cota_s*100+fi_s/20,0,(OFFSET('Base de dados'!$A$4,IF(O3109&lt;20,1,IF(O3109&gt;1000,10,MATCH(O3109,Cargas,1))),Coluna_fis,1,1))*(PI()*(fi_s/1000)^2/4)*(2*9.81*(O3109/100-cota_s-fi_s/2/1000))^0.5*1000)))</f>
        <v>6.8519866926595911</v>
      </c>
      <c r="R3109" s="38">
        <f t="shared" ca="1" si="330"/>
        <v>14.305042899656847</v>
      </c>
      <c r="S3109" s="38">
        <f t="shared" ca="1" si="331"/>
        <v>971.25</v>
      </c>
    </row>
    <row r="3110" spans="13:19">
      <c r="M3110" s="132">
        <f t="shared" ca="1" si="328"/>
        <v>985.87005156391149</v>
      </c>
      <c r="N3110" s="38">
        <f t="shared" si="329"/>
        <v>29.146875000000001</v>
      </c>
      <c r="O3110" s="36">
        <f t="shared" si="327"/>
        <v>777.25</v>
      </c>
      <c r="P3110" s="38">
        <f ca="1">IF(ISERROR(IF(O3110&lt;fi_h/20,0,(OFFSET('Base de dados'!$A$5,IF(O3110&lt;20,1,IF(O3110&gt;1000,10,MATCH(O3110,Cargas,1))),Coluna_fih,1,1))*(1+0.13*0.25)*(PI()*(fi_h/1000)^2/4)*SQRT(2*9.81*(O3110/100-fi_h/2/1000))*1000)),"",IF(O3110&lt;fi_h/20,0,(OFFSET('Base de dados'!$A$5,IF(O3110&lt;20,1,IF(O3110&gt;1000,10,MATCH(O3110,Cargas,1))),Coluna_fih,1,1))*(PI()*(fi_h/1000)^2/4)*SQRT(2*9.81*(O3110/100-fi_h/2/1000))*1000))</f>
        <v>7.4542578438189189</v>
      </c>
      <c r="Q3110" s="38">
        <f ca="1">IF(O3110="","",IF(Tipo_Vertedor="Retangular",IF(O3110&lt;=cota_s*100,0,IF(Tipo_Vertedor="Retangular",Cd_sr*Lef_sr*((O3110/100-cota_s)^(3/2))*1000)),IF(O3110&lt;=cota_s*100+fi_s/20,0,(OFFSET('Base de dados'!$A$4,IF(O3110&lt;20,1,IF(O3110&gt;1000,10,MATCH(O3110,Cargas,1))),Coluna_fis,1,1))*(PI()*(fi_s/1000)^2/4)*(2*9.81*(O3110/100-cota_s-fi_s/2/1000))^0.5*1000)))</f>
        <v>6.8532937200925286</v>
      </c>
      <c r="R3110" s="38">
        <f t="shared" ca="1" si="330"/>
        <v>14.307551563911447</v>
      </c>
      <c r="S3110" s="38">
        <f t="shared" ca="1" si="331"/>
        <v>971.5625</v>
      </c>
    </row>
    <row r="3111" spans="13:19">
      <c r="M3111" s="132">
        <f t="shared" ca="1" si="328"/>
        <v>986.18505978526923</v>
      </c>
      <c r="N3111" s="38">
        <f t="shared" si="329"/>
        <v>29.15625</v>
      </c>
      <c r="O3111" s="36">
        <f t="shared" si="327"/>
        <v>777.5</v>
      </c>
      <c r="P3111" s="38">
        <f ca="1">IF(ISERROR(IF(O3111&lt;fi_h/20,0,(OFFSET('Base de dados'!$A$5,IF(O3111&lt;20,1,IF(O3111&gt;1000,10,MATCH(O3111,Cargas,1))),Coluna_fih,1,1))*(1+0.13*0.25)*(PI()*(fi_h/1000)^2/4)*SQRT(2*9.81*(O3111/100-fi_h/2/1000))*1000)),"",IF(O3111&lt;fi_h/20,0,(OFFSET('Base de dados'!$A$5,IF(O3111&lt;20,1,IF(O3111&gt;1000,10,MATCH(O3111,Cargas,1))),Coluna_fih,1,1))*(PI()*(fi_h/1000)^2/4)*SQRT(2*9.81*(O3111/100-fi_h/2/1000))*1000))</f>
        <v>7.4554592869662617</v>
      </c>
      <c r="Q3111" s="38">
        <f ca="1">IF(O3111="","",IF(Tipo_Vertedor="Retangular",IF(O3111&lt;=cota_s*100,0,IF(Tipo_Vertedor="Retangular",Cd_sr*Lef_sr*((O3111/100-cota_s)^(3/2))*1000)),IF(O3111&lt;=cota_s*100+fi_s/20,0,(OFFSET('Base de dados'!$A$4,IF(O3111&lt;20,1,IF(O3111&gt;1000,10,MATCH(O3111,Cargas,1))),Coluna_fis,1,1))*(PI()*(fi_s/1000)^2/4)*(2*9.81*(O3111/100-cota_s-fi_s/2/1000))^0.5*1000)))</f>
        <v>6.8546004983029665</v>
      </c>
      <c r="R3111" s="38">
        <f t="shared" ca="1" si="330"/>
        <v>14.310059785269228</v>
      </c>
      <c r="S3111" s="38">
        <f t="shared" ca="1" si="331"/>
        <v>971.875</v>
      </c>
    </row>
    <row r="3112" spans="13:19">
      <c r="M3112" s="132">
        <f t="shared" ca="1" si="328"/>
        <v>986.50006756396635</v>
      </c>
      <c r="N3112" s="38">
        <f t="shared" si="329"/>
        <v>29.165624999999999</v>
      </c>
      <c r="O3112" s="36">
        <f t="shared" si="327"/>
        <v>777.75</v>
      </c>
      <c r="P3112" s="38">
        <f ca="1">IF(ISERROR(IF(O3112&lt;fi_h/20,0,(OFFSET('Base de dados'!$A$5,IF(O3112&lt;20,1,IF(O3112&gt;1000,10,MATCH(O3112,Cargas,1))),Coluna_fih,1,1))*(1+0.13*0.25)*(PI()*(fi_h/1000)^2/4)*SQRT(2*9.81*(O3112/100-fi_h/2/1000))*1000)),"",IF(O3112&lt;fi_h/20,0,(OFFSET('Base de dados'!$A$5,IF(O3112&lt;20,1,IF(O3112&gt;1000,10,MATCH(O3112,Cargas,1))),Coluna_fih,1,1))*(PI()*(fi_h/1000)^2/4)*SQRT(2*9.81*(O3112/100-fi_h/2/1000))*1000))</f>
        <v>7.4566605365328948</v>
      </c>
      <c r="Q3112" s="38">
        <f ca="1">IF(O3112="","",IF(Tipo_Vertedor="Retangular",IF(O3112&lt;=cota_s*100,0,IF(Tipo_Vertedor="Retangular",Cd_sr*Lef_sr*((O3112/100-cota_s)^(3/2))*1000)),IF(O3112&lt;=cota_s*100+fi_s/20,0,(OFFSET('Base de dados'!$A$4,IF(O3112&lt;20,1,IF(O3112&gt;1000,10,MATCH(O3112,Cargas,1))),Coluna_fis,1,1))*(PI()*(fi_s/1000)^2/4)*(2*9.81*(O3112/100-cota_s-fi_s/2/1000))^0.5*1000)))</f>
        <v>6.8559070274334122</v>
      </c>
      <c r="R3112" s="38">
        <f t="shared" ca="1" si="330"/>
        <v>14.312567563966308</v>
      </c>
      <c r="S3112" s="38">
        <f t="shared" ca="1" si="331"/>
        <v>972.1875</v>
      </c>
    </row>
    <row r="3113" spans="13:19">
      <c r="M3113" s="132">
        <f t="shared" ca="1" si="328"/>
        <v>986.81507490023864</v>
      </c>
      <c r="N3113" s="38">
        <f t="shared" si="329"/>
        <v>29.175000000000001</v>
      </c>
      <c r="O3113" s="36">
        <f t="shared" si="327"/>
        <v>778</v>
      </c>
      <c r="P3113" s="38">
        <f ca="1">IF(ISERROR(IF(O3113&lt;fi_h/20,0,(OFFSET('Base de dados'!$A$5,IF(O3113&lt;20,1,IF(O3113&gt;1000,10,MATCH(O3113,Cargas,1))),Coluna_fih,1,1))*(1+0.13*0.25)*(PI()*(fi_h/1000)^2/4)*SQRT(2*9.81*(O3113/100-fi_h/2/1000))*1000)),"",IF(O3113&lt;fi_h/20,0,(OFFSET('Base de dados'!$A$5,IF(O3113&lt;20,1,IF(O3113&gt;1000,10,MATCH(O3113,Cargas,1))),Coluna_fih,1,1))*(PI()*(fi_h/1000)^2/4)*SQRT(2*9.81*(O3113/100-fi_h/2/1000))*1000))</f>
        <v>7.457861592612363</v>
      </c>
      <c r="Q3113" s="38">
        <f ca="1">IF(O3113="","",IF(Tipo_Vertedor="Retangular",IF(O3113&lt;=cota_s*100,0,IF(Tipo_Vertedor="Retangular",Cd_sr*Lef_sr*((O3113/100-cota_s)^(3/2))*1000)),IF(O3113&lt;=cota_s*100+fi_s/20,0,(OFFSET('Base de dados'!$A$4,IF(O3113&lt;20,1,IF(O3113&gt;1000,10,MATCH(O3113,Cargas,1))),Coluna_fis,1,1))*(PI()*(fi_s/1000)^2/4)*(2*9.81*(O3113/100-cota_s-fi_s/2/1000))^0.5*1000)))</f>
        <v>6.8572133076262416</v>
      </c>
      <c r="R3113" s="38">
        <f t="shared" ca="1" si="330"/>
        <v>14.315074900238605</v>
      </c>
      <c r="S3113" s="38">
        <f t="shared" ca="1" si="331"/>
        <v>972.5</v>
      </c>
    </row>
    <row r="3114" spans="13:19">
      <c r="M3114" s="132">
        <f t="shared" ca="1" si="328"/>
        <v>987.13008179432177</v>
      </c>
      <c r="N3114" s="38">
        <f t="shared" si="329"/>
        <v>29.184374999999999</v>
      </c>
      <c r="O3114" s="36">
        <f t="shared" si="327"/>
        <v>778.25</v>
      </c>
      <c r="P3114" s="38">
        <f ca="1">IF(ISERROR(IF(O3114&lt;fi_h/20,0,(OFFSET('Base de dados'!$A$5,IF(O3114&lt;20,1,IF(O3114&gt;1000,10,MATCH(O3114,Cargas,1))),Coluna_fih,1,1))*(1+0.13*0.25)*(PI()*(fi_h/1000)^2/4)*SQRT(2*9.81*(O3114/100-fi_h/2/1000))*1000)),"",IF(O3114&lt;fi_h/20,0,(OFFSET('Base de dados'!$A$5,IF(O3114&lt;20,1,IF(O3114&gt;1000,10,MATCH(O3114,Cargas,1))),Coluna_fih,1,1))*(PI()*(fi_h/1000)^2/4)*SQRT(2*9.81*(O3114/100-fi_h/2/1000))*1000))</f>
        <v>7.4590624552981311</v>
      </c>
      <c r="Q3114" s="38">
        <f ca="1">IF(O3114="","",IF(Tipo_Vertedor="Retangular",IF(O3114&lt;=cota_s*100,0,IF(Tipo_Vertedor="Retangular",Cd_sr*Lef_sr*((O3114/100-cota_s)^(3/2))*1000)),IF(O3114&lt;=cota_s*100+fi_s/20,0,(OFFSET('Base de dados'!$A$4,IF(O3114&lt;20,1,IF(O3114&gt;1000,10,MATCH(O3114,Cargas,1))),Coluna_fis,1,1))*(PI()*(fi_s/1000)^2/4)*(2*9.81*(O3114/100-cota_s-fi_s/2/1000))^0.5*1000)))</f>
        <v>6.858519339023692</v>
      </c>
      <c r="R3114" s="38">
        <f t="shared" ca="1" si="330"/>
        <v>14.317581794321823</v>
      </c>
      <c r="S3114" s="38">
        <f t="shared" ca="1" si="331"/>
        <v>972.8125</v>
      </c>
    </row>
    <row r="3115" spans="13:19">
      <c r="M3115" s="132">
        <f t="shared" ca="1" si="328"/>
        <v>987.44508824645141</v>
      </c>
      <c r="N3115" s="38">
        <f t="shared" si="329"/>
        <v>29.193750000000001</v>
      </c>
      <c r="O3115" s="36">
        <f t="shared" si="327"/>
        <v>778.5</v>
      </c>
      <c r="P3115" s="38">
        <f ca="1">IF(ISERROR(IF(O3115&lt;fi_h/20,0,(OFFSET('Base de dados'!$A$5,IF(O3115&lt;20,1,IF(O3115&gt;1000,10,MATCH(O3115,Cargas,1))),Coluna_fih,1,1))*(1+0.13*0.25)*(PI()*(fi_h/1000)^2/4)*SQRT(2*9.81*(O3115/100-fi_h/2/1000))*1000)),"",IF(O3115&lt;fi_h/20,0,(OFFSET('Base de dados'!$A$5,IF(O3115&lt;20,1,IF(O3115&gt;1000,10,MATCH(O3115,Cargas,1))),Coluna_fih,1,1))*(PI()*(fi_h/1000)^2/4)*SQRT(2*9.81*(O3115/100-fi_h/2/1000))*1000))</f>
        <v>7.4602631246835909</v>
      </c>
      <c r="Q3115" s="38">
        <f ca="1">IF(O3115="","",IF(Tipo_Vertedor="Retangular",IF(O3115&lt;=cota_s*100,0,IF(Tipo_Vertedor="Retangular",Cd_sr*Lef_sr*((O3115/100-cota_s)^(3/2))*1000)),IF(O3115&lt;=cota_s*100+fi_s/20,0,(OFFSET('Base de dados'!$A$4,IF(O3115&lt;20,1,IF(O3115&gt;1000,10,MATCH(O3115,Cargas,1))),Coluna_fis,1,1))*(PI()*(fi_s/1000)^2/4)*(2*9.81*(O3115/100-cota_s-fi_s/2/1000))^0.5*1000)))</f>
        <v>6.8598251217678703</v>
      </c>
      <c r="R3115" s="38">
        <f t="shared" ca="1" si="330"/>
        <v>14.320088246451462</v>
      </c>
      <c r="S3115" s="38">
        <f t="shared" ca="1" si="331"/>
        <v>973.125</v>
      </c>
    </row>
    <row r="3116" spans="13:19">
      <c r="M3116" s="132">
        <f t="shared" ca="1" si="328"/>
        <v>987.76009425686277</v>
      </c>
      <c r="N3116" s="38">
        <f t="shared" si="329"/>
        <v>29.203125</v>
      </c>
      <c r="O3116" s="36">
        <f t="shared" si="327"/>
        <v>778.75</v>
      </c>
      <c r="P3116" s="38">
        <f ca="1">IF(ISERROR(IF(O3116&lt;fi_h/20,0,(OFFSET('Base de dados'!$A$5,IF(O3116&lt;20,1,IF(O3116&gt;1000,10,MATCH(O3116,Cargas,1))),Coluna_fih,1,1))*(1+0.13*0.25)*(PI()*(fi_h/1000)^2/4)*SQRT(2*9.81*(O3116/100-fi_h/2/1000))*1000)),"",IF(O3116&lt;fi_h/20,0,(OFFSET('Base de dados'!$A$5,IF(O3116&lt;20,1,IF(O3116&gt;1000,10,MATCH(O3116,Cargas,1))),Coluna_fih,1,1))*(PI()*(fi_h/1000)^2/4)*SQRT(2*9.81*(O3116/100-fi_h/2/1000))*1000))</f>
        <v>7.4614636008620545</v>
      </c>
      <c r="Q3116" s="38">
        <f ca="1">IF(O3116="","",IF(Tipo_Vertedor="Retangular",IF(O3116&lt;=cota_s*100,0,IF(Tipo_Vertedor="Retangular",Cd_sr*Lef_sr*((O3116/100-cota_s)^(3/2))*1000)),IF(O3116&lt;=cota_s*100+fi_s/20,0,(OFFSET('Base de dados'!$A$4,IF(O3116&lt;20,1,IF(O3116&gt;1000,10,MATCH(O3116,Cargas,1))),Coluna_fis,1,1))*(PI()*(fi_s/1000)^2/4)*(2*9.81*(O3116/100-cota_s-fi_s/2/1000))^0.5*1000)))</f>
        <v>6.861130656000741</v>
      </c>
      <c r="R3116" s="38">
        <f t="shared" ca="1" si="330"/>
        <v>14.322594256862796</v>
      </c>
      <c r="S3116" s="38">
        <f t="shared" ca="1" si="331"/>
        <v>973.4375</v>
      </c>
    </row>
    <row r="3117" spans="13:19">
      <c r="M3117" s="132">
        <f t="shared" ca="1" si="328"/>
        <v>988.07509982579086</v>
      </c>
      <c r="N3117" s="38">
        <f t="shared" si="329"/>
        <v>29.212499999999999</v>
      </c>
      <c r="O3117" s="36">
        <f t="shared" si="327"/>
        <v>779</v>
      </c>
      <c r="P3117" s="38">
        <f ca="1">IF(ISERROR(IF(O3117&lt;fi_h/20,0,(OFFSET('Base de dados'!$A$5,IF(O3117&lt;20,1,IF(O3117&gt;1000,10,MATCH(O3117,Cargas,1))),Coluna_fih,1,1))*(1+0.13*0.25)*(PI()*(fi_h/1000)^2/4)*SQRT(2*9.81*(O3117/100-fi_h/2/1000))*1000)),"",IF(O3117&lt;fi_h/20,0,(OFFSET('Base de dados'!$A$5,IF(O3117&lt;20,1,IF(O3117&gt;1000,10,MATCH(O3117,Cargas,1))),Coluna_fih,1,1))*(PI()*(fi_h/1000)^2/4)*SQRT(2*9.81*(O3117/100-fi_h/2/1000))*1000))</f>
        <v>7.4626638839267656</v>
      </c>
      <c r="Q3117" s="38">
        <f ca="1">IF(O3117="","",IF(Tipo_Vertedor="Retangular",IF(O3117&lt;=cota_s*100,0,IF(Tipo_Vertedor="Retangular",Cd_sr*Lef_sr*((O3117/100-cota_s)^(3/2))*1000)),IF(O3117&lt;=cota_s*100+fi_s/20,0,(OFFSET('Base de dados'!$A$4,IF(O3117&lt;20,1,IF(O3117&gt;1000,10,MATCH(O3117,Cargas,1))),Coluna_fis,1,1))*(PI()*(fi_s/1000)^2/4)*(2*9.81*(O3117/100-cota_s-fi_s/2/1000))^0.5*1000)))</f>
        <v>6.8624359418641365</v>
      </c>
      <c r="R3117" s="38">
        <f t="shared" ca="1" si="330"/>
        <v>14.325099825790902</v>
      </c>
      <c r="S3117" s="38">
        <f t="shared" ca="1" si="331"/>
        <v>973.75</v>
      </c>
    </row>
    <row r="3118" spans="13:19">
      <c r="M3118" s="132">
        <f t="shared" ca="1" si="328"/>
        <v>988.39010495347065</v>
      </c>
      <c r="N3118" s="38">
        <f t="shared" si="329"/>
        <v>29.221875000000001</v>
      </c>
      <c r="O3118" s="36">
        <f t="shared" si="327"/>
        <v>779.25</v>
      </c>
      <c r="P3118" s="38">
        <f ca="1">IF(ISERROR(IF(O3118&lt;fi_h/20,0,(OFFSET('Base de dados'!$A$5,IF(O3118&lt;20,1,IF(O3118&gt;1000,10,MATCH(O3118,Cargas,1))),Coluna_fih,1,1))*(1+0.13*0.25)*(PI()*(fi_h/1000)^2/4)*SQRT(2*9.81*(O3118/100-fi_h/2/1000))*1000)),"",IF(O3118&lt;fi_h/20,0,(OFFSET('Base de dados'!$A$5,IF(O3118&lt;20,1,IF(O3118&gt;1000,10,MATCH(O3118,Cargas,1))),Coluna_fih,1,1))*(PI()*(fi_h/1000)^2/4)*SQRT(2*9.81*(O3118/100-fi_h/2/1000))*1000))</f>
        <v>7.4638639739708879</v>
      </c>
      <c r="Q3118" s="38">
        <f ca="1">IF(O3118="","",IF(Tipo_Vertedor="Retangular",IF(O3118&lt;=cota_s*100,0,IF(Tipo_Vertedor="Retangular",Cd_sr*Lef_sr*((O3118/100-cota_s)^(3/2))*1000)),IF(O3118&lt;=cota_s*100+fi_s/20,0,(OFFSET('Base de dados'!$A$4,IF(O3118&lt;20,1,IF(O3118&gt;1000,10,MATCH(O3118,Cargas,1))),Coluna_fis,1,1))*(PI()*(fi_s/1000)^2/4)*(2*9.81*(O3118/100-cota_s-fi_s/2/1000))^0.5*1000)))</f>
        <v>6.8637409794997586</v>
      </c>
      <c r="R3118" s="38">
        <f t="shared" ca="1" si="330"/>
        <v>14.327604953470647</v>
      </c>
      <c r="S3118" s="38">
        <f t="shared" ca="1" si="331"/>
        <v>974.0625</v>
      </c>
    </row>
    <row r="3119" spans="13:19">
      <c r="M3119" s="132">
        <f t="shared" ca="1" si="328"/>
        <v>988.7051096401367</v>
      </c>
      <c r="N3119" s="38">
        <f t="shared" si="329"/>
        <v>29.231249999999999</v>
      </c>
      <c r="O3119" s="36">
        <f t="shared" si="327"/>
        <v>779.5</v>
      </c>
      <c r="P3119" s="38">
        <f ca="1">IF(ISERROR(IF(O3119&lt;fi_h/20,0,(OFFSET('Base de dados'!$A$5,IF(O3119&lt;20,1,IF(O3119&gt;1000,10,MATCH(O3119,Cargas,1))),Coluna_fih,1,1))*(1+0.13*0.25)*(PI()*(fi_h/1000)^2/4)*SQRT(2*9.81*(O3119/100-fi_h/2/1000))*1000)),"",IF(O3119&lt;fi_h/20,0,(OFFSET('Base de dados'!$A$5,IF(O3119&lt;20,1,IF(O3119&gt;1000,10,MATCH(O3119,Cargas,1))),Coluna_fih,1,1))*(PI()*(fi_h/1000)^2/4)*SQRT(2*9.81*(O3119/100-fi_h/2/1000))*1000))</f>
        <v>7.4650638710875121</v>
      </c>
      <c r="Q3119" s="38">
        <f ca="1">IF(O3119="","",IF(Tipo_Vertedor="Retangular",IF(O3119&lt;=cota_s*100,0,IF(Tipo_Vertedor="Retangular",Cd_sr*Lef_sr*((O3119/100-cota_s)^(3/2))*1000)),IF(O3119&lt;=cota_s*100+fi_s/20,0,(OFFSET('Base de dados'!$A$4,IF(O3119&lt;20,1,IF(O3119&gt;1000,10,MATCH(O3119,Cargas,1))),Coluna_fis,1,1))*(PI()*(fi_s/1000)^2/4)*(2*9.81*(O3119/100-cota_s-fi_s/2/1000))^0.5*1000)))</f>
        <v>6.8650457690491677</v>
      </c>
      <c r="R3119" s="38">
        <f t="shared" ca="1" si="330"/>
        <v>14.33010964013668</v>
      </c>
      <c r="S3119" s="38">
        <f t="shared" ca="1" si="331"/>
        <v>974.375</v>
      </c>
    </row>
    <row r="3120" spans="13:19">
      <c r="M3120" s="132">
        <f t="shared" ca="1" si="328"/>
        <v>989.02011388602341</v>
      </c>
      <c r="N3120" s="38">
        <f t="shared" si="329"/>
        <v>29.240625000000001</v>
      </c>
      <c r="O3120" s="36">
        <f t="shared" si="327"/>
        <v>779.75</v>
      </c>
      <c r="P3120" s="38">
        <f ca="1">IF(ISERROR(IF(O3120&lt;fi_h/20,0,(OFFSET('Base de dados'!$A$5,IF(O3120&lt;20,1,IF(O3120&gt;1000,10,MATCH(O3120,Cargas,1))),Coluna_fih,1,1))*(1+0.13*0.25)*(PI()*(fi_h/1000)^2/4)*SQRT(2*9.81*(O3120/100-fi_h/2/1000))*1000)),"",IF(O3120&lt;fi_h/20,0,(OFFSET('Base de dados'!$A$5,IF(O3120&lt;20,1,IF(O3120&gt;1000,10,MATCH(O3120,Cargas,1))),Coluna_fih,1,1))*(PI()*(fi_h/1000)^2/4)*SQRT(2*9.81*(O3120/100-fi_h/2/1000))*1000))</f>
        <v>7.4662635753696538</v>
      </c>
      <c r="Q3120" s="38">
        <f ca="1">IF(O3120="","",IF(Tipo_Vertedor="Retangular",IF(O3120&lt;=cota_s*100,0,IF(Tipo_Vertedor="Retangular",Cd_sr*Lef_sr*((O3120/100-cota_s)^(3/2))*1000)),IF(O3120&lt;=cota_s*100+fi_s/20,0,(OFFSET('Base de dados'!$A$4,IF(O3120&lt;20,1,IF(O3120&gt;1000,10,MATCH(O3120,Cargas,1))),Coluna_fis,1,1))*(PI()*(fi_s/1000)^2/4)*(2*9.81*(O3120/100-cota_s-fi_s/2/1000))^0.5*1000)))</f>
        <v>6.866350310653794</v>
      </c>
      <c r="R3120" s="38">
        <f t="shared" ca="1" si="330"/>
        <v>14.332613886023449</v>
      </c>
      <c r="S3120" s="38">
        <f t="shared" ca="1" si="331"/>
        <v>974.6875</v>
      </c>
    </row>
    <row r="3121" spans="13:19">
      <c r="M3121" s="132">
        <f t="shared" ca="1" si="328"/>
        <v>989.33511769136521</v>
      </c>
      <c r="N3121" s="38">
        <f t="shared" si="329"/>
        <v>29.25</v>
      </c>
      <c r="O3121" s="36">
        <f t="shared" si="327"/>
        <v>780</v>
      </c>
      <c r="P3121" s="38">
        <f ca="1">IF(ISERROR(IF(O3121&lt;fi_h/20,0,(OFFSET('Base de dados'!$A$5,IF(O3121&lt;20,1,IF(O3121&gt;1000,10,MATCH(O3121,Cargas,1))),Coluna_fih,1,1))*(1+0.13*0.25)*(PI()*(fi_h/1000)^2/4)*SQRT(2*9.81*(O3121/100-fi_h/2/1000))*1000)),"",IF(O3121&lt;fi_h/20,0,(OFFSET('Base de dados'!$A$5,IF(O3121&lt;20,1,IF(O3121&gt;1000,10,MATCH(O3121,Cargas,1))),Coluna_fih,1,1))*(PI()*(fi_h/1000)^2/4)*SQRT(2*9.81*(O3121/100-fi_h/2/1000))*1000))</f>
        <v>7.4674630869102527</v>
      </c>
      <c r="Q3121" s="38">
        <f ca="1">IF(O3121="","",IF(Tipo_Vertedor="Retangular",IF(O3121&lt;=cota_s*100,0,IF(Tipo_Vertedor="Retangular",Cd_sr*Lef_sr*((O3121/100-cota_s)^(3/2))*1000)),IF(O3121&lt;=cota_s*100+fi_s/20,0,(OFFSET('Base de dados'!$A$4,IF(O3121&lt;20,1,IF(O3121&gt;1000,10,MATCH(O3121,Cargas,1))),Coluna_fis,1,1))*(PI()*(fi_s/1000)^2/4)*(2*9.81*(O3121/100-cota_s-fi_s/2/1000))^0.5*1000)))</f>
        <v>6.8676546044549314</v>
      </c>
      <c r="R3121" s="38">
        <f t="shared" ca="1" si="330"/>
        <v>14.335117691365184</v>
      </c>
      <c r="S3121" s="38">
        <f t="shared" ca="1" si="331"/>
        <v>975</v>
      </c>
    </row>
    <row r="3122" spans="13:19">
      <c r="M3122" s="132">
        <f t="shared" ca="1" si="328"/>
        <v>989.65012105639607</v>
      </c>
      <c r="N3122" s="38">
        <f t="shared" si="329"/>
        <v>29.259375000000002</v>
      </c>
      <c r="O3122" s="36">
        <f t="shared" si="327"/>
        <v>780.25</v>
      </c>
      <c r="P3122" s="38">
        <f ca="1">IF(ISERROR(IF(O3122&lt;fi_h/20,0,(OFFSET('Base de dados'!$A$5,IF(O3122&lt;20,1,IF(O3122&gt;1000,10,MATCH(O3122,Cargas,1))),Coluna_fih,1,1))*(1+0.13*0.25)*(PI()*(fi_h/1000)^2/4)*SQRT(2*9.81*(O3122/100-fi_h/2/1000))*1000)),"",IF(O3122&lt;fi_h/20,0,(OFFSET('Base de dados'!$A$5,IF(O3122&lt;20,1,IF(O3122&gt;1000,10,MATCH(O3122,Cargas,1))),Coluna_fih,1,1))*(PI()*(fi_h/1000)^2/4)*SQRT(2*9.81*(O3122/100-fi_h/2/1000))*1000))</f>
        <v>7.4686624058021795</v>
      </c>
      <c r="Q3122" s="38">
        <f ca="1">IF(O3122="","",IF(Tipo_Vertedor="Retangular",IF(O3122&lt;=cota_s*100,0,IF(Tipo_Vertedor="Retangular",Cd_sr*Lef_sr*((O3122/100-cota_s)^(3/2))*1000)),IF(O3122&lt;=cota_s*100+fi_s/20,0,(OFFSET('Base de dados'!$A$4,IF(O3122&lt;20,1,IF(O3122&gt;1000,10,MATCH(O3122,Cargas,1))),Coluna_fis,1,1))*(PI()*(fi_s/1000)^2/4)*(2*9.81*(O3122/100-cota_s-fi_s/2/1000))^0.5*1000)))</f>
        <v>6.8689586505937417</v>
      </c>
      <c r="R3122" s="38">
        <f t="shared" ca="1" si="330"/>
        <v>14.337621056395921</v>
      </c>
      <c r="S3122" s="38">
        <f t="shared" ca="1" si="331"/>
        <v>975.31250000000011</v>
      </c>
    </row>
    <row r="3123" spans="13:19">
      <c r="M3123" s="132">
        <f t="shared" ca="1" si="328"/>
        <v>989.96512398134939</v>
      </c>
      <c r="N3123" s="38">
        <f t="shared" si="329"/>
        <v>29.268749999999997</v>
      </c>
      <c r="O3123" s="36">
        <f t="shared" si="327"/>
        <v>780.5</v>
      </c>
      <c r="P3123" s="38">
        <f ca="1">IF(ISERROR(IF(O3123&lt;fi_h/20,0,(OFFSET('Base de dados'!$A$5,IF(O3123&lt;20,1,IF(O3123&gt;1000,10,MATCH(O3123,Cargas,1))),Coluna_fih,1,1))*(1+0.13*0.25)*(PI()*(fi_h/1000)^2/4)*SQRT(2*9.81*(O3123/100-fi_h/2/1000))*1000)),"",IF(O3123&lt;fi_h/20,0,(OFFSET('Base de dados'!$A$5,IF(O3123&lt;20,1,IF(O3123&gt;1000,10,MATCH(O3123,Cargas,1))),Coluna_fih,1,1))*(PI()*(fi_h/1000)^2/4)*SQRT(2*9.81*(O3123/100-fi_h/2/1000))*1000))</f>
        <v>7.4698615321382213</v>
      </c>
      <c r="Q3123" s="38">
        <f ca="1">IF(O3123="","",IF(Tipo_Vertedor="Retangular",IF(O3123&lt;=cota_s*100,0,IF(Tipo_Vertedor="Retangular",Cd_sr*Lef_sr*((O3123/100-cota_s)^(3/2))*1000)),IF(O3123&lt;=cota_s*100+fi_s/20,0,(OFFSET('Base de dados'!$A$4,IF(O3123&lt;20,1,IF(O3123&gt;1000,10,MATCH(O3123,Cargas,1))),Coluna_fis,1,1))*(PI()*(fi_s/1000)^2/4)*(2*9.81*(O3123/100-cota_s-fi_s/2/1000))^0.5*1000)))</f>
        <v>6.8702624492112507</v>
      </c>
      <c r="R3123" s="38">
        <f t="shared" ca="1" si="330"/>
        <v>14.340123981349471</v>
      </c>
      <c r="S3123" s="38">
        <f t="shared" ca="1" si="331"/>
        <v>975.62499999999989</v>
      </c>
    </row>
    <row r="3124" spans="13:19">
      <c r="M3124" s="132">
        <f t="shared" ca="1" si="328"/>
        <v>990.28012646645948</v>
      </c>
      <c r="N3124" s="38">
        <f t="shared" si="329"/>
        <v>29.278124999999999</v>
      </c>
      <c r="O3124" s="36">
        <f t="shared" si="327"/>
        <v>780.75</v>
      </c>
      <c r="P3124" s="38">
        <f ca="1">IF(ISERROR(IF(O3124&lt;fi_h/20,0,(OFFSET('Base de dados'!$A$5,IF(O3124&lt;20,1,IF(O3124&gt;1000,10,MATCH(O3124,Cargas,1))),Coluna_fih,1,1))*(1+0.13*0.25)*(PI()*(fi_h/1000)^2/4)*SQRT(2*9.81*(O3124/100-fi_h/2/1000))*1000)),"",IF(O3124&lt;fi_h/20,0,(OFFSET('Base de dados'!$A$5,IF(O3124&lt;20,1,IF(O3124&gt;1000,10,MATCH(O3124,Cargas,1))),Coluna_fih,1,1))*(PI()*(fi_h/1000)^2/4)*SQRT(2*9.81*(O3124/100-fi_h/2/1000))*1000))</f>
        <v>7.4710604660110969</v>
      </c>
      <c r="Q3124" s="38">
        <f ca="1">IF(O3124="","",IF(Tipo_Vertedor="Retangular",IF(O3124&lt;=cota_s*100,0,IF(Tipo_Vertedor="Retangular",Cd_sr*Lef_sr*((O3124/100-cota_s)^(3/2))*1000)),IF(O3124&lt;=cota_s*100+fi_s/20,0,(OFFSET('Base de dados'!$A$4,IF(O3124&lt;20,1,IF(O3124&gt;1000,10,MATCH(O3124,Cargas,1))),Coluna_fis,1,1))*(PI()*(fi_s/1000)^2/4)*(2*9.81*(O3124/100-cota_s-fi_s/2/1000))^0.5*1000)))</f>
        <v>6.8715660004483512</v>
      </c>
      <c r="R3124" s="38">
        <f t="shared" ca="1" si="330"/>
        <v>14.342626466459448</v>
      </c>
      <c r="S3124" s="38">
        <f t="shared" ca="1" si="331"/>
        <v>975.9375</v>
      </c>
    </row>
    <row r="3125" spans="13:19">
      <c r="M3125" s="132">
        <f t="shared" ca="1" si="328"/>
        <v>990.59512851195916</v>
      </c>
      <c r="N3125" s="38">
        <f t="shared" si="329"/>
        <v>29.287499999999998</v>
      </c>
      <c r="O3125" s="36">
        <f t="shared" si="327"/>
        <v>781</v>
      </c>
      <c r="P3125" s="38">
        <f ca="1">IF(ISERROR(IF(O3125&lt;fi_h/20,0,(OFFSET('Base de dados'!$A$5,IF(O3125&lt;20,1,IF(O3125&gt;1000,10,MATCH(O3125,Cargas,1))),Coluna_fih,1,1))*(1+0.13*0.25)*(PI()*(fi_h/1000)^2/4)*SQRT(2*9.81*(O3125/100-fi_h/2/1000))*1000)),"",IF(O3125&lt;fi_h/20,0,(OFFSET('Base de dados'!$A$5,IF(O3125&lt;20,1,IF(O3125&gt;1000,10,MATCH(O3125,Cargas,1))),Coluna_fih,1,1))*(PI()*(fi_h/1000)^2/4)*SQRT(2*9.81*(O3125/100-fi_h/2/1000))*1000))</f>
        <v>7.4722592075134493</v>
      </c>
      <c r="Q3125" s="38">
        <f ca="1">IF(O3125="","",IF(Tipo_Vertedor="Retangular",IF(O3125&lt;=cota_s*100,0,IF(Tipo_Vertedor="Retangular",Cd_sr*Lef_sr*((O3125/100-cota_s)^(3/2))*1000)),IF(O3125&lt;=cota_s*100+fi_s/20,0,(OFFSET('Base de dados'!$A$4,IF(O3125&lt;20,1,IF(O3125&gt;1000,10,MATCH(O3125,Cargas,1))),Coluna_fis,1,1))*(PI()*(fi_s/1000)^2/4)*(2*9.81*(O3125/100-cota_s-fi_s/2/1000))^0.5*1000)))</f>
        <v>6.8728693044458025</v>
      </c>
      <c r="R3125" s="38">
        <f t="shared" ca="1" si="330"/>
        <v>14.345128511959253</v>
      </c>
      <c r="S3125" s="38">
        <f t="shared" ca="1" si="331"/>
        <v>976.24999999999989</v>
      </c>
    </row>
    <row r="3126" spans="13:19">
      <c r="M3126" s="132">
        <f t="shared" ca="1" si="328"/>
        <v>990.91013011808207</v>
      </c>
      <c r="N3126" s="38">
        <f t="shared" si="329"/>
        <v>29.296875</v>
      </c>
      <c r="O3126" s="36">
        <f t="shared" si="327"/>
        <v>781.25</v>
      </c>
      <c r="P3126" s="38">
        <f ca="1">IF(ISERROR(IF(O3126&lt;fi_h/20,0,(OFFSET('Base de dados'!$A$5,IF(O3126&lt;20,1,IF(O3126&gt;1000,10,MATCH(O3126,Cargas,1))),Coluna_fih,1,1))*(1+0.13*0.25)*(PI()*(fi_h/1000)^2/4)*SQRT(2*9.81*(O3126/100-fi_h/2/1000))*1000)),"",IF(O3126&lt;fi_h/20,0,(OFFSET('Base de dados'!$A$5,IF(O3126&lt;20,1,IF(O3126&gt;1000,10,MATCH(O3126,Cargas,1))),Coluna_fih,1,1))*(PI()*(fi_h/1000)^2/4)*SQRT(2*9.81*(O3126/100-fi_h/2/1000))*1000))</f>
        <v>7.4734577567378473</v>
      </c>
      <c r="Q3126" s="38">
        <f ca="1">IF(O3126="","",IF(Tipo_Vertedor="Retangular",IF(O3126&lt;=cota_s*100,0,IF(Tipo_Vertedor="Retangular",Cd_sr*Lef_sr*((O3126/100-cota_s)^(3/2))*1000)),IF(O3126&lt;=cota_s*100+fi_s/20,0,(OFFSET('Base de dados'!$A$4,IF(O3126&lt;20,1,IF(O3126&gt;1000,10,MATCH(O3126,Cargas,1))),Coluna_fis,1,1))*(PI()*(fi_s/1000)^2/4)*(2*9.81*(O3126/100-cota_s-fi_s/2/1000))^0.5*1000)))</f>
        <v>6.8741723613442289</v>
      </c>
      <c r="R3126" s="38">
        <f t="shared" ca="1" si="330"/>
        <v>14.347630118082076</v>
      </c>
      <c r="S3126" s="38">
        <f t="shared" ca="1" si="331"/>
        <v>976.5625</v>
      </c>
    </row>
    <row r="3127" spans="13:19">
      <c r="M3127" s="132">
        <f t="shared" ca="1" si="328"/>
        <v>991.22513128506102</v>
      </c>
      <c r="N3127" s="38">
        <f t="shared" si="329"/>
        <v>29.306250000000002</v>
      </c>
      <c r="O3127" s="36">
        <f t="shared" si="327"/>
        <v>781.5</v>
      </c>
      <c r="P3127" s="38">
        <f ca="1">IF(ISERROR(IF(O3127&lt;fi_h/20,0,(OFFSET('Base de dados'!$A$5,IF(O3127&lt;20,1,IF(O3127&gt;1000,10,MATCH(O3127,Cargas,1))),Coluna_fih,1,1))*(1+0.13*0.25)*(PI()*(fi_h/1000)^2/4)*SQRT(2*9.81*(O3127/100-fi_h/2/1000))*1000)),"",IF(O3127&lt;fi_h/20,0,(OFFSET('Base de dados'!$A$5,IF(O3127&lt;20,1,IF(O3127&gt;1000,10,MATCH(O3127,Cargas,1))),Coluna_fih,1,1))*(PI()*(fi_h/1000)^2/4)*SQRT(2*9.81*(O3127/100-fi_h/2/1000))*1000))</f>
        <v>7.4746561137767857</v>
      </c>
      <c r="Q3127" s="38">
        <f ca="1">IF(O3127="","",IF(Tipo_Vertedor="Retangular",IF(O3127&lt;=cota_s*100,0,IF(Tipo_Vertedor="Retangular",Cd_sr*Lef_sr*((O3127/100-cota_s)^(3/2))*1000)),IF(O3127&lt;=cota_s*100+fi_s/20,0,(OFFSET('Base de dados'!$A$4,IF(O3127&lt;20,1,IF(O3127&gt;1000,10,MATCH(O3127,Cargas,1))),Coluna_fis,1,1))*(PI()*(fi_s/1000)^2/4)*(2*9.81*(O3127/100-cota_s-fi_s/2/1000))^0.5*1000)))</f>
        <v>6.8754751712841253</v>
      </c>
      <c r="R3127" s="38">
        <f t="shared" ca="1" si="330"/>
        <v>14.350131285060911</v>
      </c>
      <c r="S3127" s="38">
        <f t="shared" ca="1" si="331"/>
        <v>976.87500000000011</v>
      </c>
    </row>
    <row r="3128" spans="13:19">
      <c r="M3128" s="132">
        <f t="shared" ca="1" si="328"/>
        <v>991.54013201312853</v>
      </c>
      <c r="N3128" s="38">
        <f t="shared" si="329"/>
        <v>29.315625000000001</v>
      </c>
      <c r="O3128" s="36">
        <f t="shared" si="327"/>
        <v>781.75</v>
      </c>
      <c r="P3128" s="38">
        <f ca="1">IF(ISERROR(IF(O3128&lt;fi_h/20,0,(OFFSET('Base de dados'!$A$5,IF(O3128&lt;20,1,IF(O3128&gt;1000,10,MATCH(O3128,Cargas,1))),Coluna_fih,1,1))*(1+0.13*0.25)*(PI()*(fi_h/1000)^2/4)*SQRT(2*9.81*(O3128/100-fi_h/2/1000))*1000)),"",IF(O3128&lt;fi_h/20,0,(OFFSET('Base de dados'!$A$5,IF(O3128&lt;20,1,IF(O3128&gt;1000,10,MATCH(O3128,Cargas,1))),Coluna_fih,1,1))*(PI()*(fi_h/1000)^2/4)*SQRT(2*9.81*(O3128/100-fi_h/2/1000))*1000))</f>
        <v>7.4758542787226823</v>
      </c>
      <c r="Q3128" s="38">
        <f ca="1">IF(O3128="","",IF(Tipo_Vertedor="Retangular",IF(O3128&lt;=cota_s*100,0,IF(Tipo_Vertedor="Retangular",Cd_sr*Lef_sr*((O3128/100-cota_s)^(3/2))*1000)),IF(O3128&lt;=cota_s*100+fi_s/20,0,(OFFSET('Base de dados'!$A$4,IF(O3128&lt;20,1,IF(O3128&gt;1000,10,MATCH(O3128,Cargas,1))),Coluna_fis,1,1))*(PI()*(fi_s/1000)^2/4)*(2*9.81*(O3128/100-cota_s-fi_s/2/1000))^0.5*1000)))</f>
        <v>6.8767777344058496</v>
      </c>
      <c r="R3128" s="38">
        <f t="shared" ca="1" si="330"/>
        <v>14.352632013128531</v>
      </c>
      <c r="S3128" s="38">
        <f t="shared" ca="1" si="331"/>
        <v>977.1875</v>
      </c>
    </row>
    <row r="3129" spans="13:19">
      <c r="M3129" s="132">
        <f t="shared" ca="1" si="328"/>
        <v>991.85513230251763</v>
      </c>
      <c r="N3129" s="38">
        <f t="shared" si="329"/>
        <v>29.325000000000003</v>
      </c>
      <c r="O3129" s="36">
        <f t="shared" si="327"/>
        <v>782</v>
      </c>
      <c r="P3129" s="38">
        <f ca="1">IF(ISERROR(IF(O3129&lt;fi_h/20,0,(OFFSET('Base de dados'!$A$5,IF(O3129&lt;20,1,IF(O3129&gt;1000,10,MATCH(O3129,Cargas,1))),Coluna_fih,1,1))*(1+0.13*0.25)*(PI()*(fi_h/1000)^2/4)*SQRT(2*9.81*(O3129/100-fi_h/2/1000))*1000)),"",IF(O3129&lt;fi_h/20,0,(OFFSET('Base de dados'!$A$5,IF(O3129&lt;20,1,IF(O3129&gt;1000,10,MATCH(O3129,Cargas,1))),Coluna_fih,1,1))*(PI()*(fi_h/1000)^2/4)*SQRT(2*9.81*(O3129/100-fi_h/2/1000))*1000))</f>
        <v>7.4770522516678879</v>
      </c>
      <c r="Q3129" s="38">
        <f ca="1">IF(O3129="","",IF(Tipo_Vertedor="Retangular",IF(O3129&lt;=cota_s*100,0,IF(Tipo_Vertedor="Retangular",Cd_sr*Lef_sr*((O3129/100-cota_s)^(3/2))*1000)),IF(O3129&lt;=cota_s*100+fi_s/20,0,(OFFSET('Base de dados'!$A$4,IF(O3129&lt;20,1,IF(O3129&gt;1000,10,MATCH(O3129,Cargas,1))),Coluna_fis,1,1))*(PI()*(fi_s/1000)^2/4)*(2*9.81*(O3129/100-cota_s-fi_s/2/1000))^0.5*1000)))</f>
        <v>6.8780800508496291</v>
      </c>
      <c r="R3129" s="38">
        <f t="shared" ca="1" si="330"/>
        <v>14.355132302517518</v>
      </c>
      <c r="S3129" s="38">
        <f t="shared" ca="1" si="331"/>
        <v>977.50000000000011</v>
      </c>
    </row>
    <row r="3130" spans="13:19">
      <c r="M3130" s="132">
        <f t="shared" ca="1" si="328"/>
        <v>992.17013215346014</v>
      </c>
      <c r="N3130" s="38">
        <f t="shared" si="329"/>
        <v>29.334374999999998</v>
      </c>
      <c r="O3130" s="36">
        <f t="shared" si="327"/>
        <v>782.25</v>
      </c>
      <c r="P3130" s="38">
        <f ca="1">IF(ISERROR(IF(O3130&lt;fi_h/20,0,(OFFSET('Base de dados'!$A$5,IF(O3130&lt;20,1,IF(O3130&gt;1000,10,MATCH(O3130,Cargas,1))),Coluna_fih,1,1))*(1+0.13*0.25)*(PI()*(fi_h/1000)^2/4)*SQRT(2*9.81*(O3130/100-fi_h/2/1000))*1000)),"",IF(O3130&lt;fi_h/20,0,(OFFSET('Base de dados'!$A$5,IF(O3130&lt;20,1,IF(O3130&gt;1000,10,MATCH(O3130,Cargas,1))),Coluna_fih,1,1))*(PI()*(fi_h/1000)^2/4)*SQRT(2*9.81*(O3130/100-fi_h/2/1000))*1000))</f>
        <v>7.4782500327046693</v>
      </c>
      <c r="Q3130" s="38">
        <f ca="1">IF(O3130="","",IF(Tipo_Vertedor="Retangular",IF(O3130&lt;=cota_s*100,0,IF(Tipo_Vertedor="Retangular",Cd_sr*Lef_sr*((O3130/100-cota_s)^(3/2))*1000)),IF(O3130&lt;=cota_s*100+fi_s/20,0,(OFFSET('Base de dados'!$A$4,IF(O3130&lt;20,1,IF(O3130&gt;1000,10,MATCH(O3130,Cargas,1))),Coluna_fis,1,1))*(PI()*(fi_s/1000)^2/4)*(2*9.81*(O3130/100-cota_s-fi_s/2/1000))^0.5*1000)))</f>
        <v>6.8793821207555546</v>
      </c>
      <c r="R3130" s="38">
        <f t="shared" ca="1" si="330"/>
        <v>14.357632153460223</v>
      </c>
      <c r="S3130" s="38">
        <f t="shared" ca="1" si="331"/>
        <v>977.81249999999989</v>
      </c>
    </row>
    <row r="3131" spans="13:19">
      <c r="M3131" s="132">
        <f t="shared" ca="1" si="328"/>
        <v>992.48513156618878</v>
      </c>
      <c r="N3131" s="38">
        <f t="shared" si="329"/>
        <v>29.34375</v>
      </c>
      <c r="O3131" s="36">
        <f t="shared" si="327"/>
        <v>782.5</v>
      </c>
      <c r="P3131" s="38">
        <f ca="1">IF(ISERROR(IF(O3131&lt;fi_h/20,0,(OFFSET('Base de dados'!$A$5,IF(O3131&lt;20,1,IF(O3131&gt;1000,10,MATCH(O3131,Cargas,1))),Coluna_fih,1,1))*(1+0.13*0.25)*(PI()*(fi_h/1000)^2/4)*SQRT(2*9.81*(O3131/100-fi_h/2/1000))*1000)),"",IF(O3131&lt;fi_h/20,0,(OFFSET('Base de dados'!$A$5,IF(O3131&lt;20,1,IF(O3131&gt;1000,10,MATCH(O3131,Cargas,1))),Coluna_fih,1,1))*(PI()*(fi_h/1000)^2/4)*SQRT(2*9.81*(O3131/100-fi_h/2/1000))*1000))</f>
        <v>7.4794476219252291</v>
      </c>
      <c r="Q3131" s="38">
        <f ca="1">IF(O3131="","",IF(Tipo_Vertedor="Retangular",IF(O3131&lt;=cota_s*100,0,IF(Tipo_Vertedor="Retangular",Cd_sr*Lef_sr*((O3131/100-cota_s)^(3/2))*1000)),IF(O3131&lt;=cota_s*100+fi_s/20,0,(OFFSET('Base de dados'!$A$4,IF(O3131&lt;20,1,IF(O3131&gt;1000,10,MATCH(O3131,Cargas,1))),Coluna_fis,1,1))*(PI()*(fi_s/1000)^2/4)*(2*9.81*(O3131/100-cota_s-fi_s/2/1000))^0.5*1000)))</f>
        <v>6.8806839442635921</v>
      </c>
      <c r="R3131" s="38">
        <f t="shared" ca="1" si="330"/>
        <v>14.360131566188821</v>
      </c>
      <c r="S3131" s="38">
        <f t="shared" ca="1" si="331"/>
        <v>978.125</v>
      </c>
    </row>
    <row r="3132" spans="13:19">
      <c r="M3132" s="132">
        <f t="shared" ca="1" si="328"/>
        <v>992.80013054093524</v>
      </c>
      <c r="N3132" s="38">
        <f t="shared" si="329"/>
        <v>29.353124999999999</v>
      </c>
      <c r="O3132" s="36">
        <f t="shared" si="327"/>
        <v>782.75</v>
      </c>
      <c r="P3132" s="38">
        <f ca="1">IF(ISERROR(IF(O3132&lt;fi_h/20,0,(OFFSET('Base de dados'!$A$5,IF(O3132&lt;20,1,IF(O3132&gt;1000,10,MATCH(O3132,Cargas,1))),Coluna_fih,1,1))*(1+0.13*0.25)*(PI()*(fi_h/1000)^2/4)*SQRT(2*9.81*(O3132/100-fi_h/2/1000))*1000)),"",IF(O3132&lt;fi_h/20,0,(OFFSET('Base de dados'!$A$5,IF(O3132&lt;20,1,IF(O3132&gt;1000,10,MATCH(O3132,Cargas,1))),Coluna_fih,1,1))*(PI()*(fi_h/1000)^2/4)*SQRT(2*9.81*(O3132/100-fi_h/2/1000))*1000))</f>
        <v>7.4806450194216909</v>
      </c>
      <c r="Q3132" s="38">
        <f ca="1">IF(O3132="","",IF(Tipo_Vertedor="Retangular",IF(O3132&lt;=cota_s*100,0,IF(Tipo_Vertedor="Retangular",Cd_sr*Lef_sr*((O3132/100-cota_s)^(3/2))*1000)),IF(O3132&lt;=cota_s*100+fi_s/20,0,(OFFSET('Base de dados'!$A$4,IF(O3132&lt;20,1,IF(O3132&gt;1000,10,MATCH(O3132,Cargas,1))),Coluna_fis,1,1))*(PI()*(fi_s/1000)^2/4)*(2*9.81*(O3132/100-cota_s-fi_s/2/1000))^0.5*1000)))</f>
        <v>6.8819855215135659</v>
      </c>
      <c r="R3132" s="38">
        <f t="shared" ca="1" si="330"/>
        <v>14.362630540935257</v>
      </c>
      <c r="S3132" s="38">
        <f t="shared" ca="1" si="331"/>
        <v>978.4375</v>
      </c>
    </row>
    <row r="3133" spans="13:19">
      <c r="M3133" s="132">
        <f t="shared" ca="1" si="328"/>
        <v>993.11512907793133</v>
      </c>
      <c r="N3133" s="38">
        <f t="shared" si="329"/>
        <v>29.362500000000001</v>
      </c>
      <c r="O3133" s="36">
        <f t="shared" si="327"/>
        <v>783</v>
      </c>
      <c r="P3133" s="38">
        <f ca="1">IF(ISERROR(IF(O3133&lt;fi_h/20,0,(OFFSET('Base de dados'!$A$5,IF(O3133&lt;20,1,IF(O3133&gt;1000,10,MATCH(O3133,Cargas,1))),Coluna_fih,1,1))*(1+0.13*0.25)*(PI()*(fi_h/1000)^2/4)*SQRT(2*9.81*(O3133/100-fi_h/2/1000))*1000)),"",IF(O3133&lt;fi_h/20,0,(OFFSET('Base de dados'!$A$5,IF(O3133&lt;20,1,IF(O3133&gt;1000,10,MATCH(O3133,Cargas,1))),Coluna_fih,1,1))*(PI()*(fi_h/1000)^2/4)*SQRT(2*9.81*(O3133/100-fi_h/2/1000))*1000))</f>
        <v>7.4818422252861039</v>
      </c>
      <c r="Q3133" s="38">
        <f ca="1">IF(O3133="","",IF(Tipo_Vertedor="Retangular",IF(O3133&lt;=cota_s*100,0,IF(Tipo_Vertedor="Retangular",Cd_sr*Lef_sr*((O3133/100-cota_s)^(3/2))*1000)),IF(O3133&lt;=cota_s*100+fi_s/20,0,(OFFSET('Base de dados'!$A$4,IF(O3133&lt;20,1,IF(O3133&gt;1000,10,MATCH(O3133,Cargas,1))),Coluna_fis,1,1))*(PI()*(fi_s/1000)^2/4)*(2*9.81*(O3133/100-cota_s-fi_s/2/1000))^0.5*1000)))</f>
        <v>6.8832868526451758</v>
      </c>
      <c r="R3133" s="38">
        <f t="shared" ca="1" si="330"/>
        <v>14.365129077931279</v>
      </c>
      <c r="S3133" s="38">
        <f t="shared" ca="1" si="331"/>
        <v>978.75</v>
      </c>
    </row>
    <row r="3134" spans="13:19">
      <c r="M3134" s="132">
        <f t="shared" ca="1" si="328"/>
        <v>993.43012717740839</v>
      </c>
      <c r="N3134" s="38">
        <f t="shared" si="329"/>
        <v>29.371874999999999</v>
      </c>
      <c r="O3134" s="36">
        <f t="shared" si="327"/>
        <v>783.25</v>
      </c>
      <c r="P3134" s="38">
        <f ca="1">IF(ISERROR(IF(O3134&lt;fi_h/20,0,(OFFSET('Base de dados'!$A$5,IF(O3134&lt;20,1,IF(O3134&gt;1000,10,MATCH(O3134,Cargas,1))),Coluna_fih,1,1))*(1+0.13*0.25)*(PI()*(fi_h/1000)^2/4)*SQRT(2*9.81*(O3134/100-fi_h/2/1000))*1000)),"",IF(O3134&lt;fi_h/20,0,(OFFSET('Base de dados'!$A$5,IF(O3134&lt;20,1,IF(O3134&gt;1000,10,MATCH(O3134,Cargas,1))),Coluna_fih,1,1))*(PI()*(fi_h/1000)^2/4)*SQRT(2*9.81*(O3134/100-fi_h/2/1000))*1000))</f>
        <v>7.4830392396104468</v>
      </c>
      <c r="Q3134" s="38">
        <f ca="1">IF(O3134="","",IF(Tipo_Vertedor="Retangular",IF(O3134&lt;=cota_s*100,0,IF(Tipo_Vertedor="Retangular",Cd_sr*Lef_sr*((O3134/100-cota_s)^(3/2))*1000)),IF(O3134&lt;=cota_s*100+fi_s/20,0,(OFFSET('Base de dados'!$A$4,IF(O3134&lt;20,1,IF(O3134&gt;1000,10,MATCH(O3134,Cargas,1))),Coluna_fis,1,1))*(PI()*(fi_s/1000)^2/4)*(2*9.81*(O3134/100-cota_s-fi_s/2/1000))^0.5*1000)))</f>
        <v>6.8845879377979839</v>
      </c>
      <c r="R3134" s="38">
        <f t="shared" ca="1" si="330"/>
        <v>14.36762717740843</v>
      </c>
      <c r="S3134" s="38">
        <f t="shared" ca="1" si="331"/>
        <v>979.0625</v>
      </c>
    </row>
    <row r="3135" spans="13:19">
      <c r="M3135" s="132">
        <f t="shared" ca="1" si="328"/>
        <v>993.74512483959802</v>
      </c>
      <c r="N3135" s="38">
        <f t="shared" si="329"/>
        <v>29.381250000000001</v>
      </c>
      <c r="O3135" s="36">
        <f t="shared" si="327"/>
        <v>783.5</v>
      </c>
      <c r="P3135" s="38">
        <f ca="1">IF(ISERROR(IF(O3135&lt;fi_h/20,0,(OFFSET('Base de dados'!$A$5,IF(O3135&lt;20,1,IF(O3135&gt;1000,10,MATCH(O3135,Cargas,1))),Coluna_fih,1,1))*(1+0.13*0.25)*(PI()*(fi_h/1000)^2/4)*SQRT(2*9.81*(O3135/100-fi_h/2/1000))*1000)),"",IF(O3135&lt;fi_h/20,0,(OFFSET('Base de dados'!$A$5,IF(O3135&lt;20,1,IF(O3135&gt;1000,10,MATCH(O3135,Cargas,1))),Coluna_fih,1,1))*(PI()*(fi_h/1000)^2/4)*SQRT(2*9.81*(O3135/100-fi_h/2/1000))*1000))</f>
        <v>7.4842360624866231</v>
      </c>
      <c r="Q3135" s="38">
        <f ca="1">IF(O3135="","",IF(Tipo_Vertedor="Retangular",IF(O3135&lt;=cota_s*100,0,IF(Tipo_Vertedor="Retangular",Cd_sr*Lef_sr*((O3135/100-cota_s)^(3/2))*1000)),IF(O3135&lt;=cota_s*100+fi_s/20,0,(OFFSET('Base de dados'!$A$4,IF(O3135&lt;20,1,IF(O3135&gt;1000,10,MATCH(O3135,Cargas,1))),Coluna_fis,1,1))*(PI()*(fi_s/1000)^2/4)*(2*9.81*(O3135/100-cota_s-fi_s/2/1000))^0.5*1000)))</f>
        <v>6.8858887771114254</v>
      </c>
      <c r="R3135" s="38">
        <f t="shared" ca="1" si="330"/>
        <v>14.370124839598049</v>
      </c>
      <c r="S3135" s="38">
        <f t="shared" ca="1" si="331"/>
        <v>979.375</v>
      </c>
    </row>
    <row r="3136" spans="13:19">
      <c r="M3136" s="132">
        <f t="shared" ca="1" si="328"/>
        <v>994.06012206473122</v>
      </c>
      <c r="N3136" s="38">
        <f t="shared" si="329"/>
        <v>29.390625</v>
      </c>
      <c r="O3136" s="36">
        <f t="shared" si="327"/>
        <v>783.75</v>
      </c>
      <c r="P3136" s="38">
        <f ca="1">IF(ISERROR(IF(O3136&lt;fi_h/20,0,(OFFSET('Base de dados'!$A$5,IF(O3136&lt;20,1,IF(O3136&gt;1000,10,MATCH(O3136,Cargas,1))),Coluna_fih,1,1))*(1+0.13*0.25)*(PI()*(fi_h/1000)^2/4)*SQRT(2*9.81*(O3136/100-fi_h/2/1000))*1000)),"",IF(O3136&lt;fi_h/20,0,(OFFSET('Base de dados'!$A$5,IF(O3136&lt;20,1,IF(O3136&gt;1000,10,MATCH(O3136,Cargas,1))),Coluna_fih,1,1))*(PI()*(fi_h/1000)^2/4)*SQRT(2*9.81*(O3136/100-fi_h/2/1000))*1000))</f>
        <v>7.4854326940064624</v>
      </c>
      <c r="Q3136" s="38">
        <f ca="1">IF(O3136="","",IF(Tipo_Vertedor="Retangular",IF(O3136&lt;=cota_s*100,0,IF(Tipo_Vertedor="Retangular",Cd_sr*Lef_sr*((O3136/100-cota_s)^(3/2))*1000)),IF(O3136&lt;=cota_s*100+fi_s/20,0,(OFFSET('Base de dados'!$A$4,IF(O3136&lt;20,1,IF(O3136&gt;1000,10,MATCH(O3136,Cargas,1))),Coluna_fis,1,1))*(PI()*(fi_s/1000)^2/4)*(2*9.81*(O3136/100-cota_s-fi_s/2/1000))^0.5*1000)))</f>
        <v>6.8871893707247995</v>
      </c>
      <c r="R3136" s="38">
        <f t="shared" ca="1" si="330"/>
        <v>14.372622064731262</v>
      </c>
      <c r="S3136" s="38">
        <f t="shared" ca="1" si="331"/>
        <v>979.6875</v>
      </c>
    </row>
    <row r="3137" spans="13:19">
      <c r="M3137" s="132">
        <f t="shared" ca="1" si="328"/>
        <v>994.375118853039</v>
      </c>
      <c r="N3137" s="38">
        <f t="shared" si="329"/>
        <v>29.4</v>
      </c>
      <c r="O3137" s="36">
        <f t="shared" si="327"/>
        <v>784</v>
      </c>
      <c r="P3137" s="38">
        <f ca="1">IF(ISERROR(IF(O3137&lt;fi_h/20,0,(OFFSET('Base de dados'!$A$5,IF(O3137&lt;20,1,IF(O3137&gt;1000,10,MATCH(O3137,Cargas,1))),Coluna_fih,1,1))*(1+0.13*0.25)*(PI()*(fi_h/1000)^2/4)*SQRT(2*9.81*(O3137/100-fi_h/2/1000))*1000)),"",IF(O3137&lt;fi_h/20,0,(OFFSET('Base de dados'!$A$5,IF(O3137&lt;20,1,IF(O3137&gt;1000,10,MATCH(O3137,Cargas,1))),Coluna_fih,1,1))*(PI()*(fi_h/1000)^2/4)*SQRT(2*9.81*(O3137/100-fi_h/2/1000))*1000))</f>
        <v>7.4866291342617224</v>
      </c>
      <c r="Q3137" s="38">
        <f ca="1">IF(O3137="","",IF(Tipo_Vertedor="Retangular",IF(O3137&lt;=cota_s*100,0,IF(Tipo_Vertedor="Retangular",Cd_sr*Lef_sr*((O3137/100-cota_s)^(3/2))*1000)),IF(O3137&lt;=cota_s*100+fi_s/20,0,(OFFSET('Base de dados'!$A$4,IF(O3137&lt;20,1,IF(O3137&gt;1000,10,MATCH(O3137,Cargas,1))),Coluna_fis,1,1))*(PI()*(fi_s/1000)^2/4)*(2*9.81*(O3137/100-cota_s-fi_s/2/1000))^0.5*1000)))</f>
        <v>6.8884897187772758</v>
      </c>
      <c r="R3137" s="38">
        <f t="shared" ca="1" si="330"/>
        <v>14.375118853038998</v>
      </c>
      <c r="S3137" s="38">
        <f t="shared" ca="1" si="331"/>
        <v>980</v>
      </c>
    </row>
    <row r="3138" spans="13:19">
      <c r="M3138" s="132">
        <f t="shared" ca="1" si="328"/>
        <v>994.69011520475203</v>
      </c>
      <c r="N3138" s="38">
        <f t="shared" si="329"/>
        <v>29.409375000000001</v>
      </c>
      <c r="O3138" s="36">
        <f t="shared" si="327"/>
        <v>784.25</v>
      </c>
      <c r="P3138" s="38">
        <f ca="1">IF(ISERROR(IF(O3138&lt;fi_h/20,0,(OFFSET('Base de dados'!$A$5,IF(O3138&lt;20,1,IF(O3138&gt;1000,10,MATCH(O3138,Cargas,1))),Coluna_fih,1,1))*(1+0.13*0.25)*(PI()*(fi_h/1000)^2/4)*SQRT(2*9.81*(O3138/100-fi_h/2/1000))*1000)),"",IF(O3138&lt;fi_h/20,0,(OFFSET('Base de dados'!$A$5,IF(O3138&lt;20,1,IF(O3138&gt;1000,10,MATCH(O3138,Cargas,1))),Coluna_fih,1,1))*(PI()*(fi_h/1000)^2/4)*SQRT(2*9.81*(O3138/100-fi_h/2/1000))*1000))</f>
        <v>7.4878253833440853</v>
      </c>
      <c r="Q3138" s="38">
        <f ca="1">IF(O3138="","",IF(Tipo_Vertedor="Retangular",IF(O3138&lt;=cota_s*100,0,IF(Tipo_Vertedor="Retangular",Cd_sr*Lef_sr*((O3138/100-cota_s)^(3/2))*1000)),IF(O3138&lt;=cota_s*100+fi_s/20,0,(OFFSET('Base de dados'!$A$4,IF(O3138&lt;20,1,IF(O3138&gt;1000,10,MATCH(O3138,Cargas,1))),Coluna_fis,1,1))*(PI()*(fi_s/1000)^2/4)*(2*9.81*(O3138/100-cota_s-fi_s/2/1000))^0.5*1000)))</f>
        <v>6.8897898214078932</v>
      </c>
      <c r="R3138" s="38">
        <f t="shared" ca="1" si="330"/>
        <v>14.377615204751979</v>
      </c>
      <c r="S3138" s="38">
        <f t="shared" ca="1" si="331"/>
        <v>980.3125</v>
      </c>
    </row>
    <row r="3139" spans="13:19">
      <c r="M3139" s="132">
        <f t="shared" ca="1" si="328"/>
        <v>995.00511112010076</v>
      </c>
      <c r="N3139" s="38">
        <f t="shared" si="329"/>
        <v>29.418749999999999</v>
      </c>
      <c r="O3139" s="36">
        <f t="shared" si="327"/>
        <v>784.5</v>
      </c>
      <c r="P3139" s="38">
        <f ca="1">IF(ISERROR(IF(O3139&lt;fi_h/20,0,(OFFSET('Base de dados'!$A$5,IF(O3139&lt;20,1,IF(O3139&gt;1000,10,MATCH(O3139,Cargas,1))),Coluna_fih,1,1))*(1+0.13*0.25)*(PI()*(fi_h/1000)^2/4)*SQRT(2*9.81*(O3139/100-fi_h/2/1000))*1000)),"",IF(O3139&lt;fi_h/20,0,(OFFSET('Base de dados'!$A$5,IF(O3139&lt;20,1,IF(O3139&gt;1000,10,MATCH(O3139,Cargas,1))),Coluna_fih,1,1))*(PI()*(fi_h/1000)^2/4)*SQRT(2*9.81*(O3139/100-fi_h/2/1000))*1000))</f>
        <v>7.4890214413451623</v>
      </c>
      <c r="Q3139" s="38">
        <f ca="1">IF(O3139="","",IF(Tipo_Vertedor="Retangular",IF(O3139&lt;=cota_s*100,0,IF(Tipo_Vertedor="Retangular",Cd_sr*Lef_sr*((O3139/100-cota_s)^(3/2))*1000)),IF(O3139&lt;=cota_s*100+fi_s/20,0,(OFFSET('Base de dados'!$A$4,IF(O3139&lt;20,1,IF(O3139&gt;1000,10,MATCH(O3139,Cargas,1))),Coluna_fis,1,1))*(PI()*(fi_s/1000)^2/4)*(2*9.81*(O3139/100-cota_s-fi_s/2/1000))^0.5*1000)))</f>
        <v>6.8910896787555576</v>
      </c>
      <c r="R3139" s="38">
        <f t="shared" ca="1" si="330"/>
        <v>14.38011112010072</v>
      </c>
      <c r="S3139" s="38">
        <f t="shared" ca="1" si="331"/>
        <v>980.625</v>
      </c>
    </row>
    <row r="3140" spans="13:19">
      <c r="M3140" s="132">
        <f t="shared" ca="1" si="328"/>
        <v>995.32010659931552</v>
      </c>
      <c r="N3140" s="38">
        <f t="shared" si="329"/>
        <v>29.428125000000001</v>
      </c>
      <c r="O3140" s="36">
        <f t="shared" si="327"/>
        <v>784.75</v>
      </c>
      <c r="P3140" s="38">
        <f ca="1">IF(ISERROR(IF(O3140&lt;fi_h/20,0,(OFFSET('Base de dados'!$A$5,IF(O3140&lt;20,1,IF(O3140&gt;1000,10,MATCH(O3140,Cargas,1))),Coluna_fih,1,1))*(1+0.13*0.25)*(PI()*(fi_h/1000)^2/4)*SQRT(2*9.81*(O3140/100-fi_h/2/1000))*1000)),"",IF(O3140&lt;fi_h/20,0,(OFFSET('Base de dados'!$A$5,IF(O3140&lt;20,1,IF(O3140&gt;1000,10,MATCH(O3140,Cargas,1))),Coluna_fih,1,1))*(PI()*(fi_h/1000)^2/4)*SQRT(2*9.81*(O3140/100-fi_h/2/1000))*1000))</f>
        <v>7.4902173083564909</v>
      </c>
      <c r="Q3140" s="38">
        <f ca="1">IF(O3140="","",IF(Tipo_Vertedor="Retangular",IF(O3140&lt;=cota_s*100,0,IF(Tipo_Vertedor="Retangular",Cd_sr*Lef_sr*((O3140/100-cota_s)^(3/2))*1000)),IF(O3140&lt;=cota_s*100+fi_s/20,0,(OFFSET('Base de dados'!$A$4,IF(O3140&lt;20,1,IF(O3140&gt;1000,10,MATCH(O3140,Cargas,1))),Coluna_fis,1,1))*(PI()*(fi_s/1000)^2/4)*(2*9.81*(O3140/100-cota_s-fi_s/2/1000))^0.5*1000)))</f>
        <v>6.8923892909590476</v>
      </c>
      <c r="R3140" s="38">
        <f t="shared" ca="1" si="330"/>
        <v>14.382606599315539</v>
      </c>
      <c r="S3140" s="38">
        <f t="shared" ca="1" si="331"/>
        <v>980.9375</v>
      </c>
    </row>
    <row r="3141" spans="13:19">
      <c r="M3141" s="132">
        <f t="shared" ca="1" si="328"/>
        <v>995.63510164262652</v>
      </c>
      <c r="N3141" s="38">
        <f t="shared" si="329"/>
        <v>29.4375</v>
      </c>
      <c r="O3141" s="36">
        <f t="shared" si="327"/>
        <v>785</v>
      </c>
      <c r="P3141" s="38">
        <f ca="1">IF(ISERROR(IF(O3141&lt;fi_h/20,0,(OFFSET('Base de dados'!$A$5,IF(O3141&lt;20,1,IF(O3141&gt;1000,10,MATCH(O3141,Cargas,1))),Coluna_fih,1,1))*(1+0.13*0.25)*(PI()*(fi_h/1000)^2/4)*SQRT(2*9.81*(O3141/100-fi_h/2/1000))*1000)),"",IF(O3141&lt;fi_h/20,0,(OFFSET('Base de dados'!$A$5,IF(O3141&lt;20,1,IF(O3141&gt;1000,10,MATCH(O3141,Cargas,1))),Coluna_fih,1,1))*(PI()*(fi_h/1000)^2/4)*SQRT(2*9.81*(O3141/100-fi_h/2/1000))*1000))</f>
        <v>7.491412984469533</v>
      </c>
      <c r="Q3141" s="38">
        <f ca="1">IF(O3141="","",IF(Tipo_Vertedor="Retangular",IF(O3141&lt;=cota_s*100,0,IF(Tipo_Vertedor="Retangular",Cd_sr*Lef_sr*((O3141/100-cota_s)^(3/2))*1000)),IF(O3141&lt;=cota_s*100+fi_s/20,0,(OFFSET('Base de dados'!$A$4,IF(O3141&lt;20,1,IF(O3141&gt;1000,10,MATCH(O3141,Cargas,1))),Coluna_fis,1,1))*(PI()*(fi_s/1000)^2/4)*(2*9.81*(O3141/100-cota_s-fi_s/2/1000))^0.5*1000)))</f>
        <v>6.8936886581570054</v>
      </c>
      <c r="R3141" s="38">
        <f t="shared" ca="1" si="330"/>
        <v>14.385101642626537</v>
      </c>
      <c r="S3141" s="38">
        <f t="shared" ca="1" si="331"/>
        <v>981.25</v>
      </c>
    </row>
    <row r="3142" spans="13:19">
      <c r="M3142" s="132">
        <f t="shared" ca="1" si="328"/>
        <v>995.95009625026364</v>
      </c>
      <c r="N3142" s="38">
        <f t="shared" si="329"/>
        <v>29.446874999999999</v>
      </c>
      <c r="O3142" s="36">
        <f t="shared" si="327"/>
        <v>785.25</v>
      </c>
      <c r="P3142" s="38">
        <f ca="1">IF(ISERROR(IF(O3142&lt;fi_h/20,0,(OFFSET('Base de dados'!$A$5,IF(O3142&lt;20,1,IF(O3142&gt;1000,10,MATCH(O3142,Cargas,1))),Coluna_fih,1,1))*(1+0.13*0.25)*(PI()*(fi_h/1000)^2/4)*SQRT(2*9.81*(O3142/100-fi_h/2/1000))*1000)),"",IF(O3142&lt;fi_h/20,0,(OFFSET('Base de dados'!$A$5,IF(O3142&lt;20,1,IF(O3142&gt;1000,10,MATCH(O3142,Cargas,1))),Coluna_fih,1,1))*(PI()*(fi_h/1000)^2/4)*SQRT(2*9.81*(O3142/100-fi_h/2/1000))*1000))</f>
        <v>7.492608469775683</v>
      </c>
      <c r="Q3142" s="38">
        <f ca="1">IF(O3142="","",IF(Tipo_Vertedor="Retangular",IF(O3142&lt;=cota_s*100,0,IF(Tipo_Vertedor="Retangular",Cd_sr*Lef_sr*((O3142/100-cota_s)^(3/2))*1000)),IF(O3142&lt;=cota_s*100+fi_s/20,0,(OFFSET('Base de dados'!$A$4,IF(O3142&lt;20,1,IF(O3142&gt;1000,10,MATCH(O3142,Cargas,1))),Coluna_fis,1,1))*(PI()*(fi_s/1000)^2/4)*(2*9.81*(O3142/100-cota_s-fi_s/2/1000))^0.5*1000)))</f>
        <v>6.8949877804879476</v>
      </c>
      <c r="R3142" s="38">
        <f t="shared" ca="1" si="330"/>
        <v>14.387596250263631</v>
      </c>
      <c r="S3142" s="38">
        <f t="shared" ca="1" si="331"/>
        <v>981.5625</v>
      </c>
    </row>
    <row r="3143" spans="13:19">
      <c r="M3143" s="132">
        <f t="shared" ca="1" si="328"/>
        <v>996.26509042245652</v>
      </c>
      <c r="N3143" s="38">
        <f t="shared" si="329"/>
        <v>29.456250000000001</v>
      </c>
      <c r="O3143" s="36">
        <f t="shared" si="327"/>
        <v>785.5</v>
      </c>
      <c r="P3143" s="38">
        <f ca="1">IF(ISERROR(IF(O3143&lt;fi_h/20,0,(OFFSET('Base de dados'!$A$5,IF(O3143&lt;20,1,IF(O3143&gt;1000,10,MATCH(O3143,Cargas,1))),Coluna_fih,1,1))*(1+0.13*0.25)*(PI()*(fi_h/1000)^2/4)*SQRT(2*9.81*(O3143/100-fi_h/2/1000))*1000)),"",IF(O3143&lt;fi_h/20,0,(OFFSET('Base de dados'!$A$5,IF(O3143&lt;20,1,IF(O3143&gt;1000,10,MATCH(O3143,Cargas,1))),Coluna_fih,1,1))*(PI()*(fi_h/1000)^2/4)*SQRT(2*9.81*(O3143/100-fi_h/2/1000))*1000))</f>
        <v>7.4938037643662563</v>
      </c>
      <c r="Q3143" s="38">
        <f ca="1">IF(O3143="","",IF(Tipo_Vertedor="Retangular",IF(O3143&lt;=cota_s*100,0,IF(Tipo_Vertedor="Retangular",Cd_sr*Lef_sr*((O3143/100-cota_s)^(3/2))*1000)),IF(O3143&lt;=cota_s*100+fi_s/20,0,(OFFSET('Base de dados'!$A$4,IF(O3143&lt;20,1,IF(O3143&gt;1000,10,MATCH(O3143,Cargas,1))),Coluna_fis,1,1))*(PI()*(fi_s/1000)^2/4)*(2*9.81*(O3143/100-cota_s-fi_s/2/1000))^0.5*1000)))</f>
        <v>6.8962866580902578</v>
      </c>
      <c r="R3143" s="38">
        <f t="shared" ca="1" si="330"/>
        <v>14.390090422456513</v>
      </c>
      <c r="S3143" s="38">
        <f t="shared" ca="1" si="331"/>
        <v>981.875</v>
      </c>
    </row>
    <row r="3144" spans="13:19">
      <c r="M3144" s="132">
        <f t="shared" ca="1" si="328"/>
        <v>996.5800841594347</v>
      </c>
      <c r="N3144" s="38">
        <f t="shared" si="329"/>
        <v>29.465624999999999</v>
      </c>
      <c r="O3144" s="36">
        <f t="shared" si="327"/>
        <v>785.75</v>
      </c>
      <c r="P3144" s="38">
        <f ca="1">IF(ISERROR(IF(O3144&lt;fi_h/20,0,(OFFSET('Base de dados'!$A$5,IF(O3144&lt;20,1,IF(O3144&gt;1000,10,MATCH(O3144,Cargas,1))),Coluna_fih,1,1))*(1+0.13*0.25)*(PI()*(fi_h/1000)^2/4)*SQRT(2*9.81*(O3144/100-fi_h/2/1000))*1000)),"",IF(O3144&lt;fi_h/20,0,(OFFSET('Base de dados'!$A$5,IF(O3144&lt;20,1,IF(O3144&gt;1000,10,MATCH(O3144,Cargas,1))),Coluna_fih,1,1))*(PI()*(fi_h/1000)^2/4)*SQRT(2*9.81*(O3144/100-fi_h/2/1000))*1000))</f>
        <v>7.4949988683325</v>
      </c>
      <c r="Q3144" s="38">
        <f ca="1">IF(O3144="","",IF(Tipo_Vertedor="Retangular",IF(O3144&lt;=cota_s*100,0,IF(Tipo_Vertedor="Retangular",Cd_sr*Lef_sr*((O3144/100-cota_s)^(3/2))*1000)),IF(O3144&lt;=cota_s*100+fi_s/20,0,(OFFSET('Base de dados'!$A$4,IF(O3144&lt;20,1,IF(O3144&gt;1000,10,MATCH(O3144,Cargas,1))),Coluna_fis,1,1))*(PI()*(fi_s/1000)^2/4)*(2*9.81*(O3144/100-cota_s-fi_s/2/1000))^0.5*1000)))</f>
        <v>6.897585291102188</v>
      </c>
      <c r="R3144" s="38">
        <f t="shared" ca="1" si="330"/>
        <v>14.392584159434687</v>
      </c>
      <c r="S3144" s="38">
        <f t="shared" ca="1" si="331"/>
        <v>982.1875</v>
      </c>
    </row>
    <row r="3145" spans="13:19">
      <c r="M3145" s="132">
        <f t="shared" ca="1" si="328"/>
        <v>996.89507746142749</v>
      </c>
      <c r="N3145" s="38">
        <f t="shared" si="329"/>
        <v>29.475000000000001</v>
      </c>
      <c r="O3145" s="36">
        <f t="shared" si="327"/>
        <v>786</v>
      </c>
      <c r="P3145" s="38">
        <f ca="1">IF(ISERROR(IF(O3145&lt;fi_h/20,0,(OFFSET('Base de dados'!$A$5,IF(O3145&lt;20,1,IF(O3145&gt;1000,10,MATCH(O3145,Cargas,1))),Coluna_fih,1,1))*(1+0.13*0.25)*(PI()*(fi_h/1000)^2/4)*SQRT(2*9.81*(O3145/100-fi_h/2/1000))*1000)),"",IF(O3145&lt;fi_h/20,0,(OFFSET('Base de dados'!$A$5,IF(O3145&lt;20,1,IF(O3145&gt;1000,10,MATCH(O3145,Cargas,1))),Coluna_fih,1,1))*(PI()*(fi_h/1000)^2/4)*SQRT(2*9.81*(O3145/100-fi_h/2/1000))*1000))</f>
        <v>7.4961937817655864</v>
      </c>
      <c r="Q3145" s="38">
        <f ca="1">IF(O3145="","",IF(Tipo_Vertedor="Retangular",IF(O3145&lt;=cota_s*100,0,IF(Tipo_Vertedor="Retangular",Cd_sr*Lef_sr*((O3145/100-cota_s)^(3/2))*1000)),IF(O3145&lt;=cota_s*100+fi_s/20,0,(OFFSET('Base de dados'!$A$4,IF(O3145&lt;20,1,IF(O3145&gt;1000,10,MATCH(O3145,Cargas,1))),Coluna_fis,1,1))*(PI()*(fi_s/1000)^2/4)*(2*9.81*(O3145/100-cota_s-fi_s/2/1000))^0.5*1000)))</f>
        <v>6.898883679661866</v>
      </c>
      <c r="R3145" s="38">
        <f t="shared" ca="1" si="330"/>
        <v>14.395077461427451</v>
      </c>
      <c r="S3145" s="38">
        <f t="shared" ca="1" si="331"/>
        <v>982.5</v>
      </c>
    </row>
    <row r="3146" spans="13:19">
      <c r="M3146" s="132">
        <f t="shared" ca="1" si="328"/>
        <v>997.21007032866385</v>
      </c>
      <c r="N3146" s="38">
        <f t="shared" si="329"/>
        <v>29.484375</v>
      </c>
      <c r="O3146" s="36">
        <f t="shared" si="327"/>
        <v>786.25</v>
      </c>
      <c r="P3146" s="38">
        <f ca="1">IF(ISERROR(IF(O3146&lt;fi_h/20,0,(OFFSET('Base de dados'!$A$5,IF(O3146&lt;20,1,IF(O3146&gt;1000,10,MATCH(O3146,Cargas,1))),Coluna_fih,1,1))*(1+0.13*0.25)*(PI()*(fi_h/1000)^2/4)*SQRT(2*9.81*(O3146/100-fi_h/2/1000))*1000)),"",IF(O3146&lt;fi_h/20,0,(OFFSET('Base de dados'!$A$5,IF(O3146&lt;20,1,IF(O3146&gt;1000,10,MATCH(O3146,Cargas,1))),Coluna_fih,1,1))*(PI()*(fi_h/1000)^2/4)*SQRT(2*9.81*(O3146/100-fi_h/2/1000))*1000))</f>
        <v>7.4973885047566133</v>
      </c>
      <c r="Q3146" s="38">
        <f ca="1">IF(O3146="","",IF(Tipo_Vertedor="Retangular",IF(O3146&lt;=cota_s*100,0,IF(Tipo_Vertedor="Retangular",Cd_sr*Lef_sr*((O3146/100-cota_s)^(3/2))*1000)),IF(O3146&lt;=cota_s*100+fi_s/20,0,(OFFSET('Base de dados'!$A$4,IF(O3146&lt;20,1,IF(O3146&gt;1000,10,MATCH(O3146,Cargas,1))),Coluna_fis,1,1))*(PI()*(fi_s/1000)^2/4)*(2*9.81*(O3146/100-cota_s-fi_s/2/1000))^0.5*1000)))</f>
        <v>6.900181823907281</v>
      </c>
      <c r="R3146" s="38">
        <f t="shared" ca="1" si="330"/>
        <v>14.397570328663894</v>
      </c>
      <c r="S3146" s="38">
        <f t="shared" ca="1" si="331"/>
        <v>982.8125</v>
      </c>
    </row>
    <row r="3147" spans="13:19">
      <c r="M3147" s="132">
        <f t="shared" ca="1" si="328"/>
        <v>997.52506276137308</v>
      </c>
      <c r="N3147" s="38">
        <f t="shared" si="329"/>
        <v>29.493750000000002</v>
      </c>
      <c r="O3147" s="36">
        <f t="shared" si="327"/>
        <v>786.5</v>
      </c>
      <c r="P3147" s="38">
        <f ca="1">IF(ISERROR(IF(O3147&lt;fi_h/20,0,(OFFSET('Base de dados'!$A$5,IF(O3147&lt;20,1,IF(O3147&gt;1000,10,MATCH(O3147,Cargas,1))),Coluna_fih,1,1))*(1+0.13*0.25)*(PI()*(fi_h/1000)^2/4)*SQRT(2*9.81*(O3147/100-fi_h/2/1000))*1000)),"",IF(O3147&lt;fi_h/20,0,(OFFSET('Base de dados'!$A$5,IF(O3147&lt;20,1,IF(O3147&gt;1000,10,MATCH(O3147,Cargas,1))),Coluna_fih,1,1))*(PI()*(fi_h/1000)^2/4)*SQRT(2*9.81*(O3147/100-fi_h/2/1000))*1000))</f>
        <v>7.4985830373966103</v>
      </c>
      <c r="Q3147" s="38">
        <f ca="1">IF(O3147="","",IF(Tipo_Vertedor="Retangular",IF(O3147&lt;=cota_s*100,0,IF(Tipo_Vertedor="Retangular",Cd_sr*Lef_sr*((O3147/100-cota_s)^(3/2))*1000)),IF(O3147&lt;=cota_s*100+fi_s/20,0,(OFFSET('Base de dados'!$A$4,IF(O3147&lt;20,1,IF(O3147&gt;1000,10,MATCH(O3147,Cargas,1))),Coluna_fis,1,1))*(PI()*(fi_s/1000)^2/4)*(2*9.81*(O3147/100-cota_s-fi_s/2/1000))^0.5*1000)))</f>
        <v>6.9014797239763004</v>
      </c>
      <c r="R3147" s="38">
        <f t="shared" ca="1" si="330"/>
        <v>14.400062761372912</v>
      </c>
      <c r="S3147" s="38">
        <f t="shared" ca="1" si="331"/>
        <v>983.12500000000011</v>
      </c>
    </row>
    <row r="3148" spans="13:19">
      <c r="M3148" s="132">
        <f t="shared" ca="1" si="328"/>
        <v>997.84005475978313</v>
      </c>
      <c r="N3148" s="38">
        <f t="shared" si="329"/>
        <v>29.503124999999997</v>
      </c>
      <c r="O3148" s="36">
        <f t="shared" si="327"/>
        <v>786.75</v>
      </c>
      <c r="P3148" s="38">
        <f ca="1">IF(ISERROR(IF(O3148&lt;fi_h/20,0,(OFFSET('Base de dados'!$A$5,IF(O3148&lt;20,1,IF(O3148&gt;1000,10,MATCH(O3148,Cargas,1))),Coluna_fih,1,1))*(1+0.13*0.25)*(PI()*(fi_h/1000)^2/4)*SQRT(2*9.81*(O3148/100-fi_h/2/1000))*1000)),"",IF(O3148&lt;fi_h/20,0,(OFFSET('Base de dados'!$A$5,IF(O3148&lt;20,1,IF(O3148&gt;1000,10,MATCH(O3148,Cargas,1))),Coluna_fih,1,1))*(PI()*(fi_h/1000)^2/4)*SQRT(2*9.81*(O3148/100-fi_h/2/1000))*1000))</f>
        <v>7.4997773797765319</v>
      </c>
      <c r="Q3148" s="38">
        <f ca="1">IF(O3148="","",IF(Tipo_Vertedor="Retangular",IF(O3148&lt;=cota_s*100,0,IF(Tipo_Vertedor="Retangular",Cd_sr*Lef_sr*((O3148/100-cota_s)^(3/2))*1000)),IF(O3148&lt;=cota_s*100+fi_s/20,0,(OFFSET('Base de dados'!$A$4,IF(O3148&lt;20,1,IF(O3148&gt;1000,10,MATCH(O3148,Cargas,1))),Coluna_fis,1,1))*(PI()*(fi_s/1000)^2/4)*(2*9.81*(O3148/100-cota_s-fi_s/2/1000))^0.5*1000)))</f>
        <v>6.9027773800066559</v>
      </c>
      <c r="R3148" s="38">
        <f t="shared" ca="1" si="330"/>
        <v>14.402554759783188</v>
      </c>
      <c r="S3148" s="38">
        <f t="shared" ca="1" si="331"/>
        <v>983.43749999999989</v>
      </c>
    </row>
    <row r="3149" spans="13:19">
      <c r="M3149" s="132">
        <f t="shared" ca="1" si="328"/>
        <v>998.15504632412319</v>
      </c>
      <c r="N3149" s="38">
        <f t="shared" si="329"/>
        <v>29.512499999999999</v>
      </c>
      <c r="O3149" s="36">
        <f t="shared" si="327"/>
        <v>787</v>
      </c>
      <c r="P3149" s="38">
        <f ca="1">IF(ISERROR(IF(O3149&lt;fi_h/20,0,(OFFSET('Base de dados'!$A$5,IF(O3149&lt;20,1,IF(O3149&gt;1000,10,MATCH(O3149,Cargas,1))),Coluna_fih,1,1))*(1+0.13*0.25)*(PI()*(fi_h/1000)^2/4)*SQRT(2*9.81*(O3149/100-fi_h/2/1000))*1000)),"",IF(O3149&lt;fi_h/20,0,(OFFSET('Base de dados'!$A$5,IF(O3149&lt;20,1,IF(O3149&gt;1000,10,MATCH(O3149,Cargas,1))),Coluna_fih,1,1))*(PI()*(fi_h/1000)^2/4)*SQRT(2*9.81*(O3149/100-fi_h/2/1000))*1000))</f>
        <v>7.5009715319872621</v>
      </c>
      <c r="Q3149" s="38">
        <f ca="1">IF(O3149="","",IF(Tipo_Vertedor="Retangular",IF(O3149&lt;=cota_s*100,0,IF(Tipo_Vertedor="Retangular",Cd_sr*Lef_sr*((O3149/100-cota_s)^(3/2))*1000)),IF(O3149&lt;=cota_s*100+fi_s/20,0,(OFFSET('Base de dados'!$A$4,IF(O3149&lt;20,1,IF(O3149&gt;1000,10,MATCH(O3149,Cargas,1))),Coluna_fis,1,1))*(PI()*(fi_s/1000)^2/4)*(2*9.81*(O3149/100-cota_s-fi_s/2/1000))^0.5*1000)))</f>
        <v>6.9040747921359555</v>
      </c>
      <c r="R3149" s="38">
        <f t="shared" ca="1" si="330"/>
        <v>14.405046324123218</v>
      </c>
      <c r="S3149" s="38">
        <f t="shared" ca="1" si="331"/>
        <v>983.75</v>
      </c>
    </row>
    <row r="3150" spans="13:19">
      <c r="M3150" s="132">
        <f t="shared" ca="1" si="328"/>
        <v>998.47003745462121</v>
      </c>
      <c r="N3150" s="38">
        <f t="shared" si="329"/>
        <v>29.521874999999998</v>
      </c>
      <c r="O3150" s="36">
        <f t="shared" si="327"/>
        <v>787.25</v>
      </c>
      <c r="P3150" s="38">
        <f ca="1">IF(ISERROR(IF(O3150&lt;fi_h/20,0,(OFFSET('Base de dados'!$A$5,IF(O3150&lt;20,1,IF(O3150&gt;1000,10,MATCH(O3150,Cargas,1))),Coluna_fih,1,1))*(1+0.13*0.25)*(PI()*(fi_h/1000)^2/4)*SQRT(2*9.81*(O3150/100-fi_h/2/1000))*1000)),"",IF(O3150&lt;fi_h/20,0,(OFFSET('Base de dados'!$A$5,IF(O3150&lt;20,1,IF(O3150&gt;1000,10,MATCH(O3150,Cargas,1))),Coluna_fih,1,1))*(PI()*(fi_h/1000)^2/4)*SQRT(2*9.81*(O3150/100-fi_h/2/1000))*1000))</f>
        <v>7.5021654941196081</v>
      </c>
      <c r="Q3150" s="38">
        <f ca="1">IF(O3150="","",IF(Tipo_Vertedor="Retangular",IF(O3150&lt;=cota_s*100,0,IF(Tipo_Vertedor="Retangular",Cd_sr*Lef_sr*((O3150/100-cota_s)^(3/2))*1000)),IF(O3150&lt;=cota_s*100+fi_s/20,0,(OFFSET('Base de dados'!$A$4,IF(O3150&lt;20,1,IF(O3150&gt;1000,10,MATCH(O3150,Cargas,1))),Coluna_fis,1,1))*(PI()*(fi_s/1000)^2/4)*(2*9.81*(O3150/100-cota_s-fi_s/2/1000))^0.5*1000)))</f>
        <v>6.9053719605016726</v>
      </c>
      <c r="R3150" s="38">
        <f t="shared" ca="1" si="330"/>
        <v>14.407537454621281</v>
      </c>
      <c r="S3150" s="38">
        <f t="shared" ca="1" si="331"/>
        <v>984.06249999999989</v>
      </c>
    </row>
    <row r="3151" spans="13:19">
      <c r="M3151" s="132">
        <f t="shared" ca="1" si="328"/>
        <v>998.78502815150546</v>
      </c>
      <c r="N3151" s="38">
        <f t="shared" si="329"/>
        <v>29.53125</v>
      </c>
      <c r="O3151" s="36">
        <f t="shared" si="327"/>
        <v>787.5</v>
      </c>
      <c r="P3151" s="38">
        <f ca="1">IF(ISERROR(IF(O3151&lt;fi_h/20,0,(OFFSET('Base de dados'!$A$5,IF(O3151&lt;20,1,IF(O3151&gt;1000,10,MATCH(O3151,Cargas,1))),Coluna_fih,1,1))*(1+0.13*0.25)*(PI()*(fi_h/1000)^2/4)*SQRT(2*9.81*(O3151/100-fi_h/2/1000))*1000)),"",IF(O3151&lt;fi_h/20,0,(OFFSET('Base de dados'!$A$5,IF(O3151&lt;20,1,IF(O3151&gt;1000,10,MATCH(O3151,Cargas,1))),Coluna_fih,1,1))*(PI()*(fi_h/1000)^2/4)*SQRT(2*9.81*(O3151/100-fi_h/2/1000))*1000))</f>
        <v>7.5033592662643098</v>
      </c>
      <c r="Q3151" s="38">
        <f ca="1">IF(O3151="","",IF(Tipo_Vertedor="Retangular",IF(O3151&lt;=cota_s*100,0,IF(Tipo_Vertedor="Retangular",Cd_sr*Lef_sr*((O3151/100-cota_s)^(3/2))*1000)),IF(O3151&lt;=cota_s*100+fi_s/20,0,(OFFSET('Base de dados'!$A$4,IF(O3151&lt;20,1,IF(O3151&gt;1000,10,MATCH(O3151,Cargas,1))),Coluna_fis,1,1))*(PI()*(fi_s/1000)^2/4)*(2*9.81*(O3151/100-cota_s-fi_s/2/1000))^0.5*1000)))</f>
        <v>6.9066688852411531</v>
      </c>
      <c r="R3151" s="38">
        <f t="shared" ca="1" si="330"/>
        <v>14.410028151505463</v>
      </c>
      <c r="S3151" s="38">
        <f t="shared" ca="1" si="331"/>
        <v>984.375</v>
      </c>
    </row>
    <row r="3152" spans="13:19">
      <c r="M3152" s="132">
        <f t="shared" ca="1" si="328"/>
        <v>999.10001841500377</v>
      </c>
      <c r="N3152" s="38">
        <f t="shared" si="329"/>
        <v>29.540625000000002</v>
      </c>
      <c r="O3152" s="36">
        <f t="shared" si="327"/>
        <v>787.75</v>
      </c>
      <c r="P3152" s="38">
        <f ca="1">IF(ISERROR(IF(O3152&lt;fi_h/20,0,(OFFSET('Base de dados'!$A$5,IF(O3152&lt;20,1,IF(O3152&gt;1000,10,MATCH(O3152,Cargas,1))),Coluna_fih,1,1))*(1+0.13*0.25)*(PI()*(fi_h/1000)^2/4)*SQRT(2*9.81*(O3152/100-fi_h/2/1000))*1000)),"",IF(O3152&lt;fi_h/20,0,(OFFSET('Base de dados'!$A$5,IF(O3152&lt;20,1,IF(O3152&gt;1000,10,MATCH(O3152,Cargas,1))),Coluna_fih,1,1))*(PI()*(fi_h/1000)^2/4)*SQRT(2*9.81*(O3152/100-fi_h/2/1000))*1000))</f>
        <v>7.5045528485120316</v>
      </c>
      <c r="Q3152" s="38">
        <f ca="1">IF(O3152="","",IF(Tipo_Vertedor="Retangular",IF(O3152&lt;=cota_s*100,0,IF(Tipo_Vertedor="Retangular",Cd_sr*Lef_sr*((O3152/100-cota_s)^(3/2))*1000)),IF(O3152&lt;=cota_s*100+fi_s/20,0,(OFFSET('Base de dados'!$A$4,IF(O3152&lt;20,1,IF(O3152&gt;1000,10,MATCH(O3152,Cargas,1))),Coluna_fis,1,1))*(PI()*(fi_s/1000)^2/4)*(2*9.81*(O3152/100-cota_s-fi_s/2/1000))^0.5*1000)))</f>
        <v>6.9079655664916189</v>
      </c>
      <c r="R3152" s="38">
        <f t="shared" ca="1" si="330"/>
        <v>14.41251841500365</v>
      </c>
      <c r="S3152" s="38">
        <f t="shared" ca="1" si="331"/>
        <v>984.68750000000011</v>
      </c>
    </row>
    <row r="3153" spans="13:19">
      <c r="M3153" s="132">
        <f t="shared" ca="1" si="328"/>
        <v>999.41500824534353</v>
      </c>
      <c r="N3153" s="38">
        <f t="shared" si="329"/>
        <v>29.55</v>
      </c>
      <c r="O3153" s="36">
        <f t="shared" si="327"/>
        <v>788</v>
      </c>
      <c r="P3153" s="38">
        <f ca="1">IF(ISERROR(IF(O3153&lt;fi_h/20,0,(OFFSET('Base de dados'!$A$5,IF(O3153&lt;20,1,IF(O3153&gt;1000,10,MATCH(O3153,Cargas,1))),Coluna_fih,1,1))*(1+0.13*0.25)*(PI()*(fi_h/1000)^2/4)*SQRT(2*9.81*(O3153/100-fi_h/2/1000))*1000)),"",IF(O3153&lt;fi_h/20,0,(OFFSET('Base de dados'!$A$5,IF(O3153&lt;20,1,IF(O3153&gt;1000,10,MATCH(O3153,Cargas,1))),Coluna_fih,1,1))*(PI()*(fi_h/1000)^2/4)*SQRT(2*9.81*(O3153/100-fi_h/2/1000))*1000))</f>
        <v>7.5057462409533686</v>
      </c>
      <c r="Q3153" s="38">
        <f ca="1">IF(O3153="","",IF(Tipo_Vertedor="Retangular",IF(O3153&lt;=cota_s*100,0,IF(Tipo_Vertedor="Retangular",Cd_sr*Lef_sr*((O3153/100-cota_s)^(3/2))*1000)),IF(O3153&lt;=cota_s*100+fi_s/20,0,(OFFSET('Base de dados'!$A$4,IF(O3153&lt;20,1,IF(O3153&gt;1000,10,MATCH(O3153,Cargas,1))),Coluna_fis,1,1))*(PI()*(fi_s/1000)^2/4)*(2*9.81*(O3153/100-cota_s-fi_s/2/1000))^0.5*1000)))</f>
        <v>6.9092620043901523</v>
      </c>
      <c r="R3153" s="38">
        <f t="shared" ca="1" si="330"/>
        <v>14.415008245343522</v>
      </c>
      <c r="S3153" s="38">
        <f t="shared" ca="1" si="331"/>
        <v>985</v>
      </c>
    </row>
    <row r="3154" spans="13:19">
      <c r="M3154" s="132">
        <f t="shared" ca="1" si="328"/>
        <v>999.72999764275266</v>
      </c>
      <c r="N3154" s="38">
        <f t="shared" si="329"/>
        <v>29.559375000000003</v>
      </c>
      <c r="O3154" s="36">
        <f t="shared" si="327"/>
        <v>788.25</v>
      </c>
      <c r="P3154" s="38">
        <f ca="1">IF(ISERROR(IF(O3154&lt;fi_h/20,0,(OFFSET('Base de dados'!$A$5,IF(O3154&lt;20,1,IF(O3154&gt;1000,10,MATCH(O3154,Cargas,1))),Coluna_fih,1,1))*(1+0.13*0.25)*(PI()*(fi_h/1000)^2/4)*SQRT(2*9.81*(O3154/100-fi_h/2/1000))*1000)),"",IF(O3154&lt;fi_h/20,0,(OFFSET('Base de dados'!$A$5,IF(O3154&lt;20,1,IF(O3154&gt;1000,10,MATCH(O3154,Cargas,1))),Coluna_fih,1,1))*(PI()*(fi_h/1000)^2/4)*SQRT(2*9.81*(O3154/100-fi_h/2/1000))*1000))</f>
        <v>7.506939443678843</v>
      </c>
      <c r="Q3154" s="38">
        <f ca="1">IF(O3154="","",IF(Tipo_Vertedor="Retangular",IF(O3154&lt;=cota_s*100,0,IF(Tipo_Vertedor="Retangular",Cd_sr*Lef_sr*((O3154/100-cota_s)^(3/2))*1000)),IF(O3154&lt;=cota_s*100+fi_s/20,0,(OFFSET('Base de dados'!$A$4,IF(O3154&lt;20,1,IF(O3154&gt;1000,10,MATCH(O3154,Cargas,1))),Coluna_fis,1,1))*(PI()*(fi_s/1000)^2/4)*(2*9.81*(O3154/100-cota_s-fi_s/2/1000))^0.5*1000)))</f>
        <v>6.9105581990737202</v>
      </c>
      <c r="R3154" s="38">
        <f t="shared" ca="1" si="330"/>
        <v>14.417497642752563</v>
      </c>
      <c r="S3154" s="38">
        <f t="shared" ca="1" si="331"/>
        <v>985.31250000000011</v>
      </c>
    </row>
    <row r="3155" spans="13:19">
      <c r="M3155" s="132">
        <f t="shared" ca="1" si="328"/>
        <v>1000.044986607458</v>
      </c>
      <c r="N3155" s="38">
        <f t="shared" si="329"/>
        <v>29.568749999999998</v>
      </c>
      <c r="O3155" s="36">
        <f t="shared" ref="O3155:O3218" si="332">IF(ISERROR(IF(O3154+passo_altura&gt;h_max_puls*100,"",O3154+passo_altura)),"",IF(O3154+passo_altura&gt;h_max_puls*100,"",O3154+passo_altura))</f>
        <v>788.5</v>
      </c>
      <c r="P3155" s="38">
        <f ca="1">IF(ISERROR(IF(O3155&lt;fi_h/20,0,(OFFSET('Base de dados'!$A$5,IF(O3155&lt;20,1,IF(O3155&gt;1000,10,MATCH(O3155,Cargas,1))),Coluna_fih,1,1))*(1+0.13*0.25)*(PI()*(fi_h/1000)^2/4)*SQRT(2*9.81*(O3155/100-fi_h/2/1000))*1000)),"",IF(O3155&lt;fi_h/20,0,(OFFSET('Base de dados'!$A$5,IF(O3155&lt;20,1,IF(O3155&gt;1000,10,MATCH(O3155,Cargas,1))),Coluna_fih,1,1))*(PI()*(fi_h/1000)^2/4)*SQRT(2*9.81*(O3155/100-fi_h/2/1000))*1000))</f>
        <v>7.5081324567789016</v>
      </c>
      <c r="Q3155" s="38">
        <f ca="1">IF(O3155="","",IF(Tipo_Vertedor="Retangular",IF(O3155&lt;=cota_s*100,0,IF(Tipo_Vertedor="Retangular",Cd_sr*Lef_sr*((O3155/100-cota_s)^(3/2))*1000)),IF(O3155&lt;=cota_s*100+fi_s/20,0,(OFFSET('Base de dados'!$A$4,IF(O3155&lt;20,1,IF(O3155&gt;1000,10,MATCH(O3155,Cargas,1))),Coluna_fis,1,1))*(PI()*(fi_s/1000)^2/4)*(2*9.81*(O3155/100-cota_s-fi_s/2/1000))^0.5*1000)))</f>
        <v>6.9118541506791491</v>
      </c>
      <c r="R3155" s="38">
        <f t="shared" ca="1" si="330"/>
        <v>14.41998660745805</v>
      </c>
      <c r="S3155" s="38">
        <f t="shared" ca="1" si="331"/>
        <v>985.62499999999989</v>
      </c>
    </row>
    <row r="3156" spans="13:19">
      <c r="M3156" s="132">
        <f t="shared" ca="1" si="328"/>
        <v>1000.3599751396871</v>
      </c>
      <c r="N3156" s="38">
        <f t="shared" si="329"/>
        <v>29.578125</v>
      </c>
      <c r="O3156" s="36">
        <f t="shared" si="332"/>
        <v>788.75</v>
      </c>
      <c r="P3156" s="38">
        <f ca="1">IF(ISERROR(IF(O3156&lt;fi_h/20,0,(OFFSET('Base de dados'!$A$5,IF(O3156&lt;20,1,IF(O3156&gt;1000,10,MATCH(O3156,Cargas,1))),Coluna_fih,1,1))*(1+0.13*0.25)*(PI()*(fi_h/1000)^2/4)*SQRT(2*9.81*(O3156/100-fi_h/2/1000))*1000)),"",IF(O3156&lt;fi_h/20,0,(OFFSET('Base de dados'!$A$5,IF(O3156&lt;20,1,IF(O3156&gt;1000,10,MATCH(O3156,Cargas,1))),Coluna_fih,1,1))*(PI()*(fi_h/1000)^2/4)*SQRT(2*9.81*(O3156/100-fi_h/2/1000))*1000))</f>
        <v>7.5093252803439245</v>
      </c>
      <c r="Q3156" s="38">
        <f ca="1">IF(O3156="","",IF(Tipo_Vertedor="Retangular",IF(O3156&lt;=cota_s*100,0,IF(Tipo_Vertedor="Retangular",Cd_sr*Lef_sr*((O3156/100-cota_s)^(3/2))*1000)),IF(O3156&lt;=cota_s*100+fi_s/20,0,(OFFSET('Base de dados'!$A$4,IF(O3156&lt;20,1,IF(O3156&gt;1000,10,MATCH(O3156,Cargas,1))),Coluna_fis,1,1))*(PI()*(fi_s/1000)^2/4)*(2*9.81*(O3156/100-cota_s-fi_s/2/1000))^0.5*1000)))</f>
        <v>6.9131498593431457</v>
      </c>
      <c r="R3156" s="38">
        <f t="shared" ca="1" si="330"/>
        <v>14.422475139687069</v>
      </c>
      <c r="S3156" s="38">
        <f t="shared" ca="1" si="331"/>
        <v>985.9375</v>
      </c>
    </row>
    <row r="3157" spans="13:19">
      <c r="M3157" s="132">
        <f t="shared" ca="1" si="328"/>
        <v>1000.6749632396665</v>
      </c>
      <c r="N3157" s="38">
        <f t="shared" si="329"/>
        <v>29.587499999999999</v>
      </c>
      <c r="O3157" s="36">
        <f t="shared" si="332"/>
        <v>789</v>
      </c>
      <c r="P3157" s="38">
        <f ca="1">IF(ISERROR(IF(O3157&lt;fi_h/20,0,(OFFSET('Base de dados'!$A$5,IF(O3157&lt;20,1,IF(O3157&gt;1000,10,MATCH(O3157,Cargas,1))),Coluna_fih,1,1))*(1+0.13*0.25)*(PI()*(fi_h/1000)^2/4)*SQRT(2*9.81*(O3157/100-fi_h/2/1000))*1000)),"",IF(O3157&lt;fi_h/20,0,(OFFSET('Base de dados'!$A$5,IF(O3157&lt;20,1,IF(O3157&gt;1000,10,MATCH(O3157,Cargas,1))),Coluna_fih,1,1))*(PI()*(fi_h/1000)^2/4)*SQRT(2*9.81*(O3157/100-fi_h/2/1000))*1000))</f>
        <v>7.5105179144642173</v>
      </c>
      <c r="Q3157" s="38">
        <f ca="1">IF(O3157="","",IF(Tipo_Vertedor="Retangular",IF(O3157&lt;=cota_s*100,0,IF(Tipo_Vertedor="Retangular",Cd_sr*Lef_sr*((O3157/100-cota_s)^(3/2))*1000)),IF(O3157&lt;=cota_s*100+fi_s/20,0,(OFFSET('Base de dados'!$A$4,IF(O3157&lt;20,1,IF(O3157&gt;1000,10,MATCH(O3157,Cargas,1))),Coluna_fis,1,1))*(PI()*(fi_s/1000)^2/4)*(2*9.81*(O3157/100-cota_s-fi_s/2/1000))^0.5*1000)))</f>
        <v>6.9144453252022853</v>
      </c>
      <c r="R3157" s="38">
        <f t="shared" ca="1" si="330"/>
        <v>14.424963239666504</v>
      </c>
      <c r="S3157" s="38">
        <f t="shared" ca="1" si="331"/>
        <v>986.25</v>
      </c>
    </row>
    <row r="3158" spans="13:19">
      <c r="M3158" s="132">
        <f t="shared" ca="1" si="328"/>
        <v>1000.989950907623</v>
      </c>
      <c r="N3158" s="38">
        <f t="shared" si="329"/>
        <v>29.596875000000001</v>
      </c>
      <c r="O3158" s="36">
        <f t="shared" si="332"/>
        <v>789.25</v>
      </c>
      <c r="P3158" s="38">
        <f ca="1">IF(ISERROR(IF(O3158&lt;fi_h/20,0,(OFFSET('Base de dados'!$A$5,IF(O3158&lt;20,1,IF(O3158&gt;1000,10,MATCH(O3158,Cargas,1))),Coluna_fih,1,1))*(1+0.13*0.25)*(PI()*(fi_h/1000)^2/4)*SQRT(2*9.81*(O3158/100-fi_h/2/1000))*1000)),"",IF(O3158&lt;fi_h/20,0,(OFFSET('Base de dados'!$A$5,IF(O3158&lt;20,1,IF(O3158&gt;1000,10,MATCH(O3158,Cargas,1))),Coluna_fih,1,1))*(PI()*(fi_h/1000)^2/4)*SQRT(2*9.81*(O3158/100-fi_h/2/1000))*1000))</f>
        <v>7.5117103592300145</v>
      </c>
      <c r="Q3158" s="38">
        <f ca="1">IF(O3158="","",IF(Tipo_Vertedor="Retangular",IF(O3158&lt;=cota_s*100,0,IF(Tipo_Vertedor="Retangular",Cd_sr*Lef_sr*((O3158/100-cota_s)^(3/2))*1000)),IF(O3158&lt;=cota_s*100+fi_s/20,0,(OFFSET('Base de dados'!$A$4,IF(O3158&lt;20,1,IF(O3158&gt;1000,10,MATCH(O3158,Cargas,1))),Coluna_fis,1,1))*(PI()*(fi_s/1000)^2/4)*(2*9.81*(O3158/100-cota_s-fi_s/2/1000))^0.5*1000)))</f>
        <v>6.9157405483930141</v>
      </c>
      <c r="R3158" s="38">
        <f t="shared" ca="1" si="330"/>
        <v>14.42745090762303</v>
      </c>
      <c r="S3158" s="38">
        <f t="shared" ca="1" si="331"/>
        <v>986.5625</v>
      </c>
    </row>
    <row r="3159" spans="13:19">
      <c r="M3159" s="132">
        <f t="shared" ref="M3159:M3222" ca="1" si="333">IF(O3159="","",2*N3159*1000/(Passo*60)+R3159)</f>
        <v>1001.3049381437831</v>
      </c>
      <c r="N3159" s="38">
        <f t="shared" ref="N3159:N3222" si="334">IF(O3159="","",b_0*(O3159/100)^c_0)</f>
        <v>29.606249999999999</v>
      </c>
      <c r="O3159" s="36">
        <f t="shared" si="332"/>
        <v>789.5</v>
      </c>
      <c r="P3159" s="38">
        <f ca="1">IF(ISERROR(IF(O3159&lt;fi_h/20,0,(OFFSET('Base de dados'!$A$5,IF(O3159&lt;20,1,IF(O3159&gt;1000,10,MATCH(O3159,Cargas,1))),Coluna_fih,1,1))*(1+0.13*0.25)*(PI()*(fi_h/1000)^2/4)*SQRT(2*9.81*(O3159/100-fi_h/2/1000))*1000)),"",IF(O3159&lt;fi_h/20,0,(OFFSET('Base de dados'!$A$5,IF(O3159&lt;20,1,IF(O3159&gt;1000,10,MATCH(O3159,Cargas,1))),Coluna_fih,1,1))*(PI()*(fi_h/1000)^2/4)*SQRT(2*9.81*(O3159/100-fi_h/2/1000))*1000))</f>
        <v>7.5129026147314777</v>
      </c>
      <c r="Q3159" s="38">
        <f ca="1">IF(O3159="","",IF(Tipo_Vertedor="Retangular",IF(O3159&lt;=cota_s*100,0,IF(Tipo_Vertedor="Retangular",Cd_sr*Lef_sr*((O3159/100-cota_s)^(3/2))*1000)),IF(O3159&lt;=cota_s*100+fi_s/20,0,(OFFSET('Base de dados'!$A$4,IF(O3159&lt;20,1,IF(O3159&gt;1000,10,MATCH(O3159,Cargas,1))),Coluna_fis,1,1))*(PI()*(fi_s/1000)^2/4)*(2*9.81*(O3159/100-cota_s-fi_s/2/1000))^0.5*1000)))</f>
        <v>6.9170355290516525</v>
      </c>
      <c r="R3159" s="38">
        <f t="shared" ref="R3159:R3222" ca="1" si="335">IF(O3159="","",Q3159+P3159)</f>
        <v>14.429938143783129</v>
      </c>
      <c r="S3159" s="38">
        <f t="shared" ref="S3159:S3222" ca="1" si="336">IF(M3159="","",2*N3159*1000/(Passo*60))</f>
        <v>986.875</v>
      </c>
    </row>
    <row r="3160" spans="13:19">
      <c r="M3160" s="132">
        <f t="shared" ca="1" si="333"/>
        <v>1001.6199249483731</v>
      </c>
      <c r="N3160" s="38">
        <f t="shared" si="334"/>
        <v>29.615625000000001</v>
      </c>
      <c r="O3160" s="36">
        <f t="shared" si="332"/>
        <v>789.75</v>
      </c>
      <c r="P3160" s="38">
        <f ca="1">IF(ISERROR(IF(O3160&lt;fi_h/20,0,(OFFSET('Base de dados'!$A$5,IF(O3160&lt;20,1,IF(O3160&gt;1000,10,MATCH(O3160,Cargas,1))),Coluna_fih,1,1))*(1+0.13*0.25)*(PI()*(fi_h/1000)^2/4)*SQRT(2*9.81*(O3160/100-fi_h/2/1000))*1000)),"",IF(O3160&lt;fi_h/20,0,(OFFSET('Base de dados'!$A$5,IF(O3160&lt;20,1,IF(O3160&gt;1000,10,MATCH(O3160,Cargas,1))),Coluna_fih,1,1))*(PI()*(fi_h/1000)^2/4)*SQRT(2*9.81*(O3160/100-fi_h/2/1000))*1000))</f>
        <v>7.5140946810587002</v>
      </c>
      <c r="Q3160" s="38">
        <f ca="1">IF(O3160="","",IF(Tipo_Vertedor="Retangular",IF(O3160&lt;=cota_s*100,0,IF(Tipo_Vertedor="Retangular",Cd_sr*Lef_sr*((O3160/100-cota_s)^(3/2))*1000)),IF(O3160&lt;=cota_s*100+fi_s/20,0,(OFFSET('Base de dados'!$A$4,IF(O3160&lt;20,1,IF(O3160&gt;1000,10,MATCH(O3160,Cargas,1))),Coluna_fis,1,1))*(PI()*(fi_s/1000)^2/4)*(2*9.81*(O3160/100-cota_s-fi_s/2/1000))^0.5*1000)))</f>
        <v>6.9183302673143947</v>
      </c>
      <c r="R3160" s="38">
        <f t="shared" ca="1" si="335"/>
        <v>14.432424948373095</v>
      </c>
      <c r="S3160" s="38">
        <f t="shared" ca="1" si="336"/>
        <v>987.1875</v>
      </c>
    </row>
    <row r="3161" spans="13:19">
      <c r="M3161" s="132">
        <f t="shared" ca="1" si="333"/>
        <v>1001.934911321619</v>
      </c>
      <c r="N3161" s="38">
        <f t="shared" si="334"/>
        <v>29.625</v>
      </c>
      <c r="O3161" s="36">
        <f t="shared" si="332"/>
        <v>790</v>
      </c>
      <c r="P3161" s="38">
        <f ca="1">IF(ISERROR(IF(O3161&lt;fi_h/20,0,(OFFSET('Base de dados'!$A$5,IF(O3161&lt;20,1,IF(O3161&gt;1000,10,MATCH(O3161,Cargas,1))),Coluna_fih,1,1))*(1+0.13*0.25)*(PI()*(fi_h/1000)^2/4)*SQRT(2*9.81*(O3161/100-fi_h/2/1000))*1000)),"",IF(O3161&lt;fi_h/20,0,(OFFSET('Base de dados'!$A$5,IF(O3161&lt;20,1,IF(O3161&gt;1000,10,MATCH(O3161,Cargas,1))),Coluna_fih,1,1))*(PI()*(fi_h/1000)^2/4)*SQRT(2*9.81*(O3161/100-fi_h/2/1000))*1000))</f>
        <v>7.5152865583017014</v>
      </c>
      <c r="Q3161" s="38">
        <f ca="1">IF(O3161="","",IF(Tipo_Vertedor="Retangular",IF(O3161&lt;=cota_s*100,0,IF(Tipo_Vertedor="Retangular",Cd_sr*Lef_sr*((O3161/100-cota_s)^(3/2))*1000)),IF(O3161&lt;=cota_s*100+fi_s/20,0,(OFFSET('Base de dados'!$A$4,IF(O3161&lt;20,1,IF(O3161&gt;1000,10,MATCH(O3161,Cargas,1))),Coluna_fis,1,1))*(PI()*(fi_s/1000)^2/4)*(2*9.81*(O3161/100-cota_s-fi_s/2/1000))^0.5*1000)))</f>
        <v>6.9196247633173025</v>
      </c>
      <c r="R3161" s="38">
        <f t="shared" ca="1" si="335"/>
        <v>14.434911321619005</v>
      </c>
      <c r="S3161" s="38">
        <f t="shared" ca="1" si="336"/>
        <v>987.5</v>
      </c>
    </row>
    <row r="3162" spans="13:19">
      <c r="M3162" s="132">
        <f t="shared" ca="1" si="333"/>
        <v>1002.2498972637468</v>
      </c>
      <c r="N3162" s="38">
        <f t="shared" si="334"/>
        <v>29.634374999999999</v>
      </c>
      <c r="O3162" s="36">
        <f t="shared" si="332"/>
        <v>790.25</v>
      </c>
      <c r="P3162" s="38">
        <f ca="1">IF(ISERROR(IF(O3162&lt;fi_h/20,0,(OFFSET('Base de dados'!$A$5,IF(O3162&lt;20,1,IF(O3162&gt;1000,10,MATCH(O3162,Cargas,1))),Coluna_fih,1,1))*(1+0.13*0.25)*(PI()*(fi_h/1000)^2/4)*SQRT(2*9.81*(O3162/100-fi_h/2/1000))*1000)),"",IF(O3162&lt;fi_h/20,0,(OFFSET('Base de dados'!$A$5,IF(O3162&lt;20,1,IF(O3162&gt;1000,10,MATCH(O3162,Cargas,1))),Coluna_fih,1,1))*(PI()*(fi_h/1000)^2/4)*SQRT(2*9.81*(O3162/100-fi_h/2/1000))*1000))</f>
        <v>7.5164782465504292</v>
      </c>
      <c r="Q3162" s="38">
        <f ca="1">IF(O3162="","",IF(Tipo_Vertedor="Retangular",IF(O3162&lt;=cota_s*100,0,IF(Tipo_Vertedor="Retangular",Cd_sr*Lef_sr*((O3162/100-cota_s)^(3/2))*1000)),IF(O3162&lt;=cota_s*100+fi_s/20,0,(OFFSET('Base de dados'!$A$4,IF(O3162&lt;20,1,IF(O3162&gt;1000,10,MATCH(O3162,Cargas,1))),Coluna_fis,1,1))*(PI()*(fi_s/1000)^2/4)*(2*9.81*(O3162/100-cota_s-fi_s/2/1000))^0.5*1000)))</f>
        <v>6.9209190171963151</v>
      </c>
      <c r="R3162" s="38">
        <f t="shared" ca="1" si="335"/>
        <v>14.437397263746744</v>
      </c>
      <c r="S3162" s="38">
        <f t="shared" ca="1" si="336"/>
        <v>987.8125</v>
      </c>
    </row>
    <row r="3163" spans="13:19">
      <c r="M3163" s="132">
        <f t="shared" ca="1" si="333"/>
        <v>1002.564882774982</v>
      </c>
      <c r="N3163" s="38">
        <f t="shared" si="334"/>
        <v>29.643750000000001</v>
      </c>
      <c r="O3163" s="36">
        <f t="shared" si="332"/>
        <v>790.5</v>
      </c>
      <c r="P3163" s="38">
        <f ca="1">IF(ISERROR(IF(O3163&lt;fi_h/20,0,(OFFSET('Base de dados'!$A$5,IF(O3163&lt;20,1,IF(O3163&gt;1000,10,MATCH(O3163,Cargas,1))),Coluna_fih,1,1))*(1+0.13*0.25)*(PI()*(fi_h/1000)^2/4)*SQRT(2*9.81*(O3163/100-fi_h/2/1000))*1000)),"",IF(O3163&lt;fi_h/20,0,(OFFSET('Base de dados'!$A$5,IF(O3163&lt;20,1,IF(O3163&gt;1000,10,MATCH(O3163,Cargas,1))),Coluna_fih,1,1))*(PI()*(fi_h/1000)^2/4)*SQRT(2*9.81*(O3163/100-fi_h/2/1000))*1000))</f>
        <v>7.5176697458947599</v>
      </c>
      <c r="Q3163" s="38">
        <f ca="1">IF(O3163="","",IF(Tipo_Vertedor="Retangular",IF(O3163&lt;=cota_s*100,0,IF(Tipo_Vertedor="Retangular",Cd_sr*Lef_sr*((O3163/100-cota_s)^(3/2))*1000)),IF(O3163&lt;=cota_s*100+fi_s/20,0,(OFFSET('Base de dados'!$A$4,IF(O3163&lt;20,1,IF(O3163&gt;1000,10,MATCH(O3163,Cargas,1))),Coluna_fis,1,1))*(PI()*(fi_s/1000)^2/4)*(2*9.81*(O3163/100-cota_s-fi_s/2/1000))^0.5*1000)))</f>
        <v>6.9222130290872439</v>
      </c>
      <c r="R3163" s="38">
        <f t="shared" ca="1" si="335"/>
        <v>14.439882774982003</v>
      </c>
      <c r="S3163" s="38">
        <f t="shared" ca="1" si="336"/>
        <v>988.125</v>
      </c>
    </row>
    <row r="3164" spans="13:19">
      <c r="M3164" s="132">
        <f t="shared" ca="1" si="333"/>
        <v>1002.8798678555503</v>
      </c>
      <c r="N3164" s="38">
        <f t="shared" si="334"/>
        <v>29.653124999999999</v>
      </c>
      <c r="O3164" s="36">
        <f t="shared" si="332"/>
        <v>790.75</v>
      </c>
      <c r="P3164" s="38">
        <f ca="1">IF(ISERROR(IF(O3164&lt;fi_h/20,0,(OFFSET('Base de dados'!$A$5,IF(O3164&lt;20,1,IF(O3164&gt;1000,10,MATCH(O3164,Cargas,1))),Coluna_fih,1,1))*(1+0.13*0.25)*(PI()*(fi_h/1000)^2/4)*SQRT(2*9.81*(O3164/100-fi_h/2/1000))*1000)),"",IF(O3164&lt;fi_h/20,0,(OFFSET('Base de dados'!$A$5,IF(O3164&lt;20,1,IF(O3164&gt;1000,10,MATCH(O3164,Cargas,1))),Coluna_fih,1,1))*(PI()*(fi_h/1000)^2/4)*SQRT(2*9.81*(O3164/100-fi_h/2/1000))*1000))</f>
        <v>7.5188610564245009</v>
      </c>
      <c r="Q3164" s="38">
        <f ca="1">IF(O3164="","",IF(Tipo_Vertedor="Retangular",IF(O3164&lt;=cota_s*100,0,IF(Tipo_Vertedor="Retangular",Cd_sr*Lef_sr*((O3164/100-cota_s)^(3/2))*1000)),IF(O3164&lt;=cota_s*100+fi_s/20,0,(OFFSET('Base de dados'!$A$4,IF(O3164&lt;20,1,IF(O3164&gt;1000,10,MATCH(O3164,Cargas,1))),Coluna_fis,1,1))*(PI()*(fi_s/1000)^2/4)*(2*9.81*(O3164/100-cota_s-fi_s/2/1000))^0.5*1000)))</f>
        <v>6.9235067991257706</v>
      </c>
      <c r="R3164" s="38">
        <f t="shared" ca="1" si="335"/>
        <v>14.442367855550271</v>
      </c>
      <c r="S3164" s="38">
        <f t="shared" ca="1" si="336"/>
        <v>988.4375</v>
      </c>
    </row>
    <row r="3165" spans="13:19">
      <c r="M3165" s="132">
        <f t="shared" ca="1" si="333"/>
        <v>1003.1948525056769</v>
      </c>
      <c r="N3165" s="38">
        <f t="shared" si="334"/>
        <v>29.662500000000001</v>
      </c>
      <c r="O3165" s="36">
        <f t="shared" si="332"/>
        <v>791</v>
      </c>
      <c r="P3165" s="38">
        <f ca="1">IF(ISERROR(IF(O3165&lt;fi_h/20,0,(OFFSET('Base de dados'!$A$5,IF(O3165&lt;20,1,IF(O3165&gt;1000,10,MATCH(O3165,Cargas,1))),Coluna_fih,1,1))*(1+0.13*0.25)*(PI()*(fi_h/1000)^2/4)*SQRT(2*9.81*(O3165/100-fi_h/2/1000))*1000)),"",IF(O3165&lt;fi_h/20,0,(OFFSET('Base de dados'!$A$5,IF(O3165&lt;20,1,IF(O3165&gt;1000,10,MATCH(O3165,Cargas,1))),Coluna_fih,1,1))*(PI()*(fi_h/1000)^2/4)*SQRT(2*9.81*(O3165/100-fi_h/2/1000))*1000))</f>
        <v>7.5200521782293865</v>
      </c>
      <c r="Q3165" s="38">
        <f ca="1">IF(O3165="","",IF(Tipo_Vertedor="Retangular",IF(O3165&lt;=cota_s*100,0,IF(Tipo_Vertedor="Retangular",Cd_sr*Lef_sr*((O3165/100-cota_s)^(3/2))*1000)),IF(O3165&lt;=cota_s*100+fi_s/20,0,(OFFSET('Base de dados'!$A$4,IF(O3165&lt;20,1,IF(O3165&gt;1000,10,MATCH(O3165,Cargas,1))),Coluna_fis,1,1))*(PI()*(fi_s/1000)^2/4)*(2*9.81*(O3165/100-cota_s-fi_s/2/1000))^0.5*1000)))</f>
        <v>6.9248003274474526</v>
      </c>
      <c r="R3165" s="38">
        <f t="shared" ca="1" si="335"/>
        <v>14.444852505676838</v>
      </c>
      <c r="S3165" s="38">
        <f t="shared" ca="1" si="336"/>
        <v>988.75</v>
      </c>
    </row>
    <row r="3166" spans="13:19">
      <c r="M3166" s="132">
        <f t="shared" ca="1" si="333"/>
        <v>1003.5098367255868</v>
      </c>
      <c r="N3166" s="38">
        <f t="shared" si="334"/>
        <v>29.671875</v>
      </c>
      <c r="O3166" s="36">
        <f t="shared" si="332"/>
        <v>791.25</v>
      </c>
      <c r="P3166" s="38">
        <f ca="1">IF(ISERROR(IF(O3166&lt;fi_h/20,0,(OFFSET('Base de dados'!$A$5,IF(O3166&lt;20,1,IF(O3166&gt;1000,10,MATCH(O3166,Cargas,1))),Coluna_fih,1,1))*(1+0.13*0.25)*(PI()*(fi_h/1000)^2/4)*SQRT(2*9.81*(O3166/100-fi_h/2/1000))*1000)),"",IF(O3166&lt;fi_h/20,0,(OFFSET('Base de dados'!$A$5,IF(O3166&lt;20,1,IF(O3166&gt;1000,10,MATCH(O3166,Cargas,1))),Coluna_fih,1,1))*(PI()*(fi_h/1000)^2/4)*SQRT(2*9.81*(O3166/100-fi_h/2/1000))*1000))</f>
        <v>7.5212431113990794</v>
      </c>
      <c r="Q3166" s="38">
        <f ca="1">IF(O3166="","",IF(Tipo_Vertedor="Retangular",IF(O3166&lt;=cota_s*100,0,IF(Tipo_Vertedor="Retangular",Cd_sr*Lef_sr*((O3166/100-cota_s)^(3/2))*1000)),IF(O3166&lt;=cota_s*100+fi_s/20,0,(OFFSET('Base de dados'!$A$4,IF(O3166&lt;20,1,IF(O3166&gt;1000,10,MATCH(O3166,Cargas,1))),Coluna_fis,1,1))*(PI()*(fi_s/1000)^2/4)*(2*9.81*(O3166/100-cota_s-fi_s/2/1000))^0.5*1000)))</f>
        <v>6.9260936141877201</v>
      </c>
      <c r="R3166" s="38">
        <f t="shared" ca="1" si="335"/>
        <v>14.447336725586799</v>
      </c>
      <c r="S3166" s="38">
        <f t="shared" ca="1" si="336"/>
        <v>989.0625</v>
      </c>
    </row>
    <row r="3167" spans="13:19">
      <c r="M3167" s="132">
        <f t="shared" ca="1" si="333"/>
        <v>1003.8248205155051</v>
      </c>
      <c r="N3167" s="38">
        <f t="shared" si="334"/>
        <v>29.681249999999999</v>
      </c>
      <c r="O3167" s="36">
        <f t="shared" si="332"/>
        <v>791.5</v>
      </c>
      <c r="P3167" s="38">
        <f ca="1">IF(ISERROR(IF(O3167&lt;fi_h/20,0,(OFFSET('Base de dados'!$A$5,IF(O3167&lt;20,1,IF(O3167&gt;1000,10,MATCH(O3167,Cargas,1))),Coluna_fih,1,1))*(1+0.13*0.25)*(PI()*(fi_h/1000)^2/4)*SQRT(2*9.81*(O3167/100-fi_h/2/1000))*1000)),"",IF(O3167&lt;fi_h/20,0,(OFFSET('Base de dados'!$A$5,IF(O3167&lt;20,1,IF(O3167&gt;1000,10,MATCH(O3167,Cargas,1))),Coluna_fih,1,1))*(PI()*(fi_h/1000)^2/4)*SQRT(2*9.81*(O3167/100-fi_h/2/1000))*1000))</f>
        <v>7.5224338560231745</v>
      </c>
      <c r="Q3167" s="38">
        <f ca="1">IF(O3167="","",IF(Tipo_Vertedor="Retangular",IF(O3167&lt;=cota_s*100,0,IF(Tipo_Vertedor="Retangular",Cd_sr*Lef_sr*((O3167/100-cota_s)^(3/2))*1000)),IF(O3167&lt;=cota_s*100+fi_s/20,0,(OFFSET('Base de dados'!$A$4,IF(O3167&lt;20,1,IF(O3167&gt;1000,10,MATCH(O3167,Cargas,1))),Coluna_fis,1,1))*(PI()*(fi_s/1000)^2/4)*(2*9.81*(O3167/100-cota_s-fi_s/2/1000))^0.5*1000)))</f>
        <v>6.9273866594818774</v>
      </c>
      <c r="R3167" s="38">
        <f t="shared" ca="1" si="335"/>
        <v>14.449820515505053</v>
      </c>
      <c r="S3167" s="38">
        <f t="shared" ca="1" si="336"/>
        <v>989.375</v>
      </c>
    </row>
    <row r="3168" spans="13:19">
      <c r="M3168" s="132">
        <f t="shared" ca="1" si="333"/>
        <v>1004.1398038756563</v>
      </c>
      <c r="N3168" s="38">
        <f t="shared" si="334"/>
        <v>29.690625000000001</v>
      </c>
      <c r="O3168" s="36">
        <f t="shared" si="332"/>
        <v>791.75</v>
      </c>
      <c r="P3168" s="38">
        <f ca="1">IF(ISERROR(IF(O3168&lt;fi_h/20,0,(OFFSET('Base de dados'!$A$5,IF(O3168&lt;20,1,IF(O3168&gt;1000,10,MATCH(O3168,Cargas,1))),Coluna_fih,1,1))*(1+0.13*0.25)*(PI()*(fi_h/1000)^2/4)*SQRT(2*9.81*(O3168/100-fi_h/2/1000))*1000)),"",IF(O3168&lt;fi_h/20,0,(OFFSET('Base de dados'!$A$5,IF(O3168&lt;20,1,IF(O3168&gt;1000,10,MATCH(O3168,Cargas,1))),Coluna_fih,1,1))*(PI()*(fi_h/1000)^2/4)*SQRT(2*9.81*(O3168/100-fi_h/2/1000))*1000))</f>
        <v>7.523624412191193</v>
      </c>
      <c r="Q3168" s="38">
        <f ca="1">IF(O3168="","",IF(Tipo_Vertedor="Retangular",IF(O3168&lt;=cota_s*100,0,IF(Tipo_Vertedor="Retangular",Cd_sr*Lef_sr*((O3168/100-cota_s)^(3/2))*1000)),IF(O3168&lt;=cota_s*100+fi_s/20,0,(OFFSET('Base de dados'!$A$4,IF(O3168&lt;20,1,IF(O3168&gt;1000,10,MATCH(O3168,Cargas,1))),Coluna_fis,1,1))*(PI()*(fi_s/1000)^2/4)*(2*9.81*(O3168/100-cota_s-fi_s/2/1000))^0.5*1000)))</f>
        <v>6.9286794634651034</v>
      </c>
      <c r="R3168" s="38">
        <f t="shared" ca="1" si="335"/>
        <v>14.452303875656296</v>
      </c>
      <c r="S3168" s="38">
        <f t="shared" ca="1" si="336"/>
        <v>989.6875</v>
      </c>
    </row>
    <row r="3169" spans="13:19">
      <c r="M3169" s="132">
        <f t="shared" ca="1" si="333"/>
        <v>1004.454786806265</v>
      </c>
      <c r="N3169" s="38">
        <f t="shared" si="334"/>
        <v>29.7</v>
      </c>
      <c r="O3169" s="36">
        <f t="shared" si="332"/>
        <v>792</v>
      </c>
      <c r="P3169" s="38">
        <f ca="1">IF(ISERROR(IF(O3169&lt;fi_h/20,0,(OFFSET('Base de dados'!$A$5,IF(O3169&lt;20,1,IF(O3169&gt;1000,10,MATCH(O3169,Cargas,1))),Coluna_fih,1,1))*(1+0.13*0.25)*(PI()*(fi_h/1000)^2/4)*SQRT(2*9.81*(O3169/100-fi_h/2/1000))*1000)),"",IF(O3169&lt;fi_h/20,0,(OFFSET('Base de dados'!$A$5,IF(O3169&lt;20,1,IF(O3169&gt;1000,10,MATCH(O3169,Cargas,1))),Coluna_fih,1,1))*(PI()*(fi_h/1000)^2/4)*SQRT(2*9.81*(O3169/100-fi_h/2/1000))*1000))</f>
        <v>7.5248147799925844</v>
      </c>
      <c r="Q3169" s="38">
        <f ca="1">IF(O3169="","",IF(Tipo_Vertedor="Retangular",IF(O3169&lt;=cota_s*100,0,IF(Tipo_Vertedor="Retangular",Cd_sr*Lef_sr*((O3169/100-cota_s)^(3/2))*1000)),IF(O3169&lt;=cota_s*100+fi_s/20,0,(OFFSET('Base de dados'!$A$4,IF(O3169&lt;20,1,IF(O3169&gt;1000,10,MATCH(O3169,Cargas,1))),Coluna_fis,1,1))*(PI()*(fi_s/1000)^2/4)*(2*9.81*(O3169/100-cota_s-fi_s/2/1000))^0.5*1000)))</f>
        <v>6.9299720262724467</v>
      </c>
      <c r="R3169" s="38">
        <f t="shared" ca="1" si="335"/>
        <v>14.45478680626503</v>
      </c>
      <c r="S3169" s="38">
        <f t="shared" ca="1" si="336"/>
        <v>990</v>
      </c>
    </row>
    <row r="3170" spans="13:19">
      <c r="M3170" s="132">
        <f t="shared" ca="1" si="333"/>
        <v>1004.7697693075555</v>
      </c>
      <c r="N3170" s="38">
        <f t="shared" si="334"/>
        <v>29.709375000000001</v>
      </c>
      <c r="O3170" s="36">
        <f t="shared" si="332"/>
        <v>792.25</v>
      </c>
      <c r="P3170" s="38">
        <f ca="1">IF(ISERROR(IF(O3170&lt;fi_h/20,0,(OFFSET('Base de dados'!$A$5,IF(O3170&lt;20,1,IF(O3170&gt;1000,10,MATCH(O3170,Cargas,1))),Coluna_fih,1,1))*(1+0.13*0.25)*(PI()*(fi_h/1000)^2/4)*SQRT(2*9.81*(O3170/100-fi_h/2/1000))*1000)),"",IF(O3170&lt;fi_h/20,0,(OFFSET('Base de dados'!$A$5,IF(O3170&lt;20,1,IF(O3170&gt;1000,10,MATCH(O3170,Cargas,1))),Coluna_fih,1,1))*(PI()*(fi_h/1000)^2/4)*SQRT(2*9.81*(O3170/100-fi_h/2/1000))*1000))</f>
        <v>7.5260049595167304</v>
      </c>
      <c r="Q3170" s="38">
        <f ca="1">IF(O3170="","",IF(Tipo_Vertedor="Retangular",IF(O3170&lt;=cota_s*100,0,IF(Tipo_Vertedor="Retangular",Cd_sr*Lef_sr*((O3170/100-cota_s)^(3/2))*1000)),IF(O3170&lt;=cota_s*100+fi_s/20,0,(OFFSET('Base de dados'!$A$4,IF(O3170&lt;20,1,IF(O3170&gt;1000,10,MATCH(O3170,Cargas,1))),Coluna_fis,1,1))*(PI()*(fi_s/1000)^2/4)*(2*9.81*(O3170/100-cota_s-fi_s/2/1000))^0.5*1000)))</f>
        <v>6.9312643480388338</v>
      </c>
      <c r="R3170" s="38">
        <f t="shared" ca="1" si="335"/>
        <v>14.457269307555563</v>
      </c>
      <c r="S3170" s="38">
        <f t="shared" ca="1" si="336"/>
        <v>990.3125</v>
      </c>
    </row>
    <row r="3171" spans="13:19">
      <c r="M3171" s="132">
        <f t="shared" ca="1" si="333"/>
        <v>1005.084751379752</v>
      </c>
      <c r="N3171" s="38">
        <f t="shared" si="334"/>
        <v>29.71875</v>
      </c>
      <c r="O3171" s="36">
        <f t="shared" si="332"/>
        <v>792.5</v>
      </c>
      <c r="P3171" s="38">
        <f ca="1">IF(ISERROR(IF(O3171&lt;fi_h/20,0,(OFFSET('Base de dados'!$A$5,IF(O3171&lt;20,1,IF(O3171&gt;1000,10,MATCH(O3171,Cargas,1))),Coluna_fih,1,1))*(1+0.13*0.25)*(PI()*(fi_h/1000)^2/4)*SQRT(2*9.81*(O3171/100-fi_h/2/1000))*1000)),"",IF(O3171&lt;fi_h/20,0,(OFFSET('Base de dados'!$A$5,IF(O3171&lt;20,1,IF(O3171&gt;1000,10,MATCH(O3171,Cargas,1))),Coluna_fih,1,1))*(PI()*(fi_h/1000)^2/4)*SQRT(2*9.81*(O3171/100-fi_h/2/1000))*1000))</f>
        <v>7.5271949508529401</v>
      </c>
      <c r="Q3171" s="38">
        <f ca="1">IF(O3171="","",IF(Tipo_Vertedor="Retangular",IF(O3171&lt;=cota_s*100,0,IF(Tipo_Vertedor="Retangular",Cd_sr*Lef_sr*((O3171/100-cota_s)^(3/2))*1000)),IF(O3171&lt;=cota_s*100+fi_s/20,0,(OFFSET('Base de dados'!$A$4,IF(O3171&lt;20,1,IF(O3171&gt;1000,10,MATCH(O3171,Cargas,1))),Coluna_fis,1,1))*(PI()*(fi_s/1000)^2/4)*(2*9.81*(O3171/100-cota_s-fi_s/2/1000))^0.5*1000)))</f>
        <v>6.9325564288990673</v>
      </c>
      <c r="R3171" s="38">
        <f t="shared" ca="1" si="335"/>
        <v>14.459751379752007</v>
      </c>
      <c r="S3171" s="38">
        <f t="shared" ca="1" si="336"/>
        <v>990.625</v>
      </c>
    </row>
    <row r="3172" spans="13:19">
      <c r="M3172" s="132">
        <f t="shared" ca="1" si="333"/>
        <v>1005.3997330230784</v>
      </c>
      <c r="N3172" s="38">
        <f t="shared" si="334"/>
        <v>29.728125000000002</v>
      </c>
      <c r="O3172" s="36">
        <f t="shared" si="332"/>
        <v>792.75</v>
      </c>
      <c r="P3172" s="38">
        <f ca="1">IF(ISERROR(IF(O3172&lt;fi_h/20,0,(OFFSET('Base de dados'!$A$5,IF(O3172&lt;20,1,IF(O3172&gt;1000,10,MATCH(O3172,Cargas,1))),Coluna_fih,1,1))*(1+0.13*0.25)*(PI()*(fi_h/1000)^2/4)*SQRT(2*9.81*(O3172/100-fi_h/2/1000))*1000)),"",IF(O3172&lt;fi_h/20,0,(OFFSET('Base de dados'!$A$5,IF(O3172&lt;20,1,IF(O3172&gt;1000,10,MATCH(O3172,Cargas,1))),Coluna_fih,1,1))*(PI()*(fi_h/1000)^2/4)*SQRT(2*9.81*(O3172/100-fi_h/2/1000))*1000))</f>
        <v>7.5283847540904523</v>
      </c>
      <c r="Q3172" s="38">
        <f ca="1">IF(O3172="","",IF(Tipo_Vertedor="Retangular",IF(O3172&lt;=cota_s*100,0,IF(Tipo_Vertedor="Retangular",Cd_sr*Lef_sr*((O3172/100-cota_s)^(3/2))*1000)),IF(O3172&lt;=cota_s*100+fi_s/20,0,(OFFSET('Base de dados'!$A$4,IF(O3172&lt;20,1,IF(O3172&gt;1000,10,MATCH(O3172,Cargas,1))),Coluna_fis,1,1))*(PI()*(fi_s/1000)^2/4)*(2*9.81*(O3172/100-cota_s-fi_s/2/1000))^0.5*1000)))</f>
        <v>6.9338482689878189</v>
      </c>
      <c r="R3172" s="38">
        <f t="shared" ca="1" si="335"/>
        <v>14.462233023078271</v>
      </c>
      <c r="S3172" s="38">
        <f t="shared" ca="1" si="336"/>
        <v>990.93750000000011</v>
      </c>
    </row>
    <row r="3173" spans="13:19">
      <c r="M3173" s="132">
        <f t="shared" ca="1" si="333"/>
        <v>1005.714714237758</v>
      </c>
      <c r="N3173" s="38">
        <f t="shared" si="334"/>
        <v>29.737499999999997</v>
      </c>
      <c r="O3173" s="36">
        <f t="shared" si="332"/>
        <v>793</v>
      </c>
      <c r="P3173" s="38">
        <f ca="1">IF(ISERROR(IF(O3173&lt;fi_h/20,0,(OFFSET('Base de dados'!$A$5,IF(O3173&lt;20,1,IF(O3173&gt;1000,10,MATCH(O3173,Cargas,1))),Coluna_fih,1,1))*(1+0.13*0.25)*(PI()*(fi_h/1000)^2/4)*SQRT(2*9.81*(O3173/100-fi_h/2/1000))*1000)),"",IF(O3173&lt;fi_h/20,0,(OFFSET('Base de dados'!$A$5,IF(O3173&lt;20,1,IF(O3173&gt;1000,10,MATCH(O3173,Cargas,1))),Coluna_fih,1,1))*(PI()*(fi_h/1000)^2/4)*SQRT(2*9.81*(O3173/100-fi_h/2/1000))*1000))</f>
        <v>7.5295743693184374</v>
      </c>
      <c r="Q3173" s="38">
        <f ca="1">IF(O3173="","",IF(Tipo_Vertedor="Retangular",IF(O3173&lt;=cota_s*100,0,IF(Tipo_Vertedor="Retangular",Cd_sr*Lef_sr*((O3173/100-cota_s)^(3/2))*1000)),IF(O3173&lt;=cota_s*100+fi_s/20,0,(OFFSET('Base de dados'!$A$4,IF(O3173&lt;20,1,IF(O3173&gt;1000,10,MATCH(O3173,Cargas,1))),Coluna_fis,1,1))*(PI()*(fi_s/1000)^2/4)*(2*9.81*(O3173/100-cota_s-fi_s/2/1000))^0.5*1000)))</f>
        <v>6.935139868439637</v>
      </c>
      <c r="R3173" s="38">
        <f t="shared" ca="1" si="335"/>
        <v>14.464714237758074</v>
      </c>
      <c r="S3173" s="38">
        <f t="shared" ca="1" si="336"/>
        <v>991.24999999999989</v>
      </c>
    </row>
    <row r="3174" spans="13:19">
      <c r="M3174" s="132">
        <f t="shared" ca="1" si="333"/>
        <v>1006.0296950240149</v>
      </c>
      <c r="N3174" s="38">
        <f t="shared" si="334"/>
        <v>29.746874999999999</v>
      </c>
      <c r="O3174" s="36">
        <f t="shared" si="332"/>
        <v>793.25</v>
      </c>
      <c r="P3174" s="38">
        <f ca="1">IF(ISERROR(IF(O3174&lt;fi_h/20,0,(OFFSET('Base de dados'!$A$5,IF(O3174&lt;20,1,IF(O3174&gt;1000,10,MATCH(O3174,Cargas,1))),Coluna_fih,1,1))*(1+0.13*0.25)*(PI()*(fi_h/1000)^2/4)*SQRT(2*9.81*(O3174/100-fi_h/2/1000))*1000)),"",IF(O3174&lt;fi_h/20,0,(OFFSET('Base de dados'!$A$5,IF(O3174&lt;20,1,IF(O3174&gt;1000,10,MATCH(O3174,Cargas,1))),Coluna_fih,1,1))*(PI()*(fi_h/1000)^2/4)*SQRT(2*9.81*(O3174/100-fi_h/2/1000))*1000))</f>
        <v>7.5307637966259913</v>
      </c>
      <c r="Q3174" s="38">
        <f ca="1">IF(O3174="","",IF(Tipo_Vertedor="Retangular",IF(O3174&lt;=cota_s*100,0,IF(Tipo_Vertedor="Retangular",Cd_sr*Lef_sr*((O3174/100-cota_s)^(3/2))*1000)),IF(O3174&lt;=cota_s*100+fi_s/20,0,(OFFSET('Base de dados'!$A$4,IF(O3174&lt;20,1,IF(O3174&gt;1000,10,MATCH(O3174,Cargas,1))),Coluna_fis,1,1))*(PI()*(fi_s/1000)^2/4)*(2*9.81*(O3174/100-cota_s-fi_s/2/1000))^0.5*1000)))</f>
        <v>6.9364312273889457</v>
      </c>
      <c r="R3174" s="38">
        <f t="shared" ca="1" si="335"/>
        <v>14.467195024014938</v>
      </c>
      <c r="S3174" s="38">
        <f t="shared" ca="1" si="336"/>
        <v>991.5625</v>
      </c>
    </row>
    <row r="3175" spans="13:19">
      <c r="M3175" s="132">
        <f t="shared" ca="1" si="333"/>
        <v>1006.3446753820721</v>
      </c>
      <c r="N3175" s="38">
        <f t="shared" si="334"/>
        <v>29.756249999999998</v>
      </c>
      <c r="O3175" s="36">
        <f t="shared" si="332"/>
        <v>793.5</v>
      </c>
      <c r="P3175" s="38">
        <f ca="1">IF(ISERROR(IF(O3175&lt;fi_h/20,0,(OFFSET('Base de dados'!$A$5,IF(O3175&lt;20,1,IF(O3175&gt;1000,10,MATCH(O3175,Cargas,1))),Coluna_fih,1,1))*(1+0.13*0.25)*(PI()*(fi_h/1000)^2/4)*SQRT(2*9.81*(O3175/100-fi_h/2/1000))*1000)),"",IF(O3175&lt;fi_h/20,0,(OFFSET('Base de dados'!$A$5,IF(O3175&lt;20,1,IF(O3175&gt;1000,10,MATCH(O3175,Cargas,1))),Coluna_fih,1,1))*(PI()*(fi_h/1000)^2/4)*SQRT(2*9.81*(O3175/100-fi_h/2/1000))*1000))</f>
        <v>7.5319530361021432</v>
      </c>
      <c r="Q3175" s="38">
        <f ca="1">IF(O3175="","",IF(Tipo_Vertedor="Retangular",IF(O3175&lt;=cota_s*100,0,IF(Tipo_Vertedor="Retangular",Cd_sr*Lef_sr*((O3175/100-cota_s)^(3/2))*1000)),IF(O3175&lt;=cota_s*100+fi_s/20,0,(OFFSET('Base de dados'!$A$4,IF(O3175&lt;20,1,IF(O3175&gt;1000,10,MATCH(O3175,Cargas,1))),Coluna_fis,1,1))*(PI()*(fi_s/1000)^2/4)*(2*9.81*(O3175/100-cota_s-fi_s/2/1000))^0.5*1000)))</f>
        <v>6.9377223459700446</v>
      </c>
      <c r="R3175" s="38">
        <f t="shared" ca="1" si="335"/>
        <v>14.469675382072188</v>
      </c>
      <c r="S3175" s="38">
        <f t="shared" ca="1" si="336"/>
        <v>991.87499999999989</v>
      </c>
    </row>
    <row r="3176" spans="13:19">
      <c r="M3176" s="132">
        <f t="shared" ca="1" si="333"/>
        <v>1006.6596553121529</v>
      </c>
      <c r="N3176" s="38">
        <f t="shared" si="334"/>
        <v>29.765625</v>
      </c>
      <c r="O3176" s="36">
        <f t="shared" si="332"/>
        <v>793.75</v>
      </c>
      <c r="P3176" s="38">
        <f ca="1">IF(ISERROR(IF(O3176&lt;fi_h/20,0,(OFFSET('Base de dados'!$A$5,IF(O3176&lt;20,1,IF(O3176&gt;1000,10,MATCH(O3176,Cargas,1))),Coluna_fih,1,1))*(1+0.13*0.25)*(PI()*(fi_h/1000)^2/4)*SQRT(2*9.81*(O3176/100-fi_h/2/1000))*1000)),"",IF(O3176&lt;fi_h/20,0,(OFFSET('Base de dados'!$A$5,IF(O3176&lt;20,1,IF(O3176&gt;1000,10,MATCH(O3176,Cargas,1))),Coluna_fih,1,1))*(PI()*(fi_h/1000)^2/4)*SQRT(2*9.81*(O3176/100-fi_h/2/1000))*1000))</f>
        <v>7.5331420878358504</v>
      </c>
      <c r="Q3176" s="38">
        <f ca="1">IF(O3176="","",IF(Tipo_Vertedor="Retangular",IF(O3176&lt;=cota_s*100,0,IF(Tipo_Vertedor="Retangular",Cd_sr*Lef_sr*((O3176/100-cota_s)^(3/2))*1000)),IF(O3176&lt;=cota_s*100+fi_s/20,0,(OFFSET('Base de dados'!$A$4,IF(O3176&lt;20,1,IF(O3176&gt;1000,10,MATCH(O3176,Cargas,1))),Coluna_fis,1,1))*(PI()*(fi_s/1000)^2/4)*(2*9.81*(O3176/100-cota_s-fi_s/2/1000))^0.5*1000)))</f>
        <v>6.9390132243171054</v>
      </c>
      <c r="R3176" s="38">
        <f t="shared" ca="1" si="335"/>
        <v>14.472155312152957</v>
      </c>
      <c r="S3176" s="38">
        <f t="shared" ca="1" si="336"/>
        <v>992.1875</v>
      </c>
    </row>
    <row r="3177" spans="13:19">
      <c r="M3177" s="132">
        <f t="shared" ca="1" si="333"/>
        <v>1006.9746348144803</v>
      </c>
      <c r="N3177" s="38">
        <f t="shared" si="334"/>
        <v>29.775000000000002</v>
      </c>
      <c r="O3177" s="36">
        <f t="shared" si="332"/>
        <v>794</v>
      </c>
      <c r="P3177" s="38">
        <f ca="1">IF(ISERROR(IF(O3177&lt;fi_h/20,0,(OFFSET('Base de dados'!$A$5,IF(O3177&lt;20,1,IF(O3177&gt;1000,10,MATCH(O3177,Cargas,1))),Coluna_fih,1,1))*(1+0.13*0.25)*(PI()*(fi_h/1000)^2/4)*SQRT(2*9.81*(O3177/100-fi_h/2/1000))*1000)),"",IF(O3177&lt;fi_h/20,0,(OFFSET('Base de dados'!$A$5,IF(O3177&lt;20,1,IF(O3177&gt;1000,10,MATCH(O3177,Cargas,1))),Coluna_fih,1,1))*(PI()*(fi_h/1000)^2/4)*SQRT(2*9.81*(O3177/100-fi_h/2/1000))*1000))</f>
        <v>7.534330951916</v>
      </c>
      <c r="Q3177" s="38">
        <f ca="1">IF(O3177="","",IF(Tipo_Vertedor="Retangular",IF(O3177&lt;=cota_s*100,0,IF(Tipo_Vertedor="Retangular",Cd_sr*Lef_sr*((O3177/100-cota_s)^(3/2))*1000)),IF(O3177&lt;=cota_s*100+fi_s/20,0,(OFFSET('Base de dados'!$A$4,IF(O3177&lt;20,1,IF(O3177&gt;1000,10,MATCH(O3177,Cargas,1))),Coluna_fis,1,1))*(PI()*(fi_s/1000)^2/4)*(2*9.81*(O3177/100-cota_s-fi_s/2/1000))^0.5*1000)))</f>
        <v>6.9403038625641784</v>
      </c>
      <c r="R3177" s="38">
        <f t="shared" ca="1" si="335"/>
        <v>14.474634814480179</v>
      </c>
      <c r="S3177" s="38">
        <f t="shared" ca="1" si="336"/>
        <v>992.50000000000011</v>
      </c>
    </row>
    <row r="3178" spans="13:19">
      <c r="M3178" s="132">
        <f t="shared" ca="1" si="333"/>
        <v>1007.2896138892766</v>
      </c>
      <c r="N3178" s="38">
        <f t="shared" si="334"/>
        <v>29.784375000000001</v>
      </c>
      <c r="O3178" s="36">
        <f t="shared" si="332"/>
        <v>794.25</v>
      </c>
      <c r="P3178" s="38">
        <f ca="1">IF(ISERROR(IF(O3178&lt;fi_h/20,0,(OFFSET('Base de dados'!$A$5,IF(O3178&lt;20,1,IF(O3178&gt;1000,10,MATCH(O3178,Cargas,1))),Coluna_fih,1,1))*(1+0.13*0.25)*(PI()*(fi_h/1000)^2/4)*SQRT(2*9.81*(O3178/100-fi_h/2/1000))*1000)),"",IF(O3178&lt;fi_h/20,0,(OFFSET('Base de dados'!$A$5,IF(O3178&lt;20,1,IF(O3178&gt;1000,10,MATCH(O3178,Cargas,1))),Coluna_fih,1,1))*(PI()*(fi_h/1000)^2/4)*SQRT(2*9.81*(O3178/100-fi_h/2/1000))*1000))</f>
        <v>7.5355196284314072</v>
      </c>
      <c r="Q3178" s="38">
        <f ca="1">IF(O3178="","",IF(Tipo_Vertedor="Retangular",IF(O3178&lt;=cota_s*100,0,IF(Tipo_Vertedor="Retangular",Cd_sr*Lef_sr*((O3178/100-cota_s)^(3/2))*1000)),IF(O3178&lt;=cota_s*100+fi_s/20,0,(OFFSET('Base de dados'!$A$4,IF(O3178&lt;20,1,IF(O3178&gt;1000,10,MATCH(O3178,Cargas,1))),Coluna_fis,1,1))*(PI()*(fi_s/1000)^2/4)*(2*9.81*(O3178/100-cota_s-fi_s/2/1000))^0.5*1000)))</f>
        <v>6.9415942608451857</v>
      </c>
      <c r="R3178" s="38">
        <f t="shared" ca="1" si="335"/>
        <v>14.477113889276593</v>
      </c>
      <c r="S3178" s="38">
        <f t="shared" ca="1" si="336"/>
        <v>992.8125</v>
      </c>
    </row>
    <row r="3179" spans="13:19">
      <c r="M3179" s="132">
        <f t="shared" ca="1" si="333"/>
        <v>1007.6045925367648</v>
      </c>
      <c r="N3179" s="38">
        <f t="shared" si="334"/>
        <v>29.793750000000003</v>
      </c>
      <c r="O3179" s="36">
        <f t="shared" si="332"/>
        <v>794.5</v>
      </c>
      <c r="P3179" s="38">
        <f ca="1">IF(ISERROR(IF(O3179&lt;fi_h/20,0,(OFFSET('Base de dados'!$A$5,IF(O3179&lt;20,1,IF(O3179&gt;1000,10,MATCH(O3179,Cargas,1))),Coluna_fih,1,1))*(1+0.13*0.25)*(PI()*(fi_h/1000)^2/4)*SQRT(2*9.81*(O3179/100-fi_h/2/1000))*1000)),"",IF(O3179&lt;fi_h/20,0,(OFFSET('Base de dados'!$A$5,IF(O3179&lt;20,1,IF(O3179&gt;1000,10,MATCH(O3179,Cargas,1))),Coluna_fih,1,1))*(PI()*(fi_h/1000)^2/4)*SQRT(2*9.81*(O3179/100-fi_h/2/1000))*1000))</f>
        <v>7.5367081174708224</v>
      </c>
      <c r="Q3179" s="38">
        <f ca="1">IF(O3179="","",IF(Tipo_Vertedor="Retangular",IF(O3179&lt;=cota_s*100,0,IF(Tipo_Vertedor="Retangular",Cd_sr*Lef_sr*((O3179/100-cota_s)^(3/2))*1000)),IF(O3179&lt;=cota_s*100+fi_s/20,0,(OFFSET('Base de dados'!$A$4,IF(O3179&lt;20,1,IF(O3179&gt;1000,10,MATCH(O3179,Cargas,1))),Coluna_fis,1,1))*(PI()*(fi_s/1000)^2/4)*(2*9.81*(O3179/100-cota_s-fi_s/2/1000))^0.5*1000)))</f>
        <v>6.9428844192939296</v>
      </c>
      <c r="R3179" s="38">
        <f t="shared" ca="1" si="335"/>
        <v>14.479592536764752</v>
      </c>
      <c r="S3179" s="38">
        <f t="shared" ca="1" si="336"/>
        <v>993.12500000000011</v>
      </c>
    </row>
    <row r="3180" spans="13:19">
      <c r="M3180" s="132">
        <f t="shared" ca="1" si="333"/>
        <v>1007.9195707571669</v>
      </c>
      <c r="N3180" s="38">
        <f t="shared" si="334"/>
        <v>29.803124999999998</v>
      </c>
      <c r="O3180" s="36">
        <f t="shared" si="332"/>
        <v>794.75</v>
      </c>
      <c r="P3180" s="38">
        <f ca="1">IF(ISERROR(IF(O3180&lt;fi_h/20,0,(OFFSET('Base de dados'!$A$5,IF(O3180&lt;20,1,IF(O3180&gt;1000,10,MATCH(O3180,Cargas,1))),Coluna_fih,1,1))*(1+0.13*0.25)*(PI()*(fi_h/1000)^2/4)*SQRT(2*9.81*(O3180/100-fi_h/2/1000))*1000)),"",IF(O3180&lt;fi_h/20,0,(OFFSET('Base de dados'!$A$5,IF(O3180&lt;20,1,IF(O3180&gt;1000,10,MATCH(O3180,Cargas,1))),Coluna_fih,1,1))*(PI()*(fi_h/1000)^2/4)*SQRT(2*9.81*(O3180/100-fi_h/2/1000))*1000))</f>
        <v>7.537896419122923</v>
      </c>
      <c r="Q3180" s="38">
        <f ca="1">IF(O3180="","",IF(Tipo_Vertedor="Retangular",IF(O3180&lt;=cota_s*100,0,IF(Tipo_Vertedor="Retangular",Cd_sr*Lef_sr*((O3180/100-cota_s)^(3/2))*1000)),IF(O3180&lt;=cota_s*100+fi_s/20,0,(OFFSET('Base de dados'!$A$4,IF(O3180&lt;20,1,IF(O3180&gt;1000,10,MATCH(O3180,Cargas,1))),Coluna_fis,1,1))*(PI()*(fi_s/1000)^2/4)*(2*9.81*(O3180/100-cota_s-fi_s/2/1000))^0.5*1000)))</f>
        <v>6.9441743380440819</v>
      </c>
      <c r="R3180" s="38">
        <f t="shared" ca="1" si="335"/>
        <v>14.482070757167005</v>
      </c>
      <c r="S3180" s="38">
        <f t="shared" ca="1" si="336"/>
        <v>993.43749999999989</v>
      </c>
    </row>
    <row r="3181" spans="13:19">
      <c r="M3181" s="132">
        <f t="shared" ca="1" si="333"/>
        <v>1008.2345485507055</v>
      </c>
      <c r="N3181" s="38">
        <f t="shared" si="334"/>
        <v>29.8125</v>
      </c>
      <c r="O3181" s="36">
        <f t="shared" si="332"/>
        <v>795</v>
      </c>
      <c r="P3181" s="38">
        <f ca="1">IF(ISERROR(IF(O3181&lt;fi_h/20,0,(OFFSET('Base de dados'!$A$5,IF(O3181&lt;20,1,IF(O3181&gt;1000,10,MATCH(O3181,Cargas,1))),Coluna_fih,1,1))*(1+0.13*0.25)*(PI()*(fi_h/1000)^2/4)*SQRT(2*9.81*(O3181/100-fi_h/2/1000))*1000)),"",IF(O3181&lt;fi_h/20,0,(OFFSET('Base de dados'!$A$5,IF(O3181&lt;20,1,IF(O3181&gt;1000,10,MATCH(O3181,Cargas,1))),Coluna_fih,1,1))*(PI()*(fi_h/1000)^2/4)*SQRT(2*9.81*(O3181/100-fi_h/2/1000))*1000))</f>
        <v>7.539084533476311</v>
      </c>
      <c r="Q3181" s="38">
        <f ca="1">IF(O3181="","",IF(Tipo_Vertedor="Retangular",IF(O3181&lt;=cota_s*100,0,IF(Tipo_Vertedor="Retangular",Cd_sr*Lef_sr*((O3181/100-cota_s)^(3/2))*1000)),IF(O3181&lt;=cota_s*100+fi_s/20,0,(OFFSET('Base de dados'!$A$4,IF(O3181&lt;20,1,IF(O3181&gt;1000,10,MATCH(O3181,Cargas,1))),Coluna_fis,1,1))*(PI()*(fi_s/1000)^2/4)*(2*9.81*(O3181/100-cota_s-fi_s/2/1000))^0.5*1000)))</f>
        <v>6.9454640172291979</v>
      </c>
      <c r="R3181" s="38">
        <f t="shared" ca="1" si="335"/>
        <v>14.484548550705508</v>
      </c>
      <c r="S3181" s="38">
        <f t="shared" ca="1" si="336"/>
        <v>993.75</v>
      </c>
    </row>
    <row r="3182" spans="13:19">
      <c r="M3182" s="132">
        <f t="shared" ca="1" si="333"/>
        <v>1008.5495259176022</v>
      </c>
      <c r="N3182" s="38">
        <f t="shared" si="334"/>
        <v>29.821874999999999</v>
      </c>
      <c r="O3182" s="36">
        <f t="shared" si="332"/>
        <v>795.25</v>
      </c>
      <c r="P3182" s="38">
        <f ca="1">IF(ISERROR(IF(O3182&lt;fi_h/20,0,(OFFSET('Base de dados'!$A$5,IF(O3182&lt;20,1,IF(O3182&gt;1000,10,MATCH(O3182,Cargas,1))),Coluna_fih,1,1))*(1+0.13*0.25)*(PI()*(fi_h/1000)^2/4)*SQRT(2*9.81*(O3182/100-fi_h/2/1000))*1000)),"",IF(O3182&lt;fi_h/20,0,(OFFSET('Base de dados'!$A$5,IF(O3182&lt;20,1,IF(O3182&gt;1000,10,MATCH(O3182,Cargas,1))),Coluna_fih,1,1))*(PI()*(fi_h/1000)^2/4)*SQRT(2*9.81*(O3182/100-fi_h/2/1000))*1000))</f>
        <v>7.5402724606195308</v>
      </c>
      <c r="Q3182" s="38">
        <f ca="1">IF(O3182="","",IF(Tipo_Vertedor="Retangular",IF(O3182&lt;=cota_s*100,0,IF(Tipo_Vertedor="Retangular",Cd_sr*Lef_sr*((O3182/100-cota_s)^(3/2))*1000)),IF(O3182&lt;=cota_s*100+fi_s/20,0,(OFFSET('Base de dados'!$A$4,IF(O3182&lt;20,1,IF(O3182&gt;1000,10,MATCH(O3182,Cargas,1))),Coluna_fis,1,1))*(PI()*(fi_s/1000)^2/4)*(2*9.81*(O3182/100-cota_s-fi_s/2/1000))^0.5*1000)))</f>
        <v>6.9467534569827016</v>
      </c>
      <c r="R3182" s="38">
        <f t="shared" ca="1" si="335"/>
        <v>14.487025917602232</v>
      </c>
      <c r="S3182" s="38">
        <f t="shared" ca="1" si="336"/>
        <v>994.0625</v>
      </c>
    </row>
    <row r="3183" spans="13:19">
      <c r="M3183" s="132">
        <f t="shared" ca="1" si="333"/>
        <v>1008.8645028580789</v>
      </c>
      <c r="N3183" s="38">
        <f t="shared" si="334"/>
        <v>29.831250000000001</v>
      </c>
      <c r="O3183" s="36">
        <f t="shared" si="332"/>
        <v>795.5</v>
      </c>
      <c r="P3183" s="38">
        <f ca="1">IF(ISERROR(IF(O3183&lt;fi_h/20,0,(OFFSET('Base de dados'!$A$5,IF(O3183&lt;20,1,IF(O3183&gt;1000,10,MATCH(O3183,Cargas,1))),Coluna_fih,1,1))*(1+0.13*0.25)*(PI()*(fi_h/1000)^2/4)*SQRT(2*9.81*(O3183/100-fi_h/2/1000))*1000)),"",IF(O3183&lt;fi_h/20,0,(OFFSET('Base de dados'!$A$5,IF(O3183&lt;20,1,IF(O3183&gt;1000,10,MATCH(O3183,Cargas,1))),Coluna_fih,1,1))*(PI()*(fi_h/1000)^2/4)*SQRT(2*9.81*(O3183/100-fi_h/2/1000))*1000))</f>
        <v>7.5414602006410458</v>
      </c>
      <c r="Q3183" s="38">
        <f ca="1">IF(O3183="","",IF(Tipo_Vertedor="Retangular",IF(O3183&lt;=cota_s*100,0,IF(Tipo_Vertedor="Retangular",Cd_sr*Lef_sr*((O3183/100-cota_s)^(3/2))*1000)),IF(O3183&lt;=cota_s*100+fi_s/20,0,(OFFSET('Base de dados'!$A$4,IF(O3183&lt;20,1,IF(O3183&gt;1000,10,MATCH(O3183,Cargas,1))),Coluna_fis,1,1))*(PI()*(fi_s/1000)^2/4)*(2*9.81*(O3183/100-cota_s-fi_s/2/1000))^0.5*1000)))</f>
        <v>6.948042657437898</v>
      </c>
      <c r="R3183" s="38">
        <f t="shared" ca="1" si="335"/>
        <v>14.489502858078943</v>
      </c>
      <c r="S3183" s="38">
        <f t="shared" ca="1" si="336"/>
        <v>994.375</v>
      </c>
    </row>
    <row r="3184" spans="13:19">
      <c r="M3184" s="132">
        <f t="shared" ca="1" si="333"/>
        <v>1009.1794793723573</v>
      </c>
      <c r="N3184" s="38">
        <f t="shared" si="334"/>
        <v>29.840624999999999</v>
      </c>
      <c r="O3184" s="36">
        <f t="shared" si="332"/>
        <v>795.75</v>
      </c>
      <c r="P3184" s="38">
        <f ca="1">IF(ISERROR(IF(O3184&lt;fi_h/20,0,(OFFSET('Base de dados'!$A$5,IF(O3184&lt;20,1,IF(O3184&gt;1000,10,MATCH(O3184,Cargas,1))),Coluna_fih,1,1))*(1+0.13*0.25)*(PI()*(fi_h/1000)^2/4)*SQRT(2*9.81*(O3184/100-fi_h/2/1000))*1000)),"",IF(O3184&lt;fi_h/20,0,(OFFSET('Base de dados'!$A$5,IF(O3184&lt;20,1,IF(O3184&gt;1000,10,MATCH(O3184,Cargas,1))),Coluna_fih,1,1))*(PI()*(fi_h/1000)^2/4)*SQRT(2*9.81*(O3184/100-fi_h/2/1000))*1000))</f>
        <v>7.5426477536292555</v>
      </c>
      <c r="Q3184" s="38">
        <f ca="1">IF(O3184="","",IF(Tipo_Vertedor="Retangular",IF(O3184&lt;=cota_s*100,0,IF(Tipo_Vertedor="Retangular",Cd_sr*Lef_sr*((O3184/100-cota_s)^(3/2))*1000)),IF(O3184&lt;=cota_s*100+fi_s/20,0,(OFFSET('Base de dados'!$A$4,IF(O3184&lt;20,1,IF(O3184&gt;1000,10,MATCH(O3184,Cargas,1))),Coluna_fis,1,1))*(PI()*(fi_s/1000)^2/4)*(2*9.81*(O3184/100-cota_s-fi_s/2/1000))^0.5*1000)))</f>
        <v>6.9493316187279675</v>
      </c>
      <c r="R3184" s="38">
        <f t="shared" ca="1" si="335"/>
        <v>14.491979372357223</v>
      </c>
      <c r="S3184" s="38">
        <f t="shared" ca="1" si="336"/>
        <v>994.6875</v>
      </c>
    </row>
    <row r="3185" spans="13:19">
      <c r="M3185" s="132">
        <f t="shared" ca="1" si="333"/>
        <v>1009.4944554606584</v>
      </c>
      <c r="N3185" s="38">
        <f t="shared" si="334"/>
        <v>29.85</v>
      </c>
      <c r="O3185" s="36">
        <f t="shared" si="332"/>
        <v>796</v>
      </c>
      <c r="P3185" s="38">
        <f ca="1">IF(ISERROR(IF(O3185&lt;fi_h/20,0,(OFFSET('Base de dados'!$A$5,IF(O3185&lt;20,1,IF(O3185&gt;1000,10,MATCH(O3185,Cargas,1))),Coluna_fih,1,1))*(1+0.13*0.25)*(PI()*(fi_h/1000)^2/4)*SQRT(2*9.81*(O3185/100-fi_h/2/1000))*1000)),"",IF(O3185&lt;fi_h/20,0,(OFFSET('Base de dados'!$A$5,IF(O3185&lt;20,1,IF(O3185&gt;1000,10,MATCH(O3185,Cargas,1))),Coluna_fih,1,1))*(PI()*(fi_h/1000)^2/4)*SQRT(2*9.81*(O3185/100-fi_h/2/1000))*1000))</f>
        <v>7.5438351196724893</v>
      </c>
      <c r="Q3185" s="38">
        <f ca="1">IF(O3185="","",IF(Tipo_Vertedor="Retangular",IF(O3185&lt;=cota_s*100,0,IF(Tipo_Vertedor="Retangular",Cd_sr*Lef_sr*((O3185/100-cota_s)^(3/2))*1000)),IF(O3185&lt;=cota_s*100+fi_s/20,0,(OFFSET('Base de dados'!$A$4,IF(O3185&lt;20,1,IF(O3185&gt;1000,10,MATCH(O3185,Cargas,1))),Coluna_fis,1,1))*(PI()*(fi_s/1000)^2/4)*(2*9.81*(O3185/100-cota_s-fi_s/2/1000))^0.5*1000)))</f>
        <v>6.9506203409859646</v>
      </c>
      <c r="R3185" s="38">
        <f t="shared" ca="1" si="335"/>
        <v>14.494455460658454</v>
      </c>
      <c r="S3185" s="38">
        <f t="shared" ca="1" si="336"/>
        <v>995</v>
      </c>
    </row>
    <row r="3186" spans="13:19">
      <c r="M3186" s="132">
        <f t="shared" ca="1" si="333"/>
        <v>1009.8094311232038</v>
      </c>
      <c r="N3186" s="38">
        <f t="shared" si="334"/>
        <v>29.859375</v>
      </c>
      <c r="O3186" s="36">
        <f t="shared" si="332"/>
        <v>796.25</v>
      </c>
      <c r="P3186" s="38">
        <f ca="1">IF(ISERROR(IF(O3186&lt;fi_h/20,0,(OFFSET('Base de dados'!$A$5,IF(O3186&lt;20,1,IF(O3186&gt;1000,10,MATCH(O3186,Cargas,1))),Coluna_fih,1,1))*(1+0.13*0.25)*(PI()*(fi_h/1000)^2/4)*SQRT(2*9.81*(O3186/100-fi_h/2/1000))*1000)),"",IF(O3186&lt;fi_h/20,0,(OFFSET('Base de dados'!$A$5,IF(O3186&lt;20,1,IF(O3186&gt;1000,10,MATCH(O3186,Cargas,1))),Coluna_fih,1,1))*(PI()*(fi_h/1000)^2/4)*SQRT(2*9.81*(O3186/100-fi_h/2/1000))*1000))</f>
        <v>7.5450222988590046</v>
      </c>
      <c r="Q3186" s="38">
        <f ca="1">IF(O3186="","",IF(Tipo_Vertedor="Retangular",IF(O3186&lt;=cota_s*100,0,IF(Tipo_Vertedor="Retangular",Cd_sr*Lef_sr*((O3186/100-cota_s)^(3/2))*1000)),IF(O3186&lt;=cota_s*100+fi_s/20,0,(OFFSET('Base de dados'!$A$4,IF(O3186&lt;20,1,IF(O3186&gt;1000,10,MATCH(O3186,Cargas,1))),Coluna_fis,1,1))*(PI()*(fi_s/1000)^2/4)*(2*9.81*(O3186/100-cota_s-fi_s/2/1000))^0.5*1000)))</f>
        <v>6.9519088243448239</v>
      </c>
      <c r="R3186" s="38">
        <f t="shared" ca="1" si="335"/>
        <v>14.496931123203829</v>
      </c>
      <c r="S3186" s="38">
        <f t="shared" ca="1" si="336"/>
        <v>995.3125</v>
      </c>
    </row>
    <row r="3187" spans="13:19">
      <c r="M3187" s="132">
        <f t="shared" ca="1" si="333"/>
        <v>1010.1244063602144</v>
      </c>
      <c r="N3187" s="38">
        <f t="shared" si="334"/>
        <v>29.868749999999999</v>
      </c>
      <c r="O3187" s="36">
        <f t="shared" si="332"/>
        <v>796.5</v>
      </c>
      <c r="P3187" s="38">
        <f ca="1">IF(ISERROR(IF(O3187&lt;fi_h/20,0,(OFFSET('Base de dados'!$A$5,IF(O3187&lt;20,1,IF(O3187&gt;1000,10,MATCH(O3187,Cargas,1))),Coluna_fih,1,1))*(1+0.13*0.25)*(PI()*(fi_h/1000)^2/4)*SQRT(2*9.81*(O3187/100-fi_h/2/1000))*1000)),"",IF(O3187&lt;fi_h/20,0,(OFFSET('Base de dados'!$A$5,IF(O3187&lt;20,1,IF(O3187&gt;1000,10,MATCH(O3187,Cargas,1))),Coluna_fih,1,1))*(PI()*(fi_h/1000)^2/4)*SQRT(2*9.81*(O3187/100-fi_h/2/1000))*1000))</f>
        <v>7.546209291276992</v>
      </c>
      <c r="Q3187" s="38">
        <f ca="1">IF(O3187="","",IF(Tipo_Vertedor="Retangular",IF(O3187&lt;=cota_s*100,0,IF(Tipo_Vertedor="Retangular",Cd_sr*Lef_sr*((O3187/100-cota_s)^(3/2))*1000)),IF(O3187&lt;=cota_s*100+fi_s/20,0,(OFFSET('Base de dados'!$A$4,IF(O3187&lt;20,1,IF(O3187&gt;1000,10,MATCH(O3187,Cargas,1))),Coluna_fis,1,1))*(PI()*(fi_s/1000)^2/4)*(2*9.81*(O3187/100-cota_s-fi_s/2/1000))^0.5*1000)))</f>
        <v>6.9531970689373539</v>
      </c>
      <c r="R3187" s="38">
        <f t="shared" ca="1" si="335"/>
        <v>14.499406360214346</v>
      </c>
      <c r="S3187" s="38">
        <f t="shared" ca="1" si="336"/>
        <v>995.625</v>
      </c>
    </row>
    <row r="3188" spans="13:19">
      <c r="M3188" s="132">
        <f t="shared" ca="1" si="333"/>
        <v>1010.4393811719108</v>
      </c>
      <c r="N3188" s="38">
        <f t="shared" si="334"/>
        <v>29.878125000000001</v>
      </c>
      <c r="O3188" s="36">
        <f t="shared" si="332"/>
        <v>796.75</v>
      </c>
      <c r="P3188" s="38">
        <f ca="1">IF(ISERROR(IF(O3188&lt;fi_h/20,0,(OFFSET('Base de dados'!$A$5,IF(O3188&lt;20,1,IF(O3188&gt;1000,10,MATCH(O3188,Cargas,1))),Coluna_fih,1,1))*(1+0.13*0.25)*(PI()*(fi_h/1000)^2/4)*SQRT(2*9.81*(O3188/100-fi_h/2/1000))*1000)),"",IF(O3188&lt;fi_h/20,0,(OFFSET('Base de dados'!$A$5,IF(O3188&lt;20,1,IF(O3188&gt;1000,10,MATCH(O3188,Cargas,1))),Coluna_fih,1,1))*(PI()*(fi_h/1000)^2/4)*SQRT(2*9.81*(O3188/100-fi_h/2/1000))*1000))</f>
        <v>7.5473960970145706</v>
      </c>
      <c r="Q3188" s="38">
        <f ca="1">IF(O3188="","",IF(Tipo_Vertedor="Retangular",IF(O3188&lt;=cota_s*100,0,IF(Tipo_Vertedor="Retangular",Cd_sr*Lef_sr*((O3188/100-cota_s)^(3/2))*1000)),IF(O3188&lt;=cota_s*100+fi_s/20,0,(OFFSET('Base de dados'!$A$4,IF(O3188&lt;20,1,IF(O3188&gt;1000,10,MATCH(O3188,Cargas,1))),Coluna_fis,1,1))*(PI()*(fi_s/1000)^2/4)*(2*9.81*(O3188/100-cota_s-fi_s/2/1000))^0.5*1000)))</f>
        <v>6.9544850748962412</v>
      </c>
      <c r="R3188" s="38">
        <f t="shared" ca="1" si="335"/>
        <v>14.501881171910812</v>
      </c>
      <c r="S3188" s="38">
        <f t="shared" ca="1" si="336"/>
        <v>995.9375</v>
      </c>
    </row>
    <row r="3189" spans="13:19">
      <c r="M3189" s="132">
        <f t="shared" ca="1" si="333"/>
        <v>1010.7543555585138</v>
      </c>
      <c r="N3189" s="38">
        <f t="shared" si="334"/>
        <v>29.887499999999999</v>
      </c>
      <c r="O3189" s="36">
        <f t="shared" si="332"/>
        <v>797</v>
      </c>
      <c r="P3189" s="38">
        <f ca="1">IF(ISERROR(IF(O3189&lt;fi_h/20,0,(OFFSET('Base de dados'!$A$5,IF(O3189&lt;20,1,IF(O3189&gt;1000,10,MATCH(O3189,Cargas,1))),Coluna_fih,1,1))*(1+0.13*0.25)*(PI()*(fi_h/1000)^2/4)*SQRT(2*9.81*(O3189/100-fi_h/2/1000))*1000)),"",IF(O3189&lt;fi_h/20,0,(OFFSET('Base de dados'!$A$5,IF(O3189&lt;20,1,IF(O3189&gt;1000,10,MATCH(O3189,Cargas,1))),Coluna_fih,1,1))*(PI()*(fi_h/1000)^2/4)*SQRT(2*9.81*(O3189/100-fi_h/2/1000))*1000))</f>
        <v>7.5485827161597916</v>
      </c>
      <c r="Q3189" s="38">
        <f ca="1">IF(O3189="","",IF(Tipo_Vertedor="Retangular",IF(O3189&lt;=cota_s*100,0,IF(Tipo_Vertedor="Retangular",Cd_sr*Lef_sr*((O3189/100-cota_s)^(3/2))*1000)),IF(O3189&lt;=cota_s*100+fi_s/20,0,(OFFSET('Base de dados'!$A$4,IF(O3189&lt;20,1,IF(O3189&gt;1000,10,MATCH(O3189,Cargas,1))),Coluna_fis,1,1))*(PI()*(fi_s/1000)^2/4)*(2*9.81*(O3189/100-cota_s-fi_s/2/1000))^0.5*1000)))</f>
        <v>6.9557728423540501</v>
      </c>
      <c r="R3189" s="38">
        <f t="shared" ca="1" si="335"/>
        <v>14.504355558513842</v>
      </c>
      <c r="S3189" s="38">
        <f t="shared" ca="1" si="336"/>
        <v>996.25</v>
      </c>
    </row>
    <row r="3190" spans="13:19">
      <c r="M3190" s="132">
        <f t="shared" ca="1" si="333"/>
        <v>1011.0693295202439</v>
      </c>
      <c r="N3190" s="38">
        <f t="shared" si="334"/>
        <v>29.896875000000001</v>
      </c>
      <c r="O3190" s="36">
        <f t="shared" si="332"/>
        <v>797.25</v>
      </c>
      <c r="P3190" s="38">
        <f ca="1">IF(ISERROR(IF(O3190&lt;fi_h/20,0,(OFFSET('Base de dados'!$A$5,IF(O3190&lt;20,1,IF(O3190&gt;1000,10,MATCH(O3190,Cargas,1))),Coluna_fih,1,1))*(1+0.13*0.25)*(PI()*(fi_h/1000)^2/4)*SQRT(2*9.81*(O3190/100-fi_h/2/1000))*1000)),"",IF(O3190&lt;fi_h/20,0,(OFFSET('Base de dados'!$A$5,IF(O3190&lt;20,1,IF(O3190&gt;1000,10,MATCH(O3190,Cargas,1))),Coluna_fih,1,1))*(PI()*(fi_h/1000)^2/4)*SQRT(2*9.81*(O3190/100-fi_h/2/1000))*1000))</f>
        <v>7.5497691488006389</v>
      </c>
      <c r="Q3190" s="38">
        <f ca="1">IF(O3190="","",IF(Tipo_Vertedor="Retangular",IF(O3190&lt;=cota_s*100,0,IF(Tipo_Vertedor="Retangular",Cd_sr*Lef_sr*((O3190/100-cota_s)^(3/2))*1000)),IF(O3190&lt;=cota_s*100+fi_s/20,0,(OFFSET('Base de dados'!$A$4,IF(O3190&lt;20,1,IF(O3190&gt;1000,10,MATCH(O3190,Cargas,1))),Coluna_fis,1,1))*(PI()*(fi_s/1000)^2/4)*(2*9.81*(O3190/100-cota_s-fi_s/2/1000))^0.5*1000)))</f>
        <v>6.957060371443224</v>
      </c>
      <c r="R3190" s="38">
        <f t="shared" ca="1" si="335"/>
        <v>14.506829520243862</v>
      </c>
      <c r="S3190" s="38">
        <f t="shared" ca="1" si="336"/>
        <v>996.5625</v>
      </c>
    </row>
    <row r="3191" spans="13:19">
      <c r="M3191" s="132">
        <f t="shared" ca="1" si="333"/>
        <v>1011.3843030573211</v>
      </c>
      <c r="N3191" s="38">
        <f t="shared" si="334"/>
        <v>29.90625</v>
      </c>
      <c r="O3191" s="36">
        <f t="shared" si="332"/>
        <v>797.5</v>
      </c>
      <c r="P3191" s="38">
        <f ca="1">IF(ISERROR(IF(O3191&lt;fi_h/20,0,(OFFSET('Base de dados'!$A$5,IF(O3191&lt;20,1,IF(O3191&gt;1000,10,MATCH(O3191,Cargas,1))),Coluna_fih,1,1))*(1+0.13*0.25)*(PI()*(fi_h/1000)^2/4)*SQRT(2*9.81*(O3191/100-fi_h/2/1000))*1000)),"",IF(O3191&lt;fi_h/20,0,(OFFSET('Base de dados'!$A$5,IF(O3191&lt;20,1,IF(O3191&gt;1000,10,MATCH(O3191,Cargas,1))),Coluna_fih,1,1))*(PI()*(fi_h/1000)^2/4)*SQRT(2*9.81*(O3191/100-fi_h/2/1000))*1000))</f>
        <v>7.5509553950250217</v>
      </c>
      <c r="Q3191" s="38">
        <f ca="1">IF(O3191="","",IF(Tipo_Vertedor="Retangular",IF(O3191&lt;=cota_s*100,0,IF(Tipo_Vertedor="Retangular",Cd_sr*Lef_sr*((O3191/100-cota_s)^(3/2))*1000)),IF(O3191&lt;=cota_s*100+fi_s/20,0,(OFFSET('Base de dados'!$A$4,IF(O3191&lt;20,1,IF(O3191&gt;1000,10,MATCH(O3191,Cargas,1))),Coluna_fis,1,1))*(PI()*(fi_s/1000)^2/4)*(2*9.81*(O3191/100-cota_s-fi_s/2/1000))^0.5*1000)))</f>
        <v>6.9583476622960783</v>
      </c>
      <c r="R3191" s="38">
        <f t="shared" ca="1" si="335"/>
        <v>14.5093030573211</v>
      </c>
      <c r="S3191" s="38">
        <f t="shared" ca="1" si="336"/>
        <v>996.875</v>
      </c>
    </row>
    <row r="3192" spans="13:19">
      <c r="M3192" s="132">
        <f t="shared" ca="1" si="333"/>
        <v>1011.6992761699656</v>
      </c>
      <c r="N3192" s="38">
        <f t="shared" si="334"/>
        <v>29.915624999999999</v>
      </c>
      <c r="O3192" s="36">
        <f t="shared" si="332"/>
        <v>797.75</v>
      </c>
      <c r="P3192" s="38">
        <f ca="1">IF(ISERROR(IF(O3192&lt;fi_h/20,0,(OFFSET('Base de dados'!$A$5,IF(O3192&lt;20,1,IF(O3192&gt;1000,10,MATCH(O3192,Cargas,1))),Coluna_fih,1,1))*(1+0.13*0.25)*(PI()*(fi_h/1000)^2/4)*SQRT(2*9.81*(O3192/100-fi_h/2/1000))*1000)),"",IF(O3192&lt;fi_h/20,0,(OFFSET('Base de dados'!$A$5,IF(O3192&lt;20,1,IF(O3192&gt;1000,10,MATCH(O3192,Cargas,1))),Coluna_fih,1,1))*(PI()*(fi_h/1000)^2/4)*SQRT(2*9.81*(O3192/100-fi_h/2/1000))*1000))</f>
        <v>7.5521414549207879</v>
      </c>
      <c r="Q3192" s="38">
        <f ca="1">IF(O3192="","",IF(Tipo_Vertedor="Retangular",IF(O3192&lt;=cota_s*100,0,IF(Tipo_Vertedor="Retangular",Cd_sr*Lef_sr*((O3192/100-cota_s)^(3/2))*1000)),IF(O3192&lt;=cota_s*100+fi_s/20,0,(OFFSET('Base de dados'!$A$4,IF(O3192&lt;20,1,IF(O3192&gt;1000,10,MATCH(O3192,Cargas,1))),Coluna_fis,1,1))*(PI()*(fi_s/1000)^2/4)*(2*9.81*(O3192/100-cota_s-fi_s/2/1000))^0.5*1000)))</f>
        <v>6.9596347150448121</v>
      </c>
      <c r="R3192" s="38">
        <f t="shared" ca="1" si="335"/>
        <v>14.5117761699656</v>
      </c>
      <c r="S3192" s="38">
        <f t="shared" ca="1" si="336"/>
        <v>997.1875</v>
      </c>
    </row>
    <row r="3193" spans="13:19">
      <c r="M3193" s="132">
        <f t="shared" ca="1" si="333"/>
        <v>1012.0142488583972</v>
      </c>
      <c r="N3193" s="38">
        <f t="shared" si="334"/>
        <v>29.925000000000001</v>
      </c>
      <c r="O3193" s="36">
        <f t="shared" si="332"/>
        <v>798</v>
      </c>
      <c r="P3193" s="38">
        <f ca="1">IF(ISERROR(IF(O3193&lt;fi_h/20,0,(OFFSET('Base de dados'!$A$5,IF(O3193&lt;20,1,IF(O3193&gt;1000,10,MATCH(O3193,Cargas,1))),Coluna_fih,1,1))*(1+0.13*0.25)*(PI()*(fi_h/1000)^2/4)*SQRT(2*9.81*(O3193/100-fi_h/2/1000))*1000)),"",IF(O3193&lt;fi_h/20,0,(OFFSET('Base de dados'!$A$5,IF(O3193&lt;20,1,IF(O3193&gt;1000,10,MATCH(O3193,Cargas,1))),Coluna_fih,1,1))*(PI()*(fi_h/1000)^2/4)*SQRT(2*9.81*(O3193/100-fi_h/2/1000))*1000))</f>
        <v>7.5533273285757083</v>
      </c>
      <c r="Q3193" s="38">
        <f ca="1">IF(O3193="","",IF(Tipo_Vertedor="Retangular",IF(O3193&lt;=cota_s*100,0,IF(Tipo_Vertedor="Retangular",Cd_sr*Lef_sr*((O3193/100-cota_s)^(3/2))*1000)),IF(O3193&lt;=cota_s*100+fi_s/20,0,(OFFSET('Base de dados'!$A$4,IF(O3193&lt;20,1,IF(O3193&gt;1000,10,MATCH(O3193,Cargas,1))),Coluna_fis,1,1))*(PI()*(fi_s/1000)^2/4)*(2*9.81*(O3193/100-cota_s-fi_s/2/1000))^0.5*1000)))</f>
        <v>6.9609215298214977</v>
      </c>
      <c r="R3193" s="38">
        <f t="shared" ca="1" si="335"/>
        <v>14.514248858397206</v>
      </c>
      <c r="S3193" s="38">
        <f t="shared" ca="1" si="336"/>
        <v>997.5</v>
      </c>
    </row>
    <row r="3194" spans="13:19">
      <c r="M3194" s="132">
        <f t="shared" ca="1" si="333"/>
        <v>1012.3292211228356</v>
      </c>
      <c r="N3194" s="38">
        <f t="shared" si="334"/>
        <v>29.934374999999999</v>
      </c>
      <c r="O3194" s="36">
        <f t="shared" si="332"/>
        <v>798.25</v>
      </c>
      <c r="P3194" s="38">
        <f ca="1">IF(ISERROR(IF(O3194&lt;fi_h/20,0,(OFFSET('Base de dados'!$A$5,IF(O3194&lt;20,1,IF(O3194&gt;1000,10,MATCH(O3194,Cargas,1))),Coluna_fih,1,1))*(1+0.13*0.25)*(PI()*(fi_h/1000)^2/4)*SQRT(2*9.81*(O3194/100-fi_h/2/1000))*1000)),"",IF(O3194&lt;fi_h/20,0,(OFFSET('Base de dados'!$A$5,IF(O3194&lt;20,1,IF(O3194&gt;1000,10,MATCH(O3194,Cargas,1))),Coluna_fih,1,1))*(PI()*(fi_h/1000)^2/4)*SQRT(2*9.81*(O3194/100-fi_h/2/1000))*1000))</f>
        <v>7.5545130160774905</v>
      </c>
      <c r="Q3194" s="38">
        <f ca="1">IF(O3194="","",IF(Tipo_Vertedor="Retangular",IF(O3194&lt;=cota_s*100,0,IF(Tipo_Vertedor="Retangular",Cd_sr*Lef_sr*((O3194/100-cota_s)^(3/2))*1000)),IF(O3194&lt;=cota_s*100+fi_s/20,0,(OFFSET('Base de dados'!$A$4,IF(O3194&lt;20,1,IF(O3194&gt;1000,10,MATCH(O3194,Cargas,1))),Coluna_fis,1,1))*(PI()*(fi_s/1000)^2/4)*(2*9.81*(O3194/100-cota_s-fi_s/2/1000))^0.5*1000)))</f>
        <v>6.9622081067580872</v>
      </c>
      <c r="R3194" s="38">
        <f t="shared" ca="1" si="335"/>
        <v>14.516721122835577</v>
      </c>
      <c r="S3194" s="38">
        <f t="shared" ca="1" si="336"/>
        <v>997.8125</v>
      </c>
    </row>
    <row r="3195" spans="13:19">
      <c r="M3195" s="132">
        <f t="shared" ca="1" si="333"/>
        <v>1012.6441929635001</v>
      </c>
      <c r="N3195" s="38">
        <f t="shared" si="334"/>
        <v>29.943750000000001</v>
      </c>
      <c r="O3195" s="36">
        <f t="shared" si="332"/>
        <v>798.5</v>
      </c>
      <c r="P3195" s="38">
        <f ca="1">IF(ISERROR(IF(O3195&lt;fi_h/20,0,(OFFSET('Base de dados'!$A$5,IF(O3195&lt;20,1,IF(O3195&gt;1000,10,MATCH(O3195,Cargas,1))),Coluna_fih,1,1))*(1+0.13*0.25)*(PI()*(fi_h/1000)^2/4)*SQRT(2*9.81*(O3195/100-fi_h/2/1000))*1000)),"",IF(O3195&lt;fi_h/20,0,(OFFSET('Base de dados'!$A$5,IF(O3195&lt;20,1,IF(O3195&gt;1000,10,MATCH(O3195,Cargas,1))),Coluna_fih,1,1))*(PI()*(fi_h/1000)^2/4)*SQRT(2*9.81*(O3195/100-fi_h/2/1000))*1000))</f>
        <v>7.5556985175137719</v>
      </c>
      <c r="Q3195" s="38">
        <f ca="1">IF(O3195="","",IF(Tipo_Vertedor="Retangular",IF(O3195&lt;=cota_s*100,0,IF(Tipo_Vertedor="Retangular",Cd_sr*Lef_sr*((O3195/100-cota_s)^(3/2))*1000)),IF(O3195&lt;=cota_s*100+fi_s/20,0,(OFFSET('Base de dados'!$A$4,IF(O3195&lt;20,1,IF(O3195&gt;1000,10,MATCH(O3195,Cargas,1))),Coluna_fis,1,1))*(PI()*(fi_s/1000)^2/4)*(2*9.81*(O3195/100-cota_s-fi_s/2/1000))^0.5*1000)))</f>
        <v>6.9634944459864112</v>
      </c>
      <c r="R3195" s="38">
        <f t="shared" ca="1" si="335"/>
        <v>14.519192963500183</v>
      </c>
      <c r="S3195" s="38">
        <f t="shared" ca="1" si="336"/>
        <v>998.125</v>
      </c>
    </row>
    <row r="3196" spans="13:19">
      <c r="M3196" s="132">
        <f t="shared" ca="1" si="333"/>
        <v>1012.9591643806103</v>
      </c>
      <c r="N3196" s="38">
        <f t="shared" si="334"/>
        <v>29.953125</v>
      </c>
      <c r="O3196" s="36">
        <f t="shared" si="332"/>
        <v>798.75</v>
      </c>
      <c r="P3196" s="38">
        <f ca="1">IF(ISERROR(IF(O3196&lt;fi_h/20,0,(OFFSET('Base de dados'!$A$5,IF(O3196&lt;20,1,IF(O3196&gt;1000,10,MATCH(O3196,Cargas,1))),Coluna_fih,1,1))*(1+0.13*0.25)*(PI()*(fi_h/1000)^2/4)*SQRT(2*9.81*(O3196/100-fi_h/2/1000))*1000)),"",IF(O3196&lt;fi_h/20,0,(OFFSET('Base de dados'!$A$5,IF(O3196&lt;20,1,IF(O3196&gt;1000,10,MATCH(O3196,Cargas,1))),Coluna_fih,1,1))*(PI()*(fi_h/1000)^2/4)*SQRT(2*9.81*(O3196/100-fi_h/2/1000))*1000))</f>
        <v>7.556883832972118</v>
      </c>
      <c r="Q3196" s="38">
        <f ca="1">IF(O3196="","",IF(Tipo_Vertedor="Retangular",IF(O3196&lt;=cota_s*100,0,IF(Tipo_Vertedor="Retangular",Cd_sr*Lef_sr*((O3196/100-cota_s)^(3/2))*1000)),IF(O3196&lt;=cota_s*100+fi_s/20,0,(OFFSET('Base de dados'!$A$4,IF(O3196&lt;20,1,IF(O3196&gt;1000,10,MATCH(O3196,Cargas,1))),Coluna_fis,1,1))*(PI()*(fi_s/1000)^2/4)*(2*9.81*(O3196/100-cota_s-fi_s/2/1000))^0.5*1000)))</f>
        <v>6.9647805476381794</v>
      </c>
      <c r="R3196" s="38">
        <f t="shared" ca="1" si="335"/>
        <v>14.521664380610297</v>
      </c>
      <c r="S3196" s="38">
        <f t="shared" ca="1" si="336"/>
        <v>998.4375</v>
      </c>
    </row>
    <row r="3197" spans="13:19">
      <c r="M3197" s="132">
        <f t="shared" ca="1" si="333"/>
        <v>1013.2741353743851</v>
      </c>
      <c r="N3197" s="38">
        <f t="shared" si="334"/>
        <v>29.962500000000002</v>
      </c>
      <c r="O3197" s="36">
        <f t="shared" si="332"/>
        <v>799</v>
      </c>
      <c r="P3197" s="38">
        <f ca="1">IF(ISERROR(IF(O3197&lt;fi_h/20,0,(OFFSET('Base de dados'!$A$5,IF(O3197&lt;20,1,IF(O3197&gt;1000,10,MATCH(O3197,Cargas,1))),Coluna_fih,1,1))*(1+0.13*0.25)*(PI()*(fi_h/1000)^2/4)*SQRT(2*9.81*(O3197/100-fi_h/2/1000))*1000)),"",IF(O3197&lt;fi_h/20,0,(OFFSET('Base de dados'!$A$5,IF(O3197&lt;20,1,IF(O3197&gt;1000,10,MATCH(O3197,Cargas,1))),Coluna_fih,1,1))*(PI()*(fi_h/1000)^2/4)*SQRT(2*9.81*(O3197/100-fi_h/2/1000))*1000))</f>
        <v>7.5580689625400321</v>
      </c>
      <c r="Q3197" s="38">
        <f ca="1">IF(O3197="","",IF(Tipo_Vertedor="Retangular",IF(O3197&lt;=cota_s*100,0,IF(Tipo_Vertedor="Retangular",Cd_sr*Lef_sr*((O3197/100-cota_s)^(3/2))*1000)),IF(O3197&lt;=cota_s*100+fi_s/20,0,(OFFSET('Base de dados'!$A$4,IF(O3197&lt;20,1,IF(O3197&gt;1000,10,MATCH(O3197,Cargas,1))),Coluna_fis,1,1))*(PI()*(fi_s/1000)^2/4)*(2*9.81*(O3197/100-cota_s-fi_s/2/1000))^0.5*1000)))</f>
        <v>6.9660664118449773</v>
      </c>
      <c r="R3197" s="38">
        <f t="shared" ca="1" si="335"/>
        <v>14.524135374385009</v>
      </c>
      <c r="S3197" s="38">
        <f t="shared" ca="1" si="336"/>
        <v>998.75000000000011</v>
      </c>
    </row>
    <row r="3198" spans="13:19">
      <c r="M3198" s="132">
        <f t="shared" ca="1" si="333"/>
        <v>1013.5891059450431</v>
      </c>
      <c r="N3198" s="38">
        <f t="shared" si="334"/>
        <v>29.971874999999997</v>
      </c>
      <c r="O3198" s="36">
        <f t="shared" si="332"/>
        <v>799.25</v>
      </c>
      <c r="P3198" s="38">
        <f ca="1">IF(ISERROR(IF(O3198&lt;fi_h/20,0,(OFFSET('Base de dados'!$A$5,IF(O3198&lt;20,1,IF(O3198&gt;1000,10,MATCH(O3198,Cargas,1))),Coluna_fih,1,1))*(1+0.13*0.25)*(PI()*(fi_h/1000)^2/4)*SQRT(2*9.81*(O3198/100-fi_h/2/1000))*1000)),"",IF(O3198&lt;fi_h/20,0,(OFFSET('Base de dados'!$A$5,IF(O3198&lt;20,1,IF(O3198&gt;1000,10,MATCH(O3198,Cargas,1))),Coluna_fih,1,1))*(PI()*(fi_h/1000)^2/4)*SQRT(2*9.81*(O3198/100-fi_h/2/1000))*1000))</f>
        <v>7.5592539063049431</v>
      </c>
      <c r="Q3198" s="38">
        <f ca="1">IF(O3198="","",IF(Tipo_Vertedor="Retangular",IF(O3198&lt;=cota_s*100,0,IF(Tipo_Vertedor="Retangular",Cd_sr*Lef_sr*((O3198/100-cota_s)^(3/2))*1000)),IF(O3198&lt;=cota_s*100+fi_s/20,0,(OFFSET('Base de dados'!$A$4,IF(O3198&lt;20,1,IF(O3198&gt;1000,10,MATCH(O3198,Cargas,1))),Coluna_fis,1,1))*(PI()*(fi_s/1000)^2/4)*(2*9.81*(O3198/100-cota_s-fi_s/2/1000))^0.5*1000)))</f>
        <v>6.9673520387382704</v>
      </c>
      <c r="R3198" s="38">
        <f t="shared" ca="1" si="335"/>
        <v>14.526605945043213</v>
      </c>
      <c r="S3198" s="38">
        <f t="shared" ca="1" si="336"/>
        <v>999.06249999999989</v>
      </c>
    </row>
    <row r="3199" spans="13:19">
      <c r="M3199" s="132">
        <f t="shared" ca="1" si="333"/>
        <v>1013.9040760928036</v>
      </c>
      <c r="N3199" s="38">
        <f t="shared" si="334"/>
        <v>29.981249999999999</v>
      </c>
      <c r="O3199" s="36">
        <f t="shared" si="332"/>
        <v>799.5</v>
      </c>
      <c r="P3199" s="38">
        <f ca="1">IF(ISERROR(IF(O3199&lt;fi_h/20,0,(OFFSET('Base de dados'!$A$5,IF(O3199&lt;20,1,IF(O3199&gt;1000,10,MATCH(O3199,Cargas,1))),Coluna_fih,1,1))*(1+0.13*0.25)*(PI()*(fi_h/1000)^2/4)*SQRT(2*9.81*(O3199/100-fi_h/2/1000))*1000)),"",IF(O3199&lt;fi_h/20,0,(OFFSET('Base de dados'!$A$5,IF(O3199&lt;20,1,IF(O3199&gt;1000,10,MATCH(O3199,Cargas,1))),Coluna_fih,1,1))*(PI()*(fi_h/1000)^2/4)*SQRT(2*9.81*(O3199/100-fi_h/2/1000))*1000))</f>
        <v>7.5604386643542121</v>
      </c>
      <c r="Q3199" s="38">
        <f ca="1">IF(O3199="","",IF(Tipo_Vertedor="Retangular",IF(O3199&lt;=cota_s*100,0,IF(Tipo_Vertedor="Retangular",Cd_sr*Lef_sr*((O3199/100-cota_s)^(3/2))*1000)),IF(O3199&lt;=cota_s*100+fi_s/20,0,(OFFSET('Base de dados'!$A$4,IF(O3199&lt;20,1,IF(O3199&gt;1000,10,MATCH(O3199,Cargas,1))),Coluna_fis,1,1))*(PI()*(fi_s/1000)^2/4)*(2*9.81*(O3199/100-cota_s-fi_s/2/1000))^0.5*1000)))</f>
        <v>6.9686374284494024</v>
      </c>
      <c r="R3199" s="38">
        <f t="shared" ca="1" si="335"/>
        <v>14.529076092803614</v>
      </c>
      <c r="S3199" s="38">
        <f t="shared" ca="1" si="336"/>
        <v>999.375</v>
      </c>
    </row>
    <row r="3200" spans="13:19">
      <c r="M3200" s="132">
        <f t="shared" ca="1" si="333"/>
        <v>1014.2190458178846</v>
      </c>
      <c r="N3200" s="38">
        <f t="shared" si="334"/>
        <v>29.990624999999998</v>
      </c>
      <c r="O3200" s="36">
        <f t="shared" si="332"/>
        <v>799.75</v>
      </c>
      <c r="P3200" s="38">
        <f ca="1">IF(ISERROR(IF(O3200&lt;fi_h/20,0,(OFFSET('Base de dados'!$A$5,IF(O3200&lt;20,1,IF(O3200&gt;1000,10,MATCH(O3200,Cargas,1))),Coluna_fih,1,1))*(1+0.13*0.25)*(PI()*(fi_h/1000)^2/4)*SQRT(2*9.81*(O3200/100-fi_h/2/1000))*1000)),"",IF(O3200&lt;fi_h/20,0,(OFFSET('Base de dados'!$A$5,IF(O3200&lt;20,1,IF(O3200&gt;1000,10,MATCH(O3200,Cargas,1))),Coluna_fih,1,1))*(PI()*(fi_h/1000)^2/4)*SQRT(2*9.81*(O3200/100-fi_h/2/1000))*1000))</f>
        <v>7.5616232367751355</v>
      </c>
      <c r="Q3200" s="38">
        <f ca="1">IF(O3200="","",IF(Tipo_Vertedor="Retangular",IF(O3200&lt;=cota_s*100,0,IF(Tipo_Vertedor="Retangular",Cd_sr*Lef_sr*((O3200/100-cota_s)^(3/2))*1000)),IF(O3200&lt;=cota_s*100+fi_s/20,0,(OFFSET('Base de dados'!$A$4,IF(O3200&lt;20,1,IF(O3200&gt;1000,10,MATCH(O3200,Cargas,1))),Coluna_fis,1,1))*(PI()*(fi_s/1000)^2/4)*(2*9.81*(O3200/100-cota_s-fi_s/2/1000))^0.5*1000)))</f>
        <v>6.9699225811095973</v>
      </c>
      <c r="R3200" s="38">
        <f t="shared" ca="1" si="335"/>
        <v>14.531545817884734</v>
      </c>
      <c r="S3200" s="38">
        <f t="shared" ca="1" si="336"/>
        <v>999.68749999999989</v>
      </c>
    </row>
    <row r="3201" spans="13:19">
      <c r="M3201" s="132">
        <f t="shared" ca="1" si="333"/>
        <v>1014.5340151205049</v>
      </c>
      <c r="N3201" s="38">
        <f t="shared" si="334"/>
        <v>30</v>
      </c>
      <c r="O3201" s="36">
        <f t="shared" si="332"/>
        <v>800</v>
      </c>
      <c r="P3201" s="38">
        <f ca="1">IF(ISERROR(IF(O3201&lt;fi_h/20,0,(OFFSET('Base de dados'!$A$5,IF(O3201&lt;20,1,IF(O3201&gt;1000,10,MATCH(O3201,Cargas,1))),Coluna_fih,1,1))*(1+0.13*0.25)*(PI()*(fi_h/1000)^2/4)*SQRT(2*9.81*(O3201/100-fi_h/2/1000))*1000)),"",IF(O3201&lt;fi_h/20,0,(OFFSET('Base de dados'!$A$5,IF(O3201&lt;20,1,IF(O3201&gt;1000,10,MATCH(O3201,Cargas,1))),Coluna_fih,1,1))*(PI()*(fi_h/1000)^2/4)*SQRT(2*9.81*(O3201/100-fi_h/2/1000))*1000))</f>
        <v>7.5628076236549377</v>
      </c>
      <c r="Q3201" s="38">
        <f ca="1">IF(O3201="","",IF(Tipo_Vertedor="Retangular",IF(O3201&lt;=cota_s*100,0,IF(Tipo_Vertedor="Retangular",Cd_sr*Lef_sr*((O3201/100-cota_s)^(3/2))*1000)),IF(O3201&lt;=cota_s*100+fi_s/20,0,(OFFSET('Base de dados'!$A$4,IF(O3201&lt;20,1,IF(O3201&gt;1000,10,MATCH(O3201,Cargas,1))),Coluna_fis,1,1))*(PI()*(fi_s/1000)^2/4)*(2*9.81*(O3201/100-cota_s-fi_s/2/1000))^0.5*1000)))</f>
        <v>6.9712074968499582</v>
      </c>
      <c r="R3201" s="38">
        <f t="shared" ca="1" si="335"/>
        <v>14.534015120504897</v>
      </c>
      <c r="S3201" s="38">
        <f t="shared" ca="1" si="336"/>
        <v>1000</v>
      </c>
    </row>
    <row r="3202" spans="13:19">
      <c r="M3202" s="132">
        <f t="shared" ca="1" si="333"/>
        <v>1014.8489840008822</v>
      </c>
      <c r="N3202" s="38">
        <f t="shared" si="334"/>
        <v>30.009374999999999</v>
      </c>
      <c r="O3202" s="36">
        <f t="shared" si="332"/>
        <v>800.25</v>
      </c>
      <c r="P3202" s="38">
        <f ca="1">IF(ISERROR(IF(O3202&lt;fi_h/20,0,(OFFSET('Base de dados'!$A$5,IF(O3202&lt;20,1,IF(O3202&gt;1000,10,MATCH(O3202,Cargas,1))),Coluna_fih,1,1))*(1+0.13*0.25)*(PI()*(fi_h/1000)^2/4)*SQRT(2*9.81*(O3202/100-fi_h/2/1000))*1000)),"",IF(O3202&lt;fi_h/20,0,(OFFSET('Base de dados'!$A$5,IF(O3202&lt;20,1,IF(O3202&gt;1000,10,MATCH(O3202,Cargas,1))),Coluna_fih,1,1))*(PI()*(fi_h/1000)^2/4)*SQRT(2*9.81*(O3202/100-fi_h/2/1000))*1000))</f>
        <v>7.5639918250807767</v>
      </c>
      <c r="Q3202" s="38">
        <f ca="1">IF(O3202="","",IF(Tipo_Vertedor="Retangular",IF(O3202&lt;=cota_s*100,0,IF(Tipo_Vertedor="Retangular",Cd_sr*Lef_sr*((O3202/100-cota_s)^(3/2))*1000)),IF(O3202&lt;=cota_s*100+fi_s/20,0,(OFFSET('Base de dados'!$A$4,IF(O3202&lt;20,1,IF(O3202&gt;1000,10,MATCH(O3202,Cargas,1))),Coluna_fis,1,1))*(PI()*(fi_s/1000)^2/4)*(2*9.81*(O3202/100-cota_s-fi_s/2/1000))^0.5*1000)))</f>
        <v>6.9724921758014631</v>
      </c>
      <c r="R3202" s="38">
        <f t="shared" ca="1" si="335"/>
        <v>14.53648400088224</v>
      </c>
      <c r="S3202" s="38">
        <f t="shared" ca="1" si="336"/>
        <v>1000.3125</v>
      </c>
    </row>
    <row r="3203" spans="13:19">
      <c r="M3203" s="132">
        <f t="shared" ca="1" si="333"/>
        <v>1015.1639524592348</v>
      </c>
      <c r="N3203" s="38">
        <f t="shared" si="334"/>
        <v>30.018750000000004</v>
      </c>
      <c r="O3203" s="36">
        <f t="shared" si="332"/>
        <v>800.5</v>
      </c>
      <c r="P3203" s="38">
        <f ca="1">IF(ISERROR(IF(O3203&lt;fi_h/20,0,(OFFSET('Base de dados'!$A$5,IF(O3203&lt;20,1,IF(O3203&gt;1000,10,MATCH(O3203,Cargas,1))),Coluna_fih,1,1))*(1+0.13*0.25)*(PI()*(fi_h/1000)^2/4)*SQRT(2*9.81*(O3203/100-fi_h/2/1000))*1000)),"",IF(O3203&lt;fi_h/20,0,(OFFSET('Base de dados'!$A$5,IF(O3203&lt;20,1,IF(O3203&gt;1000,10,MATCH(O3203,Cargas,1))),Coluna_fih,1,1))*(PI()*(fi_h/1000)^2/4)*SQRT(2*9.81*(O3203/100-fi_h/2/1000))*1000))</f>
        <v>7.5651758411397418</v>
      </c>
      <c r="Q3203" s="38">
        <f ca="1">IF(O3203="","",IF(Tipo_Vertedor="Retangular",IF(O3203&lt;=cota_s*100,0,IF(Tipo_Vertedor="Retangular",Cd_sr*Lef_sr*((O3203/100-cota_s)^(3/2))*1000)),IF(O3203&lt;=cota_s*100+fi_s/20,0,(OFFSET('Base de dados'!$A$4,IF(O3203&lt;20,1,IF(O3203&gt;1000,10,MATCH(O3203,Cargas,1))),Coluna_fis,1,1))*(PI()*(fi_s/1000)^2/4)*(2*9.81*(O3203/100-cota_s-fi_s/2/1000))^0.5*1000)))</f>
        <v>6.973776618094977</v>
      </c>
      <c r="R3203" s="38">
        <f t="shared" ca="1" si="335"/>
        <v>14.538952459234718</v>
      </c>
      <c r="S3203" s="38">
        <f t="shared" ca="1" si="336"/>
        <v>1000.6250000000001</v>
      </c>
    </row>
    <row r="3204" spans="13:19">
      <c r="M3204" s="132">
        <f t="shared" ca="1" si="333"/>
        <v>1015.4789204957802</v>
      </c>
      <c r="N3204" s="38">
        <f t="shared" si="334"/>
        <v>30.028125000000003</v>
      </c>
      <c r="O3204" s="36">
        <f t="shared" si="332"/>
        <v>800.75</v>
      </c>
      <c r="P3204" s="38">
        <f ca="1">IF(ISERROR(IF(O3204&lt;fi_h/20,0,(OFFSET('Base de dados'!$A$5,IF(O3204&lt;20,1,IF(O3204&gt;1000,10,MATCH(O3204,Cargas,1))),Coluna_fih,1,1))*(1+0.13*0.25)*(PI()*(fi_h/1000)^2/4)*SQRT(2*9.81*(O3204/100-fi_h/2/1000))*1000)),"",IF(O3204&lt;fi_h/20,0,(OFFSET('Base de dados'!$A$5,IF(O3204&lt;20,1,IF(O3204&gt;1000,10,MATCH(O3204,Cargas,1))),Coluna_fih,1,1))*(PI()*(fi_h/1000)^2/4)*SQRT(2*9.81*(O3204/100-fi_h/2/1000))*1000))</f>
        <v>7.5663596719188533</v>
      </c>
      <c r="Q3204" s="38">
        <f ca="1">IF(O3204="","",IF(Tipo_Vertedor="Retangular",IF(O3204&lt;=cota_s*100,0,IF(Tipo_Vertedor="Retangular",Cd_sr*Lef_sr*((O3204/100-cota_s)^(3/2))*1000)),IF(O3204&lt;=cota_s*100+fi_s/20,0,(OFFSET('Base de dados'!$A$4,IF(O3204&lt;20,1,IF(O3204&gt;1000,10,MATCH(O3204,Cargas,1))),Coluna_fis,1,1))*(PI()*(fi_s/1000)^2/4)*(2*9.81*(O3204/100-cota_s-fi_s/2/1000))^0.5*1000)))</f>
        <v>6.9750608238612353</v>
      </c>
      <c r="R3204" s="38">
        <f t="shared" ca="1" si="335"/>
        <v>14.541420495780088</v>
      </c>
      <c r="S3204" s="38">
        <f t="shared" ca="1" si="336"/>
        <v>1000.9375000000001</v>
      </c>
    </row>
    <row r="3205" spans="13:19">
      <c r="M3205" s="132">
        <f t="shared" ca="1" si="333"/>
        <v>1015.7938881107358</v>
      </c>
      <c r="N3205" s="38">
        <f t="shared" si="334"/>
        <v>30.037499999999998</v>
      </c>
      <c r="O3205" s="36">
        <f t="shared" si="332"/>
        <v>801</v>
      </c>
      <c r="P3205" s="38">
        <f ca="1">IF(ISERROR(IF(O3205&lt;fi_h/20,0,(OFFSET('Base de dados'!$A$5,IF(O3205&lt;20,1,IF(O3205&gt;1000,10,MATCH(O3205,Cargas,1))),Coluna_fih,1,1))*(1+0.13*0.25)*(PI()*(fi_h/1000)^2/4)*SQRT(2*9.81*(O3205/100-fi_h/2/1000))*1000)),"",IF(O3205&lt;fi_h/20,0,(OFFSET('Base de dados'!$A$5,IF(O3205&lt;20,1,IF(O3205&gt;1000,10,MATCH(O3205,Cargas,1))),Coluna_fih,1,1))*(PI()*(fi_h/1000)^2/4)*SQRT(2*9.81*(O3205/100-fi_h/2/1000))*1000))</f>
        <v>7.5675433175050637</v>
      </c>
      <c r="Q3205" s="38">
        <f ca="1">IF(O3205="","",IF(Tipo_Vertedor="Retangular",IF(O3205&lt;=cota_s*100,0,IF(Tipo_Vertedor="Retangular",Cd_sr*Lef_sr*((O3205/100-cota_s)^(3/2))*1000)),IF(O3205&lt;=cota_s*100+fi_s/20,0,(OFFSET('Base de dados'!$A$4,IF(O3205&lt;20,1,IF(O3205&gt;1000,10,MATCH(O3205,Cargas,1))),Coluna_fis,1,1))*(PI()*(fi_s/1000)^2/4)*(2*9.81*(O3205/100-cota_s-fi_s/2/1000))^0.5*1000)))</f>
        <v>6.9763447932308615</v>
      </c>
      <c r="R3205" s="38">
        <f t="shared" ca="1" si="335"/>
        <v>14.543888110735924</v>
      </c>
      <c r="S3205" s="38">
        <f t="shared" ca="1" si="336"/>
        <v>1001.2499999999999</v>
      </c>
    </row>
    <row r="3206" spans="13:19">
      <c r="M3206" s="132">
        <f t="shared" ca="1" si="333"/>
        <v>1016.1088553043195</v>
      </c>
      <c r="N3206" s="38">
        <f t="shared" si="334"/>
        <v>30.046874999999996</v>
      </c>
      <c r="O3206" s="36">
        <f t="shared" si="332"/>
        <v>801.25</v>
      </c>
      <c r="P3206" s="38">
        <f ca="1">IF(ISERROR(IF(O3206&lt;fi_h/20,0,(OFFSET('Base de dados'!$A$5,IF(O3206&lt;20,1,IF(O3206&gt;1000,10,MATCH(O3206,Cargas,1))),Coluna_fih,1,1))*(1+0.13*0.25)*(PI()*(fi_h/1000)^2/4)*SQRT(2*9.81*(O3206/100-fi_h/2/1000))*1000)),"",IF(O3206&lt;fi_h/20,0,(OFFSET('Base de dados'!$A$5,IF(O3206&lt;20,1,IF(O3206&gt;1000,10,MATCH(O3206,Cargas,1))),Coluna_fih,1,1))*(PI()*(fi_h/1000)^2/4)*SQRT(2*9.81*(O3206/100-fi_h/2/1000))*1000))</f>
        <v>7.5687267779852601</v>
      </c>
      <c r="Q3206" s="38">
        <f ca="1">IF(O3206="","",IF(Tipo_Vertedor="Retangular",IF(O3206&lt;=cota_s*100,0,IF(Tipo_Vertedor="Retangular",Cd_sr*Lef_sr*((O3206/100-cota_s)^(3/2))*1000)),IF(O3206&lt;=cota_s*100+fi_s/20,0,(OFFSET('Base de dados'!$A$4,IF(O3206&lt;20,1,IF(O3206&gt;1000,10,MATCH(O3206,Cargas,1))),Coluna_fis,1,1))*(PI()*(fi_s/1000)^2/4)*(2*9.81*(O3206/100-cota_s-fi_s/2/1000))^0.5*1000)))</f>
        <v>6.977628526334354</v>
      </c>
      <c r="R3206" s="38">
        <f t="shared" ca="1" si="335"/>
        <v>14.546355304319615</v>
      </c>
      <c r="S3206" s="38">
        <f t="shared" ca="1" si="336"/>
        <v>1001.5624999999999</v>
      </c>
    </row>
    <row r="3207" spans="13:19">
      <c r="M3207" s="132">
        <f t="shared" ca="1" si="333"/>
        <v>1016.4238220767485</v>
      </c>
      <c r="N3207" s="38">
        <f t="shared" si="334"/>
        <v>30.056250000000002</v>
      </c>
      <c r="O3207" s="36">
        <f t="shared" si="332"/>
        <v>801.5</v>
      </c>
      <c r="P3207" s="38">
        <f ca="1">IF(ISERROR(IF(O3207&lt;fi_h/20,0,(OFFSET('Base de dados'!$A$5,IF(O3207&lt;20,1,IF(O3207&gt;1000,10,MATCH(O3207,Cargas,1))),Coluna_fih,1,1))*(1+0.13*0.25)*(PI()*(fi_h/1000)^2/4)*SQRT(2*9.81*(O3207/100-fi_h/2/1000))*1000)),"",IF(O3207&lt;fi_h/20,0,(OFFSET('Base de dados'!$A$5,IF(O3207&lt;20,1,IF(O3207&gt;1000,10,MATCH(O3207,Cargas,1))),Coluna_fih,1,1))*(PI()*(fi_h/1000)^2/4)*SQRT(2*9.81*(O3207/100-fi_h/2/1000))*1000))</f>
        <v>7.5699100534462573</v>
      </c>
      <c r="Q3207" s="38">
        <f ca="1">IF(O3207="","",IF(Tipo_Vertedor="Retangular",IF(O3207&lt;=cota_s*100,0,IF(Tipo_Vertedor="Retangular",Cd_sr*Lef_sr*((O3207/100-cota_s)^(3/2))*1000)),IF(O3207&lt;=cota_s*100+fi_s/20,0,(OFFSET('Base de dados'!$A$4,IF(O3207&lt;20,1,IF(O3207&gt;1000,10,MATCH(O3207,Cargas,1))),Coluna_fis,1,1))*(PI()*(fi_s/1000)^2/4)*(2*9.81*(O3207/100-cota_s-fi_s/2/1000))^0.5*1000)))</f>
        <v>6.9789120233020929</v>
      </c>
      <c r="R3207" s="38">
        <f t="shared" ca="1" si="335"/>
        <v>14.548822076748351</v>
      </c>
      <c r="S3207" s="38">
        <f t="shared" ca="1" si="336"/>
        <v>1001.8750000000001</v>
      </c>
    </row>
    <row r="3208" spans="13:19">
      <c r="M3208" s="132">
        <f t="shared" ca="1" si="333"/>
        <v>1016.7387884282391</v>
      </c>
      <c r="N3208" s="38">
        <f t="shared" si="334"/>
        <v>30.065625000000001</v>
      </c>
      <c r="O3208" s="36">
        <f t="shared" si="332"/>
        <v>801.75</v>
      </c>
      <c r="P3208" s="38">
        <f ca="1">IF(ISERROR(IF(O3208&lt;fi_h/20,0,(OFFSET('Base de dados'!$A$5,IF(O3208&lt;20,1,IF(O3208&gt;1000,10,MATCH(O3208,Cargas,1))),Coluna_fih,1,1))*(1+0.13*0.25)*(PI()*(fi_h/1000)^2/4)*SQRT(2*9.81*(O3208/100-fi_h/2/1000))*1000)),"",IF(O3208&lt;fi_h/20,0,(OFFSET('Base de dados'!$A$5,IF(O3208&lt;20,1,IF(O3208&gt;1000,10,MATCH(O3208,Cargas,1))),Coluna_fih,1,1))*(PI()*(fi_h/1000)^2/4)*SQRT(2*9.81*(O3208/100-fi_h/2/1000))*1000))</f>
        <v>7.5710931439748048</v>
      </c>
      <c r="Q3208" s="38">
        <f ca="1">IF(O3208="","",IF(Tipo_Vertedor="Retangular",IF(O3208&lt;=cota_s*100,0,IF(Tipo_Vertedor="Retangular",Cd_sr*Lef_sr*((O3208/100-cota_s)^(3/2))*1000)),IF(O3208&lt;=cota_s*100+fi_s/20,0,(OFFSET('Base de dados'!$A$4,IF(O3208&lt;20,1,IF(O3208&gt;1000,10,MATCH(O3208,Cargas,1))),Coluna_fis,1,1))*(PI()*(fi_s/1000)^2/4)*(2*9.81*(O3208/100-cota_s-fi_s/2/1000))^0.5*1000)))</f>
        <v>6.9801952842643358</v>
      </c>
      <c r="R3208" s="38">
        <f t="shared" ca="1" si="335"/>
        <v>14.55128842823914</v>
      </c>
      <c r="S3208" s="38">
        <f t="shared" ca="1" si="336"/>
        <v>1002.1875</v>
      </c>
    </row>
    <row r="3209" spans="13:19">
      <c r="M3209" s="132">
        <f t="shared" ca="1" si="333"/>
        <v>1017.0537543590088</v>
      </c>
      <c r="N3209" s="38">
        <f t="shared" si="334"/>
        <v>30.074999999999999</v>
      </c>
      <c r="O3209" s="36">
        <f t="shared" si="332"/>
        <v>802</v>
      </c>
      <c r="P3209" s="38">
        <f ca="1">IF(ISERROR(IF(O3209&lt;fi_h/20,0,(OFFSET('Base de dados'!$A$5,IF(O3209&lt;20,1,IF(O3209&gt;1000,10,MATCH(O3209,Cargas,1))),Coluna_fih,1,1))*(1+0.13*0.25)*(PI()*(fi_h/1000)^2/4)*SQRT(2*9.81*(O3209/100-fi_h/2/1000))*1000)),"",IF(O3209&lt;fi_h/20,0,(OFFSET('Base de dados'!$A$5,IF(O3209&lt;20,1,IF(O3209&gt;1000,10,MATCH(O3209,Cargas,1))),Coluna_fih,1,1))*(PI()*(fi_h/1000)^2/4)*SQRT(2*9.81*(O3209/100-fi_h/2/1000))*1000))</f>
        <v>7.5722760496575834</v>
      </c>
      <c r="Q3209" s="38">
        <f ca="1">IF(O3209="","",IF(Tipo_Vertedor="Retangular",IF(O3209&lt;=cota_s*100,0,IF(Tipo_Vertedor="Retangular",Cd_sr*Lef_sr*((O3209/100-cota_s)^(3/2))*1000)),IF(O3209&lt;=cota_s*100+fi_s/20,0,(OFFSET('Base de dados'!$A$4,IF(O3209&lt;20,1,IF(O3209&gt;1000,10,MATCH(O3209,Cargas,1))),Coluna_fis,1,1))*(PI()*(fi_s/1000)^2/4)*(2*9.81*(O3209/100-cota_s-fi_s/2/1000))^0.5*1000)))</f>
        <v>6.9814783093512265</v>
      </c>
      <c r="R3209" s="38">
        <f t="shared" ca="1" si="335"/>
        <v>14.55375435900881</v>
      </c>
      <c r="S3209" s="38">
        <f t="shared" ca="1" si="336"/>
        <v>1002.5</v>
      </c>
    </row>
    <row r="3210" spans="13:19">
      <c r="M3210" s="132">
        <f t="shared" ca="1" si="333"/>
        <v>1017.3687198692739</v>
      </c>
      <c r="N3210" s="38">
        <f t="shared" si="334"/>
        <v>30.084375000000001</v>
      </c>
      <c r="O3210" s="36">
        <f t="shared" si="332"/>
        <v>802.25</v>
      </c>
      <c r="P3210" s="38">
        <f ca="1">IF(ISERROR(IF(O3210&lt;fi_h/20,0,(OFFSET('Base de dados'!$A$5,IF(O3210&lt;20,1,IF(O3210&gt;1000,10,MATCH(O3210,Cargas,1))),Coluna_fih,1,1))*(1+0.13*0.25)*(PI()*(fi_h/1000)^2/4)*SQRT(2*9.81*(O3210/100-fi_h/2/1000))*1000)),"",IF(O3210&lt;fi_h/20,0,(OFFSET('Base de dados'!$A$5,IF(O3210&lt;20,1,IF(O3210&gt;1000,10,MATCH(O3210,Cargas,1))),Coluna_fih,1,1))*(PI()*(fi_h/1000)^2/4)*SQRT(2*9.81*(O3210/100-fi_h/2/1000))*1000))</f>
        <v>7.5734587705812091</v>
      </c>
      <c r="Q3210" s="38">
        <f ca="1">IF(O3210="","",IF(Tipo_Vertedor="Retangular",IF(O3210&lt;=cota_s*100,0,IF(Tipo_Vertedor="Retangular",Cd_sr*Lef_sr*((O3210/100-cota_s)^(3/2))*1000)),IF(O3210&lt;=cota_s*100+fi_s/20,0,(OFFSET('Base de dados'!$A$4,IF(O3210&lt;20,1,IF(O3210&gt;1000,10,MATCH(O3210,Cargas,1))),Coluna_fis,1,1))*(PI()*(fi_s/1000)^2/4)*(2*9.81*(O3210/100-cota_s-fi_s/2/1000))^0.5*1000)))</f>
        <v>6.9827610986927828</v>
      </c>
      <c r="R3210" s="38">
        <f t="shared" ca="1" si="335"/>
        <v>14.556219869273992</v>
      </c>
      <c r="S3210" s="38">
        <f t="shared" ca="1" si="336"/>
        <v>1002.8125</v>
      </c>
    </row>
    <row r="3211" spans="13:19">
      <c r="M3211" s="132">
        <f t="shared" ca="1" si="333"/>
        <v>1017.6836849592511</v>
      </c>
      <c r="N3211" s="38">
        <f t="shared" si="334"/>
        <v>30.09375</v>
      </c>
      <c r="O3211" s="36">
        <f t="shared" si="332"/>
        <v>802.5</v>
      </c>
      <c r="P3211" s="38">
        <f ca="1">IF(ISERROR(IF(O3211&lt;fi_h/20,0,(OFFSET('Base de dados'!$A$5,IF(O3211&lt;20,1,IF(O3211&gt;1000,10,MATCH(O3211,Cargas,1))),Coluna_fih,1,1))*(1+0.13*0.25)*(PI()*(fi_h/1000)^2/4)*SQRT(2*9.81*(O3211/100-fi_h/2/1000))*1000)),"",IF(O3211&lt;fi_h/20,0,(OFFSET('Base de dados'!$A$5,IF(O3211&lt;20,1,IF(O3211&gt;1000,10,MATCH(O3211,Cargas,1))),Coluna_fih,1,1))*(PI()*(fi_h/1000)^2/4)*SQRT(2*9.81*(O3211/100-fi_h/2/1000))*1000))</f>
        <v>7.5746413068322251</v>
      </c>
      <c r="Q3211" s="38">
        <f ca="1">IF(O3211="","",IF(Tipo_Vertedor="Retangular",IF(O3211&lt;=cota_s*100,0,IF(Tipo_Vertedor="Retangular",Cd_sr*Lef_sr*((O3211/100-cota_s)^(3/2))*1000)),IF(O3211&lt;=cota_s*100+fi_s/20,0,(OFFSET('Base de dados'!$A$4,IF(O3211&lt;20,1,IF(O3211&gt;1000,10,MATCH(O3211,Cargas,1))),Coluna_fis,1,1))*(PI()*(fi_s/1000)^2/4)*(2*9.81*(O3211/100-cota_s-fi_s/2/1000))^0.5*1000)))</f>
        <v>6.9840436524189062</v>
      </c>
      <c r="R3211" s="38">
        <f t="shared" ca="1" si="335"/>
        <v>14.558684959251131</v>
      </c>
      <c r="S3211" s="38">
        <f t="shared" ca="1" si="336"/>
        <v>1003.125</v>
      </c>
    </row>
    <row r="3212" spans="13:19">
      <c r="M3212" s="132">
        <f t="shared" ca="1" si="333"/>
        <v>1017.9986496291565</v>
      </c>
      <c r="N3212" s="38">
        <f t="shared" si="334"/>
        <v>30.103124999999999</v>
      </c>
      <c r="O3212" s="36">
        <f t="shared" si="332"/>
        <v>802.75</v>
      </c>
      <c r="P3212" s="38">
        <f ca="1">IF(ISERROR(IF(O3212&lt;fi_h/20,0,(OFFSET('Base de dados'!$A$5,IF(O3212&lt;20,1,IF(O3212&gt;1000,10,MATCH(O3212,Cargas,1))),Coluna_fih,1,1))*(1+0.13*0.25)*(PI()*(fi_h/1000)^2/4)*SQRT(2*9.81*(O3212/100-fi_h/2/1000))*1000)),"",IF(O3212&lt;fi_h/20,0,(OFFSET('Base de dados'!$A$5,IF(O3212&lt;20,1,IF(O3212&gt;1000,10,MATCH(O3212,Cargas,1))),Coluna_fih,1,1))*(PI()*(fi_h/1000)^2/4)*SQRT(2*9.81*(O3212/100-fi_h/2/1000))*1000))</f>
        <v>7.5758236584971126</v>
      </c>
      <c r="Q3212" s="38">
        <f ca="1">IF(O3212="","",IF(Tipo_Vertedor="Retangular",IF(O3212&lt;=cota_s*100,0,IF(Tipo_Vertedor="Retangular",Cd_sr*Lef_sr*((O3212/100-cota_s)^(3/2))*1000)),IF(O3212&lt;=cota_s*100+fi_s/20,0,(OFFSET('Base de dados'!$A$4,IF(O3212&lt;20,1,IF(O3212&gt;1000,10,MATCH(O3212,Cargas,1))),Coluna_fis,1,1))*(PI()*(fi_s/1000)^2/4)*(2*9.81*(O3212/100-cota_s-fi_s/2/1000))^0.5*1000)))</f>
        <v>6.9853259706593782</v>
      </c>
      <c r="R3212" s="38">
        <f t="shared" ca="1" si="335"/>
        <v>14.561149629156491</v>
      </c>
      <c r="S3212" s="38">
        <f t="shared" ca="1" si="336"/>
        <v>1003.4375</v>
      </c>
    </row>
    <row r="3213" spans="13:19">
      <c r="M3213" s="132">
        <f t="shared" ca="1" si="333"/>
        <v>1018.3136138792061</v>
      </c>
      <c r="N3213" s="38">
        <f t="shared" si="334"/>
        <v>30.112499999999997</v>
      </c>
      <c r="O3213" s="36">
        <f t="shared" si="332"/>
        <v>803</v>
      </c>
      <c r="P3213" s="38">
        <f ca="1">IF(ISERROR(IF(O3213&lt;fi_h/20,0,(OFFSET('Base de dados'!$A$5,IF(O3213&lt;20,1,IF(O3213&gt;1000,10,MATCH(O3213,Cargas,1))),Coluna_fih,1,1))*(1+0.13*0.25)*(PI()*(fi_h/1000)^2/4)*SQRT(2*9.81*(O3213/100-fi_h/2/1000))*1000)),"",IF(O3213&lt;fi_h/20,0,(OFFSET('Base de dados'!$A$5,IF(O3213&lt;20,1,IF(O3213&gt;1000,10,MATCH(O3213,Cargas,1))),Coluna_fih,1,1))*(PI()*(fi_h/1000)^2/4)*SQRT(2*9.81*(O3213/100-fi_h/2/1000))*1000))</f>
        <v>7.5770058256622823</v>
      </c>
      <c r="Q3213" s="38">
        <f ca="1">IF(O3213="","",IF(Tipo_Vertedor="Retangular",IF(O3213&lt;=cota_s*100,0,IF(Tipo_Vertedor="Retangular",Cd_sr*Lef_sr*((O3213/100-cota_s)^(3/2))*1000)),IF(O3213&lt;=cota_s*100+fi_s/20,0,(OFFSET('Base de dados'!$A$4,IF(O3213&lt;20,1,IF(O3213&gt;1000,10,MATCH(O3213,Cargas,1))),Coluna_fis,1,1))*(PI()*(fi_s/1000)^2/4)*(2*9.81*(O3213/100-cota_s-fi_s/2/1000))^0.5*1000)))</f>
        <v>6.9866080535438631</v>
      </c>
      <c r="R3213" s="38">
        <f t="shared" ca="1" si="335"/>
        <v>14.563613879206144</v>
      </c>
      <c r="S3213" s="38">
        <f t="shared" ca="1" si="336"/>
        <v>1003.7499999999999</v>
      </c>
    </row>
    <row r="3214" spans="13:19">
      <c r="M3214" s="132">
        <f t="shared" ca="1" si="333"/>
        <v>1018.6285777096161</v>
      </c>
      <c r="N3214" s="38">
        <f t="shared" si="334"/>
        <v>30.121875000000003</v>
      </c>
      <c r="O3214" s="36">
        <f t="shared" si="332"/>
        <v>803.25</v>
      </c>
      <c r="P3214" s="38">
        <f ca="1">IF(ISERROR(IF(O3214&lt;fi_h/20,0,(OFFSET('Base de dados'!$A$5,IF(O3214&lt;20,1,IF(O3214&gt;1000,10,MATCH(O3214,Cargas,1))),Coluna_fih,1,1))*(1+0.13*0.25)*(PI()*(fi_h/1000)^2/4)*SQRT(2*9.81*(O3214/100-fi_h/2/1000))*1000)),"",IF(O3214&lt;fi_h/20,0,(OFFSET('Base de dados'!$A$5,IF(O3214&lt;20,1,IF(O3214&gt;1000,10,MATCH(O3214,Cargas,1))),Coluna_fih,1,1))*(PI()*(fi_h/1000)^2/4)*SQRT(2*9.81*(O3214/100-fi_h/2/1000))*1000))</f>
        <v>7.5781878084140759</v>
      </c>
      <c r="Q3214" s="38">
        <f ca="1">IF(O3214="","",IF(Tipo_Vertedor="Retangular",IF(O3214&lt;=cota_s*100,0,IF(Tipo_Vertedor="Retangular",Cd_sr*Lef_sr*((O3214/100-cota_s)^(3/2))*1000)),IF(O3214&lt;=cota_s*100+fi_s/20,0,(OFFSET('Base de dados'!$A$4,IF(O3214&lt;20,1,IF(O3214&gt;1000,10,MATCH(O3214,Cargas,1))),Coluna_fis,1,1))*(PI()*(fi_s/1000)^2/4)*(2*9.81*(O3214/100-cota_s-fi_s/2/1000))^0.5*1000)))</f>
        <v>6.9878899012019033</v>
      </c>
      <c r="R3214" s="38">
        <f t="shared" ca="1" si="335"/>
        <v>14.566077709615978</v>
      </c>
      <c r="S3214" s="38">
        <f t="shared" ca="1" si="336"/>
        <v>1004.0625000000001</v>
      </c>
    </row>
    <row r="3215" spans="13:19">
      <c r="M3215" s="132">
        <f t="shared" ca="1" si="333"/>
        <v>1018.9435411206017</v>
      </c>
      <c r="N3215" s="38">
        <f t="shared" si="334"/>
        <v>30.131250000000001</v>
      </c>
      <c r="O3215" s="36">
        <f t="shared" si="332"/>
        <v>803.5</v>
      </c>
      <c r="P3215" s="38">
        <f ca="1">IF(ISERROR(IF(O3215&lt;fi_h/20,0,(OFFSET('Base de dados'!$A$5,IF(O3215&lt;20,1,IF(O3215&gt;1000,10,MATCH(O3215,Cargas,1))),Coluna_fih,1,1))*(1+0.13*0.25)*(PI()*(fi_h/1000)^2/4)*SQRT(2*9.81*(O3215/100-fi_h/2/1000))*1000)),"",IF(O3215&lt;fi_h/20,0,(OFFSET('Base de dados'!$A$5,IF(O3215&lt;20,1,IF(O3215&gt;1000,10,MATCH(O3215,Cargas,1))),Coluna_fih,1,1))*(PI()*(fi_h/1000)^2/4)*SQRT(2*9.81*(O3215/100-fi_h/2/1000))*1000))</f>
        <v>7.579369606838771</v>
      </c>
      <c r="Q3215" s="38">
        <f ca="1">IF(O3215="","",IF(Tipo_Vertedor="Retangular",IF(O3215&lt;=cota_s*100,0,IF(Tipo_Vertedor="Retangular",Cd_sr*Lef_sr*((O3215/100-cota_s)^(3/2))*1000)),IF(O3215&lt;=cota_s*100+fi_s/20,0,(OFFSET('Base de dados'!$A$4,IF(O3215&lt;20,1,IF(O3215&gt;1000,10,MATCH(O3215,Cargas,1))),Coluna_fis,1,1))*(PI()*(fi_s/1000)^2/4)*(2*9.81*(O3215/100-cota_s-fi_s/2/1000))^0.5*1000)))</f>
        <v>6.9891715137629236</v>
      </c>
      <c r="R3215" s="38">
        <f t="shared" ca="1" si="335"/>
        <v>14.568541120601694</v>
      </c>
      <c r="S3215" s="38">
        <f t="shared" ca="1" si="336"/>
        <v>1004.375</v>
      </c>
    </row>
    <row r="3216" spans="13:19">
      <c r="M3216" s="132">
        <f t="shared" ca="1" si="333"/>
        <v>1019.2585041123788</v>
      </c>
      <c r="N3216" s="38">
        <f t="shared" si="334"/>
        <v>30.140625</v>
      </c>
      <c r="O3216" s="36">
        <f t="shared" si="332"/>
        <v>803.75</v>
      </c>
      <c r="P3216" s="38">
        <f ca="1">IF(ISERROR(IF(O3216&lt;fi_h/20,0,(OFFSET('Base de dados'!$A$5,IF(O3216&lt;20,1,IF(O3216&gt;1000,10,MATCH(O3216,Cargas,1))),Coluna_fih,1,1))*(1+0.13*0.25)*(PI()*(fi_h/1000)^2/4)*SQRT(2*9.81*(O3216/100-fi_h/2/1000))*1000)),"",IF(O3216&lt;fi_h/20,0,(OFFSET('Base de dados'!$A$5,IF(O3216&lt;20,1,IF(O3216&gt;1000,10,MATCH(O3216,Cargas,1))),Coluna_fih,1,1))*(PI()*(fi_h/1000)^2/4)*SQRT(2*9.81*(O3216/100-fi_h/2/1000))*1000))</f>
        <v>7.5805512210225769</v>
      </c>
      <c r="Q3216" s="38">
        <f ca="1">IF(O3216="","",IF(Tipo_Vertedor="Retangular",IF(O3216&lt;=cota_s*100,0,IF(Tipo_Vertedor="Retangular",Cd_sr*Lef_sr*((O3216/100-cota_s)^(3/2))*1000)),IF(O3216&lt;=cota_s*100+fi_s/20,0,(OFFSET('Base de dados'!$A$4,IF(O3216&lt;20,1,IF(O3216&gt;1000,10,MATCH(O3216,Cargas,1))),Coluna_fis,1,1))*(PI()*(fi_s/1000)^2/4)*(2*9.81*(O3216/100-cota_s-fi_s/2/1000))^0.5*1000)))</f>
        <v>6.9904528913562292</v>
      </c>
      <c r="R3216" s="38">
        <f t="shared" ca="1" si="335"/>
        <v>14.571004112378805</v>
      </c>
      <c r="S3216" s="38">
        <f t="shared" ca="1" si="336"/>
        <v>1004.6875</v>
      </c>
    </row>
    <row r="3217" spans="13:19">
      <c r="M3217" s="132">
        <f t="shared" ca="1" si="333"/>
        <v>1019.5734666851627</v>
      </c>
      <c r="N3217" s="38">
        <f t="shared" si="334"/>
        <v>30.15</v>
      </c>
      <c r="O3217" s="36">
        <f t="shared" si="332"/>
        <v>804</v>
      </c>
      <c r="P3217" s="38">
        <f ca="1">IF(ISERROR(IF(O3217&lt;fi_h/20,0,(OFFSET('Base de dados'!$A$5,IF(O3217&lt;20,1,IF(O3217&gt;1000,10,MATCH(O3217,Cargas,1))),Coluna_fih,1,1))*(1+0.13*0.25)*(PI()*(fi_h/1000)^2/4)*SQRT(2*9.81*(O3217/100-fi_h/2/1000))*1000)),"",IF(O3217&lt;fi_h/20,0,(OFFSET('Base de dados'!$A$5,IF(O3217&lt;20,1,IF(O3217&gt;1000,10,MATCH(O3217,Cargas,1))),Coluna_fih,1,1))*(PI()*(fi_h/1000)^2/4)*SQRT(2*9.81*(O3217/100-fi_h/2/1000))*1000))</f>
        <v>7.5817326510516345</v>
      </c>
      <c r="Q3217" s="38">
        <f ca="1">IF(O3217="","",IF(Tipo_Vertedor="Retangular",IF(O3217&lt;=cota_s*100,0,IF(Tipo_Vertedor="Retangular",Cd_sr*Lef_sr*((O3217/100-cota_s)^(3/2))*1000)),IF(O3217&lt;=cota_s*100+fi_s/20,0,(OFFSET('Base de dados'!$A$4,IF(O3217&lt;20,1,IF(O3217&gt;1000,10,MATCH(O3217,Cargas,1))),Coluna_fis,1,1))*(PI()*(fi_s/1000)^2/4)*(2*9.81*(O3217/100-cota_s-fi_s/2/1000))^0.5*1000)))</f>
        <v>6.9917340341110128</v>
      </c>
      <c r="R3217" s="38">
        <f t="shared" ca="1" si="335"/>
        <v>14.573466685162646</v>
      </c>
      <c r="S3217" s="38">
        <f t="shared" ca="1" si="336"/>
        <v>1005</v>
      </c>
    </row>
    <row r="3218" spans="13:19">
      <c r="M3218" s="132">
        <f t="shared" ca="1" si="333"/>
        <v>1019.8884288391683</v>
      </c>
      <c r="N3218" s="38">
        <f t="shared" si="334"/>
        <v>30.159375000000001</v>
      </c>
      <c r="O3218" s="36">
        <f t="shared" si="332"/>
        <v>804.25</v>
      </c>
      <c r="P3218" s="38">
        <f ca="1">IF(ISERROR(IF(O3218&lt;fi_h/20,0,(OFFSET('Base de dados'!$A$5,IF(O3218&lt;20,1,IF(O3218&gt;1000,10,MATCH(O3218,Cargas,1))),Coluna_fih,1,1))*(1+0.13*0.25)*(PI()*(fi_h/1000)^2/4)*SQRT(2*9.81*(O3218/100-fi_h/2/1000))*1000)),"",IF(O3218&lt;fi_h/20,0,(OFFSET('Base de dados'!$A$5,IF(O3218&lt;20,1,IF(O3218&gt;1000,10,MATCH(O3218,Cargas,1))),Coluna_fih,1,1))*(PI()*(fi_h/1000)^2/4)*SQRT(2*9.81*(O3218/100-fi_h/2/1000))*1000))</f>
        <v>7.5829138970120207</v>
      </c>
      <c r="Q3218" s="38">
        <f ca="1">IF(O3218="","",IF(Tipo_Vertedor="Retangular",IF(O3218&lt;=cota_s*100,0,IF(Tipo_Vertedor="Retangular",Cd_sr*Lef_sr*((O3218/100-cota_s)^(3/2))*1000)),IF(O3218&lt;=cota_s*100+fi_s/20,0,(OFFSET('Base de dados'!$A$4,IF(O3218&lt;20,1,IF(O3218&gt;1000,10,MATCH(O3218,Cargas,1))),Coluna_fis,1,1))*(PI()*(fi_s/1000)^2/4)*(2*9.81*(O3218/100-cota_s-fi_s/2/1000))^0.5*1000)))</f>
        <v>6.9930149421563392</v>
      </c>
      <c r="R3218" s="38">
        <f t="shared" ca="1" si="335"/>
        <v>14.575928839168359</v>
      </c>
      <c r="S3218" s="38">
        <f t="shared" ca="1" si="336"/>
        <v>1005.3125</v>
      </c>
    </row>
    <row r="3219" spans="13:19">
      <c r="M3219" s="132">
        <f t="shared" ca="1" si="333"/>
        <v>1020.2033905746109</v>
      </c>
      <c r="N3219" s="38">
        <f t="shared" si="334"/>
        <v>30.168749999999999</v>
      </c>
      <c r="O3219" s="36">
        <f t="shared" ref="O3219:O3282" si="337">IF(ISERROR(IF(O3218+passo_altura&gt;h_max_puls*100,"",O3218+passo_altura)),"",IF(O3218+passo_altura&gt;h_max_puls*100,"",O3218+passo_altura))</f>
        <v>804.5</v>
      </c>
      <c r="P3219" s="38">
        <f ca="1">IF(ISERROR(IF(O3219&lt;fi_h/20,0,(OFFSET('Base de dados'!$A$5,IF(O3219&lt;20,1,IF(O3219&gt;1000,10,MATCH(O3219,Cargas,1))),Coluna_fih,1,1))*(1+0.13*0.25)*(PI()*(fi_h/1000)^2/4)*SQRT(2*9.81*(O3219/100-fi_h/2/1000))*1000)),"",IF(O3219&lt;fi_h/20,0,(OFFSET('Base de dados'!$A$5,IF(O3219&lt;20,1,IF(O3219&gt;1000,10,MATCH(O3219,Cargas,1))),Coluna_fih,1,1))*(PI()*(fi_h/1000)^2/4)*SQRT(2*9.81*(O3219/100-fi_h/2/1000))*1000))</f>
        <v>7.5840949589897413</v>
      </c>
      <c r="Q3219" s="38">
        <f ca="1">IF(O3219="","",IF(Tipo_Vertedor="Retangular",IF(O3219&lt;=cota_s*100,0,IF(Tipo_Vertedor="Retangular",Cd_sr*Lef_sr*((O3219/100-cota_s)^(3/2))*1000)),IF(O3219&lt;=cota_s*100+fi_s/20,0,(OFFSET('Base de dados'!$A$4,IF(O3219&lt;20,1,IF(O3219&gt;1000,10,MATCH(O3219,Cargas,1))),Coluna_fis,1,1))*(PI()*(fi_s/1000)^2/4)*(2*9.81*(O3219/100-cota_s-fi_s/2/1000))^0.5*1000)))</f>
        <v>6.9942956156211622</v>
      </c>
      <c r="R3219" s="38">
        <f t="shared" ca="1" si="335"/>
        <v>14.578390574610903</v>
      </c>
      <c r="S3219" s="38">
        <f t="shared" ca="1" si="336"/>
        <v>1005.625</v>
      </c>
    </row>
    <row r="3220" spans="13:19">
      <c r="M3220" s="132">
        <f t="shared" ca="1" si="333"/>
        <v>1020.5183518917049</v>
      </c>
      <c r="N3220" s="38">
        <f t="shared" si="334"/>
        <v>30.178124999999998</v>
      </c>
      <c r="O3220" s="36">
        <f t="shared" si="337"/>
        <v>804.75</v>
      </c>
      <c r="P3220" s="38">
        <f ca="1">IF(ISERROR(IF(O3220&lt;fi_h/20,0,(OFFSET('Base de dados'!$A$5,IF(O3220&lt;20,1,IF(O3220&gt;1000,10,MATCH(O3220,Cargas,1))),Coluna_fih,1,1))*(1+0.13*0.25)*(PI()*(fi_h/1000)^2/4)*SQRT(2*9.81*(O3220/100-fi_h/2/1000))*1000)),"",IF(O3220&lt;fi_h/20,0,(OFFSET('Base de dados'!$A$5,IF(O3220&lt;20,1,IF(O3220&gt;1000,10,MATCH(O3220,Cargas,1))),Coluna_fih,1,1))*(PI()*(fi_h/1000)^2/4)*SQRT(2*9.81*(O3220/100-fi_h/2/1000))*1000))</f>
        <v>7.5852758370707383</v>
      </c>
      <c r="Q3220" s="38">
        <f ca="1">IF(O3220="","",IF(Tipo_Vertedor="Retangular",IF(O3220&lt;=cota_s*100,0,IF(Tipo_Vertedor="Retangular",Cd_sr*Lef_sr*((O3220/100-cota_s)^(3/2))*1000)),IF(O3220&lt;=cota_s*100+fi_s/20,0,(OFFSET('Base de dados'!$A$4,IF(O3220&lt;20,1,IF(O3220&gt;1000,10,MATCH(O3220,Cargas,1))),Coluna_fis,1,1))*(PI()*(fi_s/1000)^2/4)*(2*9.81*(O3220/100-cota_s-fi_s/2/1000))^0.5*1000)))</f>
        <v>6.9955760546343129</v>
      </c>
      <c r="R3220" s="38">
        <f t="shared" ca="1" si="335"/>
        <v>14.580851891705052</v>
      </c>
      <c r="S3220" s="38">
        <f t="shared" ca="1" si="336"/>
        <v>1005.9374999999999</v>
      </c>
    </row>
    <row r="3221" spans="13:19">
      <c r="M3221" s="132">
        <f t="shared" ca="1" si="333"/>
        <v>1020.8333127906656</v>
      </c>
      <c r="N3221" s="38">
        <f t="shared" si="334"/>
        <v>30.187500000000004</v>
      </c>
      <c r="O3221" s="36">
        <f t="shared" si="337"/>
        <v>805</v>
      </c>
      <c r="P3221" s="38">
        <f ca="1">IF(ISERROR(IF(O3221&lt;fi_h/20,0,(OFFSET('Base de dados'!$A$5,IF(O3221&lt;20,1,IF(O3221&gt;1000,10,MATCH(O3221,Cargas,1))),Coluna_fih,1,1))*(1+0.13*0.25)*(PI()*(fi_h/1000)^2/4)*SQRT(2*9.81*(O3221/100-fi_h/2/1000))*1000)),"",IF(O3221&lt;fi_h/20,0,(OFFSET('Base de dados'!$A$5,IF(O3221&lt;20,1,IF(O3221&gt;1000,10,MATCH(O3221,Cargas,1))),Coluna_fih,1,1))*(PI()*(fi_h/1000)^2/4)*SQRT(2*9.81*(O3221/100-fi_h/2/1000))*1000))</f>
        <v>7.5864565313408843</v>
      </c>
      <c r="Q3221" s="38">
        <f ca="1">IF(O3221="","",IF(Tipo_Vertedor="Retangular",IF(O3221&lt;=cota_s*100,0,IF(Tipo_Vertedor="Retangular",Cd_sr*Lef_sr*((O3221/100-cota_s)^(3/2))*1000)),IF(O3221&lt;=cota_s*100+fi_s/20,0,(OFFSET('Base de dados'!$A$4,IF(O3221&lt;20,1,IF(O3221&gt;1000,10,MATCH(O3221,Cargas,1))),Coluna_fis,1,1))*(PI()*(fi_s/1000)^2/4)*(2*9.81*(O3221/100-cota_s-fi_s/2/1000))^0.5*1000)))</f>
        <v>6.9968562593245096</v>
      </c>
      <c r="R3221" s="38">
        <f t="shared" ca="1" si="335"/>
        <v>14.583312790665394</v>
      </c>
      <c r="S3221" s="38">
        <f t="shared" ca="1" si="336"/>
        <v>1006.2500000000001</v>
      </c>
    </row>
    <row r="3222" spans="13:19">
      <c r="M3222" s="132">
        <f t="shared" ca="1" si="333"/>
        <v>1021.1482732717064</v>
      </c>
      <c r="N3222" s="38">
        <f t="shared" si="334"/>
        <v>30.196875000000002</v>
      </c>
      <c r="O3222" s="36">
        <f t="shared" si="337"/>
        <v>805.25</v>
      </c>
      <c r="P3222" s="38">
        <f ca="1">IF(ISERROR(IF(O3222&lt;fi_h/20,0,(OFFSET('Base de dados'!$A$5,IF(O3222&lt;20,1,IF(O3222&gt;1000,10,MATCH(O3222,Cargas,1))),Coluna_fih,1,1))*(1+0.13*0.25)*(PI()*(fi_h/1000)^2/4)*SQRT(2*9.81*(O3222/100-fi_h/2/1000))*1000)),"",IF(O3222&lt;fi_h/20,0,(OFFSET('Base de dados'!$A$5,IF(O3222&lt;20,1,IF(O3222&gt;1000,10,MATCH(O3222,Cargas,1))),Coluna_fih,1,1))*(PI()*(fi_h/1000)^2/4)*SQRT(2*9.81*(O3222/100-fi_h/2/1000))*1000))</f>
        <v>7.587637041885988</v>
      </c>
      <c r="Q3222" s="38">
        <f ca="1">IF(O3222="","",IF(Tipo_Vertedor="Retangular",IF(O3222&lt;=cota_s*100,0,IF(Tipo_Vertedor="Retangular",Cd_sr*Lef_sr*((O3222/100-cota_s)^(3/2))*1000)),IF(O3222&lt;=cota_s*100+fi_s/20,0,(OFFSET('Base de dados'!$A$4,IF(O3222&lt;20,1,IF(O3222&gt;1000,10,MATCH(O3222,Cargas,1))),Coluna_fis,1,1))*(PI()*(fi_s/1000)^2/4)*(2*9.81*(O3222/100-cota_s-fi_s/2/1000))^0.5*1000)))</f>
        <v>6.9981362298203464</v>
      </c>
      <c r="R3222" s="38">
        <f t="shared" ca="1" si="335"/>
        <v>14.585773271706334</v>
      </c>
      <c r="S3222" s="38">
        <f t="shared" ca="1" si="336"/>
        <v>1006.5625000000001</v>
      </c>
    </row>
    <row r="3223" spans="13:19">
      <c r="M3223" s="132">
        <f t="shared" ref="M3223:M3286" ca="1" si="338">IF(O3223="","",2*N3223*1000/(Passo*60)+R3223)</f>
        <v>1021.463233335042</v>
      </c>
      <c r="N3223" s="38">
        <f t="shared" ref="N3223:N3286" si="339">IF(O3223="","",b_0*(O3223/100)^c_0)</f>
        <v>30.206249999999997</v>
      </c>
      <c r="O3223" s="36">
        <f t="shared" si="337"/>
        <v>805.5</v>
      </c>
      <c r="P3223" s="38">
        <f ca="1">IF(ISERROR(IF(O3223&lt;fi_h/20,0,(OFFSET('Base de dados'!$A$5,IF(O3223&lt;20,1,IF(O3223&gt;1000,10,MATCH(O3223,Cargas,1))),Coluna_fih,1,1))*(1+0.13*0.25)*(PI()*(fi_h/1000)^2/4)*SQRT(2*9.81*(O3223/100-fi_h/2/1000))*1000)),"",IF(O3223&lt;fi_h/20,0,(OFFSET('Base de dados'!$A$5,IF(O3223&lt;20,1,IF(O3223&gt;1000,10,MATCH(O3223,Cargas,1))),Coluna_fih,1,1))*(PI()*(fi_h/1000)^2/4)*SQRT(2*9.81*(O3223/100-fi_h/2/1000))*1000))</f>
        <v>7.588817368791787</v>
      </c>
      <c r="Q3223" s="38">
        <f ca="1">IF(O3223="","",IF(Tipo_Vertedor="Retangular",IF(O3223&lt;=cota_s*100,0,IF(Tipo_Vertedor="Retangular",Cd_sr*Lef_sr*((O3223/100-cota_s)^(3/2))*1000)),IF(O3223&lt;=cota_s*100+fi_s/20,0,(OFFSET('Base de dados'!$A$4,IF(O3223&lt;20,1,IF(O3223&gt;1000,10,MATCH(O3223,Cargas,1))),Coluna_fis,1,1))*(PI()*(fi_s/1000)^2/4)*(2*9.81*(O3223/100-cota_s-fi_s/2/1000))^0.5*1000)))</f>
        <v>6.9994159662503055</v>
      </c>
      <c r="R3223" s="38">
        <f t="shared" ref="R3223:R3286" ca="1" si="340">IF(O3223="","",Q3223+P3223)</f>
        <v>14.588233335042093</v>
      </c>
      <c r="S3223" s="38">
        <f t="shared" ref="S3223:S3286" ca="1" si="341">IF(M3223="","",2*N3223*1000/(Passo*60))</f>
        <v>1006.8749999999999</v>
      </c>
    </row>
    <row r="3224" spans="13:19">
      <c r="M3224" s="132">
        <f t="shared" ca="1" si="338"/>
        <v>1021.7781929808866</v>
      </c>
      <c r="N3224" s="38">
        <f t="shared" si="339"/>
        <v>30.215624999999996</v>
      </c>
      <c r="O3224" s="36">
        <f t="shared" si="337"/>
        <v>805.75</v>
      </c>
      <c r="P3224" s="38">
        <f ca="1">IF(ISERROR(IF(O3224&lt;fi_h/20,0,(OFFSET('Base de dados'!$A$5,IF(O3224&lt;20,1,IF(O3224&gt;1000,10,MATCH(O3224,Cargas,1))),Coluna_fih,1,1))*(1+0.13*0.25)*(PI()*(fi_h/1000)^2/4)*SQRT(2*9.81*(O3224/100-fi_h/2/1000))*1000)),"",IF(O3224&lt;fi_h/20,0,(OFFSET('Base de dados'!$A$5,IF(O3224&lt;20,1,IF(O3224&gt;1000,10,MATCH(O3224,Cargas,1))),Coluna_fih,1,1))*(PI()*(fi_h/1000)^2/4)*SQRT(2*9.81*(O3224/100-fi_h/2/1000))*1000))</f>
        <v>7.5899975121439587</v>
      </c>
      <c r="Q3224" s="38">
        <f ca="1">IF(O3224="","",IF(Tipo_Vertedor="Retangular",IF(O3224&lt;=cota_s*100,0,IF(Tipo_Vertedor="Retangular",Cd_sr*Lef_sr*((O3224/100-cota_s)^(3/2))*1000)),IF(O3224&lt;=cota_s*100+fi_s/20,0,(OFFSET('Base de dados'!$A$4,IF(O3224&lt;20,1,IF(O3224&gt;1000,10,MATCH(O3224,Cargas,1))),Coluna_fis,1,1))*(PI()*(fi_s/1000)^2/4)*(2*9.81*(O3224/100-cota_s-fi_s/2/1000))^0.5*1000)))</f>
        <v>7.0006954687427516</v>
      </c>
      <c r="R3224" s="38">
        <f t="shared" ca="1" si="340"/>
        <v>14.590692980886711</v>
      </c>
      <c r="S3224" s="38">
        <f t="shared" ca="1" si="341"/>
        <v>1007.1874999999999</v>
      </c>
    </row>
    <row r="3225" spans="13:19">
      <c r="M3225" s="132">
        <f t="shared" ca="1" si="338"/>
        <v>1022.093152209454</v>
      </c>
      <c r="N3225" s="38">
        <f t="shared" si="339"/>
        <v>30.225000000000001</v>
      </c>
      <c r="O3225" s="36">
        <f t="shared" si="337"/>
        <v>806</v>
      </c>
      <c r="P3225" s="38">
        <f ca="1">IF(ISERROR(IF(O3225&lt;fi_h/20,0,(OFFSET('Base de dados'!$A$5,IF(O3225&lt;20,1,IF(O3225&gt;1000,10,MATCH(O3225,Cargas,1))),Coluna_fih,1,1))*(1+0.13*0.25)*(PI()*(fi_h/1000)^2/4)*SQRT(2*9.81*(O3225/100-fi_h/2/1000))*1000)),"",IF(O3225&lt;fi_h/20,0,(OFFSET('Base de dados'!$A$5,IF(O3225&lt;20,1,IF(O3225&gt;1000,10,MATCH(O3225,Cargas,1))),Coluna_fih,1,1))*(PI()*(fi_h/1000)^2/4)*SQRT(2*9.81*(O3225/100-fi_h/2/1000))*1000))</f>
        <v>7.5911774720281091</v>
      </c>
      <c r="Q3225" s="38">
        <f ca="1">IF(O3225="","",IF(Tipo_Vertedor="Retangular",IF(O3225&lt;=cota_s*100,0,IF(Tipo_Vertedor="Retangular",Cd_sr*Lef_sr*((O3225/100-cota_s)^(3/2))*1000)),IF(O3225&lt;=cota_s*100+fi_s/20,0,(OFFSET('Base de dados'!$A$4,IF(O3225&lt;20,1,IF(O3225&gt;1000,10,MATCH(O3225,Cargas,1))),Coluna_fis,1,1))*(PI()*(fi_s/1000)^2/4)*(2*9.81*(O3225/100-cota_s-fi_s/2/1000))^0.5*1000)))</f>
        <v>7.0019747374259271</v>
      </c>
      <c r="R3225" s="38">
        <f t="shared" ca="1" si="340"/>
        <v>14.593152209454036</v>
      </c>
      <c r="S3225" s="38">
        <f t="shared" ca="1" si="341"/>
        <v>1007.5</v>
      </c>
    </row>
    <row r="3226" spans="13:19">
      <c r="M3226" s="132">
        <f t="shared" ca="1" si="338"/>
        <v>1022.4081110209578</v>
      </c>
      <c r="N3226" s="38">
        <f t="shared" si="339"/>
        <v>30.234375</v>
      </c>
      <c r="O3226" s="36">
        <f t="shared" si="337"/>
        <v>806.25</v>
      </c>
      <c r="P3226" s="38">
        <f ca="1">IF(ISERROR(IF(O3226&lt;fi_h/20,0,(OFFSET('Base de dados'!$A$5,IF(O3226&lt;20,1,IF(O3226&gt;1000,10,MATCH(O3226,Cargas,1))),Coluna_fih,1,1))*(1+0.13*0.25)*(PI()*(fi_h/1000)^2/4)*SQRT(2*9.81*(O3226/100-fi_h/2/1000))*1000)),"",IF(O3226&lt;fi_h/20,0,(OFFSET('Base de dados'!$A$5,IF(O3226&lt;20,1,IF(O3226&gt;1000,10,MATCH(O3226,Cargas,1))),Coluna_fih,1,1))*(PI()*(fi_h/1000)^2/4)*SQRT(2*9.81*(O3226/100-fi_h/2/1000))*1000))</f>
        <v>7.592357248529777</v>
      </c>
      <c r="Q3226" s="38">
        <f ca="1">IF(O3226="","",IF(Tipo_Vertedor="Retangular",IF(O3226&lt;=cota_s*100,0,IF(Tipo_Vertedor="Retangular",Cd_sr*Lef_sr*((O3226/100-cota_s)^(3/2))*1000)),IF(O3226&lt;=cota_s*100+fi_s/20,0,(OFFSET('Base de dados'!$A$4,IF(O3226&lt;20,1,IF(O3226&gt;1000,10,MATCH(O3226,Cargas,1))),Coluna_fis,1,1))*(PI()*(fi_s/1000)^2/4)*(2*9.81*(O3226/100-cota_s-fi_s/2/1000))^0.5*1000)))</f>
        <v>7.0032537724279598</v>
      </c>
      <c r="R3226" s="38">
        <f t="shared" ca="1" si="340"/>
        <v>14.595611020957737</v>
      </c>
      <c r="S3226" s="38">
        <f t="shared" ca="1" si="341"/>
        <v>1007.8125</v>
      </c>
    </row>
    <row r="3227" spans="13:19">
      <c r="M3227" s="132">
        <f t="shared" ca="1" si="338"/>
        <v>1022.7230694156113</v>
      </c>
      <c r="N3227" s="38">
        <f t="shared" si="339"/>
        <v>30.243749999999999</v>
      </c>
      <c r="O3227" s="36">
        <f t="shared" si="337"/>
        <v>806.5</v>
      </c>
      <c r="P3227" s="38">
        <f ca="1">IF(ISERROR(IF(O3227&lt;fi_h/20,0,(OFFSET('Base de dados'!$A$5,IF(O3227&lt;20,1,IF(O3227&gt;1000,10,MATCH(O3227,Cargas,1))),Coluna_fih,1,1))*(1+0.13*0.25)*(PI()*(fi_h/1000)^2/4)*SQRT(2*9.81*(O3227/100-fi_h/2/1000))*1000)),"",IF(O3227&lt;fi_h/20,0,(OFFSET('Base de dados'!$A$5,IF(O3227&lt;20,1,IF(O3227&gt;1000,10,MATCH(O3227,Cargas,1))),Coluna_fih,1,1))*(PI()*(fi_h/1000)^2/4)*SQRT(2*9.81*(O3227/100-fi_h/2/1000))*1000))</f>
        <v>7.5935368417344371</v>
      </c>
      <c r="Q3227" s="38">
        <f ca="1">IF(O3227="","",IF(Tipo_Vertedor="Retangular",IF(O3227&lt;=cota_s*100,0,IF(Tipo_Vertedor="Retangular",Cd_sr*Lef_sr*((O3227/100-cota_s)^(3/2))*1000)),IF(O3227&lt;=cota_s*100+fi_s/20,0,(OFFSET('Base de dados'!$A$4,IF(O3227&lt;20,1,IF(O3227&gt;1000,10,MATCH(O3227,Cargas,1))),Coluna_fis,1,1))*(PI()*(fi_s/1000)^2/4)*(2*9.81*(O3227/100-cota_s-fi_s/2/1000))^0.5*1000)))</f>
        <v>7.0045325738768618</v>
      </c>
      <c r="R3227" s="38">
        <f t="shared" ca="1" si="340"/>
        <v>14.598069415611299</v>
      </c>
      <c r="S3227" s="38">
        <f t="shared" ca="1" si="341"/>
        <v>1008.125</v>
      </c>
    </row>
    <row r="3228" spans="13:19">
      <c r="M3228" s="132">
        <f t="shared" ca="1" si="338"/>
        <v>1023.0380273936281</v>
      </c>
      <c r="N3228" s="38">
        <f t="shared" si="339"/>
        <v>30.253125000000004</v>
      </c>
      <c r="O3228" s="36">
        <f t="shared" si="337"/>
        <v>806.75</v>
      </c>
      <c r="P3228" s="38">
        <f ca="1">IF(ISERROR(IF(O3228&lt;fi_h/20,0,(OFFSET('Base de dados'!$A$5,IF(O3228&lt;20,1,IF(O3228&gt;1000,10,MATCH(O3228,Cargas,1))),Coluna_fih,1,1))*(1+0.13*0.25)*(PI()*(fi_h/1000)^2/4)*SQRT(2*9.81*(O3228/100-fi_h/2/1000))*1000)),"",IF(O3228&lt;fi_h/20,0,(OFFSET('Base de dados'!$A$5,IF(O3228&lt;20,1,IF(O3228&gt;1000,10,MATCH(O3228,Cargas,1))),Coluna_fih,1,1))*(PI()*(fi_h/1000)^2/4)*SQRT(2*9.81*(O3228/100-fi_h/2/1000))*1000))</f>
        <v>7.5947162517274993</v>
      </c>
      <c r="Q3228" s="38">
        <f ca="1">IF(O3228="","",IF(Tipo_Vertedor="Retangular",IF(O3228&lt;=cota_s*100,0,IF(Tipo_Vertedor="Retangular",Cd_sr*Lef_sr*((O3228/100-cota_s)^(3/2))*1000)),IF(O3228&lt;=cota_s*100+fi_s/20,0,(OFFSET('Base de dados'!$A$4,IF(O3228&lt;20,1,IF(O3228&gt;1000,10,MATCH(O3228,Cargas,1))),Coluna_fis,1,1))*(PI()*(fi_s/1000)^2/4)*(2*9.81*(O3228/100-cota_s-fi_s/2/1000))^0.5*1000)))</f>
        <v>7.0058111419005291</v>
      </c>
      <c r="R3228" s="38">
        <f t="shared" ca="1" si="340"/>
        <v>14.600527393628028</v>
      </c>
      <c r="S3228" s="38">
        <f t="shared" ca="1" si="341"/>
        <v>1008.4375000000001</v>
      </c>
    </row>
    <row r="3229" spans="13:19">
      <c r="M3229" s="132">
        <f t="shared" ca="1" si="338"/>
        <v>1023.3529849552211</v>
      </c>
      <c r="N3229" s="38">
        <f t="shared" si="339"/>
        <v>30.262500000000003</v>
      </c>
      <c r="O3229" s="36">
        <f t="shared" si="337"/>
        <v>807</v>
      </c>
      <c r="P3229" s="38">
        <f ca="1">IF(ISERROR(IF(O3229&lt;fi_h/20,0,(OFFSET('Base de dados'!$A$5,IF(O3229&lt;20,1,IF(O3229&gt;1000,10,MATCH(O3229,Cargas,1))),Coluna_fih,1,1))*(1+0.13*0.25)*(PI()*(fi_h/1000)^2/4)*SQRT(2*9.81*(O3229/100-fi_h/2/1000))*1000)),"",IF(O3229&lt;fi_h/20,0,(OFFSET('Base de dados'!$A$5,IF(O3229&lt;20,1,IF(O3229&gt;1000,10,MATCH(O3229,Cargas,1))),Coluna_fih,1,1))*(PI()*(fi_h/1000)^2/4)*SQRT(2*9.81*(O3229/100-fi_h/2/1000))*1000))</f>
        <v>7.5958954785943025</v>
      </c>
      <c r="Q3229" s="38">
        <f ca="1">IF(O3229="","",IF(Tipo_Vertedor="Retangular",IF(O3229&lt;=cota_s*100,0,IF(Tipo_Vertedor="Retangular",Cd_sr*Lef_sr*((O3229/100-cota_s)^(3/2))*1000)),IF(O3229&lt;=cota_s*100+fi_s/20,0,(OFFSET('Base de dados'!$A$4,IF(O3229&lt;20,1,IF(O3229&gt;1000,10,MATCH(O3229,Cargas,1))),Coluna_fis,1,1))*(PI()*(fi_s/1000)^2/4)*(2*9.81*(O3229/100-cota_s-fi_s/2/1000))^0.5*1000)))</f>
        <v>7.0070894766267378</v>
      </c>
      <c r="R3229" s="38">
        <f t="shared" ca="1" si="340"/>
        <v>14.602984955221039</v>
      </c>
      <c r="S3229" s="38">
        <f t="shared" ca="1" si="341"/>
        <v>1008.7500000000001</v>
      </c>
    </row>
    <row r="3230" spans="13:19">
      <c r="M3230" s="132">
        <f t="shared" ca="1" si="338"/>
        <v>1023.6679421006031</v>
      </c>
      <c r="N3230" s="38">
        <f t="shared" si="339"/>
        <v>30.271874999999998</v>
      </c>
      <c r="O3230" s="36">
        <f t="shared" si="337"/>
        <v>807.25</v>
      </c>
      <c r="P3230" s="38">
        <f ca="1">IF(ISERROR(IF(O3230&lt;fi_h/20,0,(OFFSET('Base de dados'!$A$5,IF(O3230&lt;20,1,IF(O3230&gt;1000,10,MATCH(O3230,Cargas,1))),Coluna_fih,1,1))*(1+0.13*0.25)*(PI()*(fi_h/1000)^2/4)*SQRT(2*9.81*(O3230/100-fi_h/2/1000))*1000)),"",IF(O3230&lt;fi_h/20,0,(OFFSET('Base de dados'!$A$5,IF(O3230&lt;20,1,IF(O3230&gt;1000,10,MATCH(O3230,Cargas,1))),Coluna_fih,1,1))*(PI()*(fi_h/1000)^2/4)*SQRT(2*9.81*(O3230/100-fi_h/2/1000))*1000))</f>
        <v>7.5970745224201224</v>
      </c>
      <c r="Q3230" s="38">
        <f ca="1">IF(O3230="","",IF(Tipo_Vertedor="Retangular",IF(O3230&lt;=cota_s*100,0,IF(Tipo_Vertedor="Retangular",Cd_sr*Lef_sr*((O3230/100-cota_s)^(3/2))*1000)),IF(O3230&lt;=cota_s*100+fi_s/20,0,(OFFSET('Base de dados'!$A$4,IF(O3230&lt;20,1,IF(O3230&gt;1000,10,MATCH(O3230,Cargas,1))),Coluna_fis,1,1))*(PI()*(fi_s/1000)^2/4)*(2*9.81*(O3230/100-cota_s-fi_s/2/1000))^0.5*1000)))</f>
        <v>7.0083675781831491</v>
      </c>
      <c r="R3230" s="38">
        <f t="shared" ca="1" si="340"/>
        <v>14.605442100603272</v>
      </c>
      <c r="S3230" s="38">
        <f t="shared" ca="1" si="341"/>
        <v>1009.0624999999999</v>
      </c>
    </row>
    <row r="3231" spans="13:19">
      <c r="M3231" s="132">
        <f t="shared" ca="1" si="338"/>
        <v>1023.9828988299873</v>
      </c>
      <c r="N3231" s="38">
        <f t="shared" si="339"/>
        <v>30.281249999999996</v>
      </c>
      <c r="O3231" s="36">
        <f t="shared" si="337"/>
        <v>807.5</v>
      </c>
      <c r="P3231" s="38">
        <f ca="1">IF(ISERROR(IF(O3231&lt;fi_h/20,0,(OFFSET('Base de dados'!$A$5,IF(O3231&lt;20,1,IF(O3231&gt;1000,10,MATCH(O3231,Cargas,1))),Coluna_fih,1,1))*(1+0.13*0.25)*(PI()*(fi_h/1000)^2/4)*SQRT(2*9.81*(O3231/100-fi_h/2/1000))*1000)),"",IF(O3231&lt;fi_h/20,0,(OFFSET('Base de dados'!$A$5,IF(O3231&lt;20,1,IF(O3231&gt;1000,10,MATCH(O3231,Cargas,1))),Coluna_fih,1,1))*(PI()*(fi_h/1000)^2/4)*SQRT(2*9.81*(O3231/100-fi_h/2/1000))*1000))</f>
        <v>7.5982533832901691</v>
      </c>
      <c r="Q3231" s="38">
        <f ca="1">IF(O3231="","",IF(Tipo_Vertedor="Retangular",IF(O3231&lt;=cota_s*100,0,IF(Tipo_Vertedor="Retangular",Cd_sr*Lef_sr*((O3231/100-cota_s)^(3/2))*1000)),IF(O3231&lt;=cota_s*100+fi_s/20,0,(OFFSET('Base de dados'!$A$4,IF(O3231&lt;20,1,IF(O3231&gt;1000,10,MATCH(O3231,Cargas,1))),Coluna_fis,1,1))*(PI()*(fi_s/1000)^2/4)*(2*9.81*(O3231/100-cota_s-fi_s/2/1000))^0.5*1000)))</f>
        <v>7.0096454466973084</v>
      </c>
      <c r="R3231" s="38">
        <f t="shared" ca="1" si="340"/>
        <v>14.607898829987477</v>
      </c>
      <c r="S3231" s="38">
        <f t="shared" ca="1" si="341"/>
        <v>1009.3749999999999</v>
      </c>
    </row>
    <row r="3232" spans="13:19">
      <c r="M3232" s="132">
        <f t="shared" ca="1" si="338"/>
        <v>1024.2978551435863</v>
      </c>
      <c r="N3232" s="38">
        <f t="shared" si="339"/>
        <v>30.290625000000002</v>
      </c>
      <c r="O3232" s="36">
        <f t="shared" si="337"/>
        <v>807.75</v>
      </c>
      <c r="P3232" s="38">
        <f ca="1">IF(ISERROR(IF(O3232&lt;fi_h/20,0,(OFFSET('Base de dados'!$A$5,IF(O3232&lt;20,1,IF(O3232&gt;1000,10,MATCH(O3232,Cargas,1))),Coluna_fih,1,1))*(1+0.13*0.25)*(PI()*(fi_h/1000)^2/4)*SQRT(2*9.81*(O3232/100-fi_h/2/1000))*1000)),"",IF(O3232&lt;fi_h/20,0,(OFFSET('Base de dados'!$A$5,IF(O3232&lt;20,1,IF(O3232&gt;1000,10,MATCH(O3232,Cargas,1))),Coluna_fih,1,1))*(PI()*(fi_h/1000)^2/4)*SQRT(2*9.81*(O3232/100-fi_h/2/1000))*1000))</f>
        <v>7.599432061289586</v>
      </c>
      <c r="Q3232" s="38">
        <f ca="1">IF(O3232="","",IF(Tipo_Vertedor="Retangular",IF(O3232&lt;=cota_s*100,0,IF(Tipo_Vertedor="Retangular",Cd_sr*Lef_sr*((O3232/100-cota_s)^(3/2))*1000)),IF(O3232&lt;=cota_s*100+fi_s/20,0,(OFFSET('Base de dados'!$A$4,IF(O3232&lt;20,1,IF(O3232&gt;1000,10,MATCH(O3232,Cargas,1))),Coluna_fis,1,1))*(PI()*(fi_s/1000)^2/4)*(2*9.81*(O3232/100-cota_s-fi_s/2/1000))^0.5*1000)))</f>
        <v>7.0109230822966451</v>
      </c>
      <c r="R3232" s="38">
        <f t="shared" ca="1" si="340"/>
        <v>14.610355143586231</v>
      </c>
      <c r="S3232" s="38">
        <f t="shared" ca="1" si="341"/>
        <v>1009.6875000000001</v>
      </c>
    </row>
    <row r="3233" spans="13:19">
      <c r="M3233" s="132">
        <f t="shared" ca="1" si="338"/>
        <v>1024.6128110416118</v>
      </c>
      <c r="N3233" s="38">
        <f t="shared" si="339"/>
        <v>30.3</v>
      </c>
      <c r="O3233" s="36">
        <f t="shared" si="337"/>
        <v>808</v>
      </c>
      <c r="P3233" s="38">
        <f ca="1">IF(ISERROR(IF(O3233&lt;fi_h/20,0,(OFFSET('Base de dados'!$A$5,IF(O3233&lt;20,1,IF(O3233&gt;1000,10,MATCH(O3233,Cargas,1))),Coluna_fih,1,1))*(1+0.13*0.25)*(PI()*(fi_h/1000)^2/4)*SQRT(2*9.81*(O3233/100-fi_h/2/1000))*1000)),"",IF(O3233&lt;fi_h/20,0,(OFFSET('Base de dados'!$A$5,IF(O3233&lt;20,1,IF(O3233&gt;1000,10,MATCH(O3233,Cargas,1))),Coluna_fih,1,1))*(PI()*(fi_h/1000)^2/4)*SQRT(2*9.81*(O3233/100-fi_h/2/1000))*1000))</f>
        <v>7.6006105565034492</v>
      </c>
      <c r="Q3233" s="38">
        <f ca="1">IF(O3233="","",IF(Tipo_Vertedor="Retangular",IF(O3233&lt;=cota_s*100,0,IF(Tipo_Vertedor="Retangular",Cd_sr*Lef_sr*((O3233/100-cota_s)^(3/2))*1000)),IF(O3233&lt;=cota_s*100+fi_s/20,0,(OFFSET('Base de dados'!$A$4,IF(O3233&lt;20,1,IF(O3233&gt;1000,10,MATCH(O3233,Cargas,1))),Coluna_fis,1,1))*(PI()*(fi_s/1000)^2/4)*(2*9.81*(O3233/100-cota_s-fi_s/2/1000))^0.5*1000)))</f>
        <v>7.0122004851084707</v>
      </c>
      <c r="R3233" s="38">
        <f t="shared" ca="1" si="340"/>
        <v>14.61281104161192</v>
      </c>
      <c r="S3233" s="38">
        <f t="shared" ca="1" si="341"/>
        <v>1010</v>
      </c>
    </row>
    <row r="3234" spans="13:19">
      <c r="M3234" s="132">
        <f t="shared" ca="1" si="338"/>
        <v>1024.9277665242766</v>
      </c>
      <c r="N3234" s="38">
        <f t="shared" si="339"/>
        <v>30.309374999999999</v>
      </c>
      <c r="O3234" s="36">
        <f t="shared" si="337"/>
        <v>808.25</v>
      </c>
      <c r="P3234" s="38">
        <f ca="1">IF(ISERROR(IF(O3234&lt;fi_h/20,0,(OFFSET('Base de dados'!$A$5,IF(O3234&lt;20,1,IF(O3234&gt;1000,10,MATCH(O3234,Cargas,1))),Coluna_fih,1,1))*(1+0.13*0.25)*(PI()*(fi_h/1000)^2/4)*SQRT(2*9.81*(O3234/100-fi_h/2/1000))*1000)),"",IF(O3234&lt;fi_h/20,0,(OFFSET('Base de dados'!$A$5,IF(O3234&lt;20,1,IF(O3234&gt;1000,10,MATCH(O3234,Cargas,1))),Coluna_fih,1,1))*(PI()*(fi_h/1000)^2/4)*SQRT(2*9.81*(O3234/100-fi_h/2/1000))*1000))</f>
        <v>7.6017888690167679</v>
      </c>
      <c r="Q3234" s="38">
        <f ca="1">IF(O3234="","",IF(Tipo_Vertedor="Retangular",IF(O3234&lt;=cota_s*100,0,IF(Tipo_Vertedor="Retangular",Cd_sr*Lef_sr*((O3234/100-cota_s)^(3/2))*1000)),IF(O3234&lt;=cota_s*100+fi_s/20,0,(OFFSET('Base de dados'!$A$4,IF(O3234&lt;20,1,IF(O3234&gt;1000,10,MATCH(O3234,Cargas,1))),Coluna_fis,1,1))*(PI()*(fi_s/1000)^2/4)*(2*9.81*(O3234/100-cota_s-fi_s/2/1000))^0.5*1000)))</f>
        <v>7.0134776552599813</v>
      </c>
      <c r="R3234" s="38">
        <f t="shared" ca="1" si="340"/>
        <v>14.615266524276748</v>
      </c>
      <c r="S3234" s="38">
        <f t="shared" ca="1" si="341"/>
        <v>1010.3125</v>
      </c>
    </row>
    <row r="3235" spans="13:19">
      <c r="M3235" s="132">
        <f t="shared" ca="1" si="338"/>
        <v>1025.2427215917928</v>
      </c>
      <c r="N3235" s="38">
        <f t="shared" si="339"/>
        <v>30.318750000000001</v>
      </c>
      <c r="O3235" s="36">
        <f t="shared" si="337"/>
        <v>808.5</v>
      </c>
      <c r="P3235" s="38">
        <f ca="1">IF(ISERROR(IF(O3235&lt;fi_h/20,0,(OFFSET('Base de dados'!$A$5,IF(O3235&lt;20,1,IF(O3235&gt;1000,10,MATCH(O3235,Cargas,1))),Coluna_fih,1,1))*(1+0.13*0.25)*(PI()*(fi_h/1000)^2/4)*SQRT(2*9.81*(O3235/100-fi_h/2/1000))*1000)),"",IF(O3235&lt;fi_h/20,0,(OFFSET('Base de dados'!$A$5,IF(O3235&lt;20,1,IF(O3235&gt;1000,10,MATCH(O3235,Cargas,1))),Coluna_fih,1,1))*(PI()*(fi_h/1000)^2/4)*SQRT(2*9.81*(O3235/100-fi_h/2/1000))*1000))</f>
        <v>7.6029669989144901</v>
      </c>
      <c r="Q3235" s="38">
        <f ca="1">IF(O3235="","",IF(Tipo_Vertedor="Retangular",IF(O3235&lt;=cota_s*100,0,IF(Tipo_Vertedor="Retangular",Cd_sr*Lef_sr*((O3235/100-cota_s)^(3/2))*1000)),IF(O3235&lt;=cota_s*100+fi_s/20,0,(OFFSET('Base de dados'!$A$4,IF(O3235&lt;20,1,IF(O3235&gt;1000,10,MATCH(O3235,Cargas,1))),Coluna_fis,1,1))*(PI()*(fi_s/1000)^2/4)*(2*9.81*(O3235/100-cota_s-fi_s/2/1000))^0.5*1000)))</f>
        <v>7.0147545928782584</v>
      </c>
      <c r="R3235" s="38">
        <f t="shared" ca="1" si="340"/>
        <v>14.617721591792748</v>
      </c>
      <c r="S3235" s="38">
        <f t="shared" ca="1" si="341"/>
        <v>1010.625</v>
      </c>
    </row>
    <row r="3236" spans="13:19">
      <c r="M3236" s="132">
        <f t="shared" ca="1" si="338"/>
        <v>1025.5576762443718</v>
      </c>
      <c r="N3236" s="38">
        <f t="shared" si="339"/>
        <v>30.328125</v>
      </c>
      <c r="O3236" s="36">
        <f t="shared" si="337"/>
        <v>808.75</v>
      </c>
      <c r="P3236" s="38">
        <f ca="1">IF(ISERROR(IF(O3236&lt;fi_h/20,0,(OFFSET('Base de dados'!$A$5,IF(O3236&lt;20,1,IF(O3236&gt;1000,10,MATCH(O3236,Cargas,1))),Coluna_fih,1,1))*(1+0.13*0.25)*(PI()*(fi_h/1000)^2/4)*SQRT(2*9.81*(O3236/100-fi_h/2/1000))*1000)),"",IF(O3236&lt;fi_h/20,0,(OFFSET('Base de dados'!$A$5,IF(O3236&lt;20,1,IF(O3236&gt;1000,10,MATCH(O3236,Cargas,1))),Coluna_fih,1,1))*(PI()*(fi_h/1000)^2/4)*SQRT(2*9.81*(O3236/100-fi_h/2/1000))*1000))</f>
        <v>7.6041449462814956</v>
      </c>
      <c r="Q3236" s="38">
        <f ca="1">IF(O3236="","",IF(Tipo_Vertedor="Retangular",IF(O3236&lt;=cota_s*100,0,IF(Tipo_Vertedor="Retangular",Cd_sr*Lef_sr*((O3236/100-cota_s)^(3/2))*1000)),IF(O3236&lt;=cota_s*100+fi_s/20,0,(OFFSET('Base de dados'!$A$4,IF(O3236&lt;20,1,IF(O3236&gt;1000,10,MATCH(O3236,Cargas,1))),Coluna_fis,1,1))*(PI()*(fi_s/1000)^2/4)*(2*9.81*(O3236/100-cota_s-fi_s/2/1000))^0.5*1000)))</f>
        <v>7.016031298090267</v>
      </c>
      <c r="R3236" s="38">
        <f t="shared" ca="1" si="340"/>
        <v>14.620176244371763</v>
      </c>
      <c r="S3236" s="38">
        <f t="shared" ca="1" si="341"/>
        <v>1010.9375</v>
      </c>
    </row>
    <row r="3237" spans="13:19">
      <c r="M3237" s="132">
        <f t="shared" ca="1" si="338"/>
        <v>1025.8726304822255</v>
      </c>
      <c r="N3237" s="38">
        <f t="shared" si="339"/>
        <v>30.337499999999999</v>
      </c>
      <c r="O3237" s="36">
        <f t="shared" si="337"/>
        <v>809</v>
      </c>
      <c r="P3237" s="38">
        <f ca="1">IF(ISERROR(IF(O3237&lt;fi_h/20,0,(OFFSET('Base de dados'!$A$5,IF(O3237&lt;20,1,IF(O3237&gt;1000,10,MATCH(O3237,Cargas,1))),Coluna_fih,1,1))*(1+0.13*0.25)*(PI()*(fi_h/1000)^2/4)*SQRT(2*9.81*(O3237/100-fi_h/2/1000))*1000)),"",IF(O3237&lt;fi_h/20,0,(OFFSET('Base de dados'!$A$5,IF(O3237&lt;20,1,IF(O3237&gt;1000,10,MATCH(O3237,Cargas,1))),Coluna_fih,1,1))*(PI()*(fi_h/1000)^2/4)*SQRT(2*9.81*(O3237/100-fi_h/2/1000))*1000))</f>
        <v>7.605322711202593</v>
      </c>
      <c r="Q3237" s="38">
        <f ca="1">IF(O3237="","",IF(Tipo_Vertedor="Retangular",IF(O3237&lt;=cota_s*100,0,IF(Tipo_Vertedor="Retangular",Cd_sr*Lef_sr*((O3237/100-cota_s)^(3/2))*1000)),IF(O3237&lt;=cota_s*100+fi_s/20,0,(OFFSET('Base de dados'!$A$4,IF(O3237&lt;20,1,IF(O3237&gt;1000,10,MATCH(O3237,Cargas,1))),Coluna_fis,1,1))*(PI()*(fi_s/1000)^2/4)*(2*9.81*(O3237/100-cota_s-fi_s/2/1000))^0.5*1000)))</f>
        <v>7.017307771022856</v>
      </c>
      <c r="R3237" s="38">
        <f t="shared" ca="1" si="340"/>
        <v>14.62263048222545</v>
      </c>
      <c r="S3237" s="38">
        <f t="shared" ca="1" si="341"/>
        <v>1011.25</v>
      </c>
    </row>
    <row r="3238" spans="13:19">
      <c r="M3238" s="132">
        <f t="shared" ca="1" si="338"/>
        <v>1026.1875843055652</v>
      </c>
      <c r="N3238" s="38">
        <f t="shared" si="339"/>
        <v>30.346874999999997</v>
      </c>
      <c r="O3238" s="36">
        <f t="shared" si="337"/>
        <v>809.25</v>
      </c>
      <c r="P3238" s="38">
        <f ca="1">IF(ISERROR(IF(O3238&lt;fi_h/20,0,(OFFSET('Base de dados'!$A$5,IF(O3238&lt;20,1,IF(O3238&gt;1000,10,MATCH(O3238,Cargas,1))),Coluna_fih,1,1))*(1+0.13*0.25)*(PI()*(fi_h/1000)^2/4)*SQRT(2*9.81*(O3238/100-fi_h/2/1000))*1000)),"",IF(O3238&lt;fi_h/20,0,(OFFSET('Base de dados'!$A$5,IF(O3238&lt;20,1,IF(O3238&gt;1000,10,MATCH(O3238,Cargas,1))),Coluna_fih,1,1))*(PI()*(fi_h/1000)^2/4)*SQRT(2*9.81*(O3238/100-fi_h/2/1000))*1000))</f>
        <v>7.6065002937625348</v>
      </c>
      <c r="Q3238" s="38">
        <f ca="1">IF(O3238="","",IF(Tipo_Vertedor="Retangular",IF(O3238&lt;=cota_s*100,0,IF(Tipo_Vertedor="Retangular",Cd_sr*Lef_sr*((O3238/100-cota_s)^(3/2))*1000)),IF(O3238&lt;=cota_s*100+fi_s/20,0,(OFFSET('Base de dados'!$A$4,IF(O3238&lt;20,1,IF(O3238&gt;1000,10,MATCH(O3238,Cargas,1))),Coluna_fis,1,1))*(PI()*(fi_s/1000)^2/4)*(2*9.81*(O3238/100-cota_s-fi_s/2/1000))^0.5*1000)))</f>
        <v>7.0185840118027603</v>
      </c>
      <c r="R3238" s="38">
        <f t="shared" ca="1" si="340"/>
        <v>14.625084305565295</v>
      </c>
      <c r="S3238" s="38">
        <f t="shared" ca="1" si="341"/>
        <v>1011.5624999999999</v>
      </c>
    </row>
    <row r="3239" spans="13:19">
      <c r="M3239" s="132">
        <f t="shared" ca="1" si="338"/>
        <v>1026.5025377146028</v>
      </c>
      <c r="N3239" s="38">
        <f t="shared" si="339"/>
        <v>30.356250000000003</v>
      </c>
      <c r="O3239" s="36">
        <f t="shared" si="337"/>
        <v>809.5</v>
      </c>
      <c r="P3239" s="38">
        <f ca="1">IF(ISERROR(IF(O3239&lt;fi_h/20,0,(OFFSET('Base de dados'!$A$5,IF(O3239&lt;20,1,IF(O3239&gt;1000,10,MATCH(O3239,Cargas,1))),Coluna_fih,1,1))*(1+0.13*0.25)*(PI()*(fi_h/1000)^2/4)*SQRT(2*9.81*(O3239/100-fi_h/2/1000))*1000)),"",IF(O3239&lt;fi_h/20,0,(OFFSET('Base de dados'!$A$5,IF(O3239&lt;20,1,IF(O3239&gt;1000,10,MATCH(O3239,Cargas,1))),Coluna_fih,1,1))*(PI()*(fi_h/1000)^2/4)*SQRT(2*9.81*(O3239/100-fi_h/2/1000))*1000))</f>
        <v>7.6076776940460036</v>
      </c>
      <c r="Q3239" s="38">
        <f ca="1">IF(O3239="","",IF(Tipo_Vertedor="Retangular",IF(O3239&lt;=cota_s*100,0,IF(Tipo_Vertedor="Retangular",Cd_sr*Lef_sr*((O3239/100-cota_s)^(3/2))*1000)),IF(O3239&lt;=cota_s*100+fi_s/20,0,(OFFSET('Base de dados'!$A$4,IF(O3239&lt;20,1,IF(O3239&gt;1000,10,MATCH(O3239,Cargas,1))),Coluna_fis,1,1))*(PI()*(fi_s/1000)^2/4)*(2*9.81*(O3239/100-cota_s-fi_s/2/1000))^0.5*1000)))</f>
        <v>7.0198600205566013</v>
      </c>
      <c r="R3239" s="38">
        <f t="shared" ca="1" si="340"/>
        <v>14.627537714602605</v>
      </c>
      <c r="S3239" s="38">
        <f t="shared" ca="1" si="341"/>
        <v>1011.8750000000001</v>
      </c>
    </row>
    <row r="3240" spans="13:19">
      <c r="M3240" s="132">
        <f t="shared" ca="1" si="338"/>
        <v>1026.8174907095486</v>
      </c>
      <c r="N3240" s="38">
        <f t="shared" si="339"/>
        <v>30.365625000000001</v>
      </c>
      <c r="O3240" s="36">
        <f t="shared" si="337"/>
        <v>809.75</v>
      </c>
      <c r="P3240" s="38">
        <f ca="1">IF(ISERROR(IF(O3240&lt;fi_h/20,0,(OFFSET('Base de dados'!$A$5,IF(O3240&lt;20,1,IF(O3240&gt;1000,10,MATCH(O3240,Cargas,1))),Coluna_fih,1,1))*(1+0.13*0.25)*(PI()*(fi_h/1000)^2/4)*SQRT(2*9.81*(O3240/100-fi_h/2/1000))*1000)),"",IF(O3240&lt;fi_h/20,0,(OFFSET('Base de dados'!$A$5,IF(O3240&lt;20,1,IF(O3240&gt;1000,10,MATCH(O3240,Cargas,1))),Coluna_fih,1,1))*(PI()*(fi_h/1000)^2/4)*SQRT(2*9.81*(O3240/100-fi_h/2/1000))*1000))</f>
        <v>7.6088549121376134</v>
      </c>
      <c r="Q3240" s="38">
        <f ca="1">IF(O3240="","",IF(Tipo_Vertedor="Retangular",IF(O3240&lt;=cota_s*100,0,IF(Tipo_Vertedor="Retangular",Cd_sr*Lef_sr*((O3240/100-cota_s)^(3/2))*1000)),IF(O3240&lt;=cota_s*100+fi_s/20,0,(OFFSET('Base de dados'!$A$4,IF(O3240&lt;20,1,IF(O3240&gt;1000,10,MATCH(O3240,Cargas,1))),Coluna_fis,1,1))*(PI()*(fi_s/1000)^2/4)*(2*9.81*(O3240/100-cota_s-fi_s/2/1000))^0.5*1000)))</f>
        <v>7.0211357974108779</v>
      </c>
      <c r="R3240" s="38">
        <f t="shared" ca="1" si="340"/>
        <v>14.62999070954849</v>
      </c>
      <c r="S3240" s="38">
        <f t="shared" ca="1" si="341"/>
        <v>1012.1875</v>
      </c>
    </row>
    <row r="3241" spans="13:19">
      <c r="M3241" s="132">
        <f t="shared" ca="1" si="338"/>
        <v>1027.132443290614</v>
      </c>
      <c r="N3241" s="38">
        <f t="shared" si="339"/>
        <v>30.375</v>
      </c>
      <c r="O3241" s="36">
        <f t="shared" si="337"/>
        <v>810</v>
      </c>
      <c r="P3241" s="38">
        <f ca="1">IF(ISERROR(IF(O3241&lt;fi_h/20,0,(OFFSET('Base de dados'!$A$5,IF(O3241&lt;20,1,IF(O3241&gt;1000,10,MATCH(O3241,Cargas,1))),Coluna_fih,1,1))*(1+0.13*0.25)*(PI()*(fi_h/1000)^2/4)*SQRT(2*9.81*(O3241/100-fi_h/2/1000))*1000)),"",IF(O3241&lt;fi_h/20,0,(OFFSET('Base de dados'!$A$5,IF(O3241&lt;20,1,IF(O3241&gt;1000,10,MATCH(O3241,Cargas,1))),Coluna_fih,1,1))*(PI()*(fi_h/1000)^2/4)*SQRT(2*9.81*(O3241/100-fi_h/2/1000))*1000))</f>
        <v>7.6100319481219163</v>
      </c>
      <c r="Q3241" s="38">
        <f ca="1">IF(O3241="","",IF(Tipo_Vertedor="Retangular",IF(O3241&lt;=cota_s*100,0,IF(Tipo_Vertedor="Retangular",Cd_sr*Lef_sr*((O3241/100-cota_s)^(3/2))*1000)),IF(O3241&lt;=cota_s*100+fi_s/20,0,(OFFSET('Base de dados'!$A$4,IF(O3241&lt;20,1,IF(O3241&gt;1000,10,MATCH(O3241,Cargas,1))),Coluna_fis,1,1))*(PI()*(fi_s/1000)^2/4)*(2*9.81*(O3241/100-cota_s-fi_s/2/1000))^0.5*1000)))</f>
        <v>7.022411342491985</v>
      </c>
      <c r="R3241" s="38">
        <f t="shared" ca="1" si="340"/>
        <v>14.632443290613901</v>
      </c>
      <c r="S3241" s="38">
        <f t="shared" ca="1" si="341"/>
        <v>1012.5</v>
      </c>
    </row>
    <row r="3242" spans="13:19">
      <c r="M3242" s="132">
        <f t="shared" ca="1" si="338"/>
        <v>1027.4473954580096</v>
      </c>
      <c r="N3242" s="38">
        <f t="shared" si="339"/>
        <v>30.384374999999999</v>
      </c>
      <c r="O3242" s="36">
        <f t="shared" si="337"/>
        <v>810.25</v>
      </c>
      <c r="P3242" s="38">
        <f ca="1">IF(ISERROR(IF(O3242&lt;fi_h/20,0,(OFFSET('Base de dados'!$A$5,IF(O3242&lt;20,1,IF(O3242&gt;1000,10,MATCH(O3242,Cargas,1))),Coluna_fih,1,1))*(1+0.13*0.25)*(PI()*(fi_h/1000)^2/4)*SQRT(2*9.81*(O3242/100-fi_h/2/1000))*1000)),"",IF(O3242&lt;fi_h/20,0,(OFFSET('Base de dados'!$A$5,IF(O3242&lt;20,1,IF(O3242&gt;1000,10,MATCH(O3242,Cargas,1))),Coluna_fih,1,1))*(PI()*(fi_h/1000)^2/4)*SQRT(2*9.81*(O3242/100-fi_h/2/1000))*1000))</f>
        <v>7.6112088020834001</v>
      </c>
      <c r="Q3242" s="38">
        <f ca="1">IF(O3242="","",IF(Tipo_Vertedor="Retangular",IF(O3242&lt;=cota_s*100,0,IF(Tipo_Vertedor="Retangular",Cd_sr*Lef_sr*((O3242/100-cota_s)^(3/2))*1000)),IF(O3242&lt;=cota_s*100+fi_s/20,0,(OFFSET('Base de dados'!$A$4,IF(O3242&lt;20,1,IF(O3242&gt;1000,10,MATCH(O3242,Cargas,1))),Coluna_fis,1,1))*(PI()*(fi_s/1000)^2/4)*(2*9.81*(O3242/100-cota_s-fi_s/2/1000))^0.5*1000)))</f>
        <v>7.0236866559261921</v>
      </c>
      <c r="R3242" s="38">
        <f t="shared" ca="1" si="340"/>
        <v>14.634895458009591</v>
      </c>
      <c r="S3242" s="38">
        <f t="shared" ca="1" si="341"/>
        <v>1012.8125</v>
      </c>
    </row>
    <row r="3243" spans="13:19">
      <c r="M3243" s="132">
        <f t="shared" ca="1" si="338"/>
        <v>1027.7623472119462</v>
      </c>
      <c r="N3243" s="38">
        <f t="shared" si="339"/>
        <v>30.393750000000001</v>
      </c>
      <c r="O3243" s="36">
        <f t="shared" si="337"/>
        <v>810.5</v>
      </c>
      <c r="P3243" s="38">
        <f ca="1">IF(ISERROR(IF(O3243&lt;fi_h/20,0,(OFFSET('Base de dados'!$A$5,IF(O3243&lt;20,1,IF(O3243&gt;1000,10,MATCH(O3243,Cargas,1))),Coluna_fih,1,1))*(1+0.13*0.25)*(PI()*(fi_h/1000)^2/4)*SQRT(2*9.81*(O3243/100-fi_h/2/1000))*1000)),"",IF(O3243&lt;fi_h/20,0,(OFFSET('Base de dados'!$A$5,IF(O3243&lt;20,1,IF(O3243&gt;1000,10,MATCH(O3243,Cargas,1))),Coluna_fih,1,1))*(PI()*(fi_h/1000)^2/4)*SQRT(2*9.81*(O3243/100-fi_h/2/1000))*1000))</f>
        <v>7.6123854741064862</v>
      </c>
      <c r="Q3243" s="38">
        <f ca="1">IF(O3243="","",IF(Tipo_Vertedor="Retangular",IF(O3243&lt;=cota_s*100,0,IF(Tipo_Vertedor="Retangular",Cd_sr*Lef_sr*((O3243/100-cota_s)^(3/2))*1000)),IF(O3243&lt;=cota_s*100+fi_s/20,0,(OFFSET('Base de dados'!$A$4,IF(O3243&lt;20,1,IF(O3243&gt;1000,10,MATCH(O3243,Cargas,1))),Coluna_fis,1,1))*(PI()*(fi_s/1000)^2/4)*(2*9.81*(O3243/100-cota_s-fi_s/2/1000))^0.5*1000)))</f>
        <v>7.0249617378396607</v>
      </c>
      <c r="R3243" s="38">
        <f t="shared" ca="1" si="340"/>
        <v>14.637347211946146</v>
      </c>
      <c r="S3243" s="38">
        <f t="shared" ca="1" si="341"/>
        <v>1013.125</v>
      </c>
    </row>
    <row r="3244" spans="13:19">
      <c r="M3244" s="132">
        <f t="shared" ca="1" si="338"/>
        <v>1028.0772985526339</v>
      </c>
      <c r="N3244" s="38">
        <f t="shared" si="339"/>
        <v>30.403124999999999</v>
      </c>
      <c r="O3244" s="36">
        <f t="shared" si="337"/>
        <v>810.75</v>
      </c>
      <c r="P3244" s="38">
        <f ca="1">IF(ISERROR(IF(O3244&lt;fi_h/20,0,(OFFSET('Base de dados'!$A$5,IF(O3244&lt;20,1,IF(O3244&gt;1000,10,MATCH(O3244,Cargas,1))),Coluna_fih,1,1))*(1+0.13*0.25)*(PI()*(fi_h/1000)^2/4)*SQRT(2*9.81*(O3244/100-fi_h/2/1000))*1000)),"",IF(O3244&lt;fi_h/20,0,(OFFSET('Base de dados'!$A$5,IF(O3244&lt;20,1,IF(O3244&gt;1000,10,MATCH(O3244,Cargas,1))),Coluna_fih,1,1))*(PI()*(fi_h/1000)^2/4)*SQRT(2*9.81*(O3244/100-fi_h/2/1000))*1000))</f>
        <v>7.613561964275525</v>
      </c>
      <c r="Q3244" s="38">
        <f ca="1">IF(O3244="","",IF(Tipo_Vertedor="Retangular",IF(O3244&lt;=cota_s*100,0,IF(Tipo_Vertedor="Retangular",Cd_sr*Lef_sr*((O3244/100-cota_s)^(3/2))*1000)),IF(O3244&lt;=cota_s*100+fi_s/20,0,(OFFSET('Base de dados'!$A$4,IF(O3244&lt;20,1,IF(O3244&gt;1000,10,MATCH(O3244,Cargas,1))),Coluna_fis,1,1))*(PI()*(fi_s/1000)^2/4)*(2*9.81*(O3244/100-cota_s-fi_s/2/1000))^0.5*1000)))</f>
        <v>7.0262365883584366</v>
      </c>
      <c r="R3244" s="38">
        <f t="shared" ca="1" si="340"/>
        <v>14.639798552633962</v>
      </c>
      <c r="S3244" s="38">
        <f t="shared" ca="1" si="341"/>
        <v>1013.4375</v>
      </c>
    </row>
    <row r="3245" spans="13:19">
      <c r="M3245" s="132">
        <f t="shared" ca="1" si="338"/>
        <v>1028.3922494802832</v>
      </c>
      <c r="N3245" s="38">
        <f t="shared" si="339"/>
        <v>30.412499999999998</v>
      </c>
      <c r="O3245" s="36">
        <f t="shared" si="337"/>
        <v>811</v>
      </c>
      <c r="P3245" s="38">
        <f ca="1">IF(ISERROR(IF(O3245&lt;fi_h/20,0,(OFFSET('Base de dados'!$A$5,IF(O3245&lt;20,1,IF(O3245&gt;1000,10,MATCH(O3245,Cargas,1))),Coluna_fih,1,1))*(1+0.13*0.25)*(PI()*(fi_h/1000)^2/4)*SQRT(2*9.81*(O3245/100-fi_h/2/1000))*1000)),"",IF(O3245&lt;fi_h/20,0,(OFFSET('Base de dados'!$A$5,IF(O3245&lt;20,1,IF(O3245&gt;1000,10,MATCH(O3245,Cargas,1))),Coluna_fih,1,1))*(PI()*(fi_h/1000)^2/4)*SQRT(2*9.81*(O3245/100-fi_h/2/1000))*1000))</f>
        <v>7.6147382726748098</v>
      </c>
      <c r="Q3245" s="38">
        <f ca="1">IF(O3245="","",IF(Tipo_Vertedor="Retangular",IF(O3245&lt;=cota_s*100,0,IF(Tipo_Vertedor="Retangular",Cd_sr*Lef_sr*((O3245/100-cota_s)^(3/2))*1000)),IF(O3245&lt;=cota_s*100+fi_s/20,0,(OFFSET('Base de dados'!$A$4,IF(O3245&lt;20,1,IF(O3245&gt;1000,10,MATCH(O3245,Cargas,1))),Coluna_fis,1,1))*(PI()*(fi_s/1000)^2/4)*(2*9.81*(O3245/100-cota_s-fi_s/2/1000))^0.5*1000)))</f>
        <v>7.0275112076084492</v>
      </c>
      <c r="R3245" s="38">
        <f t="shared" ca="1" si="340"/>
        <v>14.642249480283258</v>
      </c>
      <c r="S3245" s="38">
        <f t="shared" ca="1" si="341"/>
        <v>1013.7499999999999</v>
      </c>
    </row>
    <row r="3246" spans="13:19">
      <c r="M3246" s="132">
        <f t="shared" ca="1" si="338"/>
        <v>1028.7071999951042</v>
      </c>
      <c r="N3246" s="38">
        <f t="shared" si="339"/>
        <v>30.421875000000004</v>
      </c>
      <c r="O3246" s="36">
        <f t="shared" si="337"/>
        <v>811.25</v>
      </c>
      <c r="P3246" s="38">
        <f ca="1">IF(ISERROR(IF(O3246&lt;fi_h/20,0,(OFFSET('Base de dados'!$A$5,IF(O3246&lt;20,1,IF(O3246&gt;1000,10,MATCH(O3246,Cargas,1))),Coluna_fih,1,1))*(1+0.13*0.25)*(PI()*(fi_h/1000)^2/4)*SQRT(2*9.81*(O3246/100-fi_h/2/1000))*1000)),"",IF(O3246&lt;fi_h/20,0,(OFFSET('Base de dados'!$A$5,IF(O3246&lt;20,1,IF(O3246&gt;1000,10,MATCH(O3246,Cargas,1))),Coluna_fih,1,1))*(PI()*(fi_h/1000)^2/4)*SQRT(2*9.81*(O3246/100-fi_h/2/1000))*1000))</f>
        <v>7.6159143993885685</v>
      </c>
      <c r="Q3246" s="38">
        <f ca="1">IF(O3246="","",IF(Tipo_Vertedor="Retangular",IF(O3246&lt;=cota_s*100,0,IF(Tipo_Vertedor="Retangular",Cd_sr*Lef_sr*((O3246/100-cota_s)^(3/2))*1000)),IF(O3246&lt;=cota_s*100+fi_s/20,0,(OFFSET('Base de dados'!$A$4,IF(O3246&lt;20,1,IF(O3246&gt;1000,10,MATCH(O3246,Cargas,1))),Coluna_fis,1,1))*(PI()*(fi_s/1000)^2/4)*(2*9.81*(O3246/100-cota_s-fi_s/2/1000))^0.5*1000)))</f>
        <v>7.0287855957155188</v>
      </c>
      <c r="R3246" s="38">
        <f t="shared" ca="1" si="340"/>
        <v>14.644699995104087</v>
      </c>
      <c r="S3246" s="38">
        <f t="shared" ca="1" si="341"/>
        <v>1014.0625000000001</v>
      </c>
    </row>
    <row r="3247" spans="13:19">
      <c r="M3247" s="132">
        <f t="shared" ca="1" si="338"/>
        <v>1029.0221500973064</v>
      </c>
      <c r="N3247" s="38">
        <f t="shared" si="339"/>
        <v>30.431250000000002</v>
      </c>
      <c r="O3247" s="36">
        <f t="shared" si="337"/>
        <v>811.5</v>
      </c>
      <c r="P3247" s="38">
        <f ca="1">IF(ISERROR(IF(O3247&lt;fi_h/20,0,(OFFSET('Base de dados'!$A$5,IF(O3247&lt;20,1,IF(O3247&gt;1000,10,MATCH(O3247,Cargas,1))),Coluna_fih,1,1))*(1+0.13*0.25)*(PI()*(fi_h/1000)^2/4)*SQRT(2*9.81*(O3247/100-fi_h/2/1000))*1000)),"",IF(O3247&lt;fi_h/20,0,(OFFSET('Base de dados'!$A$5,IF(O3247&lt;20,1,IF(O3247&gt;1000,10,MATCH(O3247,Cargas,1))),Coluna_fih,1,1))*(PI()*(fi_h/1000)^2/4)*SQRT(2*9.81*(O3247/100-fi_h/2/1000))*1000))</f>
        <v>7.6170903445009577</v>
      </c>
      <c r="Q3247" s="38">
        <f ca="1">IF(O3247="","",IF(Tipo_Vertedor="Retangular",IF(O3247&lt;=cota_s*100,0,IF(Tipo_Vertedor="Retangular",Cd_sr*Lef_sr*((O3247/100-cota_s)^(3/2))*1000)),IF(O3247&lt;=cota_s*100+fi_s/20,0,(OFFSET('Base de dados'!$A$4,IF(O3247&lt;20,1,IF(O3247&gt;1000,10,MATCH(O3247,Cargas,1))),Coluna_fis,1,1))*(PI()*(fi_s/1000)^2/4)*(2*9.81*(O3247/100-cota_s-fi_s/2/1000))^0.5*1000)))</f>
        <v>7.030059752805343</v>
      </c>
      <c r="R3247" s="38">
        <f t="shared" ca="1" si="340"/>
        <v>14.647150097306302</v>
      </c>
      <c r="S3247" s="38">
        <f t="shared" ca="1" si="341"/>
        <v>1014.3750000000001</v>
      </c>
    </row>
    <row r="3248" spans="13:19">
      <c r="M3248" s="132">
        <f t="shared" ca="1" si="338"/>
        <v>1029.3370997870995</v>
      </c>
      <c r="N3248" s="38">
        <f t="shared" si="339"/>
        <v>30.440624999999997</v>
      </c>
      <c r="O3248" s="36">
        <f t="shared" si="337"/>
        <v>811.75</v>
      </c>
      <c r="P3248" s="38">
        <f ca="1">IF(ISERROR(IF(O3248&lt;fi_h/20,0,(OFFSET('Base de dados'!$A$5,IF(O3248&lt;20,1,IF(O3248&gt;1000,10,MATCH(O3248,Cargas,1))),Coluna_fih,1,1))*(1+0.13*0.25)*(PI()*(fi_h/1000)^2/4)*SQRT(2*9.81*(O3248/100-fi_h/2/1000))*1000)),"",IF(O3248&lt;fi_h/20,0,(OFFSET('Base de dados'!$A$5,IF(O3248&lt;20,1,IF(O3248&gt;1000,10,MATCH(O3248,Cargas,1))),Coluna_fih,1,1))*(PI()*(fi_h/1000)^2/4)*SQRT(2*9.81*(O3248/100-fi_h/2/1000))*1000))</f>
        <v>7.6182661080960736</v>
      </c>
      <c r="Q3248" s="38">
        <f ca="1">IF(O3248="","",IF(Tipo_Vertedor="Retangular",IF(O3248&lt;=cota_s*100,0,IF(Tipo_Vertedor="Retangular",Cd_sr*Lef_sr*((O3248/100-cota_s)^(3/2))*1000)),IF(O3248&lt;=cota_s*100+fi_s/20,0,(OFFSET('Base de dados'!$A$4,IF(O3248&lt;20,1,IF(O3248&gt;1000,10,MATCH(O3248,Cargas,1))),Coluna_fis,1,1))*(PI()*(fi_s/1000)^2/4)*(2*9.81*(O3248/100-cota_s-fi_s/2/1000))^0.5*1000)))</f>
        <v>7.0313336790035139</v>
      </c>
      <c r="R3248" s="38">
        <f t="shared" ca="1" si="340"/>
        <v>14.649599787099588</v>
      </c>
      <c r="S3248" s="38">
        <f t="shared" ca="1" si="341"/>
        <v>1014.6874999999999</v>
      </c>
    </row>
    <row r="3249" spans="13:19">
      <c r="M3249" s="132">
        <f t="shared" ca="1" si="338"/>
        <v>1029.6520490646933</v>
      </c>
      <c r="N3249" s="38">
        <f t="shared" si="339"/>
        <v>30.449999999999996</v>
      </c>
      <c r="O3249" s="36">
        <f t="shared" si="337"/>
        <v>812</v>
      </c>
      <c r="P3249" s="38">
        <f ca="1">IF(ISERROR(IF(O3249&lt;fi_h/20,0,(OFFSET('Base de dados'!$A$5,IF(O3249&lt;20,1,IF(O3249&gt;1000,10,MATCH(O3249,Cargas,1))),Coluna_fih,1,1))*(1+0.13*0.25)*(PI()*(fi_h/1000)^2/4)*SQRT(2*9.81*(O3249/100-fi_h/2/1000))*1000)),"",IF(O3249&lt;fi_h/20,0,(OFFSET('Base de dados'!$A$5,IF(O3249&lt;20,1,IF(O3249&gt;1000,10,MATCH(O3249,Cargas,1))),Coluna_fih,1,1))*(PI()*(fi_h/1000)^2/4)*SQRT(2*9.81*(O3249/100-fi_h/2/1000))*1000))</f>
        <v>7.6194416902579469</v>
      </c>
      <c r="Q3249" s="38">
        <f ca="1">IF(O3249="","",IF(Tipo_Vertedor="Retangular",IF(O3249&lt;=cota_s*100,0,IF(Tipo_Vertedor="Retangular",Cd_sr*Lef_sr*((O3249/100-cota_s)^(3/2))*1000)),IF(O3249&lt;=cota_s*100+fi_s/20,0,(OFFSET('Base de dados'!$A$4,IF(O3249&lt;20,1,IF(O3249&gt;1000,10,MATCH(O3249,Cargas,1))),Coluna_fis,1,1))*(PI()*(fi_s/1000)^2/4)*(2*9.81*(O3249/100-cota_s-fi_s/2/1000))^0.5*1000)))</f>
        <v>7.0326073744355071</v>
      </c>
      <c r="R3249" s="38">
        <f t="shared" ca="1" si="340"/>
        <v>14.652049064693454</v>
      </c>
      <c r="S3249" s="38">
        <f t="shared" ca="1" si="341"/>
        <v>1014.9999999999999</v>
      </c>
    </row>
    <row r="3250" spans="13:19">
      <c r="M3250" s="132">
        <f t="shared" ca="1" si="338"/>
        <v>1029.9669979302971</v>
      </c>
      <c r="N3250" s="38">
        <f t="shared" si="339"/>
        <v>30.459375000000001</v>
      </c>
      <c r="O3250" s="36">
        <f t="shared" si="337"/>
        <v>812.25</v>
      </c>
      <c r="P3250" s="38">
        <f ca="1">IF(ISERROR(IF(O3250&lt;fi_h/20,0,(OFFSET('Base de dados'!$A$5,IF(O3250&lt;20,1,IF(O3250&gt;1000,10,MATCH(O3250,Cargas,1))),Coluna_fih,1,1))*(1+0.13*0.25)*(PI()*(fi_h/1000)^2/4)*SQRT(2*9.81*(O3250/100-fi_h/2/1000))*1000)),"",IF(O3250&lt;fi_h/20,0,(OFFSET('Base de dados'!$A$5,IF(O3250&lt;20,1,IF(O3250&gt;1000,10,MATCH(O3250,Cargas,1))),Coluna_fih,1,1))*(PI()*(fi_h/1000)^2/4)*SQRT(2*9.81*(O3250/100-fi_h/2/1000))*1000))</f>
        <v>7.6206170910705415</v>
      </c>
      <c r="Q3250" s="38">
        <f ca="1">IF(O3250="","",IF(Tipo_Vertedor="Retangular",IF(O3250&lt;=cota_s*100,0,IF(Tipo_Vertedor="Retangular",Cd_sr*Lef_sr*((O3250/100-cota_s)^(3/2))*1000)),IF(O3250&lt;=cota_s*100+fi_s/20,0,(OFFSET('Base de dados'!$A$4,IF(O3250&lt;20,1,IF(O3250&gt;1000,10,MATCH(O3250,Cargas,1))),Coluna_fis,1,1))*(PI()*(fi_s/1000)^2/4)*(2*9.81*(O3250/100-cota_s-fi_s/2/1000))^0.5*1000)))</f>
        <v>7.0338808392266809</v>
      </c>
      <c r="R3250" s="38">
        <f t="shared" ca="1" si="340"/>
        <v>14.654497930297222</v>
      </c>
      <c r="S3250" s="38">
        <f t="shared" ca="1" si="341"/>
        <v>1015.3125</v>
      </c>
    </row>
    <row r="3251" spans="13:19">
      <c r="M3251" s="132">
        <f t="shared" ca="1" si="338"/>
        <v>1030.2819463841201</v>
      </c>
      <c r="N3251" s="38">
        <f t="shared" si="339"/>
        <v>30.46875</v>
      </c>
      <c r="O3251" s="36">
        <f t="shared" si="337"/>
        <v>812.5</v>
      </c>
      <c r="P3251" s="38">
        <f ca="1">IF(ISERROR(IF(O3251&lt;fi_h/20,0,(OFFSET('Base de dados'!$A$5,IF(O3251&lt;20,1,IF(O3251&gt;1000,10,MATCH(O3251,Cargas,1))),Coluna_fih,1,1))*(1+0.13*0.25)*(PI()*(fi_h/1000)^2/4)*SQRT(2*9.81*(O3251/100-fi_h/2/1000))*1000)),"",IF(O3251&lt;fi_h/20,0,(OFFSET('Base de dados'!$A$5,IF(O3251&lt;20,1,IF(O3251&gt;1000,10,MATCH(O3251,Cargas,1))),Coluna_fih,1,1))*(PI()*(fi_h/1000)^2/4)*SQRT(2*9.81*(O3251/100-fi_h/2/1000))*1000))</f>
        <v>7.621792310617761</v>
      </c>
      <c r="Q3251" s="38">
        <f ca="1">IF(O3251="","",IF(Tipo_Vertedor="Retangular",IF(O3251&lt;=cota_s*100,0,IF(Tipo_Vertedor="Retangular",Cd_sr*Lef_sr*((O3251/100-cota_s)^(3/2))*1000)),IF(O3251&lt;=cota_s*100+fi_s/20,0,(OFFSET('Base de dados'!$A$4,IF(O3251&lt;20,1,IF(O3251&gt;1000,10,MATCH(O3251,Cargas,1))),Coluna_fis,1,1))*(PI()*(fi_s/1000)^2/4)*(2*9.81*(O3251/100-cota_s-fi_s/2/1000))^0.5*1000)))</f>
        <v>7.0351540735022864</v>
      </c>
      <c r="R3251" s="38">
        <f t="shared" ca="1" si="340"/>
        <v>14.656946384120047</v>
      </c>
      <c r="S3251" s="38">
        <f t="shared" ca="1" si="341"/>
        <v>1015.625</v>
      </c>
    </row>
    <row r="3252" spans="13:19">
      <c r="M3252" s="132">
        <f t="shared" ca="1" si="338"/>
        <v>1030.5968944263709</v>
      </c>
      <c r="N3252" s="38">
        <f t="shared" si="339"/>
        <v>30.478124999999999</v>
      </c>
      <c r="O3252" s="36">
        <f t="shared" si="337"/>
        <v>812.75</v>
      </c>
      <c r="P3252" s="38">
        <f ca="1">IF(ISERROR(IF(O3252&lt;fi_h/20,0,(OFFSET('Base de dados'!$A$5,IF(O3252&lt;20,1,IF(O3252&gt;1000,10,MATCH(O3252,Cargas,1))),Coluna_fih,1,1))*(1+0.13*0.25)*(PI()*(fi_h/1000)^2/4)*SQRT(2*9.81*(O3252/100-fi_h/2/1000))*1000)),"",IF(O3252&lt;fi_h/20,0,(OFFSET('Base de dados'!$A$5,IF(O3252&lt;20,1,IF(O3252&gt;1000,10,MATCH(O3252,Cargas,1))),Coluna_fih,1,1))*(PI()*(fi_h/1000)^2/4)*SQRT(2*9.81*(O3252/100-fi_h/2/1000))*1000))</f>
        <v>7.6229673489834386</v>
      </c>
      <c r="Q3252" s="38">
        <f ca="1">IF(O3252="","",IF(Tipo_Vertedor="Retangular",IF(O3252&lt;=cota_s*100,0,IF(Tipo_Vertedor="Retangular",Cd_sr*Lef_sr*((O3252/100-cota_s)^(3/2))*1000)),IF(O3252&lt;=cota_s*100+fi_s/20,0,(OFFSET('Base de dados'!$A$4,IF(O3252&lt;20,1,IF(O3252&gt;1000,10,MATCH(O3252,Cargas,1))),Coluna_fis,1,1))*(PI()*(fi_s/1000)^2/4)*(2*9.81*(O3252/100-cota_s-fi_s/2/1000))^0.5*1000)))</f>
        <v>7.0364270773874571</v>
      </c>
      <c r="R3252" s="38">
        <f t="shared" ca="1" si="340"/>
        <v>14.659394426370895</v>
      </c>
      <c r="S3252" s="38">
        <f t="shared" ca="1" si="341"/>
        <v>1015.9375</v>
      </c>
    </row>
    <row r="3253" spans="13:19">
      <c r="M3253" s="132">
        <f t="shared" ca="1" si="338"/>
        <v>1030.9118420572586</v>
      </c>
      <c r="N3253" s="38">
        <f t="shared" si="339"/>
        <v>30.487500000000004</v>
      </c>
      <c r="O3253" s="36">
        <f t="shared" si="337"/>
        <v>813</v>
      </c>
      <c r="P3253" s="38">
        <f ca="1">IF(ISERROR(IF(O3253&lt;fi_h/20,0,(OFFSET('Base de dados'!$A$5,IF(O3253&lt;20,1,IF(O3253&gt;1000,10,MATCH(O3253,Cargas,1))),Coluna_fih,1,1))*(1+0.13*0.25)*(PI()*(fi_h/1000)^2/4)*SQRT(2*9.81*(O3253/100-fi_h/2/1000))*1000)),"",IF(O3253&lt;fi_h/20,0,(OFFSET('Base de dados'!$A$5,IF(O3253&lt;20,1,IF(O3253&gt;1000,10,MATCH(O3253,Cargas,1))),Coluna_fih,1,1))*(PI()*(fi_h/1000)^2/4)*SQRT(2*9.81*(O3253/100-fi_h/2/1000))*1000))</f>
        <v>7.6241422062513493</v>
      </c>
      <c r="Q3253" s="38">
        <f ca="1">IF(O3253="","",IF(Tipo_Vertedor="Retangular",IF(O3253&lt;=cota_s*100,0,IF(Tipo_Vertedor="Retangular",Cd_sr*Lef_sr*((O3253/100-cota_s)^(3/2))*1000)),IF(O3253&lt;=cota_s*100+fi_s/20,0,(OFFSET('Base de dados'!$A$4,IF(O3253&lt;20,1,IF(O3253&gt;1000,10,MATCH(O3253,Cargas,1))),Coluna_fis,1,1))*(PI()*(fi_s/1000)^2/4)*(2*9.81*(O3253/100-cota_s-fi_s/2/1000))^0.5*1000)))</f>
        <v>7.0376998510072157</v>
      </c>
      <c r="R3253" s="38">
        <f t="shared" ca="1" si="340"/>
        <v>14.661842057258564</v>
      </c>
      <c r="S3253" s="38">
        <f t="shared" ca="1" si="341"/>
        <v>1016.2500000000001</v>
      </c>
    </row>
    <row r="3254" spans="13:19">
      <c r="M3254" s="132">
        <f t="shared" ca="1" si="338"/>
        <v>1031.2267892769917</v>
      </c>
      <c r="N3254" s="38">
        <f t="shared" si="339"/>
        <v>30.496875000000003</v>
      </c>
      <c r="O3254" s="36">
        <f t="shared" si="337"/>
        <v>813.25</v>
      </c>
      <c r="P3254" s="38">
        <f ca="1">IF(ISERROR(IF(O3254&lt;fi_h/20,0,(OFFSET('Base de dados'!$A$5,IF(O3254&lt;20,1,IF(O3254&gt;1000,10,MATCH(O3254,Cargas,1))),Coluna_fih,1,1))*(1+0.13*0.25)*(PI()*(fi_h/1000)^2/4)*SQRT(2*9.81*(O3254/100-fi_h/2/1000))*1000)),"",IF(O3254&lt;fi_h/20,0,(OFFSET('Base de dados'!$A$5,IF(O3254&lt;20,1,IF(O3254&gt;1000,10,MATCH(O3254,Cargas,1))),Coluna_fih,1,1))*(PI()*(fi_h/1000)^2/4)*SQRT(2*9.81*(O3254/100-fi_h/2/1000))*1000))</f>
        <v>7.6253168825051958</v>
      </c>
      <c r="Q3254" s="38">
        <f ca="1">IF(O3254="","",IF(Tipo_Vertedor="Retangular",IF(O3254&lt;=cota_s*100,0,IF(Tipo_Vertedor="Retangular",Cd_sr*Lef_sr*((O3254/100-cota_s)^(3/2))*1000)),IF(O3254&lt;=cota_s*100+fi_s/20,0,(OFFSET('Base de dados'!$A$4,IF(O3254&lt;20,1,IF(O3254&gt;1000,10,MATCH(O3254,Cargas,1))),Coluna_fis,1,1))*(PI()*(fi_s/1000)^2/4)*(2*9.81*(O3254/100-cota_s-fi_s/2/1000))^0.5*1000)))</f>
        <v>7.0389723944864668</v>
      </c>
      <c r="R3254" s="38">
        <f t="shared" ca="1" si="340"/>
        <v>14.664289276991664</v>
      </c>
      <c r="S3254" s="38">
        <f t="shared" ca="1" si="341"/>
        <v>1016.5625000000001</v>
      </c>
    </row>
    <row r="3255" spans="13:19">
      <c r="M3255" s="132">
        <f t="shared" ca="1" si="338"/>
        <v>1031.5417360857784</v>
      </c>
      <c r="N3255" s="38">
        <f t="shared" si="339"/>
        <v>30.506249999999998</v>
      </c>
      <c r="O3255" s="36">
        <f t="shared" si="337"/>
        <v>813.5</v>
      </c>
      <c r="P3255" s="38">
        <f ca="1">IF(ISERROR(IF(O3255&lt;fi_h/20,0,(OFFSET('Base de dados'!$A$5,IF(O3255&lt;20,1,IF(O3255&gt;1000,10,MATCH(O3255,Cargas,1))),Coluna_fih,1,1))*(1+0.13*0.25)*(PI()*(fi_h/1000)^2/4)*SQRT(2*9.81*(O3255/100-fi_h/2/1000))*1000)),"",IF(O3255&lt;fi_h/20,0,(OFFSET('Base de dados'!$A$5,IF(O3255&lt;20,1,IF(O3255&gt;1000,10,MATCH(O3255,Cargas,1))),Coluna_fih,1,1))*(PI()*(fi_h/1000)^2/4)*SQRT(2*9.81*(O3255/100-fi_h/2/1000))*1000))</f>
        <v>7.6264913778286232</v>
      </c>
      <c r="Q3255" s="38">
        <f ca="1">IF(O3255="","",IF(Tipo_Vertedor="Retangular",IF(O3255&lt;=cota_s*100,0,IF(Tipo_Vertedor="Retangular",Cd_sr*Lef_sr*((O3255/100-cota_s)^(3/2))*1000)),IF(O3255&lt;=cota_s*100+fi_s/20,0,(OFFSET('Base de dados'!$A$4,IF(O3255&lt;20,1,IF(O3255&gt;1000,10,MATCH(O3255,Cargas,1))),Coluna_fis,1,1))*(PI()*(fi_s/1000)^2/4)*(2*9.81*(O3255/100-cota_s-fi_s/2/1000))^0.5*1000)))</f>
        <v>7.0402447079500101</v>
      </c>
      <c r="R3255" s="38">
        <f t="shared" ca="1" si="340"/>
        <v>14.666736085778634</v>
      </c>
      <c r="S3255" s="38">
        <f t="shared" ca="1" si="341"/>
        <v>1016.8749999999999</v>
      </c>
    </row>
    <row r="3256" spans="13:19">
      <c r="M3256" s="132">
        <f t="shared" ca="1" si="338"/>
        <v>1031.8566824838276</v>
      </c>
      <c r="N3256" s="38">
        <f t="shared" si="339"/>
        <v>30.515624999999996</v>
      </c>
      <c r="O3256" s="36">
        <f t="shared" si="337"/>
        <v>813.75</v>
      </c>
      <c r="P3256" s="38">
        <f ca="1">IF(ISERROR(IF(O3256&lt;fi_h/20,0,(OFFSET('Base de dados'!$A$5,IF(O3256&lt;20,1,IF(O3256&gt;1000,10,MATCH(O3256,Cargas,1))),Coluna_fih,1,1))*(1+0.13*0.25)*(PI()*(fi_h/1000)^2/4)*SQRT(2*9.81*(O3256/100-fi_h/2/1000))*1000)),"",IF(O3256&lt;fi_h/20,0,(OFFSET('Base de dados'!$A$5,IF(O3256&lt;20,1,IF(O3256&gt;1000,10,MATCH(O3256,Cargas,1))),Coluna_fih,1,1))*(PI()*(fi_h/1000)^2/4)*SQRT(2*9.81*(O3256/100-fi_h/2/1000))*1000))</f>
        <v>7.6276656923052073</v>
      </c>
      <c r="Q3256" s="38">
        <f ca="1">IF(O3256="","",IF(Tipo_Vertedor="Retangular",IF(O3256&lt;=cota_s*100,0,IF(Tipo_Vertedor="Retangular",Cd_sr*Lef_sr*((O3256/100-cota_s)^(3/2))*1000)),IF(O3256&lt;=cota_s*100+fi_s/20,0,(OFFSET('Base de dados'!$A$4,IF(O3256&lt;20,1,IF(O3256&gt;1000,10,MATCH(O3256,Cargas,1))),Coluna_fis,1,1))*(PI()*(fi_s/1000)^2/4)*(2*9.81*(O3256/100-cota_s-fi_s/2/1000))^0.5*1000)))</f>
        <v>7.0415167915225263</v>
      </c>
      <c r="R3256" s="38">
        <f t="shared" ca="1" si="340"/>
        <v>14.669182483827733</v>
      </c>
      <c r="S3256" s="38">
        <f t="shared" ca="1" si="341"/>
        <v>1017.1874999999999</v>
      </c>
    </row>
    <row r="3257" spans="13:19">
      <c r="M3257" s="132">
        <f t="shared" ca="1" si="338"/>
        <v>1032.1716284713473</v>
      </c>
      <c r="N3257" s="38">
        <f t="shared" si="339"/>
        <v>30.525000000000002</v>
      </c>
      <c r="O3257" s="36">
        <f t="shared" si="337"/>
        <v>814</v>
      </c>
      <c r="P3257" s="38">
        <f ca="1">IF(ISERROR(IF(O3257&lt;fi_h/20,0,(OFFSET('Base de dados'!$A$5,IF(O3257&lt;20,1,IF(O3257&gt;1000,10,MATCH(O3257,Cargas,1))),Coluna_fih,1,1))*(1+0.13*0.25)*(PI()*(fi_h/1000)^2/4)*SQRT(2*9.81*(O3257/100-fi_h/2/1000))*1000)),"",IF(O3257&lt;fi_h/20,0,(OFFSET('Base de dados'!$A$5,IF(O3257&lt;20,1,IF(O3257&gt;1000,10,MATCH(O3257,Cargas,1))),Coluna_fih,1,1))*(PI()*(fi_h/1000)^2/4)*SQRT(2*9.81*(O3257/100-fi_h/2/1000))*1000))</f>
        <v>7.6288398260184671</v>
      </c>
      <c r="Q3257" s="38">
        <f ca="1">IF(O3257="","",IF(Tipo_Vertedor="Retangular",IF(O3257&lt;=cota_s*100,0,IF(Tipo_Vertedor="Retangular",Cd_sr*Lef_sr*((O3257/100-cota_s)^(3/2))*1000)),IF(O3257&lt;=cota_s*100+fi_s/20,0,(OFFSET('Base de dados'!$A$4,IF(O3257&lt;20,1,IF(O3257&gt;1000,10,MATCH(O3257,Cargas,1))),Coluna_fis,1,1))*(PI()*(fi_s/1000)^2/4)*(2*9.81*(O3257/100-cota_s-fi_s/2/1000))^0.5*1000)))</f>
        <v>7.0427886453285877</v>
      </c>
      <c r="R3257" s="38">
        <f t="shared" ca="1" si="340"/>
        <v>14.671628471347056</v>
      </c>
      <c r="S3257" s="38">
        <f t="shared" ca="1" si="341"/>
        <v>1017.5000000000001</v>
      </c>
    </row>
    <row r="3258" spans="13:19">
      <c r="M3258" s="132">
        <f t="shared" ca="1" si="338"/>
        <v>1032.4865740485445</v>
      </c>
      <c r="N3258" s="38">
        <f t="shared" si="339"/>
        <v>30.534375000000001</v>
      </c>
      <c r="O3258" s="36">
        <f t="shared" si="337"/>
        <v>814.25</v>
      </c>
      <c r="P3258" s="38">
        <f ca="1">IF(ISERROR(IF(O3258&lt;fi_h/20,0,(OFFSET('Base de dados'!$A$5,IF(O3258&lt;20,1,IF(O3258&gt;1000,10,MATCH(O3258,Cargas,1))),Coluna_fih,1,1))*(1+0.13*0.25)*(PI()*(fi_h/1000)^2/4)*SQRT(2*9.81*(O3258/100-fi_h/2/1000))*1000)),"",IF(O3258&lt;fi_h/20,0,(OFFSET('Base de dados'!$A$5,IF(O3258&lt;20,1,IF(O3258&gt;1000,10,MATCH(O3258,Cargas,1))),Coluna_fih,1,1))*(PI()*(fi_h/1000)^2/4)*SQRT(2*9.81*(O3258/100-fi_h/2/1000))*1000))</f>
        <v>7.630013779051847</v>
      </c>
      <c r="Q3258" s="38">
        <f ca="1">IF(O3258="","",IF(Tipo_Vertedor="Retangular",IF(O3258&lt;=cota_s*100,0,IF(Tipo_Vertedor="Retangular",Cd_sr*Lef_sr*((O3258/100-cota_s)^(3/2))*1000)),IF(O3258&lt;=cota_s*100+fi_s/20,0,(OFFSET('Base de dados'!$A$4,IF(O3258&lt;20,1,IF(O3258&gt;1000,10,MATCH(O3258,Cargas,1))),Coluna_fis,1,1))*(PI()*(fi_s/1000)^2/4)*(2*9.81*(O3258/100-cota_s-fi_s/2/1000))^0.5*1000)))</f>
        <v>7.0440602694926504</v>
      </c>
      <c r="R3258" s="38">
        <f t="shared" ca="1" si="340"/>
        <v>14.674074048544497</v>
      </c>
      <c r="S3258" s="38">
        <f t="shared" ca="1" si="341"/>
        <v>1017.8125</v>
      </c>
    </row>
    <row r="3259" spans="13:19">
      <c r="M3259" s="132">
        <f t="shared" ca="1" si="338"/>
        <v>1032.8015192156279</v>
      </c>
      <c r="N3259" s="38">
        <f t="shared" si="339"/>
        <v>30.543749999999999</v>
      </c>
      <c r="O3259" s="36">
        <f t="shared" si="337"/>
        <v>814.5</v>
      </c>
      <c r="P3259" s="38">
        <f ca="1">IF(ISERROR(IF(O3259&lt;fi_h/20,0,(OFFSET('Base de dados'!$A$5,IF(O3259&lt;20,1,IF(O3259&gt;1000,10,MATCH(O3259,Cargas,1))),Coluna_fih,1,1))*(1+0.13*0.25)*(PI()*(fi_h/1000)^2/4)*SQRT(2*9.81*(O3259/100-fi_h/2/1000))*1000)),"",IF(O3259&lt;fi_h/20,0,(OFFSET('Base de dados'!$A$5,IF(O3259&lt;20,1,IF(O3259&gt;1000,10,MATCH(O3259,Cargas,1))),Coluna_fih,1,1))*(PI()*(fi_h/1000)^2/4)*SQRT(2*9.81*(O3259/100-fi_h/2/1000))*1000))</f>
        <v>7.6311875514887344</v>
      </c>
      <c r="Q3259" s="38">
        <f ca="1">IF(O3259="","",IF(Tipo_Vertedor="Retangular",IF(O3259&lt;=cota_s*100,0,IF(Tipo_Vertedor="Retangular",Cd_sr*Lef_sr*((O3259/100-cota_s)^(3/2))*1000)),IF(O3259&lt;=cota_s*100+fi_s/20,0,(OFFSET('Base de dados'!$A$4,IF(O3259&lt;20,1,IF(O3259&gt;1000,10,MATCH(O3259,Cargas,1))),Coluna_fis,1,1))*(PI()*(fi_s/1000)^2/4)*(2*9.81*(O3259/100-cota_s-fi_s/2/1000))^0.5*1000)))</f>
        <v>7.0453316641390575</v>
      </c>
      <c r="R3259" s="38">
        <f t="shared" ca="1" si="340"/>
        <v>14.676519215627792</v>
      </c>
      <c r="S3259" s="38">
        <f t="shared" ca="1" si="341"/>
        <v>1018.125</v>
      </c>
    </row>
    <row r="3260" spans="13:19">
      <c r="M3260" s="132">
        <f t="shared" ca="1" si="338"/>
        <v>1033.1164639728045</v>
      </c>
      <c r="N3260" s="38">
        <f t="shared" si="339"/>
        <v>30.553125000000001</v>
      </c>
      <c r="O3260" s="36">
        <f t="shared" si="337"/>
        <v>814.75</v>
      </c>
      <c r="P3260" s="38">
        <f ca="1">IF(ISERROR(IF(O3260&lt;fi_h/20,0,(OFFSET('Base de dados'!$A$5,IF(O3260&lt;20,1,IF(O3260&gt;1000,10,MATCH(O3260,Cargas,1))),Coluna_fih,1,1))*(1+0.13*0.25)*(PI()*(fi_h/1000)^2/4)*SQRT(2*9.81*(O3260/100-fi_h/2/1000))*1000)),"",IF(O3260&lt;fi_h/20,0,(OFFSET('Base de dados'!$A$5,IF(O3260&lt;20,1,IF(O3260&gt;1000,10,MATCH(O3260,Cargas,1))),Coluna_fih,1,1))*(PI()*(fi_h/1000)^2/4)*SQRT(2*9.81*(O3260/100-fi_h/2/1000))*1000))</f>
        <v>7.6323611434124503</v>
      </c>
      <c r="Q3260" s="38">
        <f ca="1">IF(O3260="","",IF(Tipo_Vertedor="Retangular",IF(O3260&lt;=cota_s*100,0,IF(Tipo_Vertedor="Retangular",Cd_sr*Lef_sr*((O3260/100-cota_s)^(3/2))*1000)),IF(O3260&lt;=cota_s*100+fi_s/20,0,(OFFSET('Base de dados'!$A$4,IF(O3260&lt;20,1,IF(O3260&gt;1000,10,MATCH(O3260,Cargas,1))),Coluna_fis,1,1))*(PI()*(fi_s/1000)^2/4)*(2*9.81*(O3260/100-cota_s-fi_s/2/1000))^0.5*1000)))</f>
        <v>7.0466028293920484</v>
      </c>
      <c r="R3260" s="38">
        <f t="shared" ca="1" si="340"/>
        <v>14.6789639728045</v>
      </c>
      <c r="S3260" s="38">
        <f t="shared" ca="1" si="341"/>
        <v>1018.4375</v>
      </c>
    </row>
    <row r="3261" spans="13:19">
      <c r="M3261" s="132">
        <f t="shared" ca="1" si="338"/>
        <v>1033.4314083202819</v>
      </c>
      <c r="N3261" s="38">
        <f t="shared" si="339"/>
        <v>30.5625</v>
      </c>
      <c r="O3261" s="36">
        <f t="shared" si="337"/>
        <v>815</v>
      </c>
      <c r="P3261" s="38">
        <f ca="1">IF(ISERROR(IF(O3261&lt;fi_h/20,0,(OFFSET('Base de dados'!$A$5,IF(O3261&lt;20,1,IF(O3261&gt;1000,10,MATCH(O3261,Cargas,1))),Coluna_fih,1,1))*(1+0.13*0.25)*(PI()*(fi_h/1000)^2/4)*SQRT(2*9.81*(O3261/100-fi_h/2/1000))*1000)),"",IF(O3261&lt;fi_h/20,0,(OFFSET('Base de dados'!$A$5,IF(O3261&lt;20,1,IF(O3261&gt;1000,10,MATCH(O3261,Cargas,1))),Coluna_fih,1,1))*(PI()*(fi_h/1000)^2/4)*SQRT(2*9.81*(O3261/100-fi_h/2/1000))*1000))</f>
        <v>7.6335345549062508</v>
      </c>
      <c r="Q3261" s="38">
        <f ca="1">IF(O3261="","",IF(Tipo_Vertedor="Retangular",IF(O3261&lt;=cota_s*100,0,IF(Tipo_Vertedor="Retangular",Cd_sr*Lef_sr*((O3261/100-cota_s)^(3/2))*1000)),IF(O3261&lt;=cota_s*100+fi_s/20,0,(OFFSET('Base de dados'!$A$4,IF(O3261&lt;20,1,IF(O3261&gt;1000,10,MATCH(O3261,Cargas,1))),Coluna_fis,1,1))*(PI()*(fi_s/1000)^2/4)*(2*9.81*(O3261/100-cota_s-fi_s/2/1000))^0.5*1000)))</f>
        <v>7.0478737653757371</v>
      </c>
      <c r="R3261" s="38">
        <f t="shared" ca="1" si="340"/>
        <v>14.681408320281989</v>
      </c>
      <c r="S3261" s="38">
        <f t="shared" ca="1" si="341"/>
        <v>1018.75</v>
      </c>
    </row>
    <row r="3262" spans="13:19">
      <c r="M3262" s="132">
        <f t="shared" ca="1" si="338"/>
        <v>1033.7463522582675</v>
      </c>
      <c r="N3262" s="38">
        <f t="shared" si="339"/>
        <v>30.571874999999999</v>
      </c>
      <c r="O3262" s="36">
        <f t="shared" si="337"/>
        <v>815.25</v>
      </c>
      <c r="P3262" s="38">
        <f ca="1">IF(ISERROR(IF(O3262&lt;fi_h/20,0,(OFFSET('Base de dados'!$A$5,IF(O3262&lt;20,1,IF(O3262&gt;1000,10,MATCH(O3262,Cargas,1))),Coluna_fih,1,1))*(1+0.13*0.25)*(PI()*(fi_h/1000)^2/4)*SQRT(2*9.81*(O3262/100-fi_h/2/1000))*1000)),"",IF(O3262&lt;fi_h/20,0,(OFFSET('Base de dados'!$A$5,IF(O3262&lt;20,1,IF(O3262&gt;1000,10,MATCH(O3262,Cargas,1))),Coluna_fih,1,1))*(PI()*(fi_h/1000)^2/4)*SQRT(2*9.81*(O3262/100-fi_h/2/1000))*1000))</f>
        <v>7.6347077860533314</v>
      </c>
      <c r="Q3262" s="38">
        <f ca="1">IF(O3262="","",IF(Tipo_Vertedor="Retangular",IF(O3262&lt;=cota_s*100,0,IF(Tipo_Vertedor="Retangular",Cd_sr*Lef_sr*((O3262/100-cota_s)^(3/2))*1000)),IF(O3262&lt;=cota_s*100+fi_s/20,0,(OFFSET('Base de dados'!$A$4,IF(O3262&lt;20,1,IF(O3262&gt;1000,10,MATCH(O3262,Cargas,1))),Coluna_fis,1,1))*(PI()*(fi_s/1000)^2/4)*(2*9.81*(O3262/100-cota_s-fi_s/2/1000))^0.5*1000)))</f>
        <v>7.049144472214139</v>
      </c>
      <c r="R3262" s="38">
        <f t="shared" ca="1" si="340"/>
        <v>14.683852258267471</v>
      </c>
      <c r="S3262" s="38">
        <f t="shared" ca="1" si="341"/>
        <v>1019.0625</v>
      </c>
    </row>
    <row r="3263" spans="13:19">
      <c r="M3263" s="132">
        <f t="shared" ca="1" si="338"/>
        <v>1034.0612957869678</v>
      </c>
      <c r="N3263" s="38">
        <f t="shared" si="339"/>
        <v>30.581249999999997</v>
      </c>
      <c r="O3263" s="36">
        <f t="shared" si="337"/>
        <v>815.5</v>
      </c>
      <c r="P3263" s="38">
        <f ca="1">IF(ISERROR(IF(O3263&lt;fi_h/20,0,(OFFSET('Base de dados'!$A$5,IF(O3263&lt;20,1,IF(O3263&gt;1000,10,MATCH(O3263,Cargas,1))),Coluna_fih,1,1))*(1+0.13*0.25)*(PI()*(fi_h/1000)^2/4)*SQRT(2*9.81*(O3263/100-fi_h/2/1000))*1000)),"",IF(O3263&lt;fi_h/20,0,(OFFSET('Base de dados'!$A$5,IF(O3263&lt;20,1,IF(O3263&gt;1000,10,MATCH(O3263,Cargas,1))),Coluna_fih,1,1))*(PI()*(fi_h/1000)^2/4)*SQRT(2*9.81*(O3263/100-fi_h/2/1000))*1000))</f>
        <v>7.6358808369368187</v>
      </c>
      <c r="Q3263" s="38">
        <f ca="1">IF(O3263="","",IF(Tipo_Vertedor="Retangular",IF(O3263&lt;=cota_s*100,0,IF(Tipo_Vertedor="Retangular",Cd_sr*Lef_sr*((O3263/100-cota_s)^(3/2))*1000)),IF(O3263&lt;=cota_s*100+fi_s/20,0,(OFFSET('Base de dados'!$A$4,IF(O3263&lt;20,1,IF(O3263&gt;1000,10,MATCH(O3263,Cargas,1))),Coluna_fis,1,1))*(PI()*(fi_s/1000)^2/4)*(2*9.81*(O3263/100-cota_s-fi_s/2/1000))^0.5*1000)))</f>
        <v>7.0504149500311488</v>
      </c>
      <c r="R3263" s="38">
        <f t="shared" ca="1" si="340"/>
        <v>14.686295786967968</v>
      </c>
      <c r="S3263" s="38">
        <f t="shared" ca="1" si="341"/>
        <v>1019.3749999999999</v>
      </c>
    </row>
    <row r="3264" spans="13:19">
      <c r="M3264" s="132">
        <f t="shared" ca="1" si="338"/>
        <v>1034.3762389065905</v>
      </c>
      <c r="N3264" s="38">
        <f t="shared" si="339"/>
        <v>30.590625000000003</v>
      </c>
      <c r="O3264" s="36">
        <f t="shared" si="337"/>
        <v>815.75</v>
      </c>
      <c r="P3264" s="38">
        <f ca="1">IF(ISERROR(IF(O3264&lt;fi_h/20,0,(OFFSET('Base de dados'!$A$5,IF(O3264&lt;20,1,IF(O3264&gt;1000,10,MATCH(O3264,Cargas,1))),Coluna_fih,1,1))*(1+0.13*0.25)*(PI()*(fi_h/1000)^2/4)*SQRT(2*9.81*(O3264/100-fi_h/2/1000))*1000)),"",IF(O3264&lt;fi_h/20,0,(OFFSET('Base de dados'!$A$5,IF(O3264&lt;20,1,IF(O3264&gt;1000,10,MATCH(O3264,Cargas,1))),Coluna_fih,1,1))*(PI()*(fi_h/1000)^2/4)*SQRT(2*9.81*(O3264/100-fi_h/2/1000))*1000))</f>
        <v>7.6370537076397804</v>
      </c>
      <c r="Q3264" s="38">
        <f ca="1">IF(O3264="","",IF(Tipo_Vertedor="Retangular",IF(O3264&lt;=cota_s*100,0,IF(Tipo_Vertedor="Retangular",Cd_sr*Lef_sr*((O3264/100-cota_s)^(3/2))*1000)),IF(O3264&lt;=cota_s*100+fi_s/20,0,(OFFSET('Base de dados'!$A$4,IF(O3264&lt;20,1,IF(O3264&gt;1000,10,MATCH(O3264,Cargas,1))),Coluna_fis,1,1))*(PI()*(fi_s/1000)^2/4)*(2*9.81*(O3264/100-cota_s-fi_s/2/1000))^0.5*1000)))</f>
        <v>7.0516851989505538</v>
      </c>
      <c r="R3264" s="38">
        <f t="shared" ca="1" si="340"/>
        <v>14.688738906590334</v>
      </c>
      <c r="S3264" s="38">
        <f t="shared" ca="1" si="341"/>
        <v>1019.6875000000001</v>
      </c>
    </row>
    <row r="3265" spans="13:19">
      <c r="M3265" s="132">
        <f t="shared" ca="1" si="338"/>
        <v>1034.6911816173413</v>
      </c>
      <c r="N3265" s="38">
        <f t="shared" si="339"/>
        <v>30.6</v>
      </c>
      <c r="O3265" s="36">
        <f t="shared" si="337"/>
        <v>816</v>
      </c>
      <c r="P3265" s="38">
        <f ca="1">IF(ISERROR(IF(O3265&lt;fi_h/20,0,(OFFSET('Base de dados'!$A$5,IF(O3265&lt;20,1,IF(O3265&gt;1000,10,MATCH(O3265,Cargas,1))),Coluna_fih,1,1))*(1+0.13*0.25)*(PI()*(fi_h/1000)^2/4)*SQRT(2*9.81*(O3265/100-fi_h/2/1000))*1000)),"",IF(O3265&lt;fi_h/20,0,(OFFSET('Base de dados'!$A$5,IF(O3265&lt;20,1,IF(O3265&gt;1000,10,MATCH(O3265,Cargas,1))),Coluna_fih,1,1))*(PI()*(fi_h/1000)^2/4)*SQRT(2*9.81*(O3265/100-fi_h/2/1000))*1000))</f>
        <v>7.638226398245215</v>
      </c>
      <c r="Q3265" s="38">
        <f ca="1">IF(O3265="","",IF(Tipo_Vertedor="Retangular",IF(O3265&lt;=cota_s*100,0,IF(Tipo_Vertedor="Retangular",Cd_sr*Lef_sr*((O3265/100-cota_s)^(3/2))*1000)),IF(O3265&lt;=cota_s*100+fi_s/20,0,(OFFSET('Base de dados'!$A$4,IF(O3265&lt;20,1,IF(O3265&gt;1000,10,MATCH(O3265,Cargas,1))),Coluna_fis,1,1))*(PI()*(fi_s/1000)^2/4)*(2*9.81*(O3265/100-cota_s-fi_s/2/1000))^0.5*1000)))</f>
        <v>7.0529552190960265</v>
      </c>
      <c r="R3265" s="38">
        <f t="shared" ca="1" si="340"/>
        <v>14.691181617341242</v>
      </c>
      <c r="S3265" s="38">
        <f t="shared" ca="1" si="341"/>
        <v>1020</v>
      </c>
    </row>
    <row r="3266" spans="13:19">
      <c r="M3266" s="132">
        <f t="shared" ca="1" si="338"/>
        <v>1035.0061239194272</v>
      </c>
      <c r="N3266" s="38">
        <f t="shared" si="339"/>
        <v>30.609375</v>
      </c>
      <c r="O3266" s="36">
        <f t="shared" si="337"/>
        <v>816.25</v>
      </c>
      <c r="P3266" s="38">
        <f ca="1">IF(ISERROR(IF(O3266&lt;fi_h/20,0,(OFFSET('Base de dados'!$A$5,IF(O3266&lt;20,1,IF(O3266&gt;1000,10,MATCH(O3266,Cargas,1))),Coluna_fih,1,1))*(1+0.13*0.25)*(PI()*(fi_h/1000)^2/4)*SQRT(2*9.81*(O3266/100-fi_h/2/1000))*1000)),"",IF(O3266&lt;fi_h/20,0,(OFFSET('Base de dados'!$A$5,IF(O3266&lt;20,1,IF(O3266&gt;1000,10,MATCH(O3266,Cargas,1))),Coluna_fih,1,1))*(PI()*(fi_h/1000)^2/4)*SQRT(2*9.81*(O3266/100-fi_h/2/1000))*1000))</f>
        <v>7.639398908836065</v>
      </c>
      <c r="Q3266" s="38">
        <f ca="1">IF(O3266="","",IF(Tipo_Vertedor="Retangular",IF(O3266&lt;=cota_s*100,0,IF(Tipo_Vertedor="Retangular",Cd_sr*Lef_sr*((O3266/100-cota_s)^(3/2))*1000)),IF(O3266&lt;=cota_s*100+fi_s/20,0,(OFFSET('Base de dados'!$A$4,IF(O3266&lt;20,1,IF(O3266&gt;1000,10,MATCH(O3266,Cargas,1))),Coluna_fis,1,1))*(PI()*(fi_s/1000)^2/4)*(2*9.81*(O3266/100-cota_s-fi_s/2/1000))^0.5*1000)))</f>
        <v>7.0542250105911322</v>
      </c>
      <c r="R3266" s="38">
        <f t="shared" ca="1" si="340"/>
        <v>14.693623919427196</v>
      </c>
      <c r="S3266" s="38">
        <f t="shared" ca="1" si="341"/>
        <v>1020.3125</v>
      </c>
    </row>
    <row r="3267" spans="13:19">
      <c r="M3267" s="132">
        <f t="shared" ca="1" si="338"/>
        <v>1035.3210658130545</v>
      </c>
      <c r="N3267" s="38">
        <f t="shared" si="339"/>
        <v>30.618749999999999</v>
      </c>
      <c r="O3267" s="36">
        <f t="shared" si="337"/>
        <v>816.5</v>
      </c>
      <c r="P3267" s="38">
        <f ca="1">IF(ISERROR(IF(O3267&lt;fi_h/20,0,(OFFSET('Base de dados'!$A$5,IF(O3267&lt;20,1,IF(O3267&gt;1000,10,MATCH(O3267,Cargas,1))),Coluna_fih,1,1))*(1+0.13*0.25)*(PI()*(fi_h/1000)^2/4)*SQRT(2*9.81*(O3267/100-fi_h/2/1000))*1000)),"",IF(O3267&lt;fi_h/20,0,(OFFSET('Base de dados'!$A$5,IF(O3267&lt;20,1,IF(O3267&gt;1000,10,MATCH(O3267,Cargas,1))),Coluna_fih,1,1))*(PI()*(fi_h/1000)^2/4)*SQRT(2*9.81*(O3267/100-fi_h/2/1000))*1000))</f>
        <v>7.640571239495201</v>
      </c>
      <c r="Q3267" s="38">
        <f ca="1">IF(O3267="","",IF(Tipo_Vertedor="Retangular",IF(O3267&lt;=cota_s*100,0,IF(Tipo_Vertedor="Retangular",Cd_sr*Lef_sr*((O3267/100-cota_s)^(3/2))*1000)),IF(O3267&lt;=cota_s*100+fi_s/20,0,(OFFSET('Base de dados'!$A$4,IF(O3267&lt;20,1,IF(O3267&gt;1000,10,MATCH(O3267,Cargas,1))),Coluna_fis,1,1))*(PI()*(fi_s/1000)^2/4)*(2*9.81*(O3267/100-cota_s-fi_s/2/1000))^0.5*1000)))</f>
        <v>7.0554945735593213</v>
      </c>
      <c r="R3267" s="38">
        <f t="shared" ca="1" si="340"/>
        <v>14.696065813054522</v>
      </c>
      <c r="S3267" s="38">
        <f t="shared" ca="1" si="341"/>
        <v>1020.625</v>
      </c>
    </row>
    <row r="3268" spans="13:19">
      <c r="M3268" s="132">
        <f t="shared" ca="1" si="338"/>
        <v>1035.6360072984294</v>
      </c>
      <c r="N3268" s="38">
        <f t="shared" si="339"/>
        <v>30.628125000000001</v>
      </c>
      <c r="O3268" s="36">
        <f t="shared" si="337"/>
        <v>816.75</v>
      </c>
      <c r="P3268" s="38">
        <f ca="1">IF(ISERROR(IF(O3268&lt;fi_h/20,0,(OFFSET('Base de dados'!$A$5,IF(O3268&lt;20,1,IF(O3268&gt;1000,10,MATCH(O3268,Cargas,1))),Coluna_fih,1,1))*(1+0.13*0.25)*(PI()*(fi_h/1000)^2/4)*SQRT(2*9.81*(O3268/100-fi_h/2/1000))*1000)),"",IF(O3268&lt;fi_h/20,0,(OFFSET('Base de dados'!$A$5,IF(O3268&lt;20,1,IF(O3268&gt;1000,10,MATCH(O3268,Cargas,1))),Coluna_fih,1,1))*(PI()*(fi_h/1000)^2/4)*SQRT(2*9.81*(O3268/100-fi_h/2/1000))*1000))</f>
        <v>7.6417433903054359</v>
      </c>
      <c r="Q3268" s="38">
        <f ca="1">IF(O3268="","",IF(Tipo_Vertedor="Retangular",IF(O3268&lt;=cota_s*100,0,IF(Tipo_Vertedor="Retangular",Cd_sr*Lef_sr*((O3268/100-cota_s)^(3/2))*1000)),IF(O3268&lt;=cota_s*100+fi_s/20,0,(OFFSET('Base de dados'!$A$4,IF(O3268&lt;20,1,IF(O3268&gt;1000,10,MATCH(O3268,Cargas,1))),Coluna_fis,1,1))*(PI()*(fi_s/1000)^2/4)*(2*9.81*(O3268/100-cota_s-fi_s/2/1000))^0.5*1000)))</f>
        <v>7.0567639081239362</v>
      </c>
      <c r="R3268" s="38">
        <f t="shared" ca="1" si="340"/>
        <v>14.698507298429373</v>
      </c>
      <c r="S3268" s="38">
        <f t="shared" ca="1" si="341"/>
        <v>1020.9375</v>
      </c>
    </row>
    <row r="3269" spans="13:19">
      <c r="M3269" s="132">
        <f t="shared" ca="1" si="338"/>
        <v>1035.9509483757577</v>
      </c>
      <c r="N3269" s="38">
        <f t="shared" si="339"/>
        <v>30.637499999999999</v>
      </c>
      <c r="O3269" s="36">
        <f t="shared" si="337"/>
        <v>817</v>
      </c>
      <c r="P3269" s="38">
        <f ca="1">IF(ISERROR(IF(O3269&lt;fi_h/20,0,(OFFSET('Base de dados'!$A$5,IF(O3269&lt;20,1,IF(O3269&gt;1000,10,MATCH(O3269,Cargas,1))),Coluna_fih,1,1))*(1+0.13*0.25)*(PI()*(fi_h/1000)^2/4)*SQRT(2*9.81*(O3269/100-fi_h/2/1000))*1000)),"",IF(O3269&lt;fi_h/20,0,(OFFSET('Base de dados'!$A$5,IF(O3269&lt;20,1,IF(O3269&gt;1000,10,MATCH(O3269,Cargas,1))),Coluna_fih,1,1))*(PI()*(fi_h/1000)^2/4)*SQRT(2*9.81*(O3269/100-fi_h/2/1000))*1000))</f>
        <v>7.6429153613495151</v>
      </c>
      <c r="Q3269" s="38">
        <f ca="1">IF(O3269="","",IF(Tipo_Vertedor="Retangular",IF(O3269&lt;=cota_s*100,0,IF(Tipo_Vertedor="Retangular",Cd_sr*Lef_sr*((O3269/100-cota_s)^(3/2))*1000)),IF(O3269&lt;=cota_s*100+fi_s/20,0,(OFFSET('Base de dados'!$A$4,IF(O3269&lt;20,1,IF(O3269&gt;1000,10,MATCH(O3269,Cargas,1))),Coluna_fis,1,1))*(PI()*(fi_s/1000)^2/4)*(2*9.81*(O3269/100-cota_s-fi_s/2/1000))^0.5*1000)))</f>
        <v>7.0580330144082062</v>
      </c>
      <c r="R3269" s="38">
        <f t="shared" ca="1" si="340"/>
        <v>14.700948375757722</v>
      </c>
      <c r="S3269" s="38">
        <f t="shared" ca="1" si="341"/>
        <v>1021.25</v>
      </c>
    </row>
    <row r="3270" spans="13:19">
      <c r="M3270" s="132">
        <f t="shared" ca="1" si="338"/>
        <v>1036.2658890452453</v>
      </c>
      <c r="N3270" s="38">
        <f t="shared" si="339"/>
        <v>30.646874999999998</v>
      </c>
      <c r="O3270" s="36">
        <f t="shared" si="337"/>
        <v>817.25</v>
      </c>
      <c r="P3270" s="38">
        <f ca="1">IF(ISERROR(IF(O3270&lt;fi_h/20,0,(OFFSET('Base de dados'!$A$5,IF(O3270&lt;20,1,IF(O3270&gt;1000,10,MATCH(O3270,Cargas,1))),Coluna_fih,1,1))*(1+0.13*0.25)*(PI()*(fi_h/1000)^2/4)*SQRT(2*9.81*(O3270/100-fi_h/2/1000))*1000)),"",IF(O3270&lt;fi_h/20,0,(OFFSET('Base de dados'!$A$5,IF(O3270&lt;20,1,IF(O3270&gt;1000,10,MATCH(O3270,Cargas,1))),Coluna_fih,1,1))*(PI()*(fi_h/1000)^2/4)*SQRT(2*9.81*(O3270/100-fi_h/2/1000))*1000))</f>
        <v>7.6440871527101226</v>
      </c>
      <c r="Q3270" s="38">
        <f ca="1">IF(O3270="","",IF(Tipo_Vertedor="Retangular",IF(O3270&lt;=cota_s*100,0,IF(Tipo_Vertedor="Retangular",Cd_sr*Lef_sr*((O3270/100-cota_s)^(3/2))*1000)),IF(O3270&lt;=cota_s*100+fi_s/20,0,(OFFSET('Base de dados'!$A$4,IF(O3270&lt;20,1,IF(O3270&gt;1000,10,MATCH(O3270,Cargas,1))),Coluna_fis,1,1))*(PI()*(fi_s/1000)^2/4)*(2*9.81*(O3270/100-cota_s-fi_s/2/1000))^0.5*1000)))</f>
        <v>7.0593018925352489</v>
      </c>
      <c r="R3270" s="38">
        <f t="shared" ca="1" si="340"/>
        <v>14.703389045245371</v>
      </c>
      <c r="S3270" s="38">
        <f t="shared" ca="1" si="341"/>
        <v>1021.5624999999999</v>
      </c>
    </row>
    <row r="3271" spans="13:19">
      <c r="M3271" s="132">
        <f t="shared" ca="1" si="338"/>
        <v>1036.5808293070982</v>
      </c>
      <c r="N3271" s="38">
        <f t="shared" si="339"/>
        <v>30.656250000000004</v>
      </c>
      <c r="O3271" s="36">
        <f t="shared" si="337"/>
        <v>817.5</v>
      </c>
      <c r="P3271" s="38">
        <f ca="1">IF(ISERROR(IF(O3271&lt;fi_h/20,0,(OFFSET('Base de dados'!$A$5,IF(O3271&lt;20,1,IF(O3271&gt;1000,10,MATCH(O3271,Cargas,1))),Coluna_fih,1,1))*(1+0.13*0.25)*(PI()*(fi_h/1000)^2/4)*SQRT(2*9.81*(O3271/100-fi_h/2/1000))*1000)),"",IF(O3271&lt;fi_h/20,0,(OFFSET('Base de dados'!$A$5,IF(O3271&lt;20,1,IF(O3271&gt;1000,10,MATCH(O3271,Cargas,1))),Coluna_fih,1,1))*(PI()*(fi_h/1000)^2/4)*SQRT(2*9.81*(O3271/100-fi_h/2/1000))*1000))</f>
        <v>7.6452587644698813</v>
      </c>
      <c r="Q3271" s="38">
        <f ca="1">IF(O3271="","",IF(Tipo_Vertedor="Retangular",IF(O3271&lt;=cota_s*100,0,IF(Tipo_Vertedor="Retangular",Cd_sr*Lef_sr*((O3271/100-cota_s)^(3/2))*1000)),IF(O3271&lt;=cota_s*100+fi_s/20,0,(OFFSET('Base de dados'!$A$4,IF(O3271&lt;20,1,IF(O3271&gt;1000,10,MATCH(O3271,Cargas,1))),Coluna_fis,1,1))*(PI()*(fi_s/1000)^2/4)*(2*9.81*(O3271/100-cota_s-fi_s/2/1000))^0.5*1000)))</f>
        <v>7.0605705426280778</v>
      </c>
      <c r="R3271" s="38">
        <f t="shared" ca="1" si="340"/>
        <v>14.705829307097959</v>
      </c>
      <c r="S3271" s="38">
        <f t="shared" ca="1" si="341"/>
        <v>1021.8750000000001</v>
      </c>
    </row>
    <row r="3272" spans="13:19">
      <c r="M3272" s="132">
        <f t="shared" ca="1" si="338"/>
        <v>1036.895769161521</v>
      </c>
      <c r="N3272" s="38">
        <f t="shared" si="339"/>
        <v>30.665625000000002</v>
      </c>
      <c r="O3272" s="36">
        <f t="shared" si="337"/>
        <v>817.75</v>
      </c>
      <c r="P3272" s="38">
        <f ca="1">IF(ISERROR(IF(O3272&lt;fi_h/20,0,(OFFSET('Base de dados'!$A$5,IF(O3272&lt;20,1,IF(O3272&gt;1000,10,MATCH(O3272,Cargas,1))),Coluna_fih,1,1))*(1+0.13*0.25)*(PI()*(fi_h/1000)^2/4)*SQRT(2*9.81*(O3272/100-fi_h/2/1000))*1000)),"",IF(O3272&lt;fi_h/20,0,(OFFSET('Base de dados'!$A$5,IF(O3272&lt;20,1,IF(O3272&gt;1000,10,MATCH(O3272,Cargas,1))),Coluna_fih,1,1))*(PI()*(fi_h/1000)^2/4)*SQRT(2*9.81*(O3272/100-fi_h/2/1000))*1000))</f>
        <v>7.6464301967113455</v>
      </c>
      <c r="Q3272" s="38">
        <f ca="1">IF(O3272="","",IF(Tipo_Vertedor="Retangular",IF(O3272&lt;=cota_s*100,0,IF(Tipo_Vertedor="Retangular",Cd_sr*Lef_sr*((O3272/100-cota_s)^(3/2))*1000)),IF(O3272&lt;=cota_s*100+fi_s/20,0,(OFFSET('Base de dados'!$A$4,IF(O3272&lt;20,1,IF(O3272&gt;1000,10,MATCH(O3272,Cargas,1))),Coluna_fis,1,1))*(PI()*(fi_s/1000)^2/4)*(2*9.81*(O3272/100-cota_s-fi_s/2/1000))^0.5*1000)))</f>
        <v>7.0618389648095858</v>
      </c>
      <c r="R3272" s="38">
        <f t="shared" ca="1" si="340"/>
        <v>14.708269161520931</v>
      </c>
      <c r="S3272" s="38">
        <f t="shared" ca="1" si="341"/>
        <v>1022.1875000000001</v>
      </c>
    </row>
    <row r="3273" spans="13:19">
      <c r="M3273" s="132">
        <f t="shared" ca="1" si="338"/>
        <v>1037.2107086087194</v>
      </c>
      <c r="N3273" s="38">
        <f t="shared" si="339"/>
        <v>30.674999999999997</v>
      </c>
      <c r="O3273" s="36">
        <f t="shared" si="337"/>
        <v>818</v>
      </c>
      <c r="P3273" s="38">
        <f ca="1">IF(ISERROR(IF(O3273&lt;fi_h/20,0,(OFFSET('Base de dados'!$A$5,IF(O3273&lt;20,1,IF(O3273&gt;1000,10,MATCH(O3273,Cargas,1))),Coluna_fih,1,1))*(1+0.13*0.25)*(PI()*(fi_h/1000)^2/4)*SQRT(2*9.81*(O3273/100-fi_h/2/1000))*1000)),"",IF(O3273&lt;fi_h/20,0,(OFFSET('Base de dados'!$A$5,IF(O3273&lt;20,1,IF(O3273&gt;1000,10,MATCH(O3273,Cargas,1))),Coluna_fih,1,1))*(PI()*(fi_h/1000)^2/4)*SQRT(2*9.81*(O3273/100-fi_h/2/1000))*1000))</f>
        <v>7.6476014495170102</v>
      </c>
      <c r="Q3273" s="38">
        <f ca="1">IF(O3273="","",IF(Tipo_Vertedor="Retangular",IF(O3273&lt;=cota_s*100,0,IF(Tipo_Vertedor="Retangular",Cd_sr*Lef_sr*((O3273/100-cota_s)^(3/2))*1000)),IF(O3273&lt;=cota_s*100+fi_s/20,0,(OFFSET('Base de dados'!$A$4,IF(O3273&lt;20,1,IF(O3273&gt;1000,10,MATCH(O3273,Cargas,1))),Coluna_fis,1,1))*(PI()*(fi_s/1000)^2/4)*(2*9.81*(O3273/100-cota_s-fi_s/2/1000))^0.5*1000)))</f>
        <v>7.0631071592025618</v>
      </c>
      <c r="R3273" s="38">
        <f t="shared" ca="1" si="340"/>
        <v>14.710708608719571</v>
      </c>
      <c r="S3273" s="38">
        <f t="shared" ca="1" si="341"/>
        <v>1022.4999999999999</v>
      </c>
    </row>
    <row r="3274" spans="13:19">
      <c r="M3274" s="132">
        <f t="shared" ca="1" si="338"/>
        <v>1037.5256476488989</v>
      </c>
      <c r="N3274" s="38">
        <f t="shared" si="339"/>
        <v>30.684374999999996</v>
      </c>
      <c r="O3274" s="36">
        <f t="shared" si="337"/>
        <v>818.25</v>
      </c>
      <c r="P3274" s="38">
        <f ca="1">IF(ISERROR(IF(O3274&lt;fi_h/20,0,(OFFSET('Base de dados'!$A$5,IF(O3274&lt;20,1,IF(O3274&gt;1000,10,MATCH(O3274,Cargas,1))),Coluna_fih,1,1))*(1+0.13*0.25)*(PI()*(fi_h/1000)^2/4)*SQRT(2*9.81*(O3274/100-fi_h/2/1000))*1000)),"",IF(O3274&lt;fi_h/20,0,(OFFSET('Base de dados'!$A$5,IF(O3274&lt;20,1,IF(O3274&gt;1000,10,MATCH(O3274,Cargas,1))),Coluna_fih,1,1))*(PI()*(fi_h/1000)^2/4)*SQRT(2*9.81*(O3274/100-fi_h/2/1000))*1000))</f>
        <v>7.6487725229693062</v>
      </c>
      <c r="Q3274" s="38">
        <f ca="1">IF(O3274="","",IF(Tipo_Vertedor="Retangular",IF(O3274&lt;=cota_s*100,0,IF(Tipo_Vertedor="Retangular",Cd_sr*Lef_sr*((O3274/100-cota_s)^(3/2))*1000)),IF(O3274&lt;=cota_s*100+fi_s/20,0,(OFFSET('Base de dados'!$A$4,IF(O3274&lt;20,1,IF(O3274&gt;1000,10,MATCH(O3274,Cargas,1))),Coluna_fis,1,1))*(PI()*(fi_s/1000)^2/4)*(2*9.81*(O3274/100-cota_s-fi_s/2/1000))^0.5*1000)))</f>
        <v>7.0643751259296845</v>
      </c>
      <c r="R3274" s="38">
        <f t="shared" ca="1" si="340"/>
        <v>14.713147648898991</v>
      </c>
      <c r="S3274" s="38">
        <f t="shared" ca="1" si="341"/>
        <v>1022.8124999999999</v>
      </c>
    </row>
    <row r="3275" spans="13:19">
      <c r="M3275" s="132">
        <f t="shared" ca="1" si="338"/>
        <v>1037.8405862822642</v>
      </c>
      <c r="N3275" s="38">
        <f t="shared" si="339"/>
        <v>30.693750000000001</v>
      </c>
      <c r="O3275" s="36">
        <f t="shared" si="337"/>
        <v>818.5</v>
      </c>
      <c r="P3275" s="38">
        <f ca="1">IF(ISERROR(IF(O3275&lt;fi_h/20,0,(OFFSET('Base de dados'!$A$5,IF(O3275&lt;20,1,IF(O3275&gt;1000,10,MATCH(O3275,Cargas,1))),Coluna_fih,1,1))*(1+0.13*0.25)*(PI()*(fi_h/1000)^2/4)*SQRT(2*9.81*(O3275/100-fi_h/2/1000))*1000)),"",IF(O3275&lt;fi_h/20,0,(OFFSET('Base de dados'!$A$5,IF(O3275&lt;20,1,IF(O3275&gt;1000,10,MATCH(O3275,Cargas,1))),Coluna_fih,1,1))*(PI()*(fi_h/1000)^2/4)*SQRT(2*9.81*(O3275/100-fi_h/2/1000))*1000))</f>
        <v>7.6499434171506024</v>
      </c>
      <c r="Q3275" s="38">
        <f ca="1">IF(O3275="","",IF(Tipo_Vertedor="Retangular",IF(O3275&lt;=cota_s*100,0,IF(Tipo_Vertedor="Retangular",Cd_sr*Lef_sr*((O3275/100-cota_s)^(3/2))*1000)),IF(O3275&lt;=cota_s*100+fi_s/20,0,(OFFSET('Base de dados'!$A$4,IF(O3275&lt;20,1,IF(O3275&gt;1000,10,MATCH(O3275,Cargas,1))),Coluna_fis,1,1))*(PI()*(fi_s/1000)^2/4)*(2*9.81*(O3275/100-cota_s-fi_s/2/1000))^0.5*1000)))</f>
        <v>7.0656428651135235</v>
      </c>
      <c r="R3275" s="38">
        <f t="shared" ca="1" si="340"/>
        <v>14.715586282264127</v>
      </c>
      <c r="S3275" s="38">
        <f t="shared" ca="1" si="341"/>
        <v>1023.125</v>
      </c>
    </row>
    <row r="3276" spans="13:19">
      <c r="M3276" s="132">
        <f t="shared" ca="1" si="338"/>
        <v>1038.1555245090196</v>
      </c>
      <c r="N3276" s="38">
        <f t="shared" si="339"/>
        <v>30.703125</v>
      </c>
      <c r="O3276" s="36">
        <f t="shared" si="337"/>
        <v>818.75</v>
      </c>
      <c r="P3276" s="38">
        <f ca="1">IF(ISERROR(IF(O3276&lt;fi_h/20,0,(OFFSET('Base de dados'!$A$5,IF(O3276&lt;20,1,IF(O3276&gt;1000,10,MATCH(O3276,Cargas,1))),Coluna_fih,1,1))*(1+0.13*0.25)*(PI()*(fi_h/1000)^2/4)*SQRT(2*9.81*(O3276/100-fi_h/2/1000))*1000)),"",IF(O3276&lt;fi_h/20,0,(OFFSET('Base de dados'!$A$5,IF(O3276&lt;20,1,IF(O3276&gt;1000,10,MATCH(O3276,Cargas,1))),Coluna_fih,1,1))*(PI()*(fi_h/1000)^2/4)*SQRT(2*9.81*(O3276/100-fi_h/2/1000))*1000))</f>
        <v>7.6511141321432001</v>
      </c>
      <c r="Q3276" s="38">
        <f ca="1">IF(O3276="","",IF(Tipo_Vertedor="Retangular",IF(O3276&lt;=cota_s*100,0,IF(Tipo_Vertedor="Retangular",Cd_sr*Lef_sr*((O3276/100-cota_s)^(3/2))*1000)),IF(O3276&lt;=cota_s*100+fi_s/20,0,(OFFSET('Base de dados'!$A$4,IF(O3276&lt;20,1,IF(O3276&gt;1000,10,MATCH(O3276,Cargas,1))),Coluna_fis,1,1))*(PI()*(fi_s/1000)^2/4)*(2*9.81*(O3276/100-cota_s-fi_s/2/1000))^0.5*1000)))</f>
        <v>7.0669103768765318</v>
      </c>
      <c r="R3276" s="38">
        <f t="shared" ca="1" si="340"/>
        <v>14.718024509019731</v>
      </c>
      <c r="S3276" s="38">
        <f t="shared" ca="1" si="341"/>
        <v>1023.4375</v>
      </c>
    </row>
    <row r="3277" spans="13:19">
      <c r="M3277" s="132">
        <f t="shared" ca="1" si="338"/>
        <v>1038.4704623293703</v>
      </c>
      <c r="N3277" s="38">
        <f t="shared" si="339"/>
        <v>30.712499999999999</v>
      </c>
      <c r="O3277" s="36">
        <f t="shared" si="337"/>
        <v>819</v>
      </c>
      <c r="P3277" s="38">
        <f ca="1">IF(ISERROR(IF(O3277&lt;fi_h/20,0,(OFFSET('Base de dados'!$A$5,IF(O3277&lt;20,1,IF(O3277&gt;1000,10,MATCH(O3277,Cargas,1))),Coluna_fih,1,1))*(1+0.13*0.25)*(PI()*(fi_h/1000)^2/4)*SQRT(2*9.81*(O3277/100-fi_h/2/1000))*1000)),"",IF(O3277&lt;fi_h/20,0,(OFFSET('Base de dados'!$A$5,IF(O3277&lt;20,1,IF(O3277&gt;1000,10,MATCH(O3277,Cargas,1))),Coluna_fih,1,1))*(PI()*(fi_h/1000)^2/4)*SQRT(2*9.81*(O3277/100-fi_h/2/1000))*1000))</f>
        <v>7.6522846680293446</v>
      </c>
      <c r="Q3277" s="38">
        <f ca="1">IF(O3277="","",IF(Tipo_Vertedor="Retangular",IF(O3277&lt;=cota_s*100,0,IF(Tipo_Vertedor="Retangular",Cd_sr*Lef_sr*((O3277/100-cota_s)^(3/2))*1000)),IF(O3277&lt;=cota_s*100+fi_s/20,0,(OFFSET('Base de dados'!$A$4,IF(O3277&lt;20,1,IF(O3277&gt;1000,10,MATCH(O3277,Cargas,1))),Coluna_fis,1,1))*(PI()*(fi_s/1000)^2/4)*(2*9.81*(O3277/100-cota_s-fi_s/2/1000))^0.5*1000)))</f>
        <v>7.0681776613410605</v>
      </c>
      <c r="R3277" s="38">
        <f t="shared" ca="1" si="340"/>
        <v>14.720462329370406</v>
      </c>
      <c r="S3277" s="38">
        <f t="shared" ca="1" si="341"/>
        <v>1023.75</v>
      </c>
    </row>
    <row r="3278" spans="13:19">
      <c r="M3278" s="132">
        <f t="shared" ca="1" si="338"/>
        <v>1038.7853997435209</v>
      </c>
      <c r="N3278" s="38">
        <f t="shared" si="339"/>
        <v>30.721875000000004</v>
      </c>
      <c r="O3278" s="36">
        <f t="shared" si="337"/>
        <v>819.25</v>
      </c>
      <c r="P3278" s="38">
        <f ca="1">IF(ISERROR(IF(O3278&lt;fi_h/20,0,(OFFSET('Base de dados'!$A$5,IF(O3278&lt;20,1,IF(O3278&gt;1000,10,MATCH(O3278,Cargas,1))),Coluna_fih,1,1))*(1+0.13*0.25)*(PI()*(fi_h/1000)^2/4)*SQRT(2*9.81*(O3278/100-fi_h/2/1000))*1000)),"",IF(O3278&lt;fi_h/20,0,(OFFSET('Base de dados'!$A$5,IF(O3278&lt;20,1,IF(O3278&gt;1000,10,MATCH(O3278,Cargas,1))),Coluna_fih,1,1))*(PI()*(fi_h/1000)^2/4)*SQRT(2*9.81*(O3278/100-fi_h/2/1000))*1000))</f>
        <v>7.6534550248912128</v>
      </c>
      <c r="Q3278" s="38">
        <f ca="1">IF(O3278="","",IF(Tipo_Vertedor="Retangular",IF(O3278&lt;=cota_s*100,0,IF(Tipo_Vertedor="Retangular",Cd_sr*Lef_sr*((O3278/100-cota_s)^(3/2))*1000)),IF(O3278&lt;=cota_s*100+fi_s/20,0,(OFFSET('Base de dados'!$A$4,IF(O3278&lt;20,1,IF(O3278&gt;1000,10,MATCH(O3278,Cargas,1))),Coluna_fis,1,1))*(PI()*(fi_s/1000)^2/4)*(2*9.81*(O3278/100-cota_s-fi_s/2/1000))^0.5*1000)))</f>
        <v>7.0694447186293461</v>
      </c>
      <c r="R3278" s="38">
        <f t="shared" ca="1" si="340"/>
        <v>14.722899743520559</v>
      </c>
      <c r="S3278" s="38">
        <f t="shared" ca="1" si="341"/>
        <v>1024.0625000000002</v>
      </c>
    </row>
    <row r="3279" spans="13:19">
      <c r="M3279" s="132">
        <f t="shared" ca="1" si="338"/>
        <v>1039.1003367516746</v>
      </c>
      <c r="N3279" s="38">
        <f t="shared" si="339"/>
        <v>30.731250000000003</v>
      </c>
      <c r="O3279" s="36">
        <f t="shared" si="337"/>
        <v>819.5</v>
      </c>
      <c r="P3279" s="38">
        <f ca="1">IF(ISERROR(IF(O3279&lt;fi_h/20,0,(OFFSET('Base de dados'!$A$5,IF(O3279&lt;20,1,IF(O3279&gt;1000,10,MATCH(O3279,Cargas,1))),Coluna_fih,1,1))*(1+0.13*0.25)*(PI()*(fi_h/1000)^2/4)*SQRT(2*9.81*(O3279/100-fi_h/2/1000))*1000)),"",IF(O3279&lt;fi_h/20,0,(OFFSET('Base de dados'!$A$5,IF(O3279&lt;20,1,IF(O3279&gt;1000,10,MATCH(O3279,Cargas,1))),Coluna_fih,1,1))*(PI()*(fi_h/1000)^2/4)*SQRT(2*9.81*(O3279/100-fi_h/2/1000))*1000))</f>
        <v>7.6546252028109221</v>
      </c>
      <c r="Q3279" s="38">
        <f ca="1">IF(O3279="","",IF(Tipo_Vertedor="Retangular",IF(O3279&lt;=cota_s*100,0,IF(Tipo_Vertedor="Retangular",Cd_sr*Lef_sr*((O3279/100-cota_s)^(3/2))*1000)),IF(O3279&lt;=cota_s*100+fi_s/20,0,(OFFSET('Base de dados'!$A$4,IF(O3279&lt;20,1,IF(O3279&gt;1000,10,MATCH(O3279,Cargas,1))),Coluna_fis,1,1))*(PI()*(fi_s/1000)^2/4)*(2*9.81*(O3279/100-cota_s-fi_s/2/1000))^0.5*1000)))</f>
        <v>7.0707115488635184</v>
      </c>
      <c r="R3279" s="38">
        <f t="shared" ca="1" si="340"/>
        <v>14.72533675167444</v>
      </c>
      <c r="S3279" s="38">
        <f t="shared" ca="1" si="341"/>
        <v>1024.3750000000002</v>
      </c>
    </row>
    <row r="3280" spans="13:19">
      <c r="M3280" s="132">
        <f t="shared" ca="1" si="338"/>
        <v>1039.4152733540359</v>
      </c>
      <c r="N3280" s="38">
        <f t="shared" si="339"/>
        <v>30.740624999999998</v>
      </c>
      <c r="O3280" s="36">
        <f t="shared" si="337"/>
        <v>819.75</v>
      </c>
      <c r="P3280" s="38">
        <f ca="1">IF(ISERROR(IF(O3280&lt;fi_h/20,0,(OFFSET('Base de dados'!$A$5,IF(O3280&lt;20,1,IF(O3280&gt;1000,10,MATCH(O3280,Cargas,1))),Coluna_fih,1,1))*(1+0.13*0.25)*(PI()*(fi_h/1000)^2/4)*SQRT(2*9.81*(O3280/100-fi_h/2/1000))*1000)),"",IF(O3280&lt;fi_h/20,0,(OFFSET('Base de dados'!$A$5,IF(O3280&lt;20,1,IF(O3280&gt;1000,10,MATCH(O3280,Cargas,1))),Coluna_fih,1,1))*(PI()*(fi_h/1000)^2/4)*SQRT(2*9.81*(O3280/100-fi_h/2/1000))*1000))</f>
        <v>7.6557952018705224</v>
      </c>
      <c r="Q3280" s="38">
        <f ca="1">IF(O3280="","",IF(Tipo_Vertedor="Retangular",IF(O3280&lt;=cota_s*100,0,IF(Tipo_Vertedor="Retangular",Cd_sr*Lef_sr*((O3280/100-cota_s)^(3/2))*1000)),IF(O3280&lt;=cota_s*100+fi_s/20,0,(OFFSET('Base de dados'!$A$4,IF(O3280&lt;20,1,IF(O3280&gt;1000,10,MATCH(O3280,Cargas,1))),Coluna_fis,1,1))*(PI()*(fi_s/1000)^2/4)*(2*9.81*(O3280/100-cota_s-fi_s/2/1000))^0.5*1000)))</f>
        <v>7.0719781521655953</v>
      </c>
      <c r="R3280" s="38">
        <f t="shared" ca="1" si="340"/>
        <v>14.727773354036117</v>
      </c>
      <c r="S3280" s="38">
        <f t="shared" ca="1" si="341"/>
        <v>1024.6874999999998</v>
      </c>
    </row>
    <row r="3281" spans="13:19">
      <c r="M3281" s="132">
        <f t="shared" ca="1" si="338"/>
        <v>1039.7302095508094</v>
      </c>
      <c r="N3281" s="38">
        <f t="shared" si="339"/>
        <v>30.749999999999996</v>
      </c>
      <c r="O3281" s="36">
        <f t="shared" si="337"/>
        <v>820</v>
      </c>
      <c r="P3281" s="38">
        <f ca="1">IF(ISERROR(IF(O3281&lt;fi_h/20,0,(OFFSET('Base de dados'!$A$5,IF(O3281&lt;20,1,IF(O3281&gt;1000,10,MATCH(O3281,Cargas,1))),Coluna_fih,1,1))*(1+0.13*0.25)*(PI()*(fi_h/1000)^2/4)*SQRT(2*9.81*(O3281/100-fi_h/2/1000))*1000)),"",IF(O3281&lt;fi_h/20,0,(OFFSET('Base de dados'!$A$5,IF(O3281&lt;20,1,IF(O3281&gt;1000,10,MATCH(O3281,Cargas,1))),Coluna_fih,1,1))*(PI()*(fi_h/1000)^2/4)*SQRT(2*9.81*(O3281/100-fi_h/2/1000))*1000))</f>
        <v>7.6569650221520069</v>
      </c>
      <c r="Q3281" s="38">
        <f ca="1">IF(O3281="","",IF(Tipo_Vertedor="Retangular",IF(O3281&lt;=cota_s*100,0,IF(Tipo_Vertedor="Retangular",Cd_sr*Lef_sr*((O3281/100-cota_s)^(3/2))*1000)),IF(O3281&lt;=cota_s*100+fi_s/20,0,(OFFSET('Base de dados'!$A$4,IF(O3281&lt;20,1,IF(O3281&gt;1000,10,MATCH(O3281,Cargas,1))),Coluna_fis,1,1))*(PI()*(fi_s/1000)^2/4)*(2*9.81*(O3281/100-cota_s-fi_s/2/1000))^0.5*1000)))</f>
        <v>7.0732445286574874</v>
      </c>
      <c r="R3281" s="38">
        <f t="shared" ca="1" si="340"/>
        <v>14.730209550809494</v>
      </c>
      <c r="S3281" s="38">
        <f t="shared" ca="1" si="341"/>
        <v>1024.9999999999998</v>
      </c>
    </row>
    <row r="3282" spans="13:19">
      <c r="M3282" s="132">
        <f t="shared" ca="1" si="338"/>
        <v>1040.0451453421986</v>
      </c>
      <c r="N3282" s="38">
        <f t="shared" si="339"/>
        <v>30.759375000000002</v>
      </c>
      <c r="O3282" s="36">
        <f t="shared" si="337"/>
        <v>820.25</v>
      </c>
      <c r="P3282" s="38">
        <f ca="1">IF(ISERROR(IF(O3282&lt;fi_h/20,0,(OFFSET('Base de dados'!$A$5,IF(O3282&lt;20,1,IF(O3282&gt;1000,10,MATCH(O3282,Cargas,1))),Coluna_fih,1,1))*(1+0.13*0.25)*(PI()*(fi_h/1000)^2/4)*SQRT(2*9.81*(O3282/100-fi_h/2/1000))*1000)),"",IF(O3282&lt;fi_h/20,0,(OFFSET('Base de dados'!$A$5,IF(O3282&lt;20,1,IF(O3282&gt;1000,10,MATCH(O3282,Cargas,1))),Coluna_fih,1,1))*(PI()*(fi_h/1000)^2/4)*SQRT(2*9.81*(O3282/100-fi_h/2/1000))*1000))</f>
        <v>7.6581346637373047</v>
      </c>
      <c r="Q3282" s="38">
        <f ca="1">IF(O3282="","",IF(Tipo_Vertedor="Retangular",IF(O3282&lt;=cota_s*100,0,IF(Tipo_Vertedor="Retangular",Cd_sr*Lef_sr*((O3282/100-cota_s)^(3/2))*1000)),IF(O3282&lt;=cota_s*100+fi_s/20,0,(OFFSET('Base de dados'!$A$4,IF(O3282&lt;20,1,IF(O3282&gt;1000,10,MATCH(O3282,Cargas,1))),Coluna_fis,1,1))*(PI()*(fi_s/1000)^2/4)*(2*9.81*(O3282/100-cota_s-fi_s/2/1000))^0.5*1000)))</f>
        <v>7.0745106784609959</v>
      </c>
      <c r="R3282" s="38">
        <f t="shared" ca="1" si="340"/>
        <v>14.7326453421983</v>
      </c>
      <c r="S3282" s="38">
        <f t="shared" ca="1" si="341"/>
        <v>1025.3125000000002</v>
      </c>
    </row>
    <row r="3283" spans="13:19">
      <c r="M3283" s="132">
        <f t="shared" ca="1" si="338"/>
        <v>1040.360080728406</v>
      </c>
      <c r="N3283" s="38">
        <f t="shared" si="339"/>
        <v>30.768750000000001</v>
      </c>
      <c r="O3283" s="36">
        <f t="shared" ref="O3283:O3346" si="342">IF(ISERROR(IF(O3282+passo_altura&gt;h_max_puls*100,"",O3282+passo_altura)),"",IF(O3282+passo_altura&gt;h_max_puls*100,"",O3282+passo_altura))</f>
        <v>820.5</v>
      </c>
      <c r="P3283" s="38">
        <f ca="1">IF(ISERROR(IF(O3283&lt;fi_h/20,0,(OFFSET('Base de dados'!$A$5,IF(O3283&lt;20,1,IF(O3283&gt;1000,10,MATCH(O3283,Cargas,1))),Coluna_fih,1,1))*(1+0.13*0.25)*(PI()*(fi_h/1000)^2/4)*SQRT(2*9.81*(O3283/100-fi_h/2/1000))*1000)),"",IF(O3283&lt;fi_h/20,0,(OFFSET('Base de dados'!$A$5,IF(O3283&lt;20,1,IF(O3283&gt;1000,10,MATCH(O3283,Cargas,1))),Coluna_fih,1,1))*(PI()*(fi_h/1000)^2/4)*SQRT(2*9.81*(O3283/100-fi_h/2/1000))*1000))</f>
        <v>7.6593041267082764</v>
      </c>
      <c r="Q3283" s="38">
        <f ca="1">IF(O3283="","",IF(Tipo_Vertedor="Retangular",IF(O3283&lt;=cota_s*100,0,IF(Tipo_Vertedor="Retangular",Cd_sr*Lef_sr*((O3283/100-cota_s)^(3/2))*1000)),IF(O3283&lt;=cota_s*100+fi_s/20,0,(OFFSET('Base de dados'!$A$4,IF(O3283&lt;20,1,IF(O3283&gt;1000,10,MATCH(O3283,Cargas,1))),Coluna_fis,1,1))*(PI()*(fi_s/1000)^2/4)*(2*9.81*(O3283/100-cota_s-fi_s/2/1000))^0.5*1000)))</f>
        <v>7.0757766016978119</v>
      </c>
      <c r="R3283" s="38">
        <f t="shared" ca="1" si="340"/>
        <v>14.735080728406089</v>
      </c>
      <c r="S3283" s="38">
        <f t="shared" ca="1" si="341"/>
        <v>1025.625</v>
      </c>
    </row>
    <row r="3284" spans="13:19">
      <c r="M3284" s="132">
        <f t="shared" ca="1" si="338"/>
        <v>1040.6750157096362</v>
      </c>
      <c r="N3284" s="38">
        <f t="shared" si="339"/>
        <v>30.778124999999999</v>
      </c>
      <c r="O3284" s="36">
        <f t="shared" si="342"/>
        <v>820.75</v>
      </c>
      <c r="P3284" s="38">
        <f ca="1">IF(ISERROR(IF(O3284&lt;fi_h/20,0,(OFFSET('Base de dados'!$A$5,IF(O3284&lt;20,1,IF(O3284&gt;1000,10,MATCH(O3284,Cargas,1))),Coluna_fih,1,1))*(1+0.13*0.25)*(PI()*(fi_h/1000)^2/4)*SQRT(2*9.81*(O3284/100-fi_h/2/1000))*1000)),"",IF(O3284&lt;fi_h/20,0,(OFFSET('Base de dados'!$A$5,IF(O3284&lt;20,1,IF(O3284&gt;1000,10,MATCH(O3284,Cargas,1))),Coluna_fih,1,1))*(PI()*(fi_h/1000)^2/4)*SQRT(2*9.81*(O3284/100-fi_h/2/1000))*1000))</f>
        <v>7.6604734111467288</v>
      </c>
      <c r="Q3284" s="38">
        <f ca="1">IF(O3284="","",IF(Tipo_Vertedor="Retangular",IF(O3284&lt;=cota_s*100,0,IF(Tipo_Vertedor="Retangular",Cd_sr*Lef_sr*((O3284/100-cota_s)^(3/2))*1000)),IF(O3284&lt;=cota_s*100+fi_s/20,0,(OFFSET('Base de dados'!$A$4,IF(O3284&lt;20,1,IF(O3284&gt;1000,10,MATCH(O3284,Cargas,1))),Coluna_fis,1,1))*(PI()*(fi_s/1000)^2/4)*(2*9.81*(O3284/100-cota_s-fi_s/2/1000))^0.5*1000)))</f>
        <v>7.0770422984895189</v>
      </c>
      <c r="R3284" s="38">
        <f t="shared" ca="1" si="340"/>
        <v>14.737515709636249</v>
      </c>
      <c r="S3284" s="38">
        <f t="shared" ca="1" si="341"/>
        <v>1025.9375</v>
      </c>
    </row>
    <row r="3285" spans="13:19">
      <c r="M3285" s="132">
        <f t="shared" ca="1" si="338"/>
        <v>1040.9899502860919</v>
      </c>
      <c r="N3285" s="38">
        <f t="shared" si="339"/>
        <v>30.787500000000001</v>
      </c>
      <c r="O3285" s="36">
        <f t="shared" si="342"/>
        <v>821</v>
      </c>
      <c r="P3285" s="38">
        <f ca="1">IF(ISERROR(IF(O3285&lt;fi_h/20,0,(OFFSET('Base de dados'!$A$5,IF(O3285&lt;20,1,IF(O3285&gt;1000,10,MATCH(O3285,Cargas,1))),Coluna_fih,1,1))*(1+0.13*0.25)*(PI()*(fi_h/1000)^2/4)*SQRT(2*9.81*(O3285/100-fi_h/2/1000))*1000)),"",IF(O3285&lt;fi_h/20,0,(OFFSET('Base de dados'!$A$5,IF(O3285&lt;20,1,IF(O3285&gt;1000,10,MATCH(O3285,Cargas,1))),Coluna_fih,1,1))*(PI()*(fi_h/1000)^2/4)*SQRT(2*9.81*(O3285/100-fi_h/2/1000))*1000))</f>
        <v>7.6616425171344025</v>
      </c>
      <c r="Q3285" s="38">
        <f ca="1">IF(O3285="","",IF(Tipo_Vertedor="Retangular",IF(O3285&lt;=cota_s*100,0,IF(Tipo_Vertedor="Retangular",Cd_sr*Lef_sr*((O3285/100-cota_s)^(3/2))*1000)),IF(O3285&lt;=cota_s*100+fi_s/20,0,(OFFSET('Base de dados'!$A$4,IF(O3285&lt;20,1,IF(O3285&gt;1000,10,MATCH(O3285,Cargas,1))),Coluna_fis,1,1))*(PI()*(fi_s/1000)^2/4)*(2*9.81*(O3285/100-cota_s-fi_s/2/1000))^0.5*1000)))</f>
        <v>7.0783077689575915</v>
      </c>
      <c r="R3285" s="38">
        <f t="shared" ca="1" si="340"/>
        <v>14.739950286091993</v>
      </c>
      <c r="S3285" s="38">
        <f t="shared" ca="1" si="341"/>
        <v>1026.25</v>
      </c>
    </row>
    <row r="3286" spans="13:19">
      <c r="M3286" s="132">
        <f t="shared" ca="1" si="338"/>
        <v>1041.3048844579764</v>
      </c>
      <c r="N3286" s="38">
        <f t="shared" si="339"/>
        <v>30.796875</v>
      </c>
      <c r="O3286" s="36">
        <f t="shared" si="342"/>
        <v>821.25</v>
      </c>
      <c r="P3286" s="38">
        <f ca="1">IF(ISERROR(IF(O3286&lt;fi_h/20,0,(OFFSET('Base de dados'!$A$5,IF(O3286&lt;20,1,IF(O3286&gt;1000,10,MATCH(O3286,Cargas,1))),Coluna_fih,1,1))*(1+0.13*0.25)*(PI()*(fi_h/1000)^2/4)*SQRT(2*9.81*(O3286/100-fi_h/2/1000))*1000)),"",IF(O3286&lt;fi_h/20,0,(OFFSET('Base de dados'!$A$5,IF(O3286&lt;20,1,IF(O3286&gt;1000,10,MATCH(O3286,Cargas,1))),Coluna_fih,1,1))*(PI()*(fi_h/1000)^2/4)*SQRT(2*9.81*(O3286/100-fi_h/2/1000))*1000))</f>
        <v>7.6628114447529745</v>
      </c>
      <c r="Q3286" s="38">
        <f ca="1">IF(O3286="","",IF(Tipo_Vertedor="Retangular",IF(O3286&lt;=cota_s*100,0,IF(Tipo_Vertedor="Retangular",Cd_sr*Lef_sr*((O3286/100-cota_s)^(3/2))*1000)),IF(O3286&lt;=cota_s*100+fi_s/20,0,(OFFSET('Base de dados'!$A$4,IF(O3286&lt;20,1,IF(O3286&gt;1000,10,MATCH(O3286,Cargas,1))),Coluna_fis,1,1))*(PI()*(fi_s/1000)^2/4)*(2*9.81*(O3286/100-cota_s-fi_s/2/1000))^0.5*1000)))</f>
        <v>7.0795730132233938</v>
      </c>
      <c r="R3286" s="38">
        <f t="shared" ca="1" si="340"/>
        <v>14.742384457976367</v>
      </c>
      <c r="S3286" s="38">
        <f t="shared" ca="1" si="341"/>
        <v>1026.5625</v>
      </c>
    </row>
    <row r="3287" spans="13:19">
      <c r="M3287" s="132">
        <f t="shared" ref="M3287:M3350" ca="1" si="343">IF(O3287="","",2*N3287*1000/(Passo*60)+R3287)</f>
        <v>1041.6198182254923</v>
      </c>
      <c r="N3287" s="38">
        <f t="shared" ref="N3287:N3350" si="344">IF(O3287="","",b_0*(O3287/100)^c_0)</f>
        <v>30.806249999999999</v>
      </c>
      <c r="O3287" s="36">
        <f t="shared" si="342"/>
        <v>821.5</v>
      </c>
      <c r="P3287" s="38">
        <f ca="1">IF(ISERROR(IF(O3287&lt;fi_h/20,0,(OFFSET('Base de dados'!$A$5,IF(O3287&lt;20,1,IF(O3287&gt;1000,10,MATCH(O3287,Cargas,1))),Coluna_fih,1,1))*(1+0.13*0.25)*(PI()*(fi_h/1000)^2/4)*SQRT(2*9.81*(O3287/100-fi_h/2/1000))*1000)),"",IF(O3287&lt;fi_h/20,0,(OFFSET('Base de dados'!$A$5,IF(O3287&lt;20,1,IF(O3287&gt;1000,10,MATCH(O3287,Cargas,1))),Coluna_fih,1,1))*(PI()*(fi_h/1000)^2/4)*SQRT(2*9.81*(O3287/100-fi_h/2/1000))*1000))</f>
        <v>7.6639801940840595</v>
      </c>
      <c r="Q3287" s="38">
        <f ca="1">IF(O3287="","",IF(Tipo_Vertedor="Retangular",IF(O3287&lt;=cota_s*100,0,IF(Tipo_Vertedor="Retangular",Cd_sr*Lef_sr*((O3287/100-cota_s)^(3/2))*1000)),IF(O3287&lt;=cota_s*100+fi_s/20,0,(OFFSET('Base de dados'!$A$4,IF(O3287&lt;20,1,IF(O3287&gt;1000,10,MATCH(O3287,Cargas,1))),Coluna_fis,1,1))*(PI()*(fi_s/1000)^2/4)*(2*9.81*(O3287/100-cota_s-fi_s/2/1000))^0.5*1000)))</f>
        <v>7.0808380314081862</v>
      </c>
      <c r="R3287" s="38">
        <f t="shared" ref="R3287:R3350" ca="1" si="345">IF(O3287="","",Q3287+P3287)</f>
        <v>14.744818225492246</v>
      </c>
      <c r="S3287" s="38">
        <f t="shared" ref="S3287:S3350" ca="1" si="346">IF(M3287="","",2*N3287*1000/(Passo*60))</f>
        <v>1026.875</v>
      </c>
    </row>
    <row r="3288" spans="13:19">
      <c r="M3288" s="132">
        <f t="shared" ca="1" si="343"/>
        <v>1041.9347515888421</v>
      </c>
      <c r="N3288" s="38">
        <f t="shared" si="344"/>
        <v>30.815624999999997</v>
      </c>
      <c r="O3288" s="36">
        <f t="shared" si="342"/>
        <v>821.75</v>
      </c>
      <c r="P3288" s="38">
        <f ca="1">IF(ISERROR(IF(O3288&lt;fi_h/20,0,(OFFSET('Base de dados'!$A$5,IF(O3288&lt;20,1,IF(O3288&gt;1000,10,MATCH(O3288,Cargas,1))),Coluna_fih,1,1))*(1+0.13*0.25)*(PI()*(fi_h/1000)^2/4)*SQRT(2*9.81*(O3288/100-fi_h/2/1000))*1000)),"",IF(O3288&lt;fi_h/20,0,(OFFSET('Base de dados'!$A$5,IF(O3288&lt;20,1,IF(O3288&gt;1000,10,MATCH(O3288,Cargas,1))),Coluna_fih,1,1))*(PI()*(fi_h/1000)^2/4)*SQRT(2*9.81*(O3288/100-fi_h/2/1000))*1000))</f>
        <v>7.665148765209211</v>
      </c>
      <c r="Q3288" s="38">
        <f ca="1">IF(O3288="","",IF(Tipo_Vertedor="Retangular",IF(O3288&lt;=cota_s*100,0,IF(Tipo_Vertedor="Retangular",Cd_sr*Lef_sr*((O3288/100-cota_s)^(3/2))*1000)),IF(O3288&lt;=cota_s*100+fi_s/20,0,(OFFSET('Base de dados'!$A$4,IF(O3288&lt;20,1,IF(O3288&gt;1000,10,MATCH(O3288,Cargas,1))),Coluna_fis,1,1))*(PI()*(fi_s/1000)^2/4)*(2*9.81*(O3288/100-cota_s-fi_s/2/1000))^0.5*1000)))</f>
        <v>7.0821028236331118</v>
      </c>
      <c r="R3288" s="38">
        <f t="shared" ca="1" si="345"/>
        <v>14.747251588842323</v>
      </c>
      <c r="S3288" s="38">
        <f t="shared" ca="1" si="346"/>
        <v>1027.1874999999998</v>
      </c>
    </row>
    <row r="3289" spans="13:19">
      <c r="M3289" s="132">
        <f t="shared" ca="1" si="343"/>
        <v>1042.2496845482294</v>
      </c>
      <c r="N3289" s="38">
        <f t="shared" si="344"/>
        <v>30.825000000000003</v>
      </c>
      <c r="O3289" s="36">
        <f t="shared" si="342"/>
        <v>822</v>
      </c>
      <c r="P3289" s="38">
        <f ca="1">IF(ISERROR(IF(O3289&lt;fi_h/20,0,(OFFSET('Base de dados'!$A$5,IF(O3289&lt;20,1,IF(O3289&gt;1000,10,MATCH(O3289,Cargas,1))),Coluna_fih,1,1))*(1+0.13*0.25)*(PI()*(fi_h/1000)^2/4)*SQRT(2*9.81*(O3289/100-fi_h/2/1000))*1000)),"",IF(O3289&lt;fi_h/20,0,(OFFSET('Base de dados'!$A$5,IF(O3289&lt;20,1,IF(O3289&gt;1000,10,MATCH(O3289,Cargas,1))),Coluna_fih,1,1))*(PI()*(fi_h/1000)^2/4)*SQRT(2*9.81*(O3289/100-fi_h/2/1000))*1000))</f>
        <v>7.6663171582099237</v>
      </c>
      <c r="Q3289" s="38">
        <f ca="1">IF(O3289="","",IF(Tipo_Vertedor="Retangular",IF(O3289&lt;=cota_s*100,0,IF(Tipo_Vertedor="Retangular",Cd_sr*Lef_sr*((O3289/100-cota_s)^(3/2))*1000)),IF(O3289&lt;=cota_s*100+fi_s/20,0,(OFFSET('Base de dados'!$A$4,IF(O3289&lt;20,1,IF(O3289&gt;1000,10,MATCH(O3289,Cargas,1))),Coluna_fis,1,1))*(PI()*(fi_s/1000)^2/4)*(2*9.81*(O3289/100-cota_s-fi_s/2/1000))^0.5*1000)))</f>
        <v>7.0833673900192204</v>
      </c>
      <c r="R3289" s="38">
        <f t="shared" ca="1" si="345"/>
        <v>14.749684548229144</v>
      </c>
      <c r="S3289" s="38">
        <f t="shared" ca="1" si="346"/>
        <v>1027.5000000000002</v>
      </c>
    </row>
    <row r="3290" spans="13:19">
      <c r="M3290" s="132">
        <f t="shared" ca="1" si="343"/>
        <v>1042.564617103855</v>
      </c>
      <c r="N3290" s="38">
        <f t="shared" si="344"/>
        <v>30.834375000000001</v>
      </c>
      <c r="O3290" s="36">
        <f t="shared" si="342"/>
        <v>822.25</v>
      </c>
      <c r="P3290" s="38">
        <f ca="1">IF(ISERROR(IF(O3290&lt;fi_h/20,0,(OFFSET('Base de dados'!$A$5,IF(O3290&lt;20,1,IF(O3290&gt;1000,10,MATCH(O3290,Cargas,1))),Coluna_fih,1,1))*(1+0.13*0.25)*(PI()*(fi_h/1000)^2/4)*SQRT(2*9.81*(O3290/100-fi_h/2/1000))*1000)),"",IF(O3290&lt;fi_h/20,0,(OFFSET('Base de dados'!$A$5,IF(O3290&lt;20,1,IF(O3290&gt;1000,10,MATCH(O3290,Cargas,1))),Coluna_fih,1,1))*(PI()*(fi_h/1000)^2/4)*SQRT(2*9.81*(O3290/100-fi_h/2/1000))*1000))</f>
        <v>7.667485373167624</v>
      </c>
      <c r="Q3290" s="38">
        <f ca="1">IF(O3290="","",IF(Tipo_Vertedor="Retangular",IF(O3290&lt;=cota_s*100,0,IF(Tipo_Vertedor="Retangular",Cd_sr*Lef_sr*((O3290/100-cota_s)^(3/2))*1000)),IF(O3290&lt;=cota_s*100+fi_s/20,0,(OFFSET('Base de dados'!$A$4,IF(O3290&lt;20,1,IF(O3290&gt;1000,10,MATCH(O3290,Cargas,1))),Coluna_fis,1,1))*(PI()*(fi_s/1000)^2/4)*(2*9.81*(O3290/100-cota_s-fi_s/2/1000))^0.5*1000)))</f>
        <v>7.0846317306874367</v>
      </c>
      <c r="R3290" s="38">
        <f t="shared" ca="1" si="345"/>
        <v>14.75211710385506</v>
      </c>
      <c r="S3290" s="38">
        <f t="shared" ca="1" si="346"/>
        <v>1027.8125</v>
      </c>
    </row>
    <row r="3291" spans="13:19">
      <c r="M3291" s="132">
        <f t="shared" ca="1" si="343"/>
        <v>1042.8795492559223</v>
      </c>
      <c r="N3291" s="38">
        <f t="shared" si="344"/>
        <v>30.84375</v>
      </c>
      <c r="O3291" s="36">
        <f t="shared" si="342"/>
        <v>822.5</v>
      </c>
      <c r="P3291" s="38">
        <f ca="1">IF(ISERROR(IF(O3291&lt;fi_h/20,0,(OFFSET('Base de dados'!$A$5,IF(O3291&lt;20,1,IF(O3291&gt;1000,10,MATCH(O3291,Cargas,1))),Coluna_fih,1,1))*(1+0.13*0.25)*(PI()*(fi_h/1000)^2/4)*SQRT(2*9.81*(O3291/100-fi_h/2/1000))*1000)),"",IF(O3291&lt;fi_h/20,0,(OFFSET('Base de dados'!$A$5,IF(O3291&lt;20,1,IF(O3291&gt;1000,10,MATCH(O3291,Cargas,1))),Coluna_fih,1,1))*(PI()*(fi_h/1000)^2/4)*SQRT(2*9.81*(O3291/100-fi_h/2/1000))*1000))</f>
        <v>7.6686534101636799</v>
      </c>
      <c r="Q3291" s="38">
        <f ca="1">IF(O3291="","",IF(Tipo_Vertedor="Retangular",IF(O3291&lt;=cota_s*100,0,IF(Tipo_Vertedor="Retangular",Cd_sr*Lef_sr*((O3291/100-cota_s)^(3/2))*1000)),IF(O3291&lt;=cota_s*100+fi_s/20,0,(OFFSET('Base de dados'!$A$4,IF(O3291&lt;20,1,IF(O3291&gt;1000,10,MATCH(O3291,Cargas,1))),Coluna_fis,1,1))*(PI()*(fi_s/1000)^2/4)*(2*9.81*(O3291/100-cota_s-fi_s/2/1000))^0.5*1000)))</f>
        <v>7.0858958457585901</v>
      </c>
      <c r="R3291" s="38">
        <f t="shared" ca="1" si="345"/>
        <v>14.754549255922271</v>
      </c>
      <c r="S3291" s="38">
        <f t="shared" ca="1" si="346"/>
        <v>1028.125</v>
      </c>
    </row>
    <row r="3292" spans="13:19">
      <c r="M3292" s="132">
        <f t="shared" ca="1" si="343"/>
        <v>1043.1944810046327</v>
      </c>
      <c r="N3292" s="38">
        <f t="shared" si="344"/>
        <v>30.853124999999999</v>
      </c>
      <c r="O3292" s="36">
        <f t="shared" si="342"/>
        <v>822.75</v>
      </c>
      <c r="P3292" s="38">
        <f ca="1">IF(ISERROR(IF(O3292&lt;fi_h/20,0,(OFFSET('Base de dados'!$A$5,IF(O3292&lt;20,1,IF(O3292&gt;1000,10,MATCH(O3292,Cargas,1))),Coluna_fih,1,1))*(1+0.13*0.25)*(PI()*(fi_h/1000)^2/4)*SQRT(2*9.81*(O3292/100-fi_h/2/1000))*1000)),"",IF(O3292&lt;fi_h/20,0,(OFFSET('Base de dados'!$A$5,IF(O3292&lt;20,1,IF(O3292&gt;1000,10,MATCH(O3292,Cargas,1))),Coluna_fih,1,1))*(PI()*(fi_h/1000)^2/4)*SQRT(2*9.81*(O3292/100-fi_h/2/1000))*1000))</f>
        <v>7.6698212692793959</v>
      </c>
      <c r="Q3292" s="38">
        <f ca="1">IF(O3292="","",IF(Tipo_Vertedor="Retangular",IF(O3292&lt;=cota_s*100,0,IF(Tipo_Vertedor="Retangular",Cd_sr*Lef_sr*((O3292/100-cota_s)^(3/2))*1000)),IF(O3292&lt;=cota_s*100+fi_s/20,0,(OFFSET('Base de dados'!$A$4,IF(O3292&lt;20,1,IF(O3292&gt;1000,10,MATCH(O3292,Cargas,1))),Coluna_fis,1,1))*(PI()*(fi_s/1000)^2/4)*(2*9.81*(O3292/100-cota_s-fi_s/2/1000))^0.5*1000)))</f>
        <v>7.0871597353533957</v>
      </c>
      <c r="R3292" s="38">
        <f t="shared" ca="1" si="345"/>
        <v>14.756981004632792</v>
      </c>
      <c r="S3292" s="38">
        <f t="shared" ca="1" si="346"/>
        <v>1028.4375</v>
      </c>
    </row>
    <row r="3293" spans="13:19">
      <c r="M3293" s="132">
        <f t="shared" ca="1" si="343"/>
        <v>1043.5094123501885</v>
      </c>
      <c r="N3293" s="38">
        <f t="shared" si="344"/>
        <v>30.862500000000001</v>
      </c>
      <c r="O3293" s="36">
        <f t="shared" si="342"/>
        <v>823</v>
      </c>
      <c r="P3293" s="38">
        <f ca="1">IF(ISERROR(IF(O3293&lt;fi_h/20,0,(OFFSET('Base de dados'!$A$5,IF(O3293&lt;20,1,IF(O3293&gt;1000,10,MATCH(O3293,Cargas,1))),Coluna_fih,1,1))*(1+0.13*0.25)*(PI()*(fi_h/1000)^2/4)*SQRT(2*9.81*(O3293/100-fi_h/2/1000))*1000)),"",IF(O3293&lt;fi_h/20,0,(OFFSET('Base de dados'!$A$5,IF(O3293&lt;20,1,IF(O3293&gt;1000,10,MATCH(O3293,Cargas,1))),Coluna_fih,1,1))*(PI()*(fi_h/1000)^2/4)*SQRT(2*9.81*(O3293/100-fi_h/2/1000))*1000))</f>
        <v>7.6709889505960174</v>
      </c>
      <c r="Q3293" s="38">
        <f ca="1">IF(O3293="","",IF(Tipo_Vertedor="Retangular",IF(O3293&lt;=cota_s*100,0,IF(Tipo_Vertedor="Retangular",Cd_sr*Lef_sr*((O3293/100-cota_s)^(3/2))*1000)),IF(O3293&lt;=cota_s*100+fi_s/20,0,(OFFSET('Base de dados'!$A$4,IF(O3293&lt;20,1,IF(O3293&gt;1000,10,MATCH(O3293,Cargas,1))),Coluna_fis,1,1))*(PI()*(fi_s/1000)^2/4)*(2*9.81*(O3293/100-cota_s-fi_s/2/1000))^0.5*1000)))</f>
        <v>7.0884233995924646</v>
      </c>
      <c r="R3293" s="38">
        <f t="shared" ca="1" si="345"/>
        <v>14.759412350188482</v>
      </c>
      <c r="S3293" s="38">
        <f t="shared" ca="1" si="346"/>
        <v>1028.75</v>
      </c>
    </row>
    <row r="3294" spans="13:19">
      <c r="M3294" s="132">
        <f t="shared" ca="1" si="343"/>
        <v>1043.8243432927911</v>
      </c>
      <c r="N3294" s="38">
        <f t="shared" si="344"/>
        <v>30.871874999999999</v>
      </c>
      <c r="O3294" s="36">
        <f t="shared" si="342"/>
        <v>823.25</v>
      </c>
      <c r="P3294" s="38">
        <f ca="1">IF(ISERROR(IF(O3294&lt;fi_h/20,0,(OFFSET('Base de dados'!$A$5,IF(O3294&lt;20,1,IF(O3294&gt;1000,10,MATCH(O3294,Cargas,1))),Coluna_fih,1,1))*(1+0.13*0.25)*(PI()*(fi_h/1000)^2/4)*SQRT(2*9.81*(O3294/100-fi_h/2/1000))*1000)),"",IF(O3294&lt;fi_h/20,0,(OFFSET('Base de dados'!$A$5,IF(O3294&lt;20,1,IF(O3294&gt;1000,10,MATCH(O3294,Cargas,1))),Coluna_fih,1,1))*(PI()*(fi_h/1000)^2/4)*SQRT(2*9.81*(O3294/100-fi_h/2/1000))*1000))</f>
        <v>7.6721564541947247</v>
      </c>
      <c r="Q3294" s="38">
        <f ca="1">IF(O3294="","",IF(Tipo_Vertedor="Retangular",IF(O3294&lt;=cota_s*100,0,IF(Tipo_Vertedor="Retangular",Cd_sr*Lef_sr*((O3294/100-cota_s)^(3/2))*1000)),IF(O3294&lt;=cota_s*100+fi_s/20,0,(OFFSET('Base de dados'!$A$4,IF(O3294&lt;20,1,IF(O3294&gt;1000,10,MATCH(O3294,Cargas,1))),Coluna_fis,1,1))*(PI()*(fi_s/1000)^2/4)*(2*9.81*(O3294/100-cota_s-fi_s/2/1000))^0.5*1000)))</f>
        <v>7.0896868385962977</v>
      </c>
      <c r="R3294" s="38">
        <f t="shared" ca="1" si="345"/>
        <v>14.761843292791022</v>
      </c>
      <c r="S3294" s="38">
        <f t="shared" ca="1" si="346"/>
        <v>1029.0625</v>
      </c>
    </row>
    <row r="3295" spans="13:19">
      <c r="M3295" s="132">
        <f t="shared" ca="1" si="343"/>
        <v>1044.1392738326417</v>
      </c>
      <c r="N3295" s="38">
        <f t="shared" si="344"/>
        <v>30.881249999999998</v>
      </c>
      <c r="O3295" s="36">
        <f t="shared" si="342"/>
        <v>823.5</v>
      </c>
      <c r="P3295" s="38">
        <f ca="1">IF(ISERROR(IF(O3295&lt;fi_h/20,0,(OFFSET('Base de dados'!$A$5,IF(O3295&lt;20,1,IF(O3295&gt;1000,10,MATCH(O3295,Cargas,1))),Coluna_fih,1,1))*(1+0.13*0.25)*(PI()*(fi_h/1000)^2/4)*SQRT(2*9.81*(O3295/100-fi_h/2/1000))*1000)),"",IF(O3295&lt;fi_h/20,0,(OFFSET('Base de dados'!$A$5,IF(O3295&lt;20,1,IF(O3295&gt;1000,10,MATCH(O3295,Cargas,1))),Coluna_fih,1,1))*(PI()*(fi_h/1000)^2/4)*SQRT(2*9.81*(O3295/100-fi_h/2/1000))*1000))</f>
        <v>7.673323780156637</v>
      </c>
      <c r="Q3295" s="38">
        <f ca="1">IF(O3295="","",IF(Tipo_Vertedor="Retangular",IF(O3295&lt;=cota_s*100,0,IF(Tipo_Vertedor="Retangular",Cd_sr*Lef_sr*((O3295/100-cota_s)^(3/2))*1000)),IF(O3295&lt;=cota_s*100+fi_s/20,0,(OFFSET('Base de dados'!$A$4,IF(O3295&lt;20,1,IF(O3295&gt;1000,10,MATCH(O3295,Cargas,1))),Coluna_fis,1,1))*(PI()*(fi_s/1000)^2/4)*(2*9.81*(O3295/100-cota_s-fi_s/2/1000))^0.5*1000)))</f>
        <v>7.0909500524852911</v>
      </c>
      <c r="R3295" s="38">
        <f t="shared" ca="1" si="345"/>
        <v>14.764273832641928</v>
      </c>
      <c r="S3295" s="38">
        <f t="shared" ca="1" si="346"/>
        <v>1029.3749999999998</v>
      </c>
    </row>
    <row r="3296" spans="13:19">
      <c r="M3296" s="132">
        <f t="shared" ca="1" si="343"/>
        <v>1044.4542039699427</v>
      </c>
      <c r="N3296" s="38">
        <f t="shared" si="344"/>
        <v>30.890625000000004</v>
      </c>
      <c r="O3296" s="36">
        <f t="shared" si="342"/>
        <v>823.75</v>
      </c>
      <c r="P3296" s="38">
        <f ca="1">IF(ISERROR(IF(O3296&lt;fi_h/20,0,(OFFSET('Base de dados'!$A$5,IF(O3296&lt;20,1,IF(O3296&gt;1000,10,MATCH(O3296,Cargas,1))),Coluna_fih,1,1))*(1+0.13*0.25)*(PI()*(fi_h/1000)^2/4)*SQRT(2*9.81*(O3296/100-fi_h/2/1000))*1000)),"",IF(O3296&lt;fi_h/20,0,(OFFSET('Base de dados'!$A$5,IF(O3296&lt;20,1,IF(O3296&gt;1000,10,MATCH(O3296,Cargas,1))),Coluna_fih,1,1))*(PI()*(fi_h/1000)^2/4)*SQRT(2*9.81*(O3296/100-fi_h/2/1000))*1000))</f>
        <v>7.6744909285628138</v>
      </c>
      <c r="Q3296" s="38">
        <f ca="1">IF(O3296="","",IF(Tipo_Vertedor="Retangular",IF(O3296&lt;=cota_s*100,0,IF(Tipo_Vertedor="Retangular",Cd_sr*Lef_sr*((O3296/100-cota_s)^(3/2))*1000)),IF(O3296&lt;=cota_s*100+fi_s/20,0,(OFFSET('Base de dados'!$A$4,IF(O3296&lt;20,1,IF(O3296&gt;1000,10,MATCH(O3296,Cargas,1))),Coluna_fis,1,1))*(PI()*(fi_s/1000)^2/4)*(2*9.81*(O3296/100-cota_s-fi_s/2/1000))^0.5*1000)))</f>
        <v>7.09221304137973</v>
      </c>
      <c r="R3296" s="38">
        <f t="shared" ca="1" si="345"/>
        <v>14.766703969942544</v>
      </c>
      <c r="S3296" s="38">
        <f t="shared" ca="1" si="346"/>
        <v>1029.6875000000002</v>
      </c>
    </row>
    <row r="3297" spans="13:19">
      <c r="M3297" s="132">
        <f t="shared" ca="1" si="343"/>
        <v>1044.7691337048943</v>
      </c>
      <c r="N3297" s="38">
        <f t="shared" si="344"/>
        <v>30.900000000000002</v>
      </c>
      <c r="O3297" s="36">
        <f t="shared" si="342"/>
        <v>824</v>
      </c>
      <c r="P3297" s="38">
        <f ca="1">IF(ISERROR(IF(O3297&lt;fi_h/20,0,(OFFSET('Base de dados'!$A$5,IF(O3297&lt;20,1,IF(O3297&gt;1000,10,MATCH(O3297,Cargas,1))),Coluna_fih,1,1))*(1+0.13*0.25)*(PI()*(fi_h/1000)^2/4)*SQRT(2*9.81*(O3297/100-fi_h/2/1000))*1000)),"",IF(O3297&lt;fi_h/20,0,(OFFSET('Base de dados'!$A$5,IF(O3297&lt;20,1,IF(O3297&gt;1000,10,MATCH(O3297,Cargas,1))),Coluna_fih,1,1))*(PI()*(fi_h/1000)^2/4)*SQRT(2*9.81*(O3297/100-fi_h/2/1000))*1000))</f>
        <v>7.6756578994942508</v>
      </c>
      <c r="Q3297" s="38">
        <f ca="1">IF(O3297="","",IF(Tipo_Vertedor="Retangular",IF(O3297&lt;=cota_s*100,0,IF(Tipo_Vertedor="Retangular",Cd_sr*Lef_sr*((O3297/100-cota_s)^(3/2))*1000)),IF(O3297&lt;=cota_s*100+fi_s/20,0,(OFFSET('Base de dados'!$A$4,IF(O3297&lt;20,1,IF(O3297&gt;1000,10,MATCH(O3297,Cargas,1))),Coluna_fis,1,1))*(PI()*(fi_s/1000)^2/4)*(2*9.81*(O3297/100-cota_s-fi_s/2/1000))^0.5*1000)))</f>
        <v>7.0934758053997964</v>
      </c>
      <c r="R3297" s="38">
        <f t="shared" ca="1" si="345"/>
        <v>14.769133704894047</v>
      </c>
      <c r="S3297" s="38">
        <f t="shared" ca="1" si="346"/>
        <v>1030.0000000000002</v>
      </c>
    </row>
    <row r="3298" spans="13:19">
      <c r="M3298" s="132">
        <f t="shared" ca="1" si="343"/>
        <v>1045.0840630376972</v>
      </c>
      <c r="N3298" s="38">
        <f t="shared" si="344"/>
        <v>30.909374999999997</v>
      </c>
      <c r="O3298" s="36">
        <f t="shared" si="342"/>
        <v>824.25</v>
      </c>
      <c r="P3298" s="38">
        <f ca="1">IF(ISERROR(IF(O3298&lt;fi_h/20,0,(OFFSET('Base de dados'!$A$5,IF(O3298&lt;20,1,IF(O3298&gt;1000,10,MATCH(O3298,Cargas,1))),Coluna_fih,1,1))*(1+0.13*0.25)*(PI()*(fi_h/1000)^2/4)*SQRT(2*9.81*(O3298/100-fi_h/2/1000))*1000)),"",IF(O3298&lt;fi_h/20,0,(OFFSET('Base de dados'!$A$5,IF(O3298&lt;20,1,IF(O3298&gt;1000,10,MATCH(O3298,Cargas,1))),Coluna_fih,1,1))*(PI()*(fi_h/1000)^2/4)*SQRT(2*9.81*(O3298/100-fi_h/2/1000))*1000))</f>
        <v>7.6768246930318824</v>
      </c>
      <c r="Q3298" s="38">
        <f ca="1">IF(O3298="","",IF(Tipo_Vertedor="Retangular",IF(O3298&lt;=cota_s*100,0,IF(Tipo_Vertedor="Retangular",Cd_sr*Lef_sr*((O3298/100-cota_s)^(3/2))*1000)),IF(O3298&lt;=cota_s*100+fi_s/20,0,(OFFSET('Base de dados'!$A$4,IF(O3298&lt;20,1,IF(O3298&gt;1000,10,MATCH(O3298,Cargas,1))),Coluna_fis,1,1))*(PI()*(fi_s/1000)^2/4)*(2*9.81*(O3298/100-cota_s-fi_s/2/1000))^0.5*1000)))</f>
        <v>7.0947383446655641</v>
      </c>
      <c r="R3298" s="38">
        <f t="shared" ca="1" si="345"/>
        <v>14.771563037697447</v>
      </c>
      <c r="S3298" s="38">
        <f t="shared" ca="1" si="346"/>
        <v>1030.3124999999998</v>
      </c>
    </row>
    <row r="3299" spans="13:19">
      <c r="M3299" s="132">
        <f t="shared" ca="1" si="343"/>
        <v>1045.3989919685534</v>
      </c>
      <c r="N3299" s="38">
        <f t="shared" si="344"/>
        <v>30.918749999999996</v>
      </c>
      <c r="O3299" s="36">
        <f t="shared" si="342"/>
        <v>824.5</v>
      </c>
      <c r="P3299" s="38">
        <f ca="1">IF(ISERROR(IF(O3299&lt;fi_h/20,0,(OFFSET('Base de dados'!$A$5,IF(O3299&lt;20,1,IF(O3299&gt;1000,10,MATCH(O3299,Cargas,1))),Coluna_fih,1,1))*(1+0.13*0.25)*(PI()*(fi_h/1000)^2/4)*SQRT(2*9.81*(O3299/100-fi_h/2/1000))*1000)),"",IF(O3299&lt;fi_h/20,0,(OFFSET('Base de dados'!$A$5,IF(O3299&lt;20,1,IF(O3299&gt;1000,10,MATCH(O3299,Cargas,1))),Coluna_fih,1,1))*(PI()*(fi_h/1000)^2/4)*SQRT(2*9.81*(O3299/100-fi_h/2/1000))*1000))</f>
        <v>7.6779913092565835</v>
      </c>
      <c r="Q3299" s="38">
        <f ca="1">IF(O3299="","",IF(Tipo_Vertedor="Retangular",IF(O3299&lt;=cota_s*100,0,IF(Tipo_Vertedor="Retangular",Cd_sr*Lef_sr*((O3299/100-cota_s)^(3/2))*1000)),IF(O3299&lt;=cota_s*100+fi_s/20,0,(OFFSET('Base de dados'!$A$4,IF(O3299&lt;20,1,IF(O3299&gt;1000,10,MATCH(O3299,Cargas,1))),Coluna_fis,1,1))*(PI()*(fi_s/1000)^2/4)*(2*9.81*(O3299/100-cota_s-fi_s/2/1000))^0.5*1000)))</f>
        <v>7.0960006592969984</v>
      </c>
      <c r="R3299" s="38">
        <f t="shared" ca="1" si="345"/>
        <v>14.773991968553581</v>
      </c>
      <c r="S3299" s="38">
        <f t="shared" ca="1" si="346"/>
        <v>1030.6249999999998</v>
      </c>
    </row>
    <row r="3300" spans="13:19">
      <c r="M3300" s="132">
        <f t="shared" ca="1" si="343"/>
        <v>1045.7139204976631</v>
      </c>
      <c r="N3300" s="38">
        <f t="shared" si="344"/>
        <v>30.928125000000001</v>
      </c>
      <c r="O3300" s="36">
        <f t="shared" si="342"/>
        <v>824.75</v>
      </c>
      <c r="P3300" s="38">
        <f ca="1">IF(ISERROR(IF(O3300&lt;fi_h/20,0,(OFFSET('Base de dados'!$A$5,IF(O3300&lt;20,1,IF(O3300&gt;1000,10,MATCH(O3300,Cargas,1))),Coluna_fih,1,1))*(1+0.13*0.25)*(PI()*(fi_h/1000)^2/4)*SQRT(2*9.81*(O3300/100-fi_h/2/1000))*1000)),"",IF(O3300&lt;fi_h/20,0,(OFFSET('Base de dados'!$A$5,IF(O3300&lt;20,1,IF(O3300&gt;1000,10,MATCH(O3300,Cargas,1))),Coluna_fih,1,1))*(PI()*(fi_h/1000)^2/4)*SQRT(2*9.81*(O3300/100-fi_h/2/1000))*1000))</f>
        <v>7.6791577482491666</v>
      </c>
      <c r="Q3300" s="38">
        <f ca="1">IF(O3300="","",IF(Tipo_Vertedor="Retangular",IF(O3300&lt;=cota_s*100,0,IF(Tipo_Vertedor="Retangular",Cd_sr*Lef_sr*((O3300/100-cota_s)^(3/2))*1000)),IF(O3300&lt;=cota_s*100+fi_s/20,0,(OFFSET('Base de dados'!$A$4,IF(O3300&lt;20,1,IF(O3300&gt;1000,10,MATCH(O3300,Cargas,1))),Coluna_fis,1,1))*(PI()*(fi_s/1000)^2/4)*(2*9.81*(O3300/100-cota_s-fi_s/2/1000))^0.5*1000)))</f>
        <v>7.0972627494139626</v>
      </c>
      <c r="R3300" s="38">
        <f t="shared" ca="1" si="345"/>
        <v>14.776420497663128</v>
      </c>
      <c r="S3300" s="38">
        <f t="shared" ca="1" si="346"/>
        <v>1030.9375</v>
      </c>
    </row>
    <row r="3301" spans="13:19">
      <c r="M3301" s="132">
        <f t="shared" ca="1" si="343"/>
        <v>1046.0288486252266</v>
      </c>
      <c r="N3301" s="38">
        <f t="shared" si="344"/>
        <v>30.9375</v>
      </c>
      <c r="O3301" s="36">
        <f t="shared" si="342"/>
        <v>825</v>
      </c>
      <c r="P3301" s="38">
        <f ca="1">IF(ISERROR(IF(O3301&lt;fi_h/20,0,(OFFSET('Base de dados'!$A$5,IF(O3301&lt;20,1,IF(O3301&gt;1000,10,MATCH(O3301,Cargas,1))),Coluna_fih,1,1))*(1+0.13*0.25)*(PI()*(fi_h/1000)^2/4)*SQRT(2*9.81*(O3301/100-fi_h/2/1000))*1000)),"",IF(O3301&lt;fi_h/20,0,(OFFSET('Base de dados'!$A$5,IF(O3301&lt;20,1,IF(O3301&gt;1000,10,MATCH(O3301,Cargas,1))),Coluna_fih,1,1))*(PI()*(fi_h/1000)^2/4)*SQRT(2*9.81*(O3301/100-fi_h/2/1000))*1000))</f>
        <v>7.6803240100903807</v>
      </c>
      <c r="Q3301" s="38">
        <f ca="1">IF(O3301="","",IF(Tipo_Vertedor="Retangular",IF(O3301&lt;=cota_s*100,0,IF(Tipo_Vertedor="Retangular",Cd_sr*Lef_sr*((O3301/100-cota_s)^(3/2))*1000)),IF(O3301&lt;=cota_s*100+fi_s/20,0,(OFFSET('Base de dados'!$A$4,IF(O3301&lt;20,1,IF(O3301&gt;1000,10,MATCH(O3301,Cargas,1))),Coluna_fis,1,1))*(PI()*(fi_s/1000)^2/4)*(2*9.81*(O3301/100-cota_s-fi_s/2/1000))^0.5*1000)))</f>
        <v>7.0985246151362045</v>
      </c>
      <c r="R3301" s="38">
        <f t="shared" ca="1" si="345"/>
        <v>14.778848625226585</v>
      </c>
      <c r="S3301" s="38">
        <f t="shared" ca="1" si="346"/>
        <v>1031.25</v>
      </c>
    </row>
    <row r="3302" spans="13:19">
      <c r="M3302" s="132">
        <f t="shared" ca="1" si="343"/>
        <v>1046.3437763514444</v>
      </c>
      <c r="N3302" s="38">
        <f t="shared" si="344"/>
        <v>30.946874999999999</v>
      </c>
      <c r="O3302" s="36">
        <f t="shared" si="342"/>
        <v>825.25</v>
      </c>
      <c r="P3302" s="38">
        <f ca="1">IF(ISERROR(IF(O3302&lt;fi_h/20,0,(OFFSET('Base de dados'!$A$5,IF(O3302&lt;20,1,IF(O3302&gt;1000,10,MATCH(O3302,Cargas,1))),Coluna_fih,1,1))*(1+0.13*0.25)*(PI()*(fi_h/1000)^2/4)*SQRT(2*9.81*(O3302/100-fi_h/2/1000))*1000)),"",IF(O3302&lt;fi_h/20,0,(OFFSET('Base de dados'!$A$5,IF(O3302&lt;20,1,IF(O3302&gt;1000,10,MATCH(O3302,Cargas,1))),Coluna_fih,1,1))*(PI()*(fi_h/1000)^2/4)*SQRT(2*9.81*(O3302/100-fi_h/2/1000))*1000))</f>
        <v>7.6814900948609157</v>
      </c>
      <c r="Q3302" s="38">
        <f ca="1">IF(O3302="","",IF(Tipo_Vertedor="Retangular",IF(O3302&lt;=cota_s*100,0,IF(Tipo_Vertedor="Retangular",Cd_sr*Lef_sr*((O3302/100-cota_s)^(3/2))*1000)),IF(O3302&lt;=cota_s*100+fi_s/20,0,(OFFSET('Base de dados'!$A$4,IF(O3302&lt;20,1,IF(O3302&gt;1000,10,MATCH(O3302,Cargas,1))),Coluna_fis,1,1))*(PI()*(fi_s/1000)^2/4)*(2*9.81*(O3302/100-cota_s-fi_s/2/1000))^0.5*1000)))</f>
        <v>7.099786256583374</v>
      </c>
      <c r="R3302" s="38">
        <f t="shared" ca="1" si="345"/>
        <v>14.781276351444291</v>
      </c>
      <c r="S3302" s="38">
        <f t="shared" ca="1" si="346"/>
        <v>1031.5625</v>
      </c>
    </row>
    <row r="3303" spans="13:19">
      <c r="M3303" s="132">
        <f t="shared" ca="1" si="343"/>
        <v>1046.6587036765166</v>
      </c>
      <c r="N3303" s="38">
        <f t="shared" si="344"/>
        <v>30.956250000000004</v>
      </c>
      <c r="O3303" s="36">
        <f t="shared" si="342"/>
        <v>825.5</v>
      </c>
      <c r="P3303" s="38">
        <f ca="1">IF(ISERROR(IF(O3303&lt;fi_h/20,0,(OFFSET('Base de dados'!$A$5,IF(O3303&lt;20,1,IF(O3303&gt;1000,10,MATCH(O3303,Cargas,1))),Coluna_fih,1,1))*(1+0.13*0.25)*(PI()*(fi_h/1000)^2/4)*SQRT(2*9.81*(O3303/100-fi_h/2/1000))*1000)),"",IF(O3303&lt;fi_h/20,0,(OFFSET('Base de dados'!$A$5,IF(O3303&lt;20,1,IF(O3303&gt;1000,10,MATCH(O3303,Cargas,1))),Coluna_fih,1,1))*(PI()*(fi_h/1000)^2/4)*SQRT(2*9.81*(O3303/100-fi_h/2/1000))*1000))</f>
        <v>7.6826560026414006</v>
      </c>
      <c r="Q3303" s="38">
        <f ca="1">IF(O3303="","",IF(Tipo_Vertedor="Retangular",IF(O3303&lt;=cota_s*100,0,IF(Tipo_Vertedor="Retangular",Cd_sr*Lef_sr*((O3303/100-cota_s)^(3/2))*1000)),IF(O3303&lt;=cota_s*100+fi_s/20,0,(OFFSET('Base de dados'!$A$4,IF(O3303&lt;20,1,IF(O3303&gt;1000,10,MATCH(O3303,Cargas,1))),Coluna_fis,1,1))*(PI()*(fi_s/1000)^2/4)*(2*9.81*(O3303/100-cota_s-fi_s/2/1000))^0.5*1000)))</f>
        <v>7.1010476738750148</v>
      </c>
      <c r="R3303" s="38">
        <f t="shared" ca="1" si="345"/>
        <v>14.783703676516415</v>
      </c>
      <c r="S3303" s="38">
        <f t="shared" ca="1" si="346"/>
        <v>1031.8750000000002</v>
      </c>
    </row>
    <row r="3304" spans="13:19">
      <c r="M3304" s="132">
        <f t="shared" ca="1" si="343"/>
        <v>1046.9736306006432</v>
      </c>
      <c r="N3304" s="38">
        <f t="shared" si="344"/>
        <v>30.965625000000003</v>
      </c>
      <c r="O3304" s="36">
        <f t="shared" si="342"/>
        <v>825.75</v>
      </c>
      <c r="P3304" s="38">
        <f ca="1">IF(ISERROR(IF(O3304&lt;fi_h/20,0,(OFFSET('Base de dados'!$A$5,IF(O3304&lt;20,1,IF(O3304&gt;1000,10,MATCH(O3304,Cargas,1))),Coluna_fih,1,1))*(1+0.13*0.25)*(PI()*(fi_h/1000)^2/4)*SQRT(2*9.81*(O3304/100-fi_h/2/1000))*1000)),"",IF(O3304&lt;fi_h/20,0,(OFFSET('Base de dados'!$A$5,IF(O3304&lt;20,1,IF(O3304&gt;1000,10,MATCH(O3304,Cargas,1))),Coluna_fih,1,1))*(PI()*(fi_h/1000)^2/4)*SQRT(2*9.81*(O3304/100-fi_h/2/1000))*1000))</f>
        <v>7.6838217335124002</v>
      </c>
      <c r="Q3304" s="38">
        <f ca="1">IF(O3304="","",IF(Tipo_Vertedor="Retangular",IF(O3304&lt;=cota_s*100,0,IF(Tipo_Vertedor="Retangular",Cd_sr*Lef_sr*((O3304/100-cota_s)^(3/2))*1000)),IF(O3304&lt;=cota_s*100+fi_s/20,0,(OFFSET('Base de dados'!$A$4,IF(O3304&lt;20,1,IF(O3304&gt;1000,10,MATCH(O3304,Cargas,1))),Coluna_fis,1,1))*(PI()*(fi_s/1000)^2/4)*(2*9.81*(O3304/100-cota_s-fi_s/2/1000))^0.5*1000)))</f>
        <v>7.1023088671305556</v>
      </c>
      <c r="R3304" s="38">
        <f t="shared" ca="1" si="345"/>
        <v>14.786130600642956</v>
      </c>
      <c r="S3304" s="38">
        <f t="shared" ca="1" si="346"/>
        <v>1032.1875000000002</v>
      </c>
    </row>
    <row r="3305" spans="13:19">
      <c r="M3305" s="132">
        <f t="shared" ca="1" si="343"/>
        <v>1047.2885571240236</v>
      </c>
      <c r="N3305" s="38">
        <f t="shared" si="344"/>
        <v>30.974999999999998</v>
      </c>
      <c r="O3305" s="36">
        <f t="shared" si="342"/>
        <v>826</v>
      </c>
      <c r="P3305" s="38">
        <f ca="1">IF(ISERROR(IF(O3305&lt;fi_h/20,0,(OFFSET('Base de dados'!$A$5,IF(O3305&lt;20,1,IF(O3305&gt;1000,10,MATCH(O3305,Cargas,1))),Coluna_fih,1,1))*(1+0.13*0.25)*(PI()*(fi_h/1000)^2/4)*SQRT(2*9.81*(O3305/100-fi_h/2/1000))*1000)),"",IF(O3305&lt;fi_h/20,0,(OFFSET('Base de dados'!$A$5,IF(O3305&lt;20,1,IF(O3305&gt;1000,10,MATCH(O3305,Cargas,1))),Coluna_fih,1,1))*(PI()*(fi_h/1000)^2/4)*SQRT(2*9.81*(O3305/100-fi_h/2/1000))*1000))</f>
        <v>7.6849872875544234</v>
      </c>
      <c r="Q3305" s="38">
        <f ca="1">IF(O3305="","",IF(Tipo_Vertedor="Retangular",IF(O3305&lt;=cota_s*100,0,IF(Tipo_Vertedor="Retangular",Cd_sr*Lef_sr*((O3305/100-cota_s)^(3/2))*1000)),IF(O3305&lt;=cota_s*100+fi_s/20,0,(OFFSET('Base de dados'!$A$4,IF(O3305&lt;20,1,IF(O3305&gt;1000,10,MATCH(O3305,Cargas,1))),Coluna_fis,1,1))*(PI()*(fi_s/1000)^2/4)*(2*9.81*(O3305/100-cota_s-fi_s/2/1000))^0.5*1000)))</f>
        <v>7.1035698364693296</v>
      </c>
      <c r="R3305" s="38">
        <f t="shared" ca="1" si="345"/>
        <v>14.788557124023754</v>
      </c>
      <c r="S3305" s="38">
        <f t="shared" ca="1" si="346"/>
        <v>1032.4999999999998</v>
      </c>
    </row>
    <row r="3306" spans="13:19">
      <c r="M3306" s="132">
        <f t="shared" ca="1" si="343"/>
        <v>1047.6034832468583</v>
      </c>
      <c r="N3306" s="38">
        <f t="shared" si="344"/>
        <v>30.984374999999996</v>
      </c>
      <c r="O3306" s="36">
        <f t="shared" si="342"/>
        <v>826.25</v>
      </c>
      <c r="P3306" s="38">
        <f ca="1">IF(ISERROR(IF(O3306&lt;fi_h/20,0,(OFFSET('Base de dados'!$A$5,IF(O3306&lt;20,1,IF(O3306&gt;1000,10,MATCH(O3306,Cargas,1))),Coluna_fih,1,1))*(1+0.13*0.25)*(PI()*(fi_h/1000)^2/4)*SQRT(2*9.81*(O3306/100-fi_h/2/1000))*1000)),"",IF(O3306&lt;fi_h/20,0,(OFFSET('Base de dados'!$A$5,IF(O3306&lt;20,1,IF(O3306&gt;1000,10,MATCH(O3306,Cargas,1))),Coluna_fih,1,1))*(PI()*(fi_h/1000)^2/4)*SQRT(2*9.81*(O3306/100-fi_h/2/1000))*1000))</f>
        <v>7.6861526648479117</v>
      </c>
      <c r="Q3306" s="38">
        <f ca="1">IF(O3306="","",IF(Tipo_Vertedor="Retangular",IF(O3306&lt;=cota_s*100,0,IF(Tipo_Vertedor="Retangular",Cd_sr*Lef_sr*((O3306/100-cota_s)^(3/2))*1000)),IF(O3306&lt;=cota_s*100+fi_s/20,0,(OFFSET('Base de dados'!$A$4,IF(O3306&lt;20,1,IF(O3306&gt;1000,10,MATCH(O3306,Cargas,1))),Coluna_fis,1,1))*(PI()*(fi_s/1000)^2/4)*(2*9.81*(O3306/100-cota_s-fi_s/2/1000))^0.5*1000)))</f>
        <v>7.1048305820105568</v>
      </c>
      <c r="R3306" s="38">
        <f t="shared" ca="1" si="345"/>
        <v>14.790983246858469</v>
      </c>
      <c r="S3306" s="38">
        <f t="shared" ca="1" si="346"/>
        <v>1032.8124999999998</v>
      </c>
    </row>
    <row r="3307" spans="13:19">
      <c r="M3307" s="132">
        <f t="shared" ca="1" si="343"/>
        <v>1047.9184089693467</v>
      </c>
      <c r="N3307" s="38">
        <f t="shared" si="344"/>
        <v>30.993750000000002</v>
      </c>
      <c r="O3307" s="36">
        <f t="shared" si="342"/>
        <v>826.5</v>
      </c>
      <c r="P3307" s="38">
        <f ca="1">IF(ISERROR(IF(O3307&lt;fi_h/20,0,(OFFSET('Base de dados'!$A$5,IF(O3307&lt;20,1,IF(O3307&gt;1000,10,MATCH(O3307,Cargas,1))),Coluna_fih,1,1))*(1+0.13*0.25)*(PI()*(fi_h/1000)^2/4)*SQRT(2*9.81*(O3307/100-fi_h/2/1000))*1000)),"",IF(O3307&lt;fi_h/20,0,(OFFSET('Base de dados'!$A$5,IF(O3307&lt;20,1,IF(O3307&gt;1000,10,MATCH(O3307,Cargas,1))),Coluna_fih,1,1))*(PI()*(fi_h/1000)^2/4)*SQRT(2*9.81*(O3307/100-fi_h/2/1000))*1000))</f>
        <v>7.6873178654732532</v>
      </c>
      <c r="Q3307" s="38">
        <f ca="1">IF(O3307="","",IF(Tipo_Vertedor="Retangular",IF(O3307&lt;=cota_s*100,0,IF(Tipo_Vertedor="Retangular",Cd_sr*Lef_sr*((O3307/100-cota_s)^(3/2))*1000)),IF(O3307&lt;=cota_s*100+fi_s/20,0,(OFFSET('Base de dados'!$A$4,IF(O3307&lt;20,1,IF(O3307&gt;1000,10,MATCH(O3307,Cargas,1))),Coluna_fis,1,1))*(PI()*(fi_s/1000)^2/4)*(2*9.81*(O3307/100-cota_s-fi_s/2/1000))^0.5*1000)))</f>
        <v>7.1060911038733563</v>
      </c>
      <c r="R3307" s="38">
        <f t="shared" ca="1" si="345"/>
        <v>14.79340896934661</v>
      </c>
      <c r="S3307" s="38">
        <f t="shared" ca="1" si="346"/>
        <v>1033.1250000000002</v>
      </c>
    </row>
    <row r="3308" spans="13:19">
      <c r="M3308" s="132">
        <f t="shared" ca="1" si="343"/>
        <v>1048.2333342916875</v>
      </c>
      <c r="N3308" s="38">
        <f t="shared" si="344"/>
        <v>31.003125000000001</v>
      </c>
      <c r="O3308" s="36">
        <f t="shared" si="342"/>
        <v>826.75</v>
      </c>
      <c r="P3308" s="38">
        <f ca="1">IF(ISERROR(IF(O3308&lt;fi_h/20,0,(OFFSET('Base de dados'!$A$5,IF(O3308&lt;20,1,IF(O3308&gt;1000,10,MATCH(O3308,Cargas,1))),Coluna_fih,1,1))*(1+0.13*0.25)*(PI()*(fi_h/1000)^2/4)*SQRT(2*9.81*(O3308/100-fi_h/2/1000))*1000)),"",IF(O3308&lt;fi_h/20,0,(OFFSET('Base de dados'!$A$5,IF(O3308&lt;20,1,IF(O3308&gt;1000,10,MATCH(O3308,Cargas,1))),Coluna_fih,1,1))*(PI()*(fi_h/1000)^2/4)*SQRT(2*9.81*(O3308/100-fi_h/2/1000))*1000))</f>
        <v>7.6884828895107669</v>
      </c>
      <c r="Q3308" s="38">
        <f ca="1">IF(O3308="","",IF(Tipo_Vertedor="Retangular",IF(O3308&lt;=cota_s*100,0,IF(Tipo_Vertedor="Retangular",Cd_sr*Lef_sr*((O3308/100-cota_s)^(3/2))*1000)),IF(O3308&lt;=cota_s*100+fi_s/20,0,(OFFSET('Base de dados'!$A$4,IF(O3308&lt;20,1,IF(O3308&gt;1000,10,MATCH(O3308,Cargas,1))),Coluna_fis,1,1))*(PI()*(fi_s/1000)^2/4)*(2*9.81*(O3308/100-cota_s-fi_s/2/1000))^0.5*1000)))</f>
        <v>7.1073514021767368</v>
      </c>
      <c r="R3308" s="38">
        <f t="shared" ca="1" si="345"/>
        <v>14.795834291687504</v>
      </c>
      <c r="S3308" s="38">
        <f t="shared" ca="1" si="346"/>
        <v>1033.4375</v>
      </c>
    </row>
    <row r="3309" spans="13:19">
      <c r="M3309" s="132">
        <f t="shared" ca="1" si="343"/>
        <v>1048.5482592140804</v>
      </c>
      <c r="N3309" s="38">
        <f t="shared" si="344"/>
        <v>31.012499999999999</v>
      </c>
      <c r="O3309" s="36">
        <f t="shared" si="342"/>
        <v>827</v>
      </c>
      <c r="P3309" s="38">
        <f ca="1">IF(ISERROR(IF(O3309&lt;fi_h/20,0,(OFFSET('Base de dados'!$A$5,IF(O3309&lt;20,1,IF(O3309&gt;1000,10,MATCH(O3309,Cargas,1))),Coluna_fih,1,1))*(1+0.13*0.25)*(PI()*(fi_h/1000)^2/4)*SQRT(2*9.81*(O3309/100-fi_h/2/1000))*1000)),"",IF(O3309&lt;fi_h/20,0,(OFFSET('Base de dados'!$A$5,IF(O3309&lt;20,1,IF(O3309&gt;1000,10,MATCH(O3309,Cargas,1))),Coluna_fih,1,1))*(PI()*(fi_h/1000)^2/4)*SQRT(2*9.81*(O3309/100-fi_h/2/1000))*1000))</f>
        <v>7.6896477370407146</v>
      </c>
      <c r="Q3309" s="38">
        <f ca="1">IF(O3309="","",IF(Tipo_Vertedor="Retangular",IF(O3309&lt;=cota_s*100,0,IF(Tipo_Vertedor="Retangular",Cd_sr*Lef_sr*((O3309/100-cota_s)^(3/2))*1000)),IF(O3309&lt;=cota_s*100+fi_s/20,0,(OFFSET('Base de dados'!$A$4,IF(O3309&lt;20,1,IF(O3309&gt;1000,10,MATCH(O3309,Cargas,1))),Coluna_fis,1,1))*(PI()*(fi_s/1000)^2/4)*(2*9.81*(O3309/100-cota_s-fi_s/2/1000))^0.5*1000)))</f>
        <v>7.1086114770396049</v>
      </c>
      <c r="R3309" s="38">
        <f t="shared" ca="1" si="345"/>
        <v>14.79825921408032</v>
      </c>
      <c r="S3309" s="38">
        <f t="shared" ca="1" si="346"/>
        <v>1033.75</v>
      </c>
    </row>
    <row r="3310" spans="13:19">
      <c r="M3310" s="132">
        <f t="shared" ca="1" si="343"/>
        <v>1048.8631837367241</v>
      </c>
      <c r="N3310" s="38">
        <f t="shared" si="344"/>
        <v>31.021875000000001</v>
      </c>
      <c r="O3310" s="36">
        <f t="shared" si="342"/>
        <v>827.25</v>
      </c>
      <c r="P3310" s="38">
        <f ca="1">IF(ISERROR(IF(O3310&lt;fi_h/20,0,(OFFSET('Base de dados'!$A$5,IF(O3310&lt;20,1,IF(O3310&gt;1000,10,MATCH(O3310,Cargas,1))),Coluna_fih,1,1))*(1+0.13*0.25)*(PI()*(fi_h/1000)^2/4)*SQRT(2*9.81*(O3310/100-fi_h/2/1000))*1000)),"",IF(O3310&lt;fi_h/20,0,(OFFSET('Base de dados'!$A$5,IF(O3310&lt;20,1,IF(O3310&gt;1000,10,MATCH(O3310,Cargas,1))),Coluna_fih,1,1))*(PI()*(fi_h/1000)^2/4)*SQRT(2*9.81*(O3310/100-fi_h/2/1000))*1000))</f>
        <v>7.6908124081433025</v>
      </c>
      <c r="Q3310" s="38">
        <f ca="1">IF(O3310="","",IF(Tipo_Vertedor="Retangular",IF(O3310&lt;=cota_s*100,0,IF(Tipo_Vertedor="Retangular",Cd_sr*Lef_sr*((O3310/100-cota_s)^(3/2))*1000)),IF(O3310&lt;=cota_s*100+fi_s/20,0,(OFFSET('Base de dados'!$A$4,IF(O3310&lt;20,1,IF(O3310&gt;1000,10,MATCH(O3310,Cargas,1))),Coluna_fis,1,1))*(PI()*(fi_s/1000)^2/4)*(2*9.81*(O3310/100-cota_s-fi_s/2/1000))^0.5*1000)))</f>
        <v>7.1098713285807627</v>
      </c>
      <c r="R3310" s="38">
        <f t="shared" ca="1" si="345"/>
        <v>14.800683736724064</v>
      </c>
      <c r="S3310" s="38">
        <f t="shared" ca="1" si="346"/>
        <v>1034.0625</v>
      </c>
    </row>
    <row r="3311" spans="13:19">
      <c r="M3311" s="132">
        <f t="shared" ca="1" si="343"/>
        <v>1049.1781078598176</v>
      </c>
      <c r="N3311" s="38">
        <f t="shared" si="344"/>
        <v>31.03125</v>
      </c>
      <c r="O3311" s="36">
        <f t="shared" si="342"/>
        <v>827.5</v>
      </c>
      <c r="P3311" s="38">
        <f ca="1">IF(ISERROR(IF(O3311&lt;fi_h/20,0,(OFFSET('Base de dados'!$A$5,IF(O3311&lt;20,1,IF(O3311&gt;1000,10,MATCH(O3311,Cargas,1))),Coluna_fih,1,1))*(1+0.13*0.25)*(PI()*(fi_h/1000)^2/4)*SQRT(2*9.81*(O3311/100-fi_h/2/1000))*1000)),"",IF(O3311&lt;fi_h/20,0,(OFFSET('Base de dados'!$A$5,IF(O3311&lt;20,1,IF(O3311&gt;1000,10,MATCH(O3311,Cargas,1))),Coluna_fih,1,1))*(PI()*(fi_h/1000)^2/4)*SQRT(2*9.81*(O3311/100-fi_h/2/1000))*1000))</f>
        <v>7.6919769028986655</v>
      </c>
      <c r="Q3311" s="38">
        <f ca="1">IF(O3311="","",IF(Tipo_Vertedor="Retangular",IF(O3311&lt;=cota_s*100,0,IF(Tipo_Vertedor="Retangular",Cd_sr*Lef_sr*((O3311/100-cota_s)^(3/2))*1000)),IF(O3311&lt;=cota_s*100+fi_s/20,0,(OFFSET('Base de dados'!$A$4,IF(O3311&lt;20,1,IF(O3311&gt;1000,10,MATCH(O3311,Cargas,1))),Coluna_fis,1,1))*(PI()*(fi_s/1000)^2/4)*(2*9.81*(O3311/100-cota_s-fi_s/2/1000))^0.5*1000)))</f>
        <v>7.1111309569189025</v>
      </c>
      <c r="R3311" s="38">
        <f t="shared" ca="1" si="345"/>
        <v>14.803107859817569</v>
      </c>
      <c r="S3311" s="38">
        <f t="shared" ca="1" si="346"/>
        <v>1034.375</v>
      </c>
    </row>
    <row r="3312" spans="13:19">
      <c r="M3312" s="132">
        <f t="shared" ca="1" si="343"/>
        <v>1049.4930315835595</v>
      </c>
      <c r="N3312" s="38">
        <f t="shared" si="344"/>
        <v>31.040624999999999</v>
      </c>
      <c r="O3312" s="36">
        <f t="shared" si="342"/>
        <v>827.75</v>
      </c>
      <c r="P3312" s="38">
        <f ca="1">IF(ISERROR(IF(O3312&lt;fi_h/20,0,(OFFSET('Base de dados'!$A$5,IF(O3312&lt;20,1,IF(O3312&gt;1000,10,MATCH(O3312,Cargas,1))),Coluna_fih,1,1))*(1+0.13*0.25)*(PI()*(fi_h/1000)^2/4)*SQRT(2*9.81*(O3312/100-fi_h/2/1000))*1000)),"",IF(O3312&lt;fi_h/20,0,(OFFSET('Base de dados'!$A$5,IF(O3312&lt;20,1,IF(O3312&gt;1000,10,MATCH(O3312,Cargas,1))),Coluna_fih,1,1))*(PI()*(fi_h/1000)^2/4)*SQRT(2*9.81*(O3312/100-fi_h/2/1000))*1000))</f>
        <v>7.6931412213868873</v>
      </c>
      <c r="Q3312" s="38">
        <f ca="1">IF(O3312="","",IF(Tipo_Vertedor="Retangular",IF(O3312&lt;=cota_s*100,0,IF(Tipo_Vertedor="Retangular",Cd_sr*Lef_sr*((O3312/100-cota_s)^(3/2))*1000)),IF(O3312&lt;=cota_s*100+fi_s/20,0,(OFFSET('Base de dados'!$A$4,IF(O3312&lt;20,1,IF(O3312&gt;1000,10,MATCH(O3312,Cargas,1))),Coluna_fis,1,1))*(PI()*(fi_s/1000)^2/4)*(2*9.81*(O3312/100-cota_s-fi_s/2/1000))^0.5*1000)))</f>
        <v>7.1123903621726168</v>
      </c>
      <c r="R3312" s="38">
        <f t="shared" ca="1" si="345"/>
        <v>14.805531583559503</v>
      </c>
      <c r="S3312" s="38">
        <f t="shared" ca="1" si="346"/>
        <v>1034.6875</v>
      </c>
    </row>
    <row r="3313" spans="13:19">
      <c r="M3313" s="132">
        <f t="shared" ca="1" si="343"/>
        <v>1049.8079549081481</v>
      </c>
      <c r="N3313" s="38">
        <f t="shared" si="344"/>
        <v>31.049999999999997</v>
      </c>
      <c r="O3313" s="36">
        <f t="shared" si="342"/>
        <v>828</v>
      </c>
      <c r="P3313" s="38">
        <f ca="1">IF(ISERROR(IF(O3313&lt;fi_h/20,0,(OFFSET('Base de dados'!$A$5,IF(O3313&lt;20,1,IF(O3313&gt;1000,10,MATCH(O3313,Cargas,1))),Coluna_fih,1,1))*(1+0.13*0.25)*(PI()*(fi_h/1000)^2/4)*SQRT(2*9.81*(O3313/100-fi_h/2/1000))*1000)),"",IF(O3313&lt;fi_h/20,0,(OFFSET('Base de dados'!$A$5,IF(O3313&lt;20,1,IF(O3313&gt;1000,10,MATCH(O3313,Cargas,1))),Coluna_fih,1,1))*(PI()*(fi_h/1000)^2/4)*SQRT(2*9.81*(O3313/100-fi_h/2/1000))*1000))</f>
        <v>7.6943053636879846</v>
      </c>
      <c r="Q3313" s="38">
        <f ca="1">IF(O3313="","",IF(Tipo_Vertedor="Retangular",IF(O3313&lt;=cota_s*100,0,IF(Tipo_Vertedor="Retangular",Cd_sr*Lef_sr*((O3313/100-cota_s)^(3/2))*1000)),IF(O3313&lt;=cota_s*100+fi_s/20,0,(OFFSET('Base de dados'!$A$4,IF(O3313&lt;20,1,IF(O3313&gt;1000,10,MATCH(O3313,Cargas,1))),Coluna_fis,1,1))*(PI()*(fi_s/1000)^2/4)*(2*9.81*(O3313/100-cota_s-fi_s/2/1000))^0.5*1000)))</f>
        <v>7.1136495444603884</v>
      </c>
      <c r="R3313" s="38">
        <f t="shared" ca="1" si="345"/>
        <v>14.807954908148373</v>
      </c>
      <c r="S3313" s="38">
        <f t="shared" ca="1" si="346"/>
        <v>1034.9999999999998</v>
      </c>
    </row>
    <row r="3314" spans="13:19">
      <c r="M3314" s="132">
        <f t="shared" ca="1" si="343"/>
        <v>1050.1228778337827</v>
      </c>
      <c r="N3314" s="38">
        <f t="shared" si="344"/>
        <v>31.059375000000003</v>
      </c>
      <c r="O3314" s="36">
        <f t="shared" si="342"/>
        <v>828.25</v>
      </c>
      <c r="P3314" s="38">
        <f ca="1">IF(ISERROR(IF(O3314&lt;fi_h/20,0,(OFFSET('Base de dados'!$A$5,IF(O3314&lt;20,1,IF(O3314&gt;1000,10,MATCH(O3314,Cargas,1))),Coluna_fih,1,1))*(1+0.13*0.25)*(PI()*(fi_h/1000)^2/4)*SQRT(2*9.81*(O3314/100-fi_h/2/1000))*1000)),"",IF(O3314&lt;fi_h/20,0,(OFFSET('Base de dados'!$A$5,IF(O3314&lt;20,1,IF(O3314&gt;1000,10,MATCH(O3314,Cargas,1))),Coluna_fih,1,1))*(PI()*(fi_h/1000)^2/4)*SQRT(2*9.81*(O3314/100-fi_h/2/1000))*1000))</f>
        <v>7.6954693298819183</v>
      </c>
      <c r="Q3314" s="38">
        <f ca="1">IF(O3314="","",IF(Tipo_Vertedor="Retangular",IF(O3314&lt;=cota_s*100,0,IF(Tipo_Vertedor="Retangular",Cd_sr*Lef_sr*((O3314/100-cota_s)^(3/2))*1000)),IF(O3314&lt;=cota_s*100+fi_s/20,0,(OFFSET('Base de dados'!$A$4,IF(O3314&lt;20,1,IF(O3314&gt;1000,10,MATCH(O3314,Cargas,1))),Coluna_fis,1,1))*(PI()*(fi_s/1000)^2/4)*(2*9.81*(O3314/100-cota_s-fi_s/2/1000))^0.5*1000)))</f>
        <v>7.114908503900601</v>
      </c>
      <c r="R3314" s="38">
        <f t="shared" ca="1" si="345"/>
        <v>14.810377833782519</v>
      </c>
      <c r="S3314" s="38">
        <f t="shared" ca="1" si="346"/>
        <v>1035.3125000000002</v>
      </c>
    </row>
    <row r="3315" spans="13:19">
      <c r="M3315" s="132">
        <f t="shared" ca="1" si="343"/>
        <v>1050.43780036066</v>
      </c>
      <c r="N3315" s="38">
        <f t="shared" si="344"/>
        <v>31.068750000000001</v>
      </c>
      <c r="O3315" s="36">
        <f t="shared" si="342"/>
        <v>828.5</v>
      </c>
      <c r="P3315" s="38">
        <f ca="1">IF(ISERROR(IF(O3315&lt;fi_h/20,0,(OFFSET('Base de dados'!$A$5,IF(O3315&lt;20,1,IF(O3315&gt;1000,10,MATCH(O3315,Cargas,1))),Coluna_fih,1,1))*(1+0.13*0.25)*(PI()*(fi_h/1000)^2/4)*SQRT(2*9.81*(O3315/100-fi_h/2/1000))*1000)),"",IF(O3315&lt;fi_h/20,0,(OFFSET('Base de dados'!$A$5,IF(O3315&lt;20,1,IF(O3315&gt;1000,10,MATCH(O3315,Cargas,1))),Coluna_fih,1,1))*(PI()*(fi_h/1000)^2/4)*SQRT(2*9.81*(O3315/100-fi_h/2/1000))*1000))</f>
        <v>7.6966331200485874</v>
      </c>
      <c r="Q3315" s="38">
        <f ca="1">IF(O3315="","",IF(Tipo_Vertedor="Retangular",IF(O3315&lt;=cota_s*100,0,IF(Tipo_Vertedor="Retangular",Cd_sr*Lef_sr*((O3315/100-cota_s)^(3/2))*1000)),IF(O3315&lt;=cota_s*100+fi_s/20,0,(OFFSET('Base de dados'!$A$4,IF(O3315&lt;20,1,IF(O3315&gt;1000,10,MATCH(O3315,Cargas,1))),Coluna_fis,1,1))*(PI()*(fi_s/1000)^2/4)*(2*9.81*(O3315/100-cota_s-fi_s/2/1000))^0.5*1000)))</f>
        <v>7.1161672406115262</v>
      </c>
      <c r="R3315" s="38">
        <f t="shared" ca="1" si="345"/>
        <v>14.812800360660113</v>
      </c>
      <c r="S3315" s="38">
        <f t="shared" ca="1" si="346"/>
        <v>1035.625</v>
      </c>
    </row>
    <row r="3316" spans="13:19">
      <c r="M3316" s="132">
        <f t="shared" ca="1" si="343"/>
        <v>1050.7527224889791</v>
      </c>
      <c r="N3316" s="38">
        <f t="shared" si="344"/>
        <v>31.078125</v>
      </c>
      <c r="O3316" s="36">
        <f t="shared" si="342"/>
        <v>828.75</v>
      </c>
      <c r="P3316" s="38">
        <f ca="1">IF(ISERROR(IF(O3316&lt;fi_h/20,0,(OFFSET('Base de dados'!$A$5,IF(O3316&lt;20,1,IF(O3316&gt;1000,10,MATCH(O3316,Cargas,1))),Coluna_fih,1,1))*(1+0.13*0.25)*(PI()*(fi_h/1000)^2/4)*SQRT(2*9.81*(O3316/100-fi_h/2/1000))*1000)),"",IF(O3316&lt;fi_h/20,0,(OFFSET('Base de dados'!$A$5,IF(O3316&lt;20,1,IF(O3316&gt;1000,10,MATCH(O3316,Cargas,1))),Coluna_fih,1,1))*(PI()*(fi_h/1000)^2/4)*SQRT(2*9.81*(O3316/100-fi_h/2/1000))*1000))</f>
        <v>7.6977967342678273</v>
      </c>
      <c r="Q3316" s="38">
        <f ca="1">IF(O3316="","",IF(Tipo_Vertedor="Retangular",IF(O3316&lt;=cota_s*100,0,IF(Tipo_Vertedor="Retangular",Cd_sr*Lef_sr*((O3316/100-cota_s)^(3/2))*1000)),IF(O3316&lt;=cota_s*100+fi_s/20,0,(OFFSET('Base de dados'!$A$4,IF(O3316&lt;20,1,IF(O3316&gt;1000,10,MATCH(O3316,Cargas,1))),Coluna_fis,1,1))*(PI()*(fi_s/1000)^2/4)*(2*9.81*(O3316/100-cota_s-fi_s/2/1000))^0.5*1000)))</f>
        <v>7.1174257547113351</v>
      </c>
      <c r="R3316" s="38">
        <f t="shared" ca="1" si="345"/>
        <v>14.815222488979163</v>
      </c>
      <c r="S3316" s="38">
        <f t="shared" ca="1" si="346"/>
        <v>1035.9375</v>
      </c>
    </row>
    <row r="3317" spans="13:19">
      <c r="M3317" s="132">
        <f t="shared" ca="1" si="343"/>
        <v>1051.0676442189374</v>
      </c>
      <c r="N3317" s="38">
        <f t="shared" si="344"/>
        <v>31.087499999999999</v>
      </c>
      <c r="O3317" s="36">
        <f t="shared" si="342"/>
        <v>829</v>
      </c>
      <c r="P3317" s="38">
        <f ca="1">IF(ISERROR(IF(O3317&lt;fi_h/20,0,(OFFSET('Base de dados'!$A$5,IF(O3317&lt;20,1,IF(O3317&gt;1000,10,MATCH(O3317,Cargas,1))),Coluna_fih,1,1))*(1+0.13*0.25)*(PI()*(fi_h/1000)^2/4)*SQRT(2*9.81*(O3317/100-fi_h/2/1000))*1000)),"",IF(O3317&lt;fi_h/20,0,(OFFSET('Base de dados'!$A$5,IF(O3317&lt;20,1,IF(O3317&gt;1000,10,MATCH(O3317,Cargas,1))),Coluna_fih,1,1))*(PI()*(fi_h/1000)^2/4)*SQRT(2*9.81*(O3317/100-fi_h/2/1000))*1000))</f>
        <v>7.6989601726194152</v>
      </c>
      <c r="Q3317" s="38">
        <f ca="1">IF(O3317="","",IF(Tipo_Vertedor="Retangular",IF(O3317&lt;=cota_s*100,0,IF(Tipo_Vertedor="Retangular",Cd_sr*Lef_sr*((O3317/100-cota_s)^(3/2))*1000)),IF(O3317&lt;=cota_s*100+fi_s/20,0,(OFFSET('Base de dados'!$A$4,IF(O3317&lt;20,1,IF(O3317&gt;1000,10,MATCH(O3317,Cargas,1))),Coluna_fis,1,1))*(PI()*(fi_s/1000)^2/4)*(2*9.81*(O3317/100-cota_s-fi_s/2/1000))^0.5*1000)))</f>
        <v>7.1186840463180969</v>
      </c>
      <c r="R3317" s="38">
        <f t="shared" ca="1" si="345"/>
        <v>14.817644218937513</v>
      </c>
      <c r="S3317" s="38">
        <f t="shared" ca="1" si="346"/>
        <v>1036.25</v>
      </c>
    </row>
    <row r="3318" spans="13:19">
      <c r="M3318" s="132">
        <f t="shared" ca="1" si="343"/>
        <v>1051.3825655507328</v>
      </c>
      <c r="N3318" s="38">
        <f t="shared" si="344"/>
        <v>31.096875000000001</v>
      </c>
      <c r="O3318" s="36">
        <f t="shared" si="342"/>
        <v>829.25</v>
      </c>
      <c r="P3318" s="38">
        <f ca="1">IF(ISERROR(IF(O3318&lt;fi_h/20,0,(OFFSET('Base de dados'!$A$5,IF(O3318&lt;20,1,IF(O3318&gt;1000,10,MATCH(O3318,Cargas,1))),Coluna_fih,1,1))*(1+0.13*0.25)*(PI()*(fi_h/1000)^2/4)*SQRT(2*9.81*(O3318/100-fi_h/2/1000))*1000)),"",IF(O3318&lt;fi_h/20,0,(OFFSET('Base de dados'!$A$5,IF(O3318&lt;20,1,IF(O3318&gt;1000,10,MATCH(O3318,Cargas,1))),Coluna_fih,1,1))*(PI()*(fi_h/1000)^2/4)*SQRT(2*9.81*(O3318/100-fi_h/2/1000))*1000))</f>
        <v>7.7001234351830732</v>
      </c>
      <c r="Q3318" s="38">
        <f ca="1">IF(O3318="","",IF(Tipo_Vertedor="Retangular",IF(O3318&lt;=cota_s*100,0,IF(Tipo_Vertedor="Retangular",Cd_sr*Lef_sr*((O3318/100-cota_s)^(3/2))*1000)),IF(O3318&lt;=cota_s*100+fi_s/20,0,(OFFSET('Base de dados'!$A$4,IF(O3318&lt;20,1,IF(O3318&gt;1000,10,MATCH(O3318,Cargas,1))),Coluna_fis,1,1))*(PI()*(fi_s/1000)^2/4)*(2*9.81*(O3318/100-cota_s-fi_s/2/1000))^0.5*1000)))</f>
        <v>7.1199421155497733</v>
      </c>
      <c r="R3318" s="38">
        <f t="shared" ca="1" si="345"/>
        <v>14.820065550732846</v>
      </c>
      <c r="S3318" s="38">
        <f t="shared" ca="1" si="346"/>
        <v>1036.5625</v>
      </c>
    </row>
    <row r="3319" spans="13:19">
      <c r="M3319" s="132">
        <f t="shared" ca="1" si="343"/>
        <v>1051.6974864845627</v>
      </c>
      <c r="N3319" s="38">
        <f t="shared" si="344"/>
        <v>31.106249999999999</v>
      </c>
      <c r="O3319" s="36">
        <f t="shared" si="342"/>
        <v>829.5</v>
      </c>
      <c r="P3319" s="38">
        <f ca="1">IF(ISERROR(IF(O3319&lt;fi_h/20,0,(OFFSET('Base de dados'!$A$5,IF(O3319&lt;20,1,IF(O3319&gt;1000,10,MATCH(O3319,Cargas,1))),Coluna_fih,1,1))*(1+0.13*0.25)*(PI()*(fi_h/1000)^2/4)*SQRT(2*9.81*(O3319/100-fi_h/2/1000))*1000)),"",IF(O3319&lt;fi_h/20,0,(OFFSET('Base de dados'!$A$5,IF(O3319&lt;20,1,IF(O3319&gt;1000,10,MATCH(O3319,Cargas,1))),Coluna_fih,1,1))*(PI()*(fi_h/1000)^2/4)*SQRT(2*9.81*(O3319/100-fi_h/2/1000))*1000))</f>
        <v>7.7012865220384539</v>
      </c>
      <c r="Q3319" s="38">
        <f ca="1">IF(O3319="","",IF(Tipo_Vertedor="Retangular",IF(O3319&lt;=cota_s*100,0,IF(Tipo_Vertedor="Retangular",Cd_sr*Lef_sr*((O3319/100-cota_s)^(3/2))*1000)),IF(O3319&lt;=cota_s*100+fi_s/20,0,(OFFSET('Base de dados'!$A$4,IF(O3319&lt;20,1,IF(O3319&gt;1000,10,MATCH(O3319,Cargas,1))),Coluna_fis,1,1))*(PI()*(fi_s/1000)^2/4)*(2*9.81*(O3319/100-cota_s-fi_s/2/1000))^0.5*1000)))</f>
        <v>7.1211999625242202</v>
      </c>
      <c r="R3319" s="38">
        <f t="shared" ca="1" si="345"/>
        <v>14.822486484562674</v>
      </c>
      <c r="S3319" s="38">
        <f t="shared" ca="1" si="346"/>
        <v>1036.875</v>
      </c>
    </row>
    <row r="3320" spans="13:19">
      <c r="M3320" s="132">
        <f t="shared" ca="1" si="343"/>
        <v>1052.0124070206241</v>
      </c>
      <c r="N3320" s="38">
        <f t="shared" si="344"/>
        <v>31.115624999999998</v>
      </c>
      <c r="O3320" s="36">
        <f t="shared" si="342"/>
        <v>829.75</v>
      </c>
      <c r="P3320" s="38">
        <f ca="1">IF(ISERROR(IF(O3320&lt;fi_h/20,0,(OFFSET('Base de dados'!$A$5,IF(O3320&lt;20,1,IF(O3320&gt;1000,10,MATCH(O3320,Cargas,1))),Coluna_fih,1,1))*(1+0.13*0.25)*(PI()*(fi_h/1000)^2/4)*SQRT(2*9.81*(O3320/100-fi_h/2/1000))*1000)),"",IF(O3320&lt;fi_h/20,0,(OFFSET('Base de dados'!$A$5,IF(O3320&lt;20,1,IF(O3320&gt;1000,10,MATCH(O3320,Cargas,1))),Coluna_fih,1,1))*(PI()*(fi_h/1000)^2/4)*SQRT(2*9.81*(O3320/100-fi_h/2/1000))*1000))</f>
        <v>7.7024494332651559</v>
      </c>
      <c r="Q3320" s="38">
        <f ca="1">IF(O3320="","",IF(Tipo_Vertedor="Retangular",IF(O3320&lt;=cota_s*100,0,IF(Tipo_Vertedor="Retangular",Cd_sr*Lef_sr*((O3320/100-cota_s)^(3/2))*1000)),IF(O3320&lt;=cota_s*100+fi_s/20,0,(OFFSET('Base de dados'!$A$4,IF(O3320&lt;20,1,IF(O3320&gt;1000,10,MATCH(O3320,Cargas,1))),Coluna_fis,1,1))*(PI()*(fi_s/1000)^2/4)*(2*9.81*(O3320/100-cota_s-fi_s/2/1000))^0.5*1000)))</f>
        <v>7.1224575873591922</v>
      </c>
      <c r="R3320" s="38">
        <f t="shared" ca="1" si="345"/>
        <v>14.824907020624348</v>
      </c>
      <c r="S3320" s="38">
        <f t="shared" ca="1" si="346"/>
        <v>1037.1874999999998</v>
      </c>
    </row>
    <row r="3321" spans="13:19">
      <c r="M3321" s="132">
        <f t="shared" ca="1" si="343"/>
        <v>1052.3273271591154</v>
      </c>
      <c r="N3321" s="38">
        <f t="shared" si="344"/>
        <v>31.125000000000004</v>
      </c>
      <c r="O3321" s="36">
        <f t="shared" si="342"/>
        <v>830</v>
      </c>
      <c r="P3321" s="38">
        <f ca="1">IF(ISERROR(IF(O3321&lt;fi_h/20,0,(OFFSET('Base de dados'!$A$5,IF(O3321&lt;20,1,IF(O3321&gt;1000,10,MATCH(O3321,Cargas,1))),Coluna_fih,1,1))*(1+0.13*0.25)*(PI()*(fi_h/1000)^2/4)*SQRT(2*9.81*(O3321/100-fi_h/2/1000))*1000)),"",IF(O3321&lt;fi_h/20,0,(OFFSET('Base de dados'!$A$5,IF(O3321&lt;20,1,IF(O3321&gt;1000,10,MATCH(O3321,Cargas,1))),Coluna_fih,1,1))*(PI()*(fi_h/1000)^2/4)*SQRT(2*9.81*(O3321/100-fi_h/2/1000))*1000))</f>
        <v>7.7036121689427173</v>
      </c>
      <c r="Q3321" s="38">
        <f ca="1">IF(O3321="","",IF(Tipo_Vertedor="Retangular",IF(O3321&lt;=cota_s*100,0,IF(Tipo_Vertedor="Retangular",Cd_sr*Lef_sr*((O3321/100-cota_s)^(3/2))*1000)),IF(O3321&lt;=cota_s*100+fi_s/20,0,(OFFSET('Base de dados'!$A$4,IF(O3321&lt;20,1,IF(O3321&gt;1000,10,MATCH(O3321,Cargas,1))),Coluna_fis,1,1))*(PI()*(fi_s/1000)^2/4)*(2*9.81*(O3321/100-cota_s-fi_s/2/1000))^0.5*1000)))</f>
        <v>7.1237149901723402</v>
      </c>
      <c r="R3321" s="38">
        <f t="shared" ca="1" si="345"/>
        <v>14.827327159115057</v>
      </c>
      <c r="S3321" s="38">
        <f t="shared" ca="1" si="346"/>
        <v>1037.5000000000002</v>
      </c>
    </row>
    <row r="3322" spans="13:19">
      <c r="M3322" s="132">
        <f t="shared" ca="1" si="343"/>
        <v>1052.6422469002321</v>
      </c>
      <c r="N3322" s="38">
        <f t="shared" si="344"/>
        <v>31.134375000000002</v>
      </c>
      <c r="O3322" s="36">
        <f t="shared" si="342"/>
        <v>830.25</v>
      </c>
      <c r="P3322" s="38">
        <f ca="1">IF(ISERROR(IF(O3322&lt;fi_h/20,0,(OFFSET('Base de dados'!$A$5,IF(O3322&lt;20,1,IF(O3322&gt;1000,10,MATCH(O3322,Cargas,1))),Coluna_fih,1,1))*(1+0.13*0.25)*(PI()*(fi_h/1000)^2/4)*SQRT(2*9.81*(O3322/100-fi_h/2/1000))*1000)),"",IF(O3322&lt;fi_h/20,0,(OFFSET('Base de dados'!$A$5,IF(O3322&lt;20,1,IF(O3322&gt;1000,10,MATCH(O3322,Cargas,1))),Coluna_fih,1,1))*(PI()*(fi_h/1000)^2/4)*SQRT(2*9.81*(O3322/100-fi_h/2/1000))*1000))</f>
        <v>7.7047747291506115</v>
      </c>
      <c r="Q3322" s="38">
        <f ca="1">IF(O3322="","",IF(Tipo_Vertedor="Retangular",IF(O3322&lt;=cota_s*100,0,IF(Tipo_Vertedor="Retangular",Cd_sr*Lef_sr*((O3322/100-cota_s)^(3/2))*1000)),IF(O3322&lt;=cota_s*100+fi_s/20,0,(OFFSET('Base de dados'!$A$4,IF(O3322&lt;20,1,IF(O3322&gt;1000,10,MATCH(O3322,Cargas,1))),Coluna_fis,1,1))*(PI()*(fi_s/1000)^2/4)*(2*9.81*(O3322/100-cota_s-fi_s/2/1000))^0.5*1000)))</f>
        <v>7.1249721710812093</v>
      </c>
      <c r="R3322" s="38">
        <f t="shared" ca="1" si="345"/>
        <v>14.829746900231822</v>
      </c>
      <c r="S3322" s="38">
        <f t="shared" ca="1" si="346"/>
        <v>1037.8125000000002</v>
      </c>
    </row>
    <row r="3323" spans="13:19">
      <c r="M3323" s="132">
        <f t="shared" ca="1" si="343"/>
        <v>1052.9571662441713</v>
      </c>
      <c r="N3323" s="38">
        <f t="shared" si="344"/>
        <v>31.143749999999997</v>
      </c>
      <c r="O3323" s="36">
        <f t="shared" si="342"/>
        <v>830.5</v>
      </c>
      <c r="P3323" s="38">
        <f ca="1">IF(ISERROR(IF(O3323&lt;fi_h/20,0,(OFFSET('Base de dados'!$A$5,IF(O3323&lt;20,1,IF(O3323&gt;1000,10,MATCH(O3323,Cargas,1))),Coluna_fih,1,1))*(1+0.13*0.25)*(PI()*(fi_h/1000)^2/4)*SQRT(2*9.81*(O3323/100-fi_h/2/1000))*1000)),"",IF(O3323&lt;fi_h/20,0,(OFFSET('Base de dados'!$A$5,IF(O3323&lt;20,1,IF(O3323&gt;1000,10,MATCH(O3323,Cargas,1))),Coluna_fih,1,1))*(PI()*(fi_h/1000)^2/4)*SQRT(2*9.81*(O3323/100-fi_h/2/1000))*1000))</f>
        <v>7.7059371139682575</v>
      </c>
      <c r="Q3323" s="38">
        <f ca="1">IF(O3323="","",IF(Tipo_Vertedor="Retangular",IF(O3323&lt;=cota_s*100,0,IF(Tipo_Vertedor="Retangular",Cd_sr*Lef_sr*((O3323/100-cota_s)^(3/2))*1000)),IF(O3323&lt;=cota_s*100+fi_s/20,0,(OFFSET('Base de dados'!$A$4,IF(O3323&lt;20,1,IF(O3323&gt;1000,10,MATCH(O3323,Cargas,1))),Coluna_fis,1,1))*(PI()*(fi_s/1000)^2/4)*(2*9.81*(O3323/100-cota_s-fi_s/2/1000))^0.5*1000)))</f>
        <v>7.1262291302032414</v>
      </c>
      <c r="R3323" s="38">
        <f t="shared" ca="1" si="345"/>
        <v>14.8321662441715</v>
      </c>
      <c r="S3323" s="38">
        <f t="shared" ca="1" si="346"/>
        <v>1038.1249999999998</v>
      </c>
    </row>
    <row r="3324" spans="13:19">
      <c r="M3324" s="132">
        <f t="shared" ca="1" si="343"/>
        <v>1053.2720851911306</v>
      </c>
      <c r="N3324" s="38">
        <f t="shared" si="344"/>
        <v>31.153124999999996</v>
      </c>
      <c r="O3324" s="36">
        <f t="shared" si="342"/>
        <v>830.75</v>
      </c>
      <c r="P3324" s="38">
        <f ca="1">IF(ISERROR(IF(O3324&lt;fi_h/20,0,(OFFSET('Base de dados'!$A$5,IF(O3324&lt;20,1,IF(O3324&gt;1000,10,MATCH(O3324,Cargas,1))),Coluna_fih,1,1))*(1+0.13*0.25)*(PI()*(fi_h/1000)^2/4)*SQRT(2*9.81*(O3324/100-fi_h/2/1000))*1000)),"",IF(O3324&lt;fi_h/20,0,(OFFSET('Base de dados'!$A$5,IF(O3324&lt;20,1,IF(O3324&gt;1000,10,MATCH(O3324,Cargas,1))),Coluna_fih,1,1))*(PI()*(fi_h/1000)^2/4)*SQRT(2*9.81*(O3324/100-fi_h/2/1000))*1000))</f>
        <v>7.7070993234750143</v>
      </c>
      <c r="Q3324" s="38">
        <f ca="1">IF(O3324="","",IF(Tipo_Vertedor="Retangular",IF(O3324&lt;=cota_s*100,0,IF(Tipo_Vertedor="Retangular",Cd_sr*Lef_sr*((O3324/100-cota_s)^(3/2))*1000)),IF(O3324&lt;=cota_s*100+fi_s/20,0,(OFFSET('Base de dados'!$A$4,IF(O3324&lt;20,1,IF(O3324&gt;1000,10,MATCH(O3324,Cargas,1))),Coluna_fis,1,1))*(PI()*(fi_s/1000)^2/4)*(2*9.81*(O3324/100-cota_s-fi_s/2/1000))^0.5*1000)))</f>
        <v>7.1274858676557775</v>
      </c>
      <c r="R3324" s="38">
        <f t="shared" ca="1" si="345"/>
        <v>14.834585191130792</v>
      </c>
      <c r="S3324" s="38">
        <f t="shared" ca="1" si="346"/>
        <v>1038.4374999999998</v>
      </c>
    </row>
    <row r="3325" spans="13:19">
      <c r="M3325" s="132">
        <f t="shared" ca="1" si="343"/>
        <v>1053.5870037413063</v>
      </c>
      <c r="N3325" s="38">
        <f t="shared" si="344"/>
        <v>31.162500000000001</v>
      </c>
      <c r="O3325" s="36">
        <f t="shared" si="342"/>
        <v>831</v>
      </c>
      <c r="P3325" s="38">
        <f ca="1">IF(ISERROR(IF(O3325&lt;fi_h/20,0,(OFFSET('Base de dados'!$A$5,IF(O3325&lt;20,1,IF(O3325&gt;1000,10,MATCH(O3325,Cargas,1))),Coluna_fih,1,1))*(1+0.13*0.25)*(PI()*(fi_h/1000)^2/4)*SQRT(2*9.81*(O3325/100-fi_h/2/1000))*1000)),"",IF(O3325&lt;fi_h/20,0,(OFFSET('Base de dados'!$A$5,IF(O3325&lt;20,1,IF(O3325&gt;1000,10,MATCH(O3325,Cargas,1))),Coluna_fih,1,1))*(PI()*(fi_h/1000)^2/4)*SQRT(2*9.81*(O3325/100-fi_h/2/1000))*1000))</f>
        <v>7.7082613577501773</v>
      </c>
      <c r="Q3325" s="38">
        <f ca="1">IF(O3325="","",IF(Tipo_Vertedor="Retangular",IF(O3325&lt;=cota_s*100,0,IF(Tipo_Vertedor="Retangular",Cd_sr*Lef_sr*((O3325/100-cota_s)^(3/2))*1000)),IF(O3325&lt;=cota_s*100+fi_s/20,0,(OFFSET('Base de dados'!$A$4,IF(O3325&lt;20,1,IF(O3325&gt;1000,10,MATCH(O3325,Cargas,1))),Coluna_fis,1,1))*(PI()*(fi_s/1000)^2/4)*(2*9.81*(O3325/100-cota_s-fi_s/2/1000))^0.5*1000)))</f>
        <v>7.1287423835560508</v>
      </c>
      <c r="R3325" s="38">
        <f t="shared" ca="1" si="345"/>
        <v>14.837003741306228</v>
      </c>
      <c r="S3325" s="38">
        <f t="shared" ca="1" si="346"/>
        <v>1038.75</v>
      </c>
    </row>
    <row r="3326" spans="13:19">
      <c r="M3326" s="132">
        <f t="shared" ca="1" si="343"/>
        <v>1053.9019218948943</v>
      </c>
      <c r="N3326" s="38">
        <f t="shared" si="344"/>
        <v>31.171875</v>
      </c>
      <c r="O3326" s="36">
        <f t="shared" si="342"/>
        <v>831.25</v>
      </c>
      <c r="P3326" s="38">
        <f ca="1">IF(ISERROR(IF(O3326&lt;fi_h/20,0,(OFFSET('Base de dados'!$A$5,IF(O3326&lt;20,1,IF(O3326&gt;1000,10,MATCH(O3326,Cargas,1))),Coluna_fih,1,1))*(1+0.13*0.25)*(PI()*(fi_h/1000)^2/4)*SQRT(2*9.81*(O3326/100-fi_h/2/1000))*1000)),"",IF(O3326&lt;fi_h/20,0,(OFFSET('Base de dados'!$A$5,IF(O3326&lt;20,1,IF(O3326&gt;1000,10,MATCH(O3326,Cargas,1))),Coluna_fih,1,1))*(PI()*(fi_h/1000)^2/4)*SQRT(2*9.81*(O3326/100-fi_h/2/1000))*1000))</f>
        <v>7.7094232168729828</v>
      </c>
      <c r="Q3326" s="38">
        <f ca="1">IF(O3326="","",IF(Tipo_Vertedor="Retangular",IF(O3326&lt;=cota_s*100,0,IF(Tipo_Vertedor="Retangular",Cd_sr*Lef_sr*((O3326/100-cota_s)^(3/2))*1000)),IF(O3326&lt;=cota_s*100+fi_s/20,0,(OFFSET('Base de dados'!$A$4,IF(O3326&lt;20,1,IF(O3326&gt;1000,10,MATCH(O3326,Cargas,1))),Coluna_fis,1,1))*(PI()*(fi_s/1000)^2/4)*(2*9.81*(O3326/100-cota_s-fi_s/2/1000))^0.5*1000)))</f>
        <v>7.1299986780211952</v>
      </c>
      <c r="R3326" s="38">
        <f t="shared" ca="1" si="345"/>
        <v>14.839421894894178</v>
      </c>
      <c r="S3326" s="38">
        <f t="shared" ca="1" si="346"/>
        <v>1039.0625</v>
      </c>
    </row>
    <row r="3327" spans="13:19">
      <c r="M3327" s="132">
        <f t="shared" ca="1" si="343"/>
        <v>1054.2168396520908</v>
      </c>
      <c r="N3327" s="38">
        <f t="shared" si="344"/>
        <v>31.181249999999999</v>
      </c>
      <c r="O3327" s="36">
        <f t="shared" si="342"/>
        <v>831.5</v>
      </c>
      <c r="P3327" s="38">
        <f ca="1">IF(ISERROR(IF(O3327&lt;fi_h/20,0,(OFFSET('Base de dados'!$A$5,IF(O3327&lt;20,1,IF(O3327&gt;1000,10,MATCH(O3327,Cargas,1))),Coluna_fih,1,1))*(1+0.13*0.25)*(PI()*(fi_h/1000)^2/4)*SQRT(2*9.81*(O3327/100-fi_h/2/1000))*1000)),"",IF(O3327&lt;fi_h/20,0,(OFFSET('Base de dados'!$A$5,IF(O3327&lt;20,1,IF(O3327&gt;1000,10,MATCH(O3327,Cargas,1))),Coluna_fih,1,1))*(PI()*(fi_h/1000)^2/4)*SQRT(2*9.81*(O3327/100-fi_h/2/1000))*1000))</f>
        <v>7.7105849009226111</v>
      </c>
      <c r="Q3327" s="38">
        <f ca="1">IF(O3327="","",IF(Tipo_Vertedor="Retangular",IF(O3327&lt;=cota_s*100,0,IF(Tipo_Vertedor="Retangular",Cd_sr*Lef_sr*((O3327/100-cota_s)^(3/2))*1000)),IF(O3327&lt;=cota_s*100+fi_s/20,0,(OFFSET('Base de dados'!$A$4,IF(O3327&lt;20,1,IF(O3327&gt;1000,10,MATCH(O3327,Cargas,1))),Coluna_fis,1,1))*(PI()*(fi_s/1000)^2/4)*(2*9.81*(O3327/100-cota_s-fi_s/2/1000))^0.5*1000)))</f>
        <v>7.1312547511682371</v>
      </c>
      <c r="R3327" s="38">
        <f t="shared" ca="1" si="345"/>
        <v>14.841839652090847</v>
      </c>
      <c r="S3327" s="38">
        <f t="shared" ca="1" si="346"/>
        <v>1039.375</v>
      </c>
    </row>
    <row r="3328" spans="13:19">
      <c r="M3328" s="132">
        <f t="shared" ca="1" si="343"/>
        <v>1054.5317570130926</v>
      </c>
      <c r="N3328" s="38">
        <f t="shared" si="344"/>
        <v>31.190625000000004</v>
      </c>
      <c r="O3328" s="36">
        <f t="shared" si="342"/>
        <v>831.75</v>
      </c>
      <c r="P3328" s="38">
        <f ca="1">IF(ISERROR(IF(O3328&lt;fi_h/20,0,(OFFSET('Base de dados'!$A$5,IF(O3328&lt;20,1,IF(O3328&gt;1000,10,MATCH(O3328,Cargas,1))),Coluna_fih,1,1))*(1+0.13*0.25)*(PI()*(fi_h/1000)^2/4)*SQRT(2*9.81*(O3328/100-fi_h/2/1000))*1000)),"",IF(O3328&lt;fi_h/20,0,(OFFSET('Base de dados'!$A$5,IF(O3328&lt;20,1,IF(O3328&gt;1000,10,MATCH(O3328,Cargas,1))),Coluna_fih,1,1))*(PI()*(fi_h/1000)^2/4)*SQRT(2*9.81*(O3328/100-fi_h/2/1000))*1000))</f>
        <v>7.7117464099781792</v>
      </c>
      <c r="Q3328" s="38">
        <f ca="1">IF(O3328="","",IF(Tipo_Vertedor="Retangular",IF(O3328&lt;=cota_s*100,0,IF(Tipo_Vertedor="Retangular",Cd_sr*Lef_sr*((O3328/100-cota_s)^(3/2))*1000)),IF(O3328&lt;=cota_s*100+fi_s/20,0,(OFFSET('Base de dados'!$A$4,IF(O3328&lt;20,1,IF(O3328&gt;1000,10,MATCH(O3328,Cargas,1))),Coluna_fis,1,1))*(PI()*(fi_s/1000)^2/4)*(2*9.81*(O3328/100-cota_s-fi_s/2/1000))^0.5*1000)))</f>
        <v>7.1325106031141052</v>
      </c>
      <c r="R3328" s="38">
        <f t="shared" ca="1" si="345"/>
        <v>14.844257013092285</v>
      </c>
      <c r="S3328" s="38">
        <f t="shared" ca="1" si="346"/>
        <v>1039.6875000000002</v>
      </c>
    </row>
    <row r="3329" spans="13:19">
      <c r="M3329" s="132">
        <f t="shared" ca="1" si="343"/>
        <v>1054.8466739780945</v>
      </c>
      <c r="N3329" s="38">
        <f t="shared" si="344"/>
        <v>31.200000000000003</v>
      </c>
      <c r="O3329" s="36">
        <f t="shared" si="342"/>
        <v>832</v>
      </c>
      <c r="P3329" s="38">
        <f ca="1">IF(ISERROR(IF(O3329&lt;fi_h/20,0,(OFFSET('Base de dados'!$A$5,IF(O3329&lt;20,1,IF(O3329&gt;1000,10,MATCH(O3329,Cargas,1))),Coluna_fih,1,1))*(1+0.13*0.25)*(PI()*(fi_h/1000)^2/4)*SQRT(2*9.81*(O3329/100-fi_h/2/1000))*1000)),"",IF(O3329&lt;fi_h/20,0,(OFFSET('Base de dados'!$A$5,IF(O3329&lt;20,1,IF(O3329&gt;1000,10,MATCH(O3329,Cargas,1))),Coluna_fih,1,1))*(PI()*(fi_h/1000)^2/4)*SQRT(2*9.81*(O3329/100-fi_h/2/1000))*1000))</f>
        <v>7.7129077441187448</v>
      </c>
      <c r="Q3329" s="38">
        <f ca="1">IF(O3329="","",IF(Tipo_Vertedor="Retangular",IF(O3329&lt;=cota_s*100,0,IF(Tipo_Vertedor="Retangular",Cd_sr*Lef_sr*((O3329/100-cota_s)^(3/2))*1000)),IF(O3329&lt;=cota_s*100+fi_s/20,0,(OFFSET('Base de dados'!$A$4,IF(O3329&lt;20,1,IF(O3329&gt;1000,10,MATCH(O3329,Cargas,1))),Coluna_fis,1,1))*(PI()*(fi_s/1000)^2/4)*(2*9.81*(O3329/100-cota_s-fi_s/2/1000))^0.5*1000)))</f>
        <v>7.1337662339756207</v>
      </c>
      <c r="R3329" s="38">
        <f t="shared" ca="1" si="345"/>
        <v>14.846673978094366</v>
      </c>
      <c r="S3329" s="38">
        <f t="shared" ca="1" si="346"/>
        <v>1040.0000000000002</v>
      </c>
    </row>
    <row r="3330" spans="13:19">
      <c r="M3330" s="132">
        <f t="shared" ca="1" si="343"/>
        <v>1055.1615905472927</v>
      </c>
      <c r="N3330" s="38">
        <f t="shared" si="344"/>
        <v>31.209374999999998</v>
      </c>
      <c r="O3330" s="36">
        <f t="shared" si="342"/>
        <v>832.25</v>
      </c>
      <c r="P3330" s="38">
        <f ca="1">IF(ISERROR(IF(O3330&lt;fi_h/20,0,(OFFSET('Base de dados'!$A$5,IF(O3330&lt;20,1,IF(O3330&gt;1000,10,MATCH(O3330,Cargas,1))),Coluna_fih,1,1))*(1+0.13*0.25)*(PI()*(fi_h/1000)^2/4)*SQRT(2*9.81*(O3330/100-fi_h/2/1000))*1000)),"",IF(O3330&lt;fi_h/20,0,(OFFSET('Base de dados'!$A$5,IF(O3330&lt;20,1,IF(O3330&gt;1000,10,MATCH(O3330,Cargas,1))),Coluna_fih,1,1))*(PI()*(fi_h/1000)^2/4)*SQRT(2*9.81*(O3330/100-fi_h/2/1000))*1000))</f>
        <v>7.7140689034233079</v>
      </c>
      <c r="Q3330" s="38">
        <f ca="1">IF(O3330="","",IF(Tipo_Vertedor="Retangular",IF(O3330&lt;=cota_s*100,0,IF(Tipo_Vertedor="Retangular",Cd_sr*Lef_sr*((O3330/100-cota_s)^(3/2))*1000)),IF(O3330&lt;=cota_s*100+fi_s/20,0,(OFFSET('Base de dados'!$A$4,IF(O3330&lt;20,1,IF(O3330&gt;1000,10,MATCH(O3330,Cargas,1))),Coluna_fis,1,1))*(PI()*(fi_s/1000)^2/4)*(2*9.81*(O3330/100-cota_s-fi_s/2/1000))^0.5*1000)))</f>
        <v>7.1350216438695035</v>
      </c>
      <c r="R3330" s="38">
        <f t="shared" ca="1" si="345"/>
        <v>14.849090547292811</v>
      </c>
      <c r="S3330" s="38">
        <f t="shared" ca="1" si="346"/>
        <v>1040.3124999999998</v>
      </c>
    </row>
    <row r="3331" spans="13:19">
      <c r="M3331" s="132">
        <f t="shared" ca="1" si="343"/>
        <v>1055.476506720883</v>
      </c>
      <c r="N3331" s="38">
        <f t="shared" si="344"/>
        <v>31.218749999999996</v>
      </c>
      <c r="O3331" s="36">
        <f t="shared" si="342"/>
        <v>832.5</v>
      </c>
      <c r="P3331" s="38">
        <f ca="1">IF(ISERROR(IF(O3331&lt;fi_h/20,0,(OFFSET('Base de dados'!$A$5,IF(O3331&lt;20,1,IF(O3331&gt;1000,10,MATCH(O3331,Cargas,1))),Coluna_fih,1,1))*(1+0.13*0.25)*(PI()*(fi_h/1000)^2/4)*SQRT(2*9.81*(O3331/100-fi_h/2/1000))*1000)),"",IF(O3331&lt;fi_h/20,0,(OFFSET('Base de dados'!$A$5,IF(O3331&lt;20,1,IF(O3331&gt;1000,10,MATCH(O3331,Cargas,1))),Coluna_fih,1,1))*(PI()*(fi_h/1000)^2/4)*SQRT(2*9.81*(O3331/100-fi_h/2/1000))*1000))</f>
        <v>7.7152298879708088</v>
      </c>
      <c r="Q3331" s="38">
        <f ca="1">IF(O3331="","",IF(Tipo_Vertedor="Retangular",IF(O3331&lt;=cota_s*100,0,IF(Tipo_Vertedor="Retangular",Cd_sr*Lef_sr*((O3331/100-cota_s)^(3/2))*1000)),IF(O3331&lt;=cota_s*100+fi_s/20,0,(OFFSET('Base de dados'!$A$4,IF(O3331&lt;20,1,IF(O3331&gt;1000,10,MATCH(O3331,Cargas,1))),Coluna_fis,1,1))*(PI()*(fi_s/1000)^2/4)*(2*9.81*(O3331/100-cota_s-fi_s/2/1000))^0.5*1000)))</f>
        <v>7.1362768329123725</v>
      </c>
      <c r="R3331" s="38">
        <f t="shared" ca="1" si="345"/>
        <v>14.851506720883181</v>
      </c>
      <c r="S3331" s="38">
        <f t="shared" ca="1" si="346"/>
        <v>1040.6249999999998</v>
      </c>
    </row>
    <row r="3332" spans="13:19">
      <c r="M3332" s="132">
        <f t="shared" ca="1" si="343"/>
        <v>1055.7914224990611</v>
      </c>
      <c r="N3332" s="38">
        <f t="shared" si="344"/>
        <v>31.228125000000002</v>
      </c>
      <c r="O3332" s="36">
        <f t="shared" si="342"/>
        <v>832.75</v>
      </c>
      <c r="P3332" s="38">
        <f ca="1">IF(ISERROR(IF(O3332&lt;fi_h/20,0,(OFFSET('Base de dados'!$A$5,IF(O3332&lt;20,1,IF(O3332&gt;1000,10,MATCH(O3332,Cargas,1))),Coluna_fih,1,1))*(1+0.13*0.25)*(PI()*(fi_h/1000)^2/4)*SQRT(2*9.81*(O3332/100-fi_h/2/1000))*1000)),"",IF(O3332&lt;fi_h/20,0,(OFFSET('Base de dados'!$A$5,IF(O3332&lt;20,1,IF(O3332&gt;1000,10,MATCH(O3332,Cargas,1))),Coluna_fih,1,1))*(PI()*(fi_h/1000)^2/4)*SQRT(2*9.81*(O3332/100-fi_h/2/1000))*1000))</f>
        <v>7.7163906978401258</v>
      </c>
      <c r="Q3332" s="38">
        <f ca="1">IF(O3332="","",IF(Tipo_Vertedor="Retangular",IF(O3332&lt;=cota_s*100,0,IF(Tipo_Vertedor="Retangular",Cd_sr*Lef_sr*((O3332/100-cota_s)^(3/2))*1000)),IF(O3332&lt;=cota_s*100+fi_s/20,0,(OFFSET('Base de dados'!$A$4,IF(O3332&lt;20,1,IF(O3332&gt;1000,10,MATCH(O3332,Cargas,1))),Coluna_fis,1,1))*(PI()*(fi_s/1000)^2/4)*(2*9.81*(O3332/100-cota_s-fi_s/2/1000))^0.5*1000)))</f>
        <v>7.1375318012207432</v>
      </c>
      <c r="R3332" s="38">
        <f t="shared" ca="1" si="345"/>
        <v>14.853922499060868</v>
      </c>
      <c r="S3332" s="38">
        <f t="shared" ca="1" si="346"/>
        <v>1040.9375000000002</v>
      </c>
    </row>
    <row r="3333" spans="13:19">
      <c r="M3333" s="132">
        <f t="shared" ca="1" si="343"/>
        <v>1056.1063378820211</v>
      </c>
      <c r="N3333" s="38">
        <f t="shared" si="344"/>
        <v>31.237500000000001</v>
      </c>
      <c r="O3333" s="36">
        <f t="shared" si="342"/>
        <v>833</v>
      </c>
      <c r="P3333" s="38">
        <f ca="1">IF(ISERROR(IF(O3333&lt;fi_h/20,0,(OFFSET('Base de dados'!$A$5,IF(O3333&lt;20,1,IF(O3333&gt;1000,10,MATCH(O3333,Cargas,1))),Coluna_fih,1,1))*(1+0.13*0.25)*(PI()*(fi_h/1000)^2/4)*SQRT(2*9.81*(O3333/100-fi_h/2/1000))*1000)),"",IF(O3333&lt;fi_h/20,0,(OFFSET('Base de dados'!$A$5,IF(O3333&lt;20,1,IF(O3333&gt;1000,10,MATCH(O3333,Cargas,1))),Coluna_fih,1,1))*(PI()*(fi_h/1000)^2/4)*SQRT(2*9.81*(O3333/100-fi_h/2/1000))*1000))</f>
        <v>7.7175513331100829</v>
      </c>
      <c r="Q3333" s="38">
        <f ca="1">IF(O3333="","",IF(Tipo_Vertedor="Retangular",IF(O3333&lt;=cota_s*100,0,IF(Tipo_Vertedor="Retangular",Cd_sr*Lef_sr*((O3333/100-cota_s)^(3/2))*1000)),IF(O3333&lt;=cota_s*100+fi_s/20,0,(OFFSET('Base de dados'!$A$4,IF(O3333&lt;20,1,IF(O3333&gt;1000,10,MATCH(O3333,Cargas,1))),Coluna_fis,1,1))*(PI()*(fi_s/1000)^2/4)*(2*9.81*(O3333/100-cota_s-fi_s/2/1000))^0.5*1000)))</f>
        <v>7.1387865489110265</v>
      </c>
      <c r="R3333" s="38">
        <f t="shared" ca="1" si="345"/>
        <v>14.856337882021108</v>
      </c>
      <c r="S3333" s="38">
        <f t="shared" ca="1" si="346"/>
        <v>1041.25</v>
      </c>
    </row>
    <row r="3334" spans="13:19">
      <c r="M3334" s="132">
        <f t="shared" ca="1" si="343"/>
        <v>1056.4212528699591</v>
      </c>
      <c r="N3334" s="38">
        <f t="shared" si="344"/>
        <v>31.246874999999999</v>
      </c>
      <c r="O3334" s="36">
        <f t="shared" si="342"/>
        <v>833.25</v>
      </c>
      <c r="P3334" s="38">
        <f ca="1">IF(ISERROR(IF(O3334&lt;fi_h/20,0,(OFFSET('Base de dados'!$A$5,IF(O3334&lt;20,1,IF(O3334&gt;1000,10,MATCH(O3334,Cargas,1))),Coluna_fih,1,1))*(1+0.13*0.25)*(PI()*(fi_h/1000)^2/4)*SQRT(2*9.81*(O3334/100-fi_h/2/1000))*1000)),"",IF(O3334&lt;fi_h/20,0,(OFFSET('Base de dados'!$A$5,IF(O3334&lt;20,1,IF(O3334&gt;1000,10,MATCH(O3334,Cargas,1))),Coluna_fih,1,1))*(PI()*(fi_h/1000)^2/4)*SQRT(2*9.81*(O3334/100-fi_h/2/1000))*1000))</f>
        <v>7.7187117938594376</v>
      </c>
      <c r="Q3334" s="38">
        <f ca="1">IF(O3334="","",IF(Tipo_Vertedor="Retangular",IF(O3334&lt;=cota_s*100,0,IF(Tipo_Vertedor="Retangular",Cd_sr*Lef_sr*((O3334/100-cota_s)^(3/2))*1000)),IF(O3334&lt;=cota_s*100+fi_s/20,0,(OFFSET('Base de dados'!$A$4,IF(O3334&lt;20,1,IF(O3334&gt;1000,10,MATCH(O3334,Cargas,1))),Coluna_fis,1,1))*(PI()*(fi_s/1000)^2/4)*(2*9.81*(O3334/100-cota_s-fi_s/2/1000))^0.5*1000)))</f>
        <v>7.140041076099533</v>
      </c>
      <c r="R3334" s="38">
        <f t="shared" ca="1" si="345"/>
        <v>14.85875286995897</v>
      </c>
      <c r="S3334" s="38">
        <f t="shared" ca="1" si="346"/>
        <v>1041.5625</v>
      </c>
    </row>
    <row r="3335" spans="13:19">
      <c r="M3335" s="132">
        <f t="shared" ca="1" si="343"/>
        <v>1056.7361674630695</v>
      </c>
      <c r="N3335" s="38">
        <f t="shared" si="344"/>
        <v>31.256250000000001</v>
      </c>
      <c r="O3335" s="36">
        <f t="shared" si="342"/>
        <v>833.5</v>
      </c>
      <c r="P3335" s="38">
        <f ca="1">IF(ISERROR(IF(O3335&lt;fi_h/20,0,(OFFSET('Base de dados'!$A$5,IF(O3335&lt;20,1,IF(O3335&gt;1000,10,MATCH(O3335,Cargas,1))),Coluna_fih,1,1))*(1+0.13*0.25)*(PI()*(fi_h/1000)^2/4)*SQRT(2*9.81*(O3335/100-fi_h/2/1000))*1000)),"",IF(O3335&lt;fi_h/20,0,(OFFSET('Base de dados'!$A$5,IF(O3335&lt;20,1,IF(O3335&gt;1000,10,MATCH(O3335,Cargas,1))),Coluna_fih,1,1))*(PI()*(fi_h/1000)^2/4)*SQRT(2*9.81*(O3335/100-fi_h/2/1000))*1000))</f>
        <v>7.7198720801668967</v>
      </c>
      <c r="Q3335" s="38">
        <f ca="1">IF(O3335="","",IF(Tipo_Vertedor="Retangular",IF(O3335&lt;=cota_s*100,0,IF(Tipo_Vertedor="Retangular",Cd_sr*Lef_sr*((O3335/100-cota_s)^(3/2))*1000)),IF(O3335&lt;=cota_s*100+fi_s/20,0,(OFFSET('Base de dados'!$A$4,IF(O3335&lt;20,1,IF(O3335&gt;1000,10,MATCH(O3335,Cargas,1))),Coluna_fis,1,1))*(PI()*(fi_s/1000)^2/4)*(2*9.81*(O3335/100-cota_s-fi_s/2/1000))^0.5*1000)))</f>
        <v>7.1412953829024728</v>
      </c>
      <c r="R3335" s="38">
        <f t="shared" ca="1" si="345"/>
        <v>14.86116746306937</v>
      </c>
      <c r="S3335" s="38">
        <f t="shared" ca="1" si="346"/>
        <v>1041.875</v>
      </c>
    </row>
    <row r="3336" spans="13:19">
      <c r="M3336" s="132">
        <f t="shared" ca="1" si="343"/>
        <v>1057.051081661547</v>
      </c>
      <c r="N3336" s="38">
        <f t="shared" si="344"/>
        <v>31.265625</v>
      </c>
      <c r="O3336" s="36">
        <f t="shared" si="342"/>
        <v>833.75</v>
      </c>
      <c r="P3336" s="38">
        <f ca="1">IF(ISERROR(IF(O3336&lt;fi_h/20,0,(OFFSET('Base de dados'!$A$5,IF(O3336&lt;20,1,IF(O3336&gt;1000,10,MATCH(O3336,Cargas,1))),Coluna_fih,1,1))*(1+0.13*0.25)*(PI()*(fi_h/1000)^2/4)*SQRT(2*9.81*(O3336/100-fi_h/2/1000))*1000)),"",IF(O3336&lt;fi_h/20,0,(OFFSET('Base de dados'!$A$5,IF(O3336&lt;20,1,IF(O3336&gt;1000,10,MATCH(O3336,Cargas,1))),Coluna_fih,1,1))*(PI()*(fi_h/1000)^2/4)*SQRT(2*9.81*(O3336/100-fi_h/2/1000))*1000))</f>
        <v>7.7210321921110996</v>
      </c>
      <c r="Q3336" s="38">
        <f ca="1">IF(O3336="","",IF(Tipo_Vertedor="Retangular",IF(O3336&lt;=cota_s*100,0,IF(Tipo_Vertedor="Retangular",Cd_sr*Lef_sr*((O3336/100-cota_s)^(3/2))*1000)),IF(O3336&lt;=cota_s*100+fi_s/20,0,(OFFSET('Base de dados'!$A$4,IF(O3336&lt;20,1,IF(O3336&gt;1000,10,MATCH(O3336,Cargas,1))),Coluna_fis,1,1))*(PI()*(fi_s/1000)^2/4)*(2*9.81*(O3336/100-cota_s-fi_s/2/1000))^0.5*1000)))</f>
        <v>7.1425494694359486</v>
      </c>
      <c r="R3336" s="38">
        <f t="shared" ca="1" si="345"/>
        <v>14.863581661547048</v>
      </c>
      <c r="S3336" s="38">
        <f t="shared" ca="1" si="346"/>
        <v>1042.1875</v>
      </c>
    </row>
    <row r="3337" spans="13:19">
      <c r="M3337" s="132">
        <f t="shared" ca="1" si="343"/>
        <v>1057.3659954655866</v>
      </c>
      <c r="N3337" s="38">
        <f t="shared" si="344"/>
        <v>31.274999999999999</v>
      </c>
      <c r="O3337" s="36">
        <f t="shared" si="342"/>
        <v>834</v>
      </c>
      <c r="P3337" s="38">
        <f ca="1">IF(ISERROR(IF(O3337&lt;fi_h/20,0,(OFFSET('Base de dados'!$A$5,IF(O3337&lt;20,1,IF(O3337&gt;1000,10,MATCH(O3337,Cargas,1))),Coluna_fih,1,1))*(1+0.13*0.25)*(PI()*(fi_h/1000)^2/4)*SQRT(2*9.81*(O3337/100-fi_h/2/1000))*1000)),"",IF(O3337&lt;fi_h/20,0,(OFFSET('Base de dados'!$A$5,IF(O3337&lt;20,1,IF(O3337&gt;1000,10,MATCH(O3337,Cargas,1))),Coluna_fih,1,1))*(PI()*(fi_h/1000)^2/4)*SQRT(2*9.81*(O3337/100-fi_h/2/1000))*1000))</f>
        <v>7.722192129770634</v>
      </c>
      <c r="Q3337" s="38">
        <f ca="1">IF(O3337="","",IF(Tipo_Vertedor="Retangular",IF(O3337&lt;=cota_s*100,0,IF(Tipo_Vertedor="Retangular",Cd_sr*Lef_sr*((O3337/100-cota_s)^(3/2))*1000)),IF(O3337&lt;=cota_s*100+fi_s/20,0,(OFFSET('Base de dados'!$A$4,IF(O3337&lt;20,1,IF(O3337&gt;1000,10,MATCH(O3337,Cargas,1))),Coluna_fis,1,1))*(PI()*(fi_s/1000)^2/4)*(2*9.81*(O3337/100-cota_s-fi_s/2/1000))^0.5*1000)))</f>
        <v>7.1438033358159654</v>
      </c>
      <c r="R3337" s="38">
        <f t="shared" ca="1" si="345"/>
        <v>14.8659954655866</v>
      </c>
      <c r="S3337" s="38">
        <f t="shared" ca="1" si="346"/>
        <v>1042.5</v>
      </c>
    </row>
    <row r="3338" spans="13:19">
      <c r="M3338" s="132">
        <f t="shared" ca="1" si="343"/>
        <v>1057.6809088753823</v>
      </c>
      <c r="N3338" s="38">
        <f t="shared" si="344"/>
        <v>31.284374999999997</v>
      </c>
      <c r="O3338" s="36">
        <f t="shared" si="342"/>
        <v>834.25</v>
      </c>
      <c r="P3338" s="38">
        <f ca="1">IF(ISERROR(IF(O3338&lt;fi_h/20,0,(OFFSET('Base de dados'!$A$5,IF(O3338&lt;20,1,IF(O3338&gt;1000,10,MATCH(O3338,Cargas,1))),Coluna_fih,1,1))*(1+0.13*0.25)*(PI()*(fi_h/1000)^2/4)*SQRT(2*9.81*(O3338/100-fi_h/2/1000))*1000)),"",IF(O3338&lt;fi_h/20,0,(OFFSET('Base de dados'!$A$5,IF(O3338&lt;20,1,IF(O3338&gt;1000,10,MATCH(O3338,Cargas,1))),Coluna_fih,1,1))*(PI()*(fi_h/1000)^2/4)*SQRT(2*9.81*(O3338/100-fi_h/2/1000))*1000))</f>
        <v>7.723351893224021</v>
      </c>
      <c r="Q3338" s="38">
        <f ca="1">IF(O3338="","",IF(Tipo_Vertedor="Retangular",IF(O3338&lt;=cota_s*100,0,IF(Tipo_Vertedor="Retangular",Cd_sr*Lef_sr*((O3338/100-cota_s)^(3/2))*1000)),IF(O3338&lt;=cota_s*100+fi_s/20,0,(OFFSET('Base de dados'!$A$4,IF(O3338&lt;20,1,IF(O3338&gt;1000,10,MATCH(O3338,Cargas,1))),Coluna_fis,1,1))*(PI()*(fi_s/1000)^2/4)*(2*9.81*(O3338/100-cota_s-fi_s/2/1000))^0.5*1000)))</f>
        <v>7.1450569821584269</v>
      </c>
      <c r="R3338" s="38">
        <f t="shared" ca="1" si="345"/>
        <v>14.868408875382448</v>
      </c>
      <c r="S3338" s="38">
        <f t="shared" ca="1" si="346"/>
        <v>1042.8124999999998</v>
      </c>
    </row>
    <row r="3339" spans="13:19">
      <c r="M3339" s="132">
        <f t="shared" ca="1" si="343"/>
        <v>1057.995821891129</v>
      </c>
      <c r="N3339" s="38">
        <f t="shared" si="344"/>
        <v>31.293750000000003</v>
      </c>
      <c r="O3339" s="36">
        <f t="shared" si="342"/>
        <v>834.5</v>
      </c>
      <c r="P3339" s="38">
        <f ca="1">IF(ISERROR(IF(O3339&lt;fi_h/20,0,(OFFSET('Base de dados'!$A$5,IF(O3339&lt;20,1,IF(O3339&gt;1000,10,MATCH(O3339,Cargas,1))),Coluna_fih,1,1))*(1+0.13*0.25)*(PI()*(fi_h/1000)^2/4)*SQRT(2*9.81*(O3339/100-fi_h/2/1000))*1000)),"",IF(O3339&lt;fi_h/20,0,(OFFSET('Base de dados'!$A$5,IF(O3339&lt;20,1,IF(O3339&gt;1000,10,MATCH(O3339,Cargas,1))),Coluna_fih,1,1))*(PI()*(fi_h/1000)^2/4)*SQRT(2*9.81*(O3339/100-fi_h/2/1000))*1000))</f>
        <v>7.7245114825497323</v>
      </c>
      <c r="Q3339" s="38">
        <f ca="1">IF(O3339="","",IF(Tipo_Vertedor="Retangular",IF(O3339&lt;=cota_s*100,0,IF(Tipo_Vertedor="Retangular",Cd_sr*Lef_sr*((O3339/100-cota_s)^(3/2))*1000)),IF(O3339&lt;=cota_s*100+fi_s/20,0,(OFFSET('Base de dados'!$A$4,IF(O3339&lt;20,1,IF(O3339&gt;1000,10,MATCH(O3339,Cargas,1))),Coluna_fis,1,1))*(PI()*(fi_s/1000)^2/4)*(2*9.81*(O3339/100-cota_s-fi_s/2/1000))^0.5*1000)))</f>
        <v>7.1463104085791338</v>
      </c>
      <c r="R3339" s="38">
        <f t="shared" ca="1" si="345"/>
        <v>14.870821891128866</v>
      </c>
      <c r="S3339" s="38">
        <f t="shared" ca="1" si="346"/>
        <v>1043.1250000000002</v>
      </c>
    </row>
    <row r="3340" spans="13:19">
      <c r="M3340" s="132">
        <f t="shared" ca="1" si="343"/>
        <v>1058.31073451302</v>
      </c>
      <c r="N3340" s="38">
        <f t="shared" si="344"/>
        <v>31.303125000000001</v>
      </c>
      <c r="O3340" s="36">
        <f t="shared" si="342"/>
        <v>834.75</v>
      </c>
      <c r="P3340" s="38">
        <f ca="1">IF(ISERROR(IF(O3340&lt;fi_h/20,0,(OFFSET('Base de dados'!$A$5,IF(O3340&lt;20,1,IF(O3340&gt;1000,10,MATCH(O3340,Cargas,1))),Coluna_fih,1,1))*(1+0.13*0.25)*(PI()*(fi_h/1000)^2/4)*SQRT(2*9.81*(O3340/100-fi_h/2/1000))*1000)),"",IF(O3340&lt;fi_h/20,0,(OFFSET('Base de dados'!$A$5,IF(O3340&lt;20,1,IF(O3340&gt;1000,10,MATCH(O3340,Cargas,1))),Coluna_fih,1,1))*(PI()*(fi_h/1000)^2/4)*SQRT(2*9.81*(O3340/100-fi_h/2/1000))*1000))</f>
        <v>7.7256708978261708</v>
      </c>
      <c r="Q3340" s="38">
        <f ca="1">IF(O3340="","",IF(Tipo_Vertedor="Retangular",IF(O3340&lt;=cota_s*100,0,IF(Tipo_Vertedor="Retangular",Cd_sr*Lef_sr*((O3340/100-cota_s)^(3/2))*1000)),IF(O3340&lt;=cota_s*100+fi_s/20,0,(OFFSET('Base de dados'!$A$4,IF(O3340&lt;20,1,IF(O3340&gt;1000,10,MATCH(O3340,Cargas,1))),Coluna_fis,1,1))*(PI()*(fi_s/1000)^2/4)*(2*9.81*(O3340/100-cota_s-fi_s/2/1000))^0.5*1000)))</f>
        <v>7.1475636151937847</v>
      </c>
      <c r="R3340" s="38">
        <f t="shared" ca="1" si="345"/>
        <v>14.873234513019955</v>
      </c>
      <c r="S3340" s="38">
        <f t="shared" ca="1" si="346"/>
        <v>1043.4375</v>
      </c>
    </row>
    <row r="3341" spans="13:19">
      <c r="M3341" s="132">
        <f t="shared" ca="1" si="343"/>
        <v>1058.6256467412497</v>
      </c>
      <c r="N3341" s="38">
        <f t="shared" si="344"/>
        <v>31.3125</v>
      </c>
      <c r="O3341" s="36">
        <f t="shared" si="342"/>
        <v>835</v>
      </c>
      <c r="P3341" s="38">
        <f ca="1">IF(ISERROR(IF(O3341&lt;fi_h/20,0,(OFFSET('Base de dados'!$A$5,IF(O3341&lt;20,1,IF(O3341&gt;1000,10,MATCH(O3341,Cargas,1))),Coluna_fih,1,1))*(1+0.13*0.25)*(PI()*(fi_h/1000)^2/4)*SQRT(2*9.81*(O3341/100-fi_h/2/1000))*1000)),"",IF(O3341&lt;fi_h/20,0,(OFFSET('Base de dados'!$A$5,IF(O3341&lt;20,1,IF(O3341&gt;1000,10,MATCH(O3341,Cargas,1))),Coluna_fih,1,1))*(PI()*(fi_h/1000)^2/4)*SQRT(2*9.81*(O3341/100-fi_h/2/1000))*1000))</f>
        <v>7.7268301391316871</v>
      </c>
      <c r="Q3341" s="38">
        <f ca="1">IF(O3341="","",IF(Tipo_Vertedor="Retangular",IF(O3341&lt;=cota_s*100,0,IF(Tipo_Vertedor="Retangular",Cd_sr*Lef_sr*((O3341/100-cota_s)^(3/2))*1000)),IF(O3341&lt;=cota_s*100+fi_s/20,0,(OFFSET('Base de dados'!$A$4,IF(O3341&lt;20,1,IF(O3341&gt;1000,10,MATCH(O3341,Cargas,1))),Coluna_fis,1,1))*(PI()*(fi_s/1000)^2/4)*(2*9.81*(O3341/100-cota_s-fi_s/2/1000))^0.5*1000)))</f>
        <v>7.1488166021179769</v>
      </c>
      <c r="R3341" s="38">
        <f t="shared" ca="1" si="345"/>
        <v>14.875646741249664</v>
      </c>
      <c r="S3341" s="38">
        <f t="shared" ca="1" si="346"/>
        <v>1043.75</v>
      </c>
    </row>
    <row r="3342" spans="13:19">
      <c r="M3342" s="132">
        <f t="shared" ca="1" si="343"/>
        <v>1058.9405585760119</v>
      </c>
      <c r="N3342" s="38">
        <f t="shared" si="344"/>
        <v>31.321874999999999</v>
      </c>
      <c r="O3342" s="36">
        <f t="shared" si="342"/>
        <v>835.25</v>
      </c>
      <c r="P3342" s="38">
        <f ca="1">IF(ISERROR(IF(O3342&lt;fi_h/20,0,(OFFSET('Base de dados'!$A$5,IF(O3342&lt;20,1,IF(O3342&gt;1000,10,MATCH(O3342,Cargas,1))),Coluna_fih,1,1))*(1+0.13*0.25)*(PI()*(fi_h/1000)^2/4)*SQRT(2*9.81*(O3342/100-fi_h/2/1000))*1000)),"",IF(O3342&lt;fi_h/20,0,(OFFSET('Base de dados'!$A$5,IF(O3342&lt;20,1,IF(O3342&gt;1000,10,MATCH(O3342,Cargas,1))),Coluna_fih,1,1))*(PI()*(fi_h/1000)^2/4)*SQRT(2*9.81*(O3342/100-fi_h/2/1000))*1000))</f>
        <v>7.7279892065445699</v>
      </c>
      <c r="Q3342" s="38">
        <f ca="1">IF(O3342="","",IF(Tipo_Vertedor="Retangular",IF(O3342&lt;=cota_s*100,0,IF(Tipo_Vertedor="Retangular",Cd_sr*Lef_sr*((O3342/100-cota_s)^(3/2))*1000)),IF(O3342&lt;=cota_s*100+fi_s/20,0,(OFFSET('Base de dados'!$A$4,IF(O3342&lt;20,1,IF(O3342&gt;1000,10,MATCH(O3342,Cargas,1))),Coluna_fis,1,1))*(PI()*(fi_s/1000)^2/4)*(2*9.81*(O3342/100-cota_s-fi_s/2/1000))^0.5*1000)))</f>
        <v>7.1500693694672073</v>
      </c>
      <c r="R3342" s="38">
        <f t="shared" ca="1" si="345"/>
        <v>14.878058576011778</v>
      </c>
      <c r="S3342" s="38">
        <f t="shared" ca="1" si="346"/>
        <v>1044.0625</v>
      </c>
    </row>
    <row r="3343" spans="13:19">
      <c r="M3343" s="132">
        <f t="shared" ca="1" si="343"/>
        <v>1059.2554700174999</v>
      </c>
      <c r="N3343" s="38">
        <f t="shared" si="344"/>
        <v>31.331250000000001</v>
      </c>
      <c r="O3343" s="36">
        <f t="shared" si="342"/>
        <v>835.5</v>
      </c>
      <c r="P3343" s="38">
        <f ca="1">IF(ISERROR(IF(O3343&lt;fi_h/20,0,(OFFSET('Base de dados'!$A$5,IF(O3343&lt;20,1,IF(O3343&gt;1000,10,MATCH(O3343,Cargas,1))),Coluna_fih,1,1))*(1+0.13*0.25)*(PI()*(fi_h/1000)^2/4)*SQRT(2*9.81*(O3343/100-fi_h/2/1000))*1000)),"",IF(O3343&lt;fi_h/20,0,(OFFSET('Base de dados'!$A$5,IF(O3343&lt;20,1,IF(O3343&gt;1000,10,MATCH(O3343,Cargas,1))),Coluna_fih,1,1))*(PI()*(fi_h/1000)^2/4)*SQRT(2*9.81*(O3343/100-fi_h/2/1000))*1000))</f>
        <v>7.7291481001430524</v>
      </c>
      <c r="Q3343" s="38">
        <f ca="1">IF(O3343="","",IF(Tipo_Vertedor="Retangular",IF(O3343&lt;=cota_s*100,0,IF(Tipo_Vertedor="Retangular",Cd_sr*Lef_sr*((O3343/100-cota_s)^(3/2))*1000)),IF(O3343&lt;=cota_s*100+fi_s/20,0,(OFFSET('Base de dados'!$A$4,IF(O3343&lt;20,1,IF(O3343&gt;1000,10,MATCH(O3343,Cargas,1))),Coluna_fis,1,1))*(PI()*(fi_s/1000)^2/4)*(2*9.81*(O3343/100-cota_s-fi_s/2/1000))^0.5*1000)))</f>
        <v>7.1513219173568725</v>
      </c>
      <c r="R3343" s="38">
        <f t="shared" ca="1" si="345"/>
        <v>14.880470017499924</v>
      </c>
      <c r="S3343" s="38">
        <f t="shared" ca="1" si="346"/>
        <v>1044.375</v>
      </c>
    </row>
    <row r="3344" spans="13:19">
      <c r="M3344" s="132">
        <f t="shared" ca="1" si="343"/>
        <v>1059.5703810659077</v>
      </c>
      <c r="N3344" s="38">
        <f t="shared" si="344"/>
        <v>31.340624999999999</v>
      </c>
      <c r="O3344" s="36">
        <f t="shared" si="342"/>
        <v>835.75</v>
      </c>
      <c r="P3344" s="38">
        <f ca="1">IF(ISERROR(IF(O3344&lt;fi_h/20,0,(OFFSET('Base de dados'!$A$5,IF(O3344&lt;20,1,IF(O3344&gt;1000,10,MATCH(O3344,Cargas,1))),Coluna_fih,1,1))*(1+0.13*0.25)*(PI()*(fi_h/1000)^2/4)*SQRT(2*9.81*(O3344/100-fi_h/2/1000))*1000)),"",IF(O3344&lt;fi_h/20,0,(OFFSET('Base de dados'!$A$5,IF(O3344&lt;20,1,IF(O3344&gt;1000,10,MATCH(O3344,Cargas,1))),Coluna_fih,1,1))*(PI()*(fi_h/1000)^2/4)*SQRT(2*9.81*(O3344/100-fi_h/2/1000))*1000))</f>
        <v>7.7303068200053051</v>
      </c>
      <c r="Q3344" s="38">
        <f ca="1">IF(O3344="","",IF(Tipo_Vertedor="Retangular",IF(O3344&lt;=cota_s*100,0,IF(Tipo_Vertedor="Retangular",Cd_sr*Lef_sr*((O3344/100-cota_s)^(3/2))*1000)),IF(O3344&lt;=cota_s*100+fi_s/20,0,(OFFSET('Base de dados'!$A$4,IF(O3344&lt;20,1,IF(O3344&gt;1000,10,MATCH(O3344,Cargas,1))),Coluna_fis,1,1))*(PI()*(fi_s/1000)^2/4)*(2*9.81*(O3344/100-cota_s-fi_s/2/1000))^0.5*1000)))</f>
        <v>7.1525742459022652</v>
      </c>
      <c r="R3344" s="38">
        <f t="shared" ca="1" si="345"/>
        <v>14.88288106590757</v>
      </c>
      <c r="S3344" s="38">
        <f t="shared" ca="1" si="346"/>
        <v>1044.6875</v>
      </c>
    </row>
    <row r="3345" spans="13:19">
      <c r="M3345" s="132">
        <f t="shared" ca="1" si="343"/>
        <v>1059.8852917214278</v>
      </c>
      <c r="N3345" s="38">
        <f t="shared" si="344"/>
        <v>31.349999999999998</v>
      </c>
      <c r="O3345" s="36">
        <f t="shared" si="342"/>
        <v>836</v>
      </c>
      <c r="P3345" s="38">
        <f ca="1">IF(ISERROR(IF(O3345&lt;fi_h/20,0,(OFFSET('Base de dados'!$A$5,IF(O3345&lt;20,1,IF(O3345&gt;1000,10,MATCH(O3345,Cargas,1))),Coluna_fih,1,1))*(1+0.13*0.25)*(PI()*(fi_h/1000)^2/4)*SQRT(2*9.81*(O3345/100-fi_h/2/1000))*1000)),"",IF(O3345&lt;fi_h/20,0,(OFFSET('Base de dados'!$A$5,IF(O3345&lt;20,1,IF(O3345&gt;1000,10,MATCH(O3345,Cargas,1))),Coluna_fih,1,1))*(PI()*(fi_h/1000)^2/4)*SQRT(2*9.81*(O3345/100-fi_h/2/1000))*1000))</f>
        <v>7.7314653662094424</v>
      </c>
      <c r="Q3345" s="38">
        <f ca="1">IF(O3345="","",IF(Tipo_Vertedor="Retangular",IF(O3345&lt;=cota_s*100,0,IF(Tipo_Vertedor="Retangular",Cd_sr*Lef_sr*((O3345/100-cota_s)^(3/2))*1000)),IF(O3345&lt;=cota_s*100+fi_s/20,0,(OFFSET('Base de dados'!$A$4,IF(O3345&lt;20,1,IF(O3345&gt;1000,10,MATCH(O3345,Cargas,1))),Coluna_fis,1,1))*(PI()*(fi_s/1000)^2/4)*(2*9.81*(O3345/100-cota_s-fi_s/2/1000))^0.5*1000)))</f>
        <v>7.1538263552185759</v>
      </c>
      <c r="R3345" s="38">
        <f t="shared" ca="1" si="345"/>
        <v>14.885291721428018</v>
      </c>
      <c r="S3345" s="38">
        <f t="shared" ca="1" si="346"/>
        <v>1044.9999999999998</v>
      </c>
    </row>
    <row r="3346" spans="13:19">
      <c r="M3346" s="132">
        <f t="shared" ca="1" si="343"/>
        <v>1060.2002019842546</v>
      </c>
      <c r="N3346" s="38">
        <f t="shared" si="344"/>
        <v>31.359375000000004</v>
      </c>
      <c r="O3346" s="36">
        <f t="shared" si="342"/>
        <v>836.25</v>
      </c>
      <c r="P3346" s="38">
        <f ca="1">IF(ISERROR(IF(O3346&lt;fi_h/20,0,(OFFSET('Base de dados'!$A$5,IF(O3346&lt;20,1,IF(O3346&gt;1000,10,MATCH(O3346,Cargas,1))),Coluna_fih,1,1))*(1+0.13*0.25)*(PI()*(fi_h/1000)^2/4)*SQRT(2*9.81*(O3346/100-fi_h/2/1000))*1000)),"",IF(O3346&lt;fi_h/20,0,(OFFSET('Base de dados'!$A$5,IF(O3346&lt;20,1,IF(O3346&gt;1000,10,MATCH(O3346,Cargas,1))),Coluna_fih,1,1))*(PI()*(fi_h/1000)^2/4)*SQRT(2*9.81*(O3346/100-fi_h/2/1000))*1000))</f>
        <v>7.7326237388335208</v>
      </c>
      <c r="Q3346" s="38">
        <f ca="1">IF(O3346="","",IF(Tipo_Vertedor="Retangular",IF(O3346&lt;=cota_s*100,0,IF(Tipo_Vertedor="Retangular",Cd_sr*Lef_sr*((O3346/100-cota_s)^(3/2))*1000)),IF(O3346&lt;=cota_s*100+fi_s/20,0,(OFFSET('Base de dados'!$A$4,IF(O3346&lt;20,1,IF(O3346&gt;1000,10,MATCH(O3346,Cargas,1))),Coluna_fis,1,1))*(PI()*(fi_s/1000)^2/4)*(2*9.81*(O3346/100-cota_s-fi_s/2/1000))^0.5*1000)))</f>
        <v>7.1550782454209045</v>
      </c>
      <c r="R3346" s="38">
        <f t="shared" ca="1" si="345"/>
        <v>14.887701984254425</v>
      </c>
      <c r="S3346" s="38">
        <f t="shared" ca="1" si="346"/>
        <v>1045.3125000000002</v>
      </c>
    </row>
    <row r="3347" spans="13:19">
      <c r="M3347" s="132">
        <f t="shared" ca="1" si="343"/>
        <v>1060.51511185458</v>
      </c>
      <c r="N3347" s="38">
        <f t="shared" si="344"/>
        <v>31.368750000000002</v>
      </c>
      <c r="O3347" s="36">
        <f t="shared" ref="O3347:O3410" si="347">IF(ISERROR(IF(O3346+passo_altura&gt;h_max_puls*100,"",O3346+passo_altura)),"",IF(O3346+passo_altura&gt;h_max_puls*100,"",O3346+passo_altura))</f>
        <v>836.5</v>
      </c>
      <c r="P3347" s="38">
        <f ca="1">IF(ISERROR(IF(O3347&lt;fi_h/20,0,(OFFSET('Base de dados'!$A$5,IF(O3347&lt;20,1,IF(O3347&gt;1000,10,MATCH(O3347,Cargas,1))),Coluna_fih,1,1))*(1+0.13*0.25)*(PI()*(fi_h/1000)^2/4)*SQRT(2*9.81*(O3347/100-fi_h/2/1000))*1000)),"",IF(O3347&lt;fi_h/20,0,(OFFSET('Base de dados'!$A$5,IF(O3347&lt;20,1,IF(O3347&gt;1000,10,MATCH(O3347,Cargas,1))),Coluna_fih,1,1))*(PI()*(fi_h/1000)^2/4)*SQRT(2*9.81*(O3347/100-fi_h/2/1000))*1000))</f>
        <v>7.733781937955535</v>
      </c>
      <c r="Q3347" s="38">
        <f ca="1">IF(O3347="","",IF(Tipo_Vertedor="Retangular",IF(O3347&lt;=cota_s*100,0,IF(Tipo_Vertedor="Retangular",Cd_sr*Lef_sr*((O3347/100-cota_s)^(3/2))*1000)),IF(O3347&lt;=cota_s*100+fi_s/20,0,(OFFSET('Base de dados'!$A$4,IF(O3347&lt;20,1,IF(O3347&gt;1000,10,MATCH(O3347,Cargas,1))),Coluna_fis,1,1))*(PI()*(fi_s/1000)^2/4)*(2*9.81*(O3347/100-cota_s-fi_s/2/1000))^0.5*1000)))</f>
        <v>7.1563299166242373</v>
      </c>
      <c r="R3347" s="38">
        <f t="shared" ca="1" si="345"/>
        <v>14.890111854579771</v>
      </c>
      <c r="S3347" s="38">
        <f t="shared" ca="1" si="346"/>
        <v>1045.6250000000002</v>
      </c>
    </row>
    <row r="3348" spans="13:19">
      <c r="M3348" s="132">
        <f t="shared" ca="1" si="343"/>
        <v>1060.8300213325967</v>
      </c>
      <c r="N3348" s="38">
        <f t="shared" si="344"/>
        <v>31.378124999999997</v>
      </c>
      <c r="O3348" s="36">
        <f t="shared" si="347"/>
        <v>836.75</v>
      </c>
      <c r="P3348" s="38">
        <f ca="1">IF(ISERROR(IF(O3348&lt;fi_h/20,0,(OFFSET('Base de dados'!$A$5,IF(O3348&lt;20,1,IF(O3348&gt;1000,10,MATCH(O3348,Cargas,1))),Coluna_fih,1,1))*(1+0.13*0.25)*(PI()*(fi_h/1000)^2/4)*SQRT(2*9.81*(O3348/100-fi_h/2/1000))*1000)),"",IF(O3348&lt;fi_h/20,0,(OFFSET('Base de dados'!$A$5,IF(O3348&lt;20,1,IF(O3348&gt;1000,10,MATCH(O3348,Cargas,1))),Coluna_fih,1,1))*(PI()*(fi_h/1000)^2/4)*SQRT(2*9.81*(O3348/100-fi_h/2/1000))*1000))</f>
        <v>7.7349399636534235</v>
      </c>
      <c r="Q3348" s="38">
        <f ca="1">IF(O3348="","",IF(Tipo_Vertedor="Retangular",IF(O3348&lt;=cota_s*100,0,IF(Tipo_Vertedor="Retangular",Cd_sr*Lef_sr*((O3348/100-cota_s)^(3/2))*1000)),IF(O3348&lt;=cota_s*100+fi_s/20,0,(OFFSET('Base de dados'!$A$4,IF(O3348&lt;20,1,IF(O3348&gt;1000,10,MATCH(O3348,Cargas,1))),Coluna_fis,1,1))*(PI()*(fi_s/1000)^2/4)*(2*9.81*(O3348/100-cota_s-fi_s/2/1000))^0.5*1000)))</f>
        <v>7.1575813689434664</v>
      </c>
      <c r="R3348" s="38">
        <f t="shared" ca="1" si="345"/>
        <v>14.892521332596889</v>
      </c>
      <c r="S3348" s="38">
        <f t="shared" ca="1" si="346"/>
        <v>1045.9374999999998</v>
      </c>
    </row>
    <row r="3349" spans="13:19">
      <c r="M3349" s="132">
        <f t="shared" ca="1" si="343"/>
        <v>1061.1449304184982</v>
      </c>
      <c r="N3349" s="38">
        <f t="shared" si="344"/>
        <v>31.387499999999996</v>
      </c>
      <c r="O3349" s="36">
        <f t="shared" si="347"/>
        <v>837</v>
      </c>
      <c r="P3349" s="38">
        <f ca="1">IF(ISERROR(IF(O3349&lt;fi_h/20,0,(OFFSET('Base de dados'!$A$5,IF(O3349&lt;20,1,IF(O3349&gt;1000,10,MATCH(O3349,Cargas,1))),Coluna_fih,1,1))*(1+0.13*0.25)*(PI()*(fi_h/1000)^2/4)*SQRT(2*9.81*(O3349/100-fi_h/2/1000))*1000)),"",IF(O3349&lt;fi_h/20,0,(OFFSET('Base de dados'!$A$5,IF(O3349&lt;20,1,IF(O3349&gt;1000,10,MATCH(O3349,Cargas,1))),Coluna_fih,1,1))*(PI()*(fi_h/1000)^2/4)*SQRT(2*9.81*(O3349/100-fi_h/2/1000))*1000))</f>
        <v>7.7360978160050697</v>
      </c>
      <c r="Q3349" s="38">
        <f ca="1">IF(O3349="","",IF(Tipo_Vertedor="Retangular",IF(O3349&lt;=cota_s*100,0,IF(Tipo_Vertedor="Retangular",Cd_sr*Lef_sr*((O3349/100-cota_s)^(3/2))*1000)),IF(O3349&lt;=cota_s*100+fi_s/20,0,(OFFSET('Base de dados'!$A$4,IF(O3349&lt;20,1,IF(O3349&gt;1000,10,MATCH(O3349,Cargas,1))),Coluna_fis,1,1))*(PI()*(fi_s/1000)^2/4)*(2*9.81*(O3349/100-cota_s-fi_s/2/1000))^0.5*1000)))</f>
        <v>7.1588326024933844</v>
      </c>
      <c r="R3349" s="38">
        <f t="shared" ca="1" si="345"/>
        <v>14.894930418498454</v>
      </c>
      <c r="S3349" s="38">
        <f t="shared" ca="1" si="346"/>
        <v>1046.2499999999998</v>
      </c>
    </row>
    <row r="3350" spans="13:19">
      <c r="M3350" s="132">
        <f t="shared" ca="1" si="343"/>
        <v>1061.4598391124771</v>
      </c>
      <c r="N3350" s="38">
        <f t="shared" si="344"/>
        <v>31.396875000000001</v>
      </c>
      <c r="O3350" s="36">
        <f t="shared" si="347"/>
        <v>837.25</v>
      </c>
      <c r="P3350" s="38">
        <f ca="1">IF(ISERROR(IF(O3350&lt;fi_h/20,0,(OFFSET('Base de dados'!$A$5,IF(O3350&lt;20,1,IF(O3350&gt;1000,10,MATCH(O3350,Cargas,1))),Coluna_fih,1,1))*(1+0.13*0.25)*(PI()*(fi_h/1000)^2/4)*SQRT(2*9.81*(O3350/100-fi_h/2/1000))*1000)),"",IF(O3350&lt;fi_h/20,0,(OFFSET('Base de dados'!$A$5,IF(O3350&lt;20,1,IF(O3350&gt;1000,10,MATCH(O3350,Cargas,1))),Coluna_fih,1,1))*(PI()*(fi_h/1000)^2/4)*SQRT(2*9.81*(O3350/100-fi_h/2/1000))*1000))</f>
        <v>7.7372554950882932</v>
      </c>
      <c r="Q3350" s="38">
        <f ca="1">IF(O3350="","",IF(Tipo_Vertedor="Retangular",IF(O3350&lt;=cota_s*100,0,IF(Tipo_Vertedor="Retangular",Cd_sr*Lef_sr*((O3350/100-cota_s)^(3/2))*1000)),IF(O3350&lt;=cota_s*100+fi_s/20,0,(OFFSET('Base de dados'!$A$4,IF(O3350&lt;20,1,IF(O3350&gt;1000,10,MATCH(O3350,Cargas,1))),Coluna_fis,1,1))*(PI()*(fi_s/1000)^2/4)*(2*9.81*(O3350/100-cota_s-fi_s/2/1000))^0.5*1000)))</f>
        <v>7.1600836173886817</v>
      </c>
      <c r="R3350" s="38">
        <f t="shared" ca="1" si="345"/>
        <v>14.897339112476974</v>
      </c>
      <c r="S3350" s="38">
        <f t="shared" ca="1" si="346"/>
        <v>1046.5625</v>
      </c>
    </row>
    <row r="3351" spans="13:19">
      <c r="M3351" s="132">
        <f t="shared" ref="M3351:M3414" ca="1" si="348">IF(O3351="","",2*N3351*1000/(Passo*60)+R3351)</f>
        <v>1061.7747474147247</v>
      </c>
      <c r="N3351" s="38">
        <f t="shared" ref="N3351:N3414" si="349">IF(O3351="","",b_0*(O3351/100)^c_0)</f>
        <v>31.40625</v>
      </c>
      <c r="O3351" s="36">
        <f t="shared" si="347"/>
        <v>837.5</v>
      </c>
      <c r="P3351" s="38">
        <f ca="1">IF(ISERROR(IF(O3351&lt;fi_h/20,0,(OFFSET('Base de dados'!$A$5,IF(O3351&lt;20,1,IF(O3351&gt;1000,10,MATCH(O3351,Cargas,1))),Coluna_fih,1,1))*(1+0.13*0.25)*(PI()*(fi_h/1000)^2/4)*SQRT(2*9.81*(O3351/100-fi_h/2/1000))*1000)),"",IF(O3351&lt;fi_h/20,0,(OFFSET('Base de dados'!$A$5,IF(O3351&lt;20,1,IF(O3351&gt;1000,10,MATCH(O3351,Cargas,1))),Coluna_fih,1,1))*(PI()*(fi_h/1000)^2/4)*SQRT(2*9.81*(O3351/100-fi_h/2/1000))*1000))</f>
        <v>7.7384130009808585</v>
      </c>
      <c r="Q3351" s="38">
        <f ca="1">IF(O3351="","",IF(Tipo_Vertedor="Retangular",IF(O3351&lt;=cota_s*100,0,IF(Tipo_Vertedor="Retangular",Cd_sr*Lef_sr*((O3351/100-cota_s)^(3/2))*1000)),IF(O3351&lt;=cota_s*100+fi_s/20,0,(OFFSET('Base de dados'!$A$4,IF(O3351&lt;20,1,IF(O3351&gt;1000,10,MATCH(O3351,Cargas,1))),Coluna_fis,1,1))*(PI()*(fi_s/1000)^2/4)*(2*9.81*(O3351/100-cota_s-fi_s/2/1000))^0.5*1000)))</f>
        <v>7.1613344137439476</v>
      </c>
      <c r="R3351" s="38">
        <f t="shared" ref="R3351:R3414" ca="1" si="350">IF(O3351="","",Q3351+P3351)</f>
        <v>14.899747414724807</v>
      </c>
      <c r="S3351" s="38">
        <f t="shared" ref="S3351:S3414" ca="1" si="351">IF(M3351="","",2*N3351*1000/(Passo*60))</f>
        <v>1046.875</v>
      </c>
    </row>
    <row r="3352" spans="13:19">
      <c r="M3352" s="132">
        <f t="shared" ca="1" si="348"/>
        <v>1062.0896553254343</v>
      </c>
      <c r="N3352" s="38">
        <f t="shared" si="349"/>
        <v>31.415624999999999</v>
      </c>
      <c r="O3352" s="36">
        <f t="shared" si="347"/>
        <v>837.75</v>
      </c>
      <c r="P3352" s="38">
        <f ca="1">IF(ISERROR(IF(O3352&lt;fi_h/20,0,(OFFSET('Base de dados'!$A$5,IF(O3352&lt;20,1,IF(O3352&gt;1000,10,MATCH(O3352,Cargas,1))),Coluna_fih,1,1))*(1+0.13*0.25)*(PI()*(fi_h/1000)^2/4)*SQRT(2*9.81*(O3352/100-fi_h/2/1000))*1000)),"",IF(O3352&lt;fi_h/20,0,(OFFSET('Base de dados'!$A$5,IF(O3352&lt;20,1,IF(O3352&gt;1000,10,MATCH(O3352,Cargas,1))),Coluna_fih,1,1))*(PI()*(fi_h/1000)^2/4)*SQRT(2*9.81*(O3352/100-fi_h/2/1000))*1000))</f>
        <v>7.7395703337604695</v>
      </c>
      <c r="Q3352" s="38">
        <f ca="1">IF(O3352="","",IF(Tipo_Vertedor="Retangular",IF(O3352&lt;=cota_s*100,0,IF(Tipo_Vertedor="Retangular",Cd_sr*Lef_sr*((O3352/100-cota_s)^(3/2))*1000)),IF(O3352&lt;=cota_s*100+fi_s/20,0,(OFFSET('Base de dados'!$A$4,IF(O3352&lt;20,1,IF(O3352&gt;1000,10,MATCH(O3352,Cargas,1))),Coluna_fis,1,1))*(PI()*(fi_s/1000)^2/4)*(2*9.81*(O3352/100-cota_s-fi_s/2/1000))^0.5*1000)))</f>
        <v>7.1625849916736728</v>
      </c>
      <c r="R3352" s="38">
        <f t="shared" ca="1" si="350"/>
        <v>14.902155325434142</v>
      </c>
      <c r="S3352" s="38">
        <f t="shared" ca="1" si="351"/>
        <v>1047.1875</v>
      </c>
    </row>
    <row r="3353" spans="13:19">
      <c r="M3353" s="132">
        <f t="shared" ca="1" si="348"/>
        <v>1062.4045628447973</v>
      </c>
      <c r="N3353" s="38">
        <f t="shared" si="349"/>
        <v>31.425000000000004</v>
      </c>
      <c r="O3353" s="36">
        <f t="shared" si="347"/>
        <v>838</v>
      </c>
      <c r="P3353" s="38">
        <f ca="1">IF(ISERROR(IF(O3353&lt;fi_h/20,0,(OFFSET('Base de dados'!$A$5,IF(O3353&lt;20,1,IF(O3353&gt;1000,10,MATCH(O3353,Cargas,1))),Coluna_fih,1,1))*(1+0.13*0.25)*(PI()*(fi_h/1000)^2/4)*SQRT(2*9.81*(O3353/100-fi_h/2/1000))*1000)),"",IF(O3353&lt;fi_h/20,0,(OFFSET('Base de dados'!$A$5,IF(O3353&lt;20,1,IF(O3353&gt;1000,10,MATCH(O3353,Cargas,1))),Coluna_fih,1,1))*(PI()*(fi_h/1000)^2/4)*SQRT(2*9.81*(O3353/100-fi_h/2/1000))*1000))</f>
        <v>7.7407274935047754</v>
      </c>
      <c r="Q3353" s="38">
        <f ca="1">IF(O3353="","",IF(Tipo_Vertedor="Retangular",IF(O3353&lt;=cota_s*100,0,IF(Tipo_Vertedor="Retangular",Cd_sr*Lef_sr*((O3353/100-cota_s)^(3/2))*1000)),IF(O3353&lt;=cota_s*100+fi_s/20,0,(OFFSET('Base de dados'!$A$4,IF(O3353&lt;20,1,IF(O3353&gt;1000,10,MATCH(O3353,Cargas,1))),Coluna_fis,1,1))*(PI()*(fi_s/1000)^2/4)*(2*9.81*(O3353/100-cota_s-fi_s/2/1000))^0.5*1000)))</f>
        <v>7.1638353512922475</v>
      </c>
      <c r="R3353" s="38">
        <f t="shared" ca="1" si="350"/>
        <v>14.904562844797024</v>
      </c>
      <c r="S3353" s="38">
        <f t="shared" ca="1" si="351"/>
        <v>1047.5000000000002</v>
      </c>
    </row>
    <row r="3354" spans="13:19">
      <c r="M3354" s="132">
        <f t="shared" ca="1" si="348"/>
        <v>1062.7194699730055</v>
      </c>
      <c r="N3354" s="38">
        <f t="shared" si="349"/>
        <v>31.434375000000003</v>
      </c>
      <c r="O3354" s="36">
        <f t="shared" si="347"/>
        <v>838.25</v>
      </c>
      <c r="P3354" s="38">
        <f ca="1">IF(ISERROR(IF(O3354&lt;fi_h/20,0,(OFFSET('Base de dados'!$A$5,IF(O3354&lt;20,1,IF(O3354&gt;1000,10,MATCH(O3354,Cargas,1))),Coluna_fih,1,1))*(1+0.13*0.25)*(PI()*(fi_h/1000)^2/4)*SQRT(2*9.81*(O3354/100-fi_h/2/1000))*1000)),"",IF(O3354&lt;fi_h/20,0,(OFFSET('Base de dados'!$A$5,IF(O3354&lt;20,1,IF(O3354&gt;1000,10,MATCH(O3354,Cargas,1))),Coluna_fih,1,1))*(PI()*(fi_h/1000)^2/4)*SQRT(2*9.81*(O3354/100-fi_h/2/1000))*1000))</f>
        <v>7.7418844802913638</v>
      </c>
      <c r="Q3354" s="38">
        <f ca="1">IF(O3354="","",IF(Tipo_Vertedor="Retangular",IF(O3354&lt;=cota_s*100,0,IF(Tipo_Vertedor="Retangular",Cd_sr*Lef_sr*((O3354/100-cota_s)^(3/2))*1000)),IF(O3354&lt;=cota_s*100+fi_s/20,0,(OFFSET('Base de dados'!$A$4,IF(O3354&lt;20,1,IF(O3354&gt;1000,10,MATCH(O3354,Cargas,1))),Coluna_fis,1,1))*(PI()*(fi_s/1000)^2/4)*(2*9.81*(O3354/100-cota_s-fi_s/2/1000))^0.5*1000)))</f>
        <v>7.1650854927139633</v>
      </c>
      <c r="R3354" s="38">
        <f t="shared" ca="1" si="350"/>
        <v>14.906969973005328</v>
      </c>
      <c r="S3354" s="38">
        <f t="shared" ca="1" si="351"/>
        <v>1047.8125000000002</v>
      </c>
    </row>
    <row r="3355" spans="13:19">
      <c r="M3355" s="132">
        <f t="shared" ca="1" si="348"/>
        <v>1063.0343767102506</v>
      </c>
      <c r="N3355" s="38">
        <f t="shared" si="349"/>
        <v>31.443749999999998</v>
      </c>
      <c r="O3355" s="36">
        <f t="shared" si="347"/>
        <v>838.5</v>
      </c>
      <c r="P3355" s="38">
        <f ca="1">IF(ISERROR(IF(O3355&lt;fi_h/20,0,(OFFSET('Base de dados'!$A$5,IF(O3355&lt;20,1,IF(O3355&gt;1000,10,MATCH(O3355,Cargas,1))),Coluna_fih,1,1))*(1+0.13*0.25)*(PI()*(fi_h/1000)^2/4)*SQRT(2*9.81*(O3355/100-fi_h/2/1000))*1000)),"",IF(O3355&lt;fi_h/20,0,(OFFSET('Base de dados'!$A$5,IF(O3355&lt;20,1,IF(O3355&gt;1000,10,MATCH(O3355,Cargas,1))),Coluna_fih,1,1))*(PI()*(fi_h/1000)^2/4)*SQRT(2*9.81*(O3355/100-fi_h/2/1000))*1000))</f>
        <v>7.74304129419777</v>
      </c>
      <c r="Q3355" s="38">
        <f ca="1">IF(O3355="","",IF(Tipo_Vertedor="Retangular",IF(O3355&lt;=cota_s*100,0,IF(Tipo_Vertedor="Retangular",Cd_sr*Lef_sr*((O3355/100-cota_s)^(3/2))*1000)),IF(O3355&lt;=cota_s*100+fi_s/20,0,(OFFSET('Base de dados'!$A$4,IF(O3355&lt;20,1,IF(O3355&gt;1000,10,MATCH(O3355,Cargas,1))),Coluna_fis,1,1))*(PI()*(fi_s/1000)^2/4)*(2*9.81*(O3355/100-cota_s-fi_s/2/1000))^0.5*1000)))</f>
        <v>7.1663354160530099</v>
      </c>
      <c r="R3355" s="38">
        <f t="shared" ca="1" si="350"/>
        <v>14.909376710250779</v>
      </c>
      <c r="S3355" s="38">
        <f t="shared" ca="1" si="351"/>
        <v>1048.1249999999998</v>
      </c>
    </row>
    <row r="3356" spans="13:19">
      <c r="M3356" s="132">
        <f t="shared" ca="1" si="348"/>
        <v>1063.3492830567247</v>
      </c>
      <c r="N3356" s="38">
        <f t="shared" si="349"/>
        <v>31.453124999999996</v>
      </c>
      <c r="O3356" s="36">
        <f t="shared" si="347"/>
        <v>838.75</v>
      </c>
      <c r="P3356" s="38">
        <f ca="1">IF(ISERROR(IF(O3356&lt;fi_h/20,0,(OFFSET('Base de dados'!$A$5,IF(O3356&lt;20,1,IF(O3356&gt;1000,10,MATCH(O3356,Cargas,1))),Coluna_fih,1,1))*(1+0.13*0.25)*(PI()*(fi_h/1000)^2/4)*SQRT(2*9.81*(O3356/100-fi_h/2/1000))*1000)),"",IF(O3356&lt;fi_h/20,0,(OFFSET('Base de dados'!$A$5,IF(O3356&lt;20,1,IF(O3356&gt;1000,10,MATCH(O3356,Cargas,1))),Coluna_fih,1,1))*(PI()*(fi_h/1000)^2/4)*SQRT(2*9.81*(O3356/100-fi_h/2/1000))*1000))</f>
        <v>7.7441979353014618</v>
      </c>
      <c r="Q3356" s="38">
        <f ca="1">IF(O3356="","",IF(Tipo_Vertedor="Retangular",IF(O3356&lt;=cota_s*100,0,IF(Tipo_Vertedor="Retangular",Cd_sr*Lef_sr*((O3356/100-cota_s)^(3/2))*1000)),IF(O3356&lt;=cota_s*100+fi_s/20,0,(OFFSET('Base de dados'!$A$4,IF(O3356&lt;20,1,IF(O3356&gt;1000,10,MATCH(O3356,Cargas,1))),Coluna_fis,1,1))*(PI()*(fi_s/1000)^2/4)*(2*9.81*(O3356/100-cota_s-fi_s/2/1000))^0.5*1000)))</f>
        <v>7.16758512142348</v>
      </c>
      <c r="R3356" s="38">
        <f t="shared" ca="1" si="350"/>
        <v>14.911783056724943</v>
      </c>
      <c r="S3356" s="38">
        <f t="shared" ca="1" si="351"/>
        <v>1048.4374999999998</v>
      </c>
    </row>
    <row r="3357" spans="13:19">
      <c r="M3357" s="132">
        <f t="shared" ca="1" si="348"/>
        <v>1063.6641890126195</v>
      </c>
      <c r="N3357" s="38">
        <f t="shared" si="349"/>
        <v>31.462500000000002</v>
      </c>
      <c r="O3357" s="36">
        <f t="shared" si="347"/>
        <v>839</v>
      </c>
      <c r="P3357" s="38">
        <f ca="1">IF(ISERROR(IF(O3357&lt;fi_h/20,0,(OFFSET('Base de dados'!$A$5,IF(O3357&lt;20,1,IF(O3357&gt;1000,10,MATCH(O3357,Cargas,1))),Coluna_fih,1,1))*(1+0.13*0.25)*(PI()*(fi_h/1000)^2/4)*SQRT(2*9.81*(O3357/100-fi_h/2/1000))*1000)),"",IF(O3357&lt;fi_h/20,0,(OFFSET('Base de dados'!$A$5,IF(O3357&lt;20,1,IF(O3357&gt;1000,10,MATCH(O3357,Cargas,1))),Coluna_fih,1,1))*(PI()*(fi_h/1000)^2/4)*SQRT(2*9.81*(O3357/100-fi_h/2/1000))*1000))</f>
        <v>7.7453544036798618</v>
      </c>
      <c r="Q3357" s="38">
        <f ca="1">IF(O3357="","",IF(Tipo_Vertedor="Retangular",IF(O3357&lt;=cota_s*100,0,IF(Tipo_Vertedor="Retangular",Cd_sr*Lef_sr*((O3357/100-cota_s)^(3/2))*1000)),IF(O3357&lt;=cota_s*100+fi_s/20,0,(OFFSET('Base de dados'!$A$4,IF(O3357&lt;20,1,IF(O3357&gt;1000,10,MATCH(O3357,Cargas,1))),Coluna_fis,1,1))*(PI()*(fi_s/1000)^2/4)*(2*9.81*(O3357/100-cota_s-fi_s/2/1000))^0.5*1000)))</f>
        <v>7.168834608939366</v>
      </c>
      <c r="R3357" s="38">
        <f t="shared" ca="1" si="350"/>
        <v>14.914189012619229</v>
      </c>
      <c r="S3357" s="38">
        <f t="shared" ca="1" si="351"/>
        <v>1048.7500000000002</v>
      </c>
    </row>
    <row r="3358" spans="13:19">
      <c r="M3358" s="132">
        <f t="shared" ca="1" si="348"/>
        <v>1063.9790945781249</v>
      </c>
      <c r="N3358" s="38">
        <f t="shared" si="349"/>
        <v>31.471875000000001</v>
      </c>
      <c r="O3358" s="36">
        <f t="shared" si="347"/>
        <v>839.25</v>
      </c>
      <c r="P3358" s="38">
        <f ca="1">IF(ISERROR(IF(O3358&lt;fi_h/20,0,(OFFSET('Base de dados'!$A$5,IF(O3358&lt;20,1,IF(O3358&gt;1000,10,MATCH(O3358,Cargas,1))),Coluna_fih,1,1))*(1+0.13*0.25)*(PI()*(fi_h/1000)^2/4)*SQRT(2*9.81*(O3358/100-fi_h/2/1000))*1000)),"",IF(O3358&lt;fi_h/20,0,(OFFSET('Base de dados'!$A$5,IF(O3358&lt;20,1,IF(O3358&gt;1000,10,MATCH(O3358,Cargas,1))),Coluna_fih,1,1))*(PI()*(fi_h/1000)^2/4)*SQRT(2*9.81*(O3358/100-fi_h/2/1000))*1000))</f>
        <v>7.7465106994103214</v>
      </c>
      <c r="Q3358" s="38">
        <f ca="1">IF(O3358="","",IF(Tipo_Vertedor="Retangular",IF(O3358&lt;=cota_s*100,0,IF(Tipo_Vertedor="Retangular",Cd_sr*Lef_sr*((O3358/100-cota_s)^(3/2))*1000)),IF(O3358&lt;=cota_s*100+fi_s/20,0,(OFFSET('Base de dados'!$A$4,IF(O3358&lt;20,1,IF(O3358&gt;1000,10,MATCH(O3358,Cargas,1))),Coluna_fis,1,1))*(PI()*(fi_s/1000)^2/4)*(2*9.81*(O3358/100-cota_s-fi_s/2/1000))^0.5*1000)))</f>
        <v>7.170083878714558</v>
      </c>
      <c r="R3358" s="38">
        <f t="shared" ca="1" si="350"/>
        <v>14.916594578124879</v>
      </c>
      <c r="S3358" s="38">
        <f t="shared" ca="1" si="351"/>
        <v>1049.0625</v>
      </c>
    </row>
    <row r="3359" spans="13:19">
      <c r="M3359" s="132">
        <f t="shared" ca="1" si="348"/>
        <v>1064.2939997534329</v>
      </c>
      <c r="N3359" s="38">
        <f t="shared" si="349"/>
        <v>31.481249999999999</v>
      </c>
      <c r="O3359" s="36">
        <f t="shared" si="347"/>
        <v>839.5</v>
      </c>
      <c r="P3359" s="38">
        <f ca="1">IF(ISERROR(IF(O3359&lt;fi_h/20,0,(OFFSET('Base de dados'!$A$5,IF(O3359&lt;20,1,IF(O3359&gt;1000,10,MATCH(O3359,Cargas,1))),Coluna_fih,1,1))*(1+0.13*0.25)*(PI()*(fi_h/1000)^2/4)*SQRT(2*9.81*(O3359/100-fi_h/2/1000))*1000)),"",IF(O3359&lt;fi_h/20,0,(OFFSET('Base de dados'!$A$5,IF(O3359&lt;20,1,IF(O3359&gt;1000,10,MATCH(O3359,Cargas,1))),Coluna_fih,1,1))*(PI()*(fi_h/1000)^2/4)*SQRT(2*9.81*(O3359/100-fi_h/2/1000))*1000))</f>
        <v>7.7476668225701451</v>
      </c>
      <c r="Q3359" s="38">
        <f ca="1">IF(O3359="","",IF(Tipo_Vertedor="Retangular",IF(O3359&lt;=cota_s*100,0,IF(Tipo_Vertedor="Retangular",Cd_sr*Lef_sr*((O3359/100-cota_s)^(3/2))*1000)),IF(O3359&lt;=cota_s*100+fi_s/20,0,(OFFSET('Base de dados'!$A$4,IF(O3359&lt;20,1,IF(O3359&gt;1000,10,MATCH(O3359,Cargas,1))),Coluna_fis,1,1))*(PI()*(fi_s/1000)^2/4)*(2*9.81*(O3359/100-cota_s-fi_s/2/1000))^0.5*1000)))</f>
        <v>7.1713329308628504</v>
      </c>
      <c r="R3359" s="38">
        <f t="shared" ca="1" si="350"/>
        <v>14.918999753432995</v>
      </c>
      <c r="S3359" s="38">
        <f t="shared" ca="1" si="351"/>
        <v>1049.375</v>
      </c>
    </row>
    <row r="3360" spans="13:19">
      <c r="M3360" s="132">
        <f t="shared" ca="1" si="348"/>
        <v>1064.6089045387346</v>
      </c>
      <c r="N3360" s="38">
        <f t="shared" si="349"/>
        <v>31.490625000000001</v>
      </c>
      <c r="O3360" s="36">
        <f t="shared" si="347"/>
        <v>839.75</v>
      </c>
      <c r="P3360" s="38">
        <f ca="1">IF(ISERROR(IF(O3360&lt;fi_h/20,0,(OFFSET('Base de dados'!$A$5,IF(O3360&lt;20,1,IF(O3360&gt;1000,10,MATCH(O3360,Cargas,1))),Coluna_fih,1,1))*(1+0.13*0.25)*(PI()*(fi_h/1000)^2/4)*SQRT(2*9.81*(O3360/100-fi_h/2/1000))*1000)),"",IF(O3360&lt;fi_h/20,0,(OFFSET('Base de dados'!$A$5,IF(O3360&lt;20,1,IF(O3360&gt;1000,10,MATCH(O3360,Cargas,1))),Coluna_fih,1,1))*(PI()*(fi_h/1000)^2/4)*SQRT(2*9.81*(O3360/100-fi_h/2/1000))*1000))</f>
        <v>7.748822773236574</v>
      </c>
      <c r="Q3360" s="38">
        <f ca="1">IF(O3360="","",IF(Tipo_Vertedor="Retangular",IF(O3360&lt;=cota_s*100,0,IF(Tipo_Vertedor="Retangular",Cd_sr*Lef_sr*((O3360/100-cota_s)^(3/2))*1000)),IF(O3360&lt;=cota_s*100+fi_s/20,0,(OFFSET('Base de dados'!$A$4,IF(O3360&lt;20,1,IF(O3360&gt;1000,10,MATCH(O3360,Cargas,1))),Coluna_fis,1,1))*(PI()*(fi_s/1000)^2/4)*(2*9.81*(O3360/100-cota_s-fi_s/2/1000))^0.5*1000)))</f>
        <v>7.1725817654979407</v>
      </c>
      <c r="R3360" s="38">
        <f t="shared" ca="1" si="350"/>
        <v>14.921404538734514</v>
      </c>
      <c r="S3360" s="38">
        <f t="shared" ca="1" si="351"/>
        <v>1049.6875</v>
      </c>
    </row>
    <row r="3361" spans="13:19">
      <c r="M3361" s="132">
        <f t="shared" ca="1" si="348"/>
        <v>1064.9238089342202</v>
      </c>
      <c r="N3361" s="38">
        <f t="shared" si="349"/>
        <v>31.5</v>
      </c>
      <c r="O3361" s="36">
        <f t="shared" si="347"/>
        <v>840</v>
      </c>
      <c r="P3361" s="38">
        <f ca="1">IF(ISERROR(IF(O3361&lt;fi_h/20,0,(OFFSET('Base de dados'!$A$5,IF(O3361&lt;20,1,IF(O3361&gt;1000,10,MATCH(O3361,Cargas,1))),Coluna_fih,1,1))*(1+0.13*0.25)*(PI()*(fi_h/1000)^2/4)*SQRT(2*9.81*(O3361/100-fi_h/2/1000))*1000)),"",IF(O3361&lt;fi_h/20,0,(OFFSET('Base de dados'!$A$5,IF(O3361&lt;20,1,IF(O3361&gt;1000,10,MATCH(O3361,Cargas,1))),Coluna_fih,1,1))*(PI()*(fi_h/1000)^2/4)*SQRT(2*9.81*(O3361/100-fi_h/2/1000))*1000))</f>
        <v>7.7499785514867918</v>
      </c>
      <c r="Q3361" s="38">
        <f ca="1">IF(O3361="","",IF(Tipo_Vertedor="Retangular",IF(O3361&lt;=cota_s*100,0,IF(Tipo_Vertedor="Retangular",Cd_sr*Lef_sr*((O3361/100-cota_s)^(3/2))*1000)),IF(O3361&lt;=cota_s*100+fi_s/20,0,(OFFSET('Base de dados'!$A$4,IF(O3361&lt;20,1,IF(O3361&gt;1000,10,MATCH(O3361,Cargas,1))),Coluna_fis,1,1))*(PI()*(fi_s/1000)^2/4)*(2*9.81*(O3361/100-cota_s-fi_s/2/1000))^0.5*1000)))</f>
        <v>7.1738303827334198</v>
      </c>
      <c r="R3361" s="38">
        <f t="shared" ca="1" si="350"/>
        <v>14.923808934220212</v>
      </c>
      <c r="S3361" s="38">
        <f t="shared" ca="1" si="351"/>
        <v>1050</v>
      </c>
    </row>
    <row r="3362" spans="13:19">
      <c r="M3362" s="132">
        <f t="shared" ca="1" si="348"/>
        <v>1065.2387129400806</v>
      </c>
      <c r="N3362" s="38">
        <f t="shared" si="349"/>
        <v>31.509374999999999</v>
      </c>
      <c r="O3362" s="36">
        <f t="shared" si="347"/>
        <v>840.25</v>
      </c>
      <c r="P3362" s="38">
        <f ca="1">IF(ISERROR(IF(O3362&lt;fi_h/20,0,(OFFSET('Base de dados'!$A$5,IF(O3362&lt;20,1,IF(O3362&gt;1000,10,MATCH(O3362,Cargas,1))),Coluna_fih,1,1))*(1+0.13*0.25)*(PI()*(fi_h/1000)^2/4)*SQRT(2*9.81*(O3362/100-fi_h/2/1000))*1000)),"",IF(O3362&lt;fi_h/20,0,(OFFSET('Base de dados'!$A$5,IF(O3362&lt;20,1,IF(O3362&gt;1000,10,MATCH(O3362,Cargas,1))),Coluna_fih,1,1))*(PI()*(fi_h/1000)^2/4)*SQRT(2*9.81*(O3362/100-fi_h/2/1000))*1000))</f>
        <v>7.7511341573979289</v>
      </c>
      <c r="Q3362" s="38">
        <f ca="1">IF(O3362="","",IF(Tipo_Vertedor="Retangular",IF(O3362&lt;=cota_s*100,0,IF(Tipo_Vertedor="Retangular",Cd_sr*Lef_sr*((O3362/100-cota_s)^(3/2))*1000)),IF(O3362&lt;=cota_s*100+fi_s/20,0,(OFFSET('Base de dados'!$A$4,IF(O3362&lt;20,1,IF(O3362&gt;1000,10,MATCH(O3362,Cargas,1))),Coluna_fis,1,1))*(PI()*(fi_s/1000)^2/4)*(2*9.81*(O3362/100-cota_s-fi_s/2/1000))^0.5*1000)))</f>
        <v>7.1750787826827862</v>
      </c>
      <c r="R3362" s="38">
        <f t="shared" ca="1" si="350"/>
        <v>14.926212940080715</v>
      </c>
      <c r="S3362" s="38">
        <f t="shared" ca="1" si="351"/>
        <v>1050.3125</v>
      </c>
    </row>
    <row r="3363" spans="13:19">
      <c r="M3363" s="132">
        <f t="shared" ca="1" si="348"/>
        <v>1065.5536165565063</v>
      </c>
      <c r="N3363" s="38">
        <f t="shared" si="349"/>
        <v>31.518749999999997</v>
      </c>
      <c r="O3363" s="36">
        <f t="shared" si="347"/>
        <v>840.5</v>
      </c>
      <c r="P3363" s="38">
        <f ca="1">IF(ISERROR(IF(O3363&lt;fi_h/20,0,(OFFSET('Base de dados'!$A$5,IF(O3363&lt;20,1,IF(O3363&gt;1000,10,MATCH(O3363,Cargas,1))),Coluna_fih,1,1))*(1+0.13*0.25)*(PI()*(fi_h/1000)^2/4)*SQRT(2*9.81*(O3363/100-fi_h/2/1000))*1000)),"",IF(O3363&lt;fi_h/20,0,(OFFSET('Base de dados'!$A$5,IF(O3363&lt;20,1,IF(O3363&gt;1000,10,MATCH(O3363,Cargas,1))),Coluna_fih,1,1))*(PI()*(fi_h/1000)^2/4)*SQRT(2*9.81*(O3363/100-fi_h/2/1000))*1000))</f>
        <v>7.7522895910470515</v>
      </c>
      <c r="Q3363" s="38">
        <f ca="1">IF(O3363="","",IF(Tipo_Vertedor="Retangular",IF(O3363&lt;=cota_s*100,0,IF(Tipo_Vertedor="Retangular",Cd_sr*Lef_sr*((O3363/100-cota_s)^(3/2))*1000)),IF(O3363&lt;=cota_s*100+fi_s/20,0,(OFFSET('Base de dados'!$A$4,IF(O3363&lt;20,1,IF(O3363&gt;1000,10,MATCH(O3363,Cargas,1))),Coluna_fis,1,1))*(PI()*(fi_s/1000)^2/4)*(2*9.81*(O3363/100-cota_s-fi_s/2/1000))^0.5*1000)))</f>
        <v>7.1763269654594382</v>
      </c>
      <c r="R3363" s="38">
        <f t="shared" ca="1" si="350"/>
        <v>14.928616556506491</v>
      </c>
      <c r="S3363" s="38">
        <f t="shared" ca="1" si="351"/>
        <v>1050.6249999999998</v>
      </c>
    </row>
    <row r="3364" spans="13:19">
      <c r="M3364" s="132">
        <f t="shared" ca="1" si="348"/>
        <v>1065.868519783688</v>
      </c>
      <c r="N3364" s="38">
        <f t="shared" si="349"/>
        <v>31.528125000000003</v>
      </c>
      <c r="O3364" s="36">
        <f t="shared" si="347"/>
        <v>840.75</v>
      </c>
      <c r="P3364" s="38">
        <f ca="1">IF(ISERROR(IF(O3364&lt;fi_h/20,0,(OFFSET('Base de dados'!$A$5,IF(O3364&lt;20,1,IF(O3364&gt;1000,10,MATCH(O3364,Cargas,1))),Coluna_fih,1,1))*(1+0.13*0.25)*(PI()*(fi_h/1000)^2/4)*SQRT(2*9.81*(O3364/100-fi_h/2/1000))*1000)),"",IF(O3364&lt;fi_h/20,0,(OFFSET('Base de dados'!$A$5,IF(O3364&lt;20,1,IF(O3364&gt;1000,10,MATCH(O3364,Cargas,1))),Coluna_fih,1,1))*(PI()*(fi_h/1000)^2/4)*SQRT(2*9.81*(O3364/100-fi_h/2/1000))*1000))</f>
        <v>7.7534448525111754</v>
      </c>
      <c r="Q3364" s="38">
        <f ca="1">IF(O3364="","",IF(Tipo_Vertedor="Retangular",IF(O3364&lt;=cota_s*100,0,IF(Tipo_Vertedor="Retangular",Cd_sr*Lef_sr*((O3364/100-cota_s)^(3/2))*1000)),IF(O3364&lt;=cota_s*100+fi_s/20,0,(OFFSET('Base de dados'!$A$4,IF(O3364&lt;20,1,IF(O3364&gt;1000,10,MATCH(O3364,Cargas,1))),Coluna_fis,1,1))*(PI()*(fi_s/1000)^2/4)*(2*9.81*(O3364/100-cota_s-fi_s/2/1000))^0.5*1000)))</f>
        <v>7.1775749311766743</v>
      </c>
      <c r="R3364" s="38">
        <f t="shared" ca="1" si="350"/>
        <v>14.93101978368785</v>
      </c>
      <c r="S3364" s="38">
        <f t="shared" ca="1" si="351"/>
        <v>1050.9375000000002</v>
      </c>
    </row>
    <row r="3365" spans="13:19">
      <c r="M3365" s="132">
        <f t="shared" ca="1" si="348"/>
        <v>1066.183422621815</v>
      </c>
      <c r="N3365" s="38">
        <f t="shared" si="349"/>
        <v>31.537500000000001</v>
      </c>
      <c r="O3365" s="36">
        <f t="shared" si="347"/>
        <v>841</v>
      </c>
      <c r="P3365" s="38">
        <f ca="1">IF(ISERROR(IF(O3365&lt;fi_h/20,0,(OFFSET('Base de dados'!$A$5,IF(O3365&lt;20,1,IF(O3365&gt;1000,10,MATCH(O3365,Cargas,1))),Coluna_fih,1,1))*(1+0.13*0.25)*(PI()*(fi_h/1000)^2/4)*SQRT(2*9.81*(O3365/100-fi_h/2/1000))*1000)),"",IF(O3365&lt;fi_h/20,0,(OFFSET('Base de dados'!$A$5,IF(O3365&lt;20,1,IF(O3365&gt;1000,10,MATCH(O3365,Cargas,1))),Coluna_fih,1,1))*(PI()*(fi_h/1000)^2/4)*SQRT(2*9.81*(O3365/100-fi_h/2/1000))*1000))</f>
        <v>7.7545999418672542</v>
      </c>
      <c r="Q3365" s="38">
        <f ca="1">IF(O3365="","",IF(Tipo_Vertedor="Retangular",IF(O3365&lt;=cota_s*100,0,IF(Tipo_Vertedor="Retangular",Cd_sr*Lef_sr*((O3365/100-cota_s)^(3/2))*1000)),IF(O3365&lt;=cota_s*100+fi_s/20,0,(OFFSET('Base de dados'!$A$4,IF(O3365&lt;20,1,IF(O3365&gt;1000,10,MATCH(O3365,Cargas,1))),Coluna_fis,1,1))*(PI()*(fi_s/1000)^2/4)*(2*9.81*(O3365/100-cota_s-fi_s/2/1000))^0.5*1000)))</f>
        <v>7.1788226799476966</v>
      </c>
      <c r="R3365" s="38">
        <f t="shared" ca="1" si="350"/>
        <v>14.933422621814952</v>
      </c>
      <c r="S3365" s="38">
        <f t="shared" ca="1" si="351"/>
        <v>1051.25</v>
      </c>
    </row>
    <row r="3366" spans="13:19">
      <c r="M3366" s="132">
        <f t="shared" ca="1" si="348"/>
        <v>1066.4983250710777</v>
      </c>
      <c r="N3366" s="38">
        <f t="shared" si="349"/>
        <v>31.546875</v>
      </c>
      <c r="O3366" s="36">
        <f t="shared" si="347"/>
        <v>841.25</v>
      </c>
      <c r="P3366" s="38">
        <f ca="1">IF(ISERROR(IF(O3366&lt;fi_h/20,0,(OFFSET('Base de dados'!$A$5,IF(O3366&lt;20,1,IF(O3366&gt;1000,10,MATCH(O3366,Cargas,1))),Coluna_fih,1,1))*(1+0.13*0.25)*(PI()*(fi_h/1000)^2/4)*SQRT(2*9.81*(O3366/100-fi_h/2/1000))*1000)),"",IF(O3366&lt;fi_h/20,0,(OFFSET('Base de dados'!$A$5,IF(O3366&lt;20,1,IF(O3366&gt;1000,10,MATCH(O3366,Cargas,1))),Coluna_fih,1,1))*(PI()*(fi_h/1000)^2/4)*SQRT(2*9.81*(O3366/100-fi_h/2/1000))*1000))</f>
        <v>7.7557548591921854</v>
      </c>
      <c r="Q3366" s="38">
        <f ca="1">IF(O3366="","",IF(Tipo_Vertedor="Retangular",IF(O3366&lt;=cota_s*100,0,IF(Tipo_Vertedor="Retangular",Cd_sr*Lef_sr*((O3366/100-cota_s)^(3/2))*1000)),IF(O3366&lt;=cota_s*100+fi_s/20,0,(OFFSET('Base de dados'!$A$4,IF(O3366&lt;20,1,IF(O3366&gt;1000,10,MATCH(O3366,Cargas,1))),Coluna_fis,1,1))*(PI()*(fi_s/1000)^2/4)*(2*9.81*(O3366/100-cota_s-fi_s/2/1000))^0.5*1000)))</f>
        <v>7.1800702118856057</v>
      </c>
      <c r="R3366" s="38">
        <f t="shared" ca="1" si="350"/>
        <v>14.93582507107779</v>
      </c>
      <c r="S3366" s="38">
        <f t="shared" ca="1" si="351"/>
        <v>1051.5625</v>
      </c>
    </row>
    <row r="3367" spans="13:19">
      <c r="M3367" s="132">
        <f t="shared" ca="1" si="348"/>
        <v>1066.8132271316663</v>
      </c>
      <c r="N3367" s="38">
        <f t="shared" si="349"/>
        <v>31.556249999999999</v>
      </c>
      <c r="O3367" s="36">
        <f t="shared" si="347"/>
        <v>841.5</v>
      </c>
      <c r="P3367" s="38">
        <f ca="1">IF(ISERROR(IF(O3367&lt;fi_h/20,0,(OFFSET('Base de dados'!$A$5,IF(O3367&lt;20,1,IF(O3367&gt;1000,10,MATCH(O3367,Cargas,1))),Coluna_fih,1,1))*(1+0.13*0.25)*(PI()*(fi_h/1000)^2/4)*SQRT(2*9.81*(O3367/100-fi_h/2/1000))*1000)),"",IF(O3367&lt;fi_h/20,0,(OFFSET('Base de dados'!$A$5,IF(O3367&lt;20,1,IF(O3367&gt;1000,10,MATCH(O3367,Cargas,1))),Coluna_fih,1,1))*(PI()*(fi_h/1000)^2/4)*SQRT(2*9.81*(O3367/100-fi_h/2/1000))*1000))</f>
        <v>7.7569096045628099</v>
      </c>
      <c r="Q3367" s="38">
        <f ca="1">IF(O3367="","",IF(Tipo_Vertedor="Retangular",IF(O3367&lt;=cota_s*100,0,IF(Tipo_Vertedor="Retangular",Cd_sr*Lef_sr*((O3367/100-cota_s)^(3/2))*1000)),IF(O3367&lt;=cota_s*100+fi_s/20,0,(OFFSET('Base de dados'!$A$4,IF(O3367&lt;20,1,IF(O3367&gt;1000,10,MATCH(O3367,Cargas,1))),Coluna_fis,1,1))*(PI()*(fi_s/1000)^2/4)*(2*9.81*(O3367/100-cota_s-fi_s/2/1000))^0.5*1000)))</f>
        <v>7.1813175271034044</v>
      </c>
      <c r="R3367" s="38">
        <f t="shared" ca="1" si="350"/>
        <v>14.938227131666213</v>
      </c>
      <c r="S3367" s="38">
        <f t="shared" ca="1" si="351"/>
        <v>1051.875</v>
      </c>
    </row>
    <row r="3368" spans="13:19">
      <c r="M3368" s="132">
        <f t="shared" ca="1" si="348"/>
        <v>1067.1281288037699</v>
      </c>
      <c r="N3368" s="38">
        <f t="shared" si="349"/>
        <v>31.565625000000001</v>
      </c>
      <c r="O3368" s="36">
        <f t="shared" si="347"/>
        <v>841.75</v>
      </c>
      <c r="P3368" s="38">
        <f ca="1">IF(ISERROR(IF(O3368&lt;fi_h/20,0,(OFFSET('Base de dados'!$A$5,IF(O3368&lt;20,1,IF(O3368&gt;1000,10,MATCH(O3368,Cargas,1))),Coluna_fih,1,1))*(1+0.13*0.25)*(PI()*(fi_h/1000)^2/4)*SQRT(2*9.81*(O3368/100-fi_h/2/1000))*1000)),"",IF(O3368&lt;fi_h/20,0,(OFFSET('Base de dados'!$A$5,IF(O3368&lt;20,1,IF(O3368&gt;1000,10,MATCH(O3368,Cargas,1))),Coluna_fih,1,1))*(PI()*(fi_h/1000)^2/4)*SQRT(2*9.81*(O3368/100-fi_h/2/1000))*1000))</f>
        <v>7.7580641780559123</v>
      </c>
      <c r="Q3368" s="38">
        <f ca="1">IF(O3368="","",IF(Tipo_Vertedor="Retangular",IF(O3368&lt;=cota_s*100,0,IF(Tipo_Vertedor="Retangular",Cd_sr*Lef_sr*((O3368/100-cota_s)^(3/2))*1000)),IF(O3368&lt;=cota_s*100+fi_s/20,0,(OFFSET('Base de dados'!$A$4,IF(O3368&lt;20,1,IF(O3368&gt;1000,10,MATCH(O3368,Cargas,1))),Coluna_fis,1,1))*(PI()*(fi_s/1000)^2/4)*(2*9.81*(O3368/100-cota_s-fi_s/2/1000))^0.5*1000)))</f>
        <v>7.1825646257140043</v>
      </c>
      <c r="R3368" s="38">
        <f t="shared" ca="1" si="350"/>
        <v>14.940628803769917</v>
      </c>
      <c r="S3368" s="38">
        <f t="shared" ca="1" si="351"/>
        <v>1052.1875</v>
      </c>
    </row>
    <row r="3369" spans="13:19">
      <c r="M3369" s="132">
        <f t="shared" ca="1" si="348"/>
        <v>1067.4430300875783</v>
      </c>
      <c r="N3369" s="38">
        <f t="shared" si="349"/>
        <v>31.574999999999999</v>
      </c>
      <c r="O3369" s="36">
        <f t="shared" si="347"/>
        <v>842</v>
      </c>
      <c r="P3369" s="38">
        <f ca="1">IF(ISERROR(IF(O3369&lt;fi_h/20,0,(OFFSET('Base de dados'!$A$5,IF(O3369&lt;20,1,IF(O3369&gt;1000,10,MATCH(O3369,Cargas,1))),Coluna_fih,1,1))*(1+0.13*0.25)*(PI()*(fi_h/1000)^2/4)*SQRT(2*9.81*(O3369/100-fi_h/2/1000))*1000)),"",IF(O3369&lt;fi_h/20,0,(OFFSET('Base de dados'!$A$5,IF(O3369&lt;20,1,IF(O3369&gt;1000,10,MATCH(O3369,Cargas,1))),Coluna_fih,1,1))*(PI()*(fi_h/1000)^2/4)*SQRT(2*9.81*(O3369/100-fi_h/2/1000))*1000))</f>
        <v>7.7592185797482154</v>
      </c>
      <c r="Q3369" s="38">
        <f ca="1">IF(O3369="","",IF(Tipo_Vertedor="Retangular",IF(O3369&lt;=cota_s*100,0,IF(Tipo_Vertedor="Retangular",Cd_sr*Lef_sr*((O3369/100-cota_s)^(3/2))*1000)),IF(O3369&lt;=cota_s*100+fi_s/20,0,(OFFSET('Base de dados'!$A$4,IF(O3369&lt;20,1,IF(O3369&gt;1000,10,MATCH(O3369,Cargas,1))),Coluna_fis,1,1))*(PI()*(fi_s/1000)^2/4)*(2*9.81*(O3369/100-cota_s-fi_s/2/1000))^0.5*1000)))</f>
        <v>7.1838115078302085</v>
      </c>
      <c r="R3369" s="38">
        <f t="shared" ca="1" si="350"/>
        <v>14.943030087578425</v>
      </c>
      <c r="S3369" s="38">
        <f t="shared" ca="1" si="351"/>
        <v>1052.5</v>
      </c>
    </row>
    <row r="3370" spans="13:19">
      <c r="M3370" s="132">
        <f t="shared" ca="1" si="348"/>
        <v>1067.7579309832809</v>
      </c>
      <c r="N3370" s="38">
        <f t="shared" si="349"/>
        <v>31.584374999999998</v>
      </c>
      <c r="O3370" s="36">
        <f t="shared" si="347"/>
        <v>842.25</v>
      </c>
      <c r="P3370" s="38">
        <f ca="1">IF(ISERROR(IF(O3370&lt;fi_h/20,0,(OFFSET('Base de dados'!$A$5,IF(O3370&lt;20,1,IF(O3370&gt;1000,10,MATCH(O3370,Cargas,1))),Coluna_fih,1,1))*(1+0.13*0.25)*(PI()*(fi_h/1000)^2/4)*SQRT(2*9.81*(O3370/100-fi_h/2/1000))*1000)),"",IF(O3370&lt;fi_h/20,0,(OFFSET('Base de dados'!$A$5,IF(O3370&lt;20,1,IF(O3370&gt;1000,10,MATCH(O3370,Cargas,1))),Coluna_fih,1,1))*(PI()*(fi_h/1000)^2/4)*SQRT(2*9.81*(O3370/100-fi_h/2/1000))*1000))</f>
        <v>7.760372809716392</v>
      </c>
      <c r="Q3370" s="38">
        <f ca="1">IF(O3370="","",IF(Tipo_Vertedor="Retangular",IF(O3370&lt;=cota_s*100,0,IF(Tipo_Vertedor="Retangular",Cd_sr*Lef_sr*((O3370/100-cota_s)^(3/2))*1000)),IF(O3370&lt;=cota_s*100+fi_s/20,0,(OFFSET('Base de dados'!$A$4,IF(O3370&lt;20,1,IF(O3370&gt;1000,10,MATCH(O3370,Cargas,1))),Coluna_fis,1,1))*(PI()*(fi_s/1000)^2/4)*(2*9.81*(O3370/100-cota_s-fi_s/2/1000))^0.5*1000)))</f>
        <v>7.1850581735647276</v>
      </c>
      <c r="R3370" s="38">
        <f t="shared" ca="1" si="350"/>
        <v>14.945430983281121</v>
      </c>
      <c r="S3370" s="38">
        <f t="shared" ca="1" si="351"/>
        <v>1052.8124999999998</v>
      </c>
    </row>
    <row r="3371" spans="13:19">
      <c r="M3371" s="132">
        <f t="shared" ca="1" si="348"/>
        <v>1068.0728314910675</v>
      </c>
      <c r="N3371" s="38">
        <f t="shared" si="349"/>
        <v>31.593750000000004</v>
      </c>
      <c r="O3371" s="36">
        <f t="shared" si="347"/>
        <v>842.5</v>
      </c>
      <c r="P3371" s="38">
        <f ca="1">IF(ISERROR(IF(O3371&lt;fi_h/20,0,(OFFSET('Base de dados'!$A$5,IF(O3371&lt;20,1,IF(O3371&gt;1000,10,MATCH(O3371,Cargas,1))),Coluna_fih,1,1))*(1+0.13*0.25)*(PI()*(fi_h/1000)^2/4)*SQRT(2*9.81*(O3371/100-fi_h/2/1000))*1000)),"",IF(O3371&lt;fi_h/20,0,(OFFSET('Base de dados'!$A$5,IF(O3371&lt;20,1,IF(O3371&gt;1000,10,MATCH(O3371,Cargas,1))),Coluna_fih,1,1))*(PI()*(fi_h/1000)^2/4)*SQRT(2*9.81*(O3371/100-fi_h/2/1000))*1000))</f>
        <v>7.7615268680370528</v>
      </c>
      <c r="Q3371" s="38">
        <f ca="1">IF(O3371="","",IF(Tipo_Vertedor="Retangular",IF(O3371&lt;=cota_s*100,0,IF(Tipo_Vertedor="Retangular",Cd_sr*Lef_sr*((O3371/100-cota_s)^(3/2))*1000)),IF(O3371&lt;=cota_s*100+fi_s/20,0,(OFFSET('Base de dados'!$A$4,IF(O3371&lt;20,1,IF(O3371&gt;1000,10,MATCH(O3371,Cargas,1))),Coluna_fis,1,1))*(PI()*(fi_s/1000)^2/4)*(2*9.81*(O3371/100-cota_s-fi_s/2/1000))^0.5*1000)))</f>
        <v>7.1863046230301766</v>
      </c>
      <c r="R3371" s="38">
        <f t="shared" ca="1" si="350"/>
        <v>14.94783149106723</v>
      </c>
      <c r="S3371" s="38">
        <f t="shared" ca="1" si="351"/>
        <v>1053.1250000000002</v>
      </c>
    </row>
    <row r="3372" spans="13:19">
      <c r="M3372" s="132">
        <f t="shared" ca="1" si="348"/>
        <v>1068.3877316111261</v>
      </c>
      <c r="N3372" s="38">
        <f t="shared" si="349"/>
        <v>31.603125000000002</v>
      </c>
      <c r="O3372" s="36">
        <f t="shared" si="347"/>
        <v>842.75</v>
      </c>
      <c r="P3372" s="38">
        <f ca="1">IF(ISERROR(IF(O3372&lt;fi_h/20,0,(OFFSET('Base de dados'!$A$5,IF(O3372&lt;20,1,IF(O3372&gt;1000,10,MATCH(O3372,Cargas,1))),Coluna_fih,1,1))*(1+0.13*0.25)*(PI()*(fi_h/1000)^2/4)*SQRT(2*9.81*(O3372/100-fi_h/2/1000))*1000)),"",IF(O3372&lt;fi_h/20,0,(OFFSET('Base de dados'!$A$5,IF(O3372&lt;20,1,IF(O3372&gt;1000,10,MATCH(O3372,Cargas,1))),Coluna_fih,1,1))*(PI()*(fi_h/1000)^2/4)*SQRT(2*9.81*(O3372/100-fi_h/2/1000))*1000))</f>
        <v>7.7626807547867536</v>
      </c>
      <c r="Q3372" s="38">
        <f ca="1">IF(O3372="","",IF(Tipo_Vertedor="Retangular",IF(O3372&lt;=cota_s*100,0,IF(Tipo_Vertedor="Retangular",Cd_sr*Lef_sr*((O3372/100-cota_s)^(3/2))*1000)),IF(O3372&lt;=cota_s*100+fi_s/20,0,(OFFSET('Base de dados'!$A$4,IF(O3372&lt;20,1,IF(O3372&gt;1000,10,MATCH(O3372,Cargas,1))),Coluna_fis,1,1))*(PI()*(fi_s/1000)^2/4)*(2*9.81*(O3372/100-cota_s-fi_s/2/1000))^0.5*1000)))</f>
        <v>7.1875508563390662</v>
      </c>
      <c r="R3372" s="38">
        <f t="shared" ca="1" si="350"/>
        <v>14.950231611125819</v>
      </c>
      <c r="S3372" s="38">
        <f t="shared" ca="1" si="351"/>
        <v>1053.4375000000002</v>
      </c>
    </row>
    <row r="3373" spans="13:19">
      <c r="M3373" s="132">
        <f t="shared" ca="1" si="348"/>
        <v>1068.7026313436456</v>
      </c>
      <c r="N3373" s="38">
        <f t="shared" si="349"/>
        <v>31.612499999999997</v>
      </c>
      <c r="O3373" s="36">
        <f t="shared" si="347"/>
        <v>843</v>
      </c>
      <c r="P3373" s="38">
        <f ca="1">IF(ISERROR(IF(O3373&lt;fi_h/20,0,(OFFSET('Base de dados'!$A$5,IF(O3373&lt;20,1,IF(O3373&gt;1000,10,MATCH(O3373,Cargas,1))),Coluna_fih,1,1))*(1+0.13*0.25)*(PI()*(fi_h/1000)^2/4)*SQRT(2*9.81*(O3373/100-fi_h/2/1000))*1000)),"",IF(O3373&lt;fi_h/20,0,(OFFSET('Base de dados'!$A$5,IF(O3373&lt;20,1,IF(O3373&gt;1000,10,MATCH(O3373,Cargas,1))),Coluna_fih,1,1))*(PI()*(fi_h/1000)^2/4)*SQRT(2*9.81*(O3373/100-fi_h/2/1000))*1000))</f>
        <v>7.7638344700419912</v>
      </c>
      <c r="Q3373" s="38">
        <f ca="1">IF(O3373="","",IF(Tipo_Vertedor="Retangular",IF(O3373&lt;=cota_s*100,0,IF(Tipo_Vertedor="Retangular",Cd_sr*Lef_sr*((O3373/100-cota_s)^(3/2))*1000)),IF(O3373&lt;=cota_s*100+fi_s/20,0,(OFFSET('Base de dados'!$A$4,IF(O3373&lt;20,1,IF(O3373&gt;1000,10,MATCH(O3373,Cargas,1))),Coluna_fis,1,1))*(PI()*(fi_s/1000)^2/4)*(2*9.81*(O3373/100-cota_s-fi_s/2/1000))^0.5*1000)))</f>
        <v>7.1887968736038168</v>
      </c>
      <c r="R3373" s="38">
        <f t="shared" ca="1" si="350"/>
        <v>14.952631343645809</v>
      </c>
      <c r="S3373" s="38">
        <f t="shared" ca="1" si="351"/>
        <v>1053.7499999999998</v>
      </c>
    </row>
    <row r="3374" spans="13:19">
      <c r="M3374" s="132">
        <f t="shared" ca="1" si="348"/>
        <v>1069.0175306888157</v>
      </c>
      <c r="N3374" s="38">
        <f t="shared" si="349"/>
        <v>31.621874999999996</v>
      </c>
      <c r="O3374" s="36">
        <f t="shared" si="347"/>
        <v>843.25</v>
      </c>
      <c r="P3374" s="38">
        <f ca="1">IF(ISERROR(IF(O3374&lt;fi_h/20,0,(OFFSET('Base de dados'!$A$5,IF(O3374&lt;20,1,IF(O3374&gt;1000,10,MATCH(O3374,Cargas,1))),Coluna_fih,1,1))*(1+0.13*0.25)*(PI()*(fi_h/1000)^2/4)*SQRT(2*9.81*(O3374/100-fi_h/2/1000))*1000)),"",IF(O3374&lt;fi_h/20,0,(OFFSET('Base de dados'!$A$5,IF(O3374&lt;20,1,IF(O3374&gt;1000,10,MATCH(O3374,Cargas,1))),Coluna_fih,1,1))*(PI()*(fi_h/1000)^2/4)*SQRT(2*9.81*(O3374/100-fi_h/2/1000))*1000))</f>
        <v>7.7649880138792096</v>
      </c>
      <c r="Q3374" s="38">
        <f ca="1">IF(O3374="","",IF(Tipo_Vertedor="Retangular",IF(O3374&lt;=cota_s*100,0,IF(Tipo_Vertedor="Retangular",Cd_sr*Lef_sr*((O3374/100-cota_s)^(3/2))*1000)),IF(O3374&lt;=cota_s*100+fi_s/20,0,(OFFSET('Base de dados'!$A$4,IF(O3374&lt;20,1,IF(O3374&gt;1000,10,MATCH(O3374,Cargas,1))),Coluna_fis,1,1))*(PI()*(fi_s/1000)^2/4)*(2*9.81*(O3374/100-cota_s-fi_s/2/1000))^0.5*1000)))</f>
        <v>7.1900426749367483</v>
      </c>
      <c r="R3374" s="38">
        <f t="shared" ca="1" si="350"/>
        <v>14.955030688815958</v>
      </c>
      <c r="S3374" s="38">
        <f t="shared" ca="1" si="351"/>
        <v>1054.0624999999998</v>
      </c>
    </row>
    <row r="3375" spans="13:19">
      <c r="M3375" s="132">
        <f t="shared" ca="1" si="348"/>
        <v>1069.3324296468249</v>
      </c>
      <c r="N3375" s="38">
        <f t="shared" si="349"/>
        <v>31.631250000000001</v>
      </c>
      <c r="O3375" s="36">
        <f t="shared" si="347"/>
        <v>843.5</v>
      </c>
      <c r="P3375" s="38">
        <f ca="1">IF(ISERROR(IF(O3375&lt;fi_h/20,0,(OFFSET('Base de dados'!$A$5,IF(O3375&lt;20,1,IF(O3375&gt;1000,10,MATCH(O3375,Cargas,1))),Coluna_fih,1,1))*(1+0.13*0.25)*(PI()*(fi_h/1000)^2/4)*SQRT(2*9.81*(O3375/100-fi_h/2/1000))*1000)),"",IF(O3375&lt;fi_h/20,0,(OFFSET('Base de dados'!$A$5,IF(O3375&lt;20,1,IF(O3375&gt;1000,10,MATCH(O3375,Cargas,1))),Coluna_fih,1,1))*(PI()*(fi_h/1000)^2/4)*SQRT(2*9.81*(O3375/100-fi_h/2/1000))*1000))</f>
        <v>7.766141386374791</v>
      </c>
      <c r="Q3375" s="38">
        <f ca="1">IF(O3375="","",IF(Tipo_Vertedor="Retangular",IF(O3375&lt;=cota_s*100,0,IF(Tipo_Vertedor="Retangular",Cd_sr*Lef_sr*((O3375/100-cota_s)^(3/2))*1000)),IF(O3375&lt;=cota_s*100+fi_s/20,0,(OFFSET('Base de dados'!$A$4,IF(O3375&lt;20,1,IF(O3375&gt;1000,10,MATCH(O3375,Cargas,1))),Coluna_fis,1,1))*(PI()*(fi_s/1000)^2/4)*(2*9.81*(O3375/100-cota_s-fi_s/2/1000))^0.5*1000)))</f>
        <v>7.191288260450083</v>
      </c>
      <c r="R3375" s="38">
        <f t="shared" ca="1" si="350"/>
        <v>14.957429646824874</v>
      </c>
      <c r="S3375" s="38">
        <f t="shared" ca="1" si="351"/>
        <v>1054.375</v>
      </c>
    </row>
    <row r="3376" spans="13:19">
      <c r="M3376" s="132">
        <f t="shared" ca="1" si="348"/>
        <v>1069.6473282178611</v>
      </c>
      <c r="N3376" s="38">
        <f t="shared" si="349"/>
        <v>31.640625</v>
      </c>
      <c r="O3376" s="36">
        <f t="shared" si="347"/>
        <v>843.75</v>
      </c>
      <c r="P3376" s="38">
        <f ca="1">IF(ISERROR(IF(O3376&lt;fi_h/20,0,(OFFSET('Base de dados'!$A$5,IF(O3376&lt;20,1,IF(O3376&gt;1000,10,MATCH(O3376,Cargas,1))),Coluna_fih,1,1))*(1+0.13*0.25)*(PI()*(fi_h/1000)^2/4)*SQRT(2*9.81*(O3376/100-fi_h/2/1000))*1000)),"",IF(O3376&lt;fi_h/20,0,(OFFSET('Base de dados'!$A$5,IF(O3376&lt;20,1,IF(O3376&gt;1000,10,MATCH(O3376,Cargas,1))),Coluna_fih,1,1))*(PI()*(fi_h/1000)^2/4)*SQRT(2*9.81*(O3376/100-fi_h/2/1000))*1000))</f>
        <v>7.7672945876050656</v>
      </c>
      <c r="Q3376" s="38">
        <f ca="1">IF(O3376="","",IF(Tipo_Vertedor="Retangular",IF(O3376&lt;=cota_s*100,0,IF(Tipo_Vertedor="Retangular",Cd_sr*Lef_sr*((O3376/100-cota_s)^(3/2))*1000)),IF(O3376&lt;=cota_s*100+fi_s/20,0,(OFFSET('Base de dados'!$A$4,IF(O3376&lt;20,1,IF(O3376&gt;1000,10,MATCH(O3376,Cargas,1))),Coluna_fis,1,1))*(PI()*(fi_s/1000)^2/4)*(2*9.81*(O3376/100-cota_s-fi_s/2/1000))^0.5*1000)))</f>
        <v>7.1925336302559444</v>
      </c>
      <c r="R3376" s="38">
        <f t="shared" ca="1" si="350"/>
        <v>14.959828217861009</v>
      </c>
      <c r="S3376" s="38">
        <f t="shared" ca="1" si="351"/>
        <v>1054.6875</v>
      </c>
    </row>
    <row r="3377" spans="13:19">
      <c r="M3377" s="132">
        <f t="shared" ca="1" si="348"/>
        <v>1069.9622264021127</v>
      </c>
      <c r="N3377" s="38">
        <f t="shared" si="349"/>
        <v>31.65</v>
      </c>
      <c r="O3377" s="36">
        <f t="shared" si="347"/>
        <v>844</v>
      </c>
      <c r="P3377" s="38">
        <f ca="1">IF(ISERROR(IF(O3377&lt;fi_h/20,0,(OFFSET('Base de dados'!$A$5,IF(O3377&lt;20,1,IF(O3377&gt;1000,10,MATCH(O3377,Cargas,1))),Coluna_fih,1,1))*(1+0.13*0.25)*(PI()*(fi_h/1000)^2/4)*SQRT(2*9.81*(O3377/100-fi_h/2/1000))*1000)),"",IF(O3377&lt;fi_h/20,0,(OFFSET('Base de dados'!$A$5,IF(O3377&lt;20,1,IF(O3377&gt;1000,10,MATCH(O3377,Cargas,1))),Coluna_fih,1,1))*(PI()*(fi_h/1000)^2/4)*SQRT(2*9.81*(O3377/100-fi_h/2/1000))*1000))</f>
        <v>7.7684476176463022</v>
      </c>
      <c r="Q3377" s="38">
        <f ca="1">IF(O3377="","",IF(Tipo_Vertedor="Retangular",IF(O3377&lt;=cota_s*100,0,IF(Tipo_Vertedor="Retangular",Cd_sr*Lef_sr*((O3377/100-cota_s)^(3/2))*1000)),IF(O3377&lt;=cota_s*100+fi_s/20,0,(OFFSET('Base de dados'!$A$4,IF(O3377&lt;20,1,IF(O3377&gt;1000,10,MATCH(O3377,Cargas,1))),Coluna_fis,1,1))*(PI()*(fi_s/1000)^2/4)*(2*9.81*(O3377/100-cota_s-fi_s/2/1000))^0.5*1000)))</f>
        <v>7.1937787844663612</v>
      </c>
      <c r="R3377" s="38">
        <f t="shared" ca="1" si="350"/>
        <v>14.962226402112663</v>
      </c>
      <c r="S3377" s="38">
        <f t="shared" ca="1" si="351"/>
        <v>1055</v>
      </c>
    </row>
    <row r="3378" spans="13:19">
      <c r="M3378" s="132">
        <f t="shared" ca="1" si="348"/>
        <v>1070.2771241997682</v>
      </c>
      <c r="N3378" s="38">
        <f t="shared" si="349"/>
        <v>31.659375000000004</v>
      </c>
      <c r="O3378" s="36">
        <f t="shared" si="347"/>
        <v>844.25</v>
      </c>
      <c r="P3378" s="38">
        <f ca="1">IF(ISERROR(IF(O3378&lt;fi_h/20,0,(OFFSET('Base de dados'!$A$5,IF(O3378&lt;20,1,IF(O3378&gt;1000,10,MATCH(O3378,Cargas,1))),Coluna_fih,1,1))*(1+0.13*0.25)*(PI()*(fi_h/1000)^2/4)*SQRT(2*9.81*(O3378/100-fi_h/2/1000))*1000)),"",IF(O3378&lt;fi_h/20,0,(OFFSET('Base de dados'!$A$5,IF(O3378&lt;20,1,IF(O3378&gt;1000,10,MATCH(O3378,Cargas,1))),Coluna_fih,1,1))*(PI()*(fi_h/1000)^2/4)*SQRT(2*9.81*(O3378/100-fi_h/2/1000))*1000))</f>
        <v>7.7696004765747197</v>
      </c>
      <c r="Q3378" s="38">
        <f ca="1">IF(O3378="","",IF(Tipo_Vertedor="Retangular",IF(O3378&lt;=cota_s*100,0,IF(Tipo_Vertedor="Retangular",Cd_sr*Lef_sr*((O3378/100-cota_s)^(3/2))*1000)),IF(O3378&lt;=cota_s*100+fi_s/20,0,(OFFSET('Base de dados'!$A$4,IF(O3378&lt;20,1,IF(O3378&gt;1000,10,MATCH(O3378,Cargas,1))),Coluna_fis,1,1))*(PI()*(fi_s/1000)^2/4)*(2*9.81*(O3378/100-cota_s-fi_s/2/1000))^0.5*1000)))</f>
        <v>7.1950237231932679</v>
      </c>
      <c r="R3378" s="38">
        <f t="shared" ca="1" si="350"/>
        <v>14.964624199767988</v>
      </c>
      <c r="S3378" s="38">
        <f t="shared" ca="1" si="351"/>
        <v>1055.3125000000002</v>
      </c>
    </row>
    <row r="3379" spans="13:19">
      <c r="M3379" s="132">
        <f t="shared" ca="1" si="348"/>
        <v>1070.5920216110153</v>
      </c>
      <c r="N3379" s="38">
        <f t="shared" si="349"/>
        <v>31.668750000000003</v>
      </c>
      <c r="O3379" s="36">
        <f t="shared" si="347"/>
        <v>844.5</v>
      </c>
      <c r="P3379" s="38">
        <f ca="1">IF(ISERROR(IF(O3379&lt;fi_h/20,0,(OFFSET('Base de dados'!$A$5,IF(O3379&lt;20,1,IF(O3379&gt;1000,10,MATCH(O3379,Cargas,1))),Coluna_fih,1,1))*(1+0.13*0.25)*(PI()*(fi_h/1000)^2/4)*SQRT(2*9.81*(O3379/100-fi_h/2/1000))*1000)),"",IF(O3379&lt;fi_h/20,0,(OFFSET('Base de dados'!$A$5,IF(O3379&lt;20,1,IF(O3379&gt;1000,10,MATCH(O3379,Cargas,1))),Coluna_fih,1,1))*(PI()*(fi_h/1000)^2/4)*SQRT(2*9.81*(O3379/100-fi_h/2/1000))*1000))</f>
        <v>7.7707531644664707</v>
      </c>
      <c r="Q3379" s="38">
        <f ca="1">IF(O3379="","",IF(Tipo_Vertedor="Retangular",IF(O3379&lt;=cota_s*100,0,IF(Tipo_Vertedor="Retangular",Cd_sr*Lef_sr*((O3379/100-cota_s)^(3/2))*1000)),IF(O3379&lt;=cota_s*100+fi_s/20,0,(OFFSET('Base de dados'!$A$4,IF(O3379&lt;20,1,IF(O3379&gt;1000,10,MATCH(O3379,Cargas,1))),Coluna_fis,1,1))*(PI()*(fi_s/1000)^2/4)*(2*9.81*(O3379/100-cota_s-fi_s/2/1000))^0.5*1000)))</f>
        <v>7.1962684465484941</v>
      </c>
      <c r="R3379" s="38">
        <f t="shared" ca="1" si="350"/>
        <v>14.967021611014964</v>
      </c>
      <c r="S3379" s="38">
        <f t="shared" ca="1" si="351"/>
        <v>1055.6250000000002</v>
      </c>
    </row>
    <row r="3380" spans="13:19">
      <c r="M3380" s="132">
        <f t="shared" ca="1" si="348"/>
        <v>1070.9069186360412</v>
      </c>
      <c r="N3380" s="38">
        <f t="shared" si="349"/>
        <v>31.678124999999998</v>
      </c>
      <c r="O3380" s="36">
        <f t="shared" si="347"/>
        <v>844.75</v>
      </c>
      <c r="P3380" s="38">
        <f ca="1">IF(ISERROR(IF(O3380&lt;fi_h/20,0,(OFFSET('Base de dados'!$A$5,IF(O3380&lt;20,1,IF(O3380&gt;1000,10,MATCH(O3380,Cargas,1))),Coluna_fih,1,1))*(1+0.13*0.25)*(PI()*(fi_h/1000)^2/4)*SQRT(2*9.81*(O3380/100-fi_h/2/1000))*1000)),"",IF(O3380&lt;fi_h/20,0,(OFFSET('Base de dados'!$A$5,IF(O3380&lt;20,1,IF(O3380&gt;1000,10,MATCH(O3380,Cargas,1))),Coluna_fih,1,1))*(PI()*(fi_h/1000)^2/4)*SQRT(2*9.81*(O3380/100-fi_h/2/1000))*1000))</f>
        <v>7.7719056813976612</v>
      </c>
      <c r="Q3380" s="38">
        <f ca="1">IF(O3380="","",IF(Tipo_Vertedor="Retangular",IF(O3380&lt;=cota_s*100,0,IF(Tipo_Vertedor="Retangular",Cd_sr*Lef_sr*((O3380/100-cota_s)^(3/2))*1000)),IF(O3380&lt;=cota_s*100+fi_s/20,0,(OFFSET('Base de dados'!$A$4,IF(O3380&lt;20,1,IF(O3380&gt;1000,10,MATCH(O3380,Cargas,1))),Coluna_fis,1,1))*(PI()*(fi_s/1000)^2/4)*(2*9.81*(O3380/100-cota_s-fi_s/2/1000))^0.5*1000)))</f>
        <v>7.1975129546437815</v>
      </c>
      <c r="R3380" s="38">
        <f t="shared" ca="1" si="350"/>
        <v>14.969418636041443</v>
      </c>
      <c r="S3380" s="38">
        <f t="shared" ca="1" si="351"/>
        <v>1055.9374999999998</v>
      </c>
    </row>
    <row r="3381" spans="13:19">
      <c r="M3381" s="132">
        <f t="shared" ca="1" si="348"/>
        <v>1071.2218152750349</v>
      </c>
      <c r="N3381" s="38">
        <f t="shared" si="349"/>
        <v>31.687499999999996</v>
      </c>
      <c r="O3381" s="36">
        <f t="shared" si="347"/>
        <v>845</v>
      </c>
      <c r="P3381" s="38">
        <f ca="1">IF(ISERROR(IF(O3381&lt;fi_h/20,0,(OFFSET('Base de dados'!$A$5,IF(O3381&lt;20,1,IF(O3381&gt;1000,10,MATCH(O3381,Cargas,1))),Coluna_fih,1,1))*(1+0.13*0.25)*(PI()*(fi_h/1000)^2/4)*SQRT(2*9.81*(O3381/100-fi_h/2/1000))*1000)),"",IF(O3381&lt;fi_h/20,0,(OFFSET('Base de dados'!$A$5,IF(O3381&lt;20,1,IF(O3381&gt;1000,10,MATCH(O3381,Cargas,1))),Coluna_fih,1,1))*(PI()*(fi_h/1000)^2/4)*SQRT(2*9.81*(O3381/100-fi_h/2/1000))*1000))</f>
        <v>7.7730580274443355</v>
      </c>
      <c r="Q3381" s="38">
        <f ca="1">IF(O3381="","",IF(Tipo_Vertedor="Retangular",IF(O3381&lt;=cota_s*100,0,IF(Tipo_Vertedor="Retangular",Cd_sr*Lef_sr*((O3381/100-cota_s)^(3/2))*1000)),IF(O3381&lt;=cota_s*100+fi_s/20,0,(OFFSET('Base de dados'!$A$4,IF(O3381&lt;20,1,IF(O3381&gt;1000,10,MATCH(O3381,Cargas,1))),Coluna_fis,1,1))*(PI()*(fi_s/1000)^2/4)*(2*9.81*(O3381/100-cota_s-fi_s/2/1000))^0.5*1000)))</f>
        <v>7.1987572475907688</v>
      </c>
      <c r="R3381" s="38">
        <f t="shared" ca="1" si="350"/>
        <v>14.971815275035105</v>
      </c>
      <c r="S3381" s="38">
        <f t="shared" ca="1" si="351"/>
        <v>1056.2499999999998</v>
      </c>
    </row>
    <row r="3382" spans="13:19">
      <c r="M3382" s="132">
        <f t="shared" ca="1" si="348"/>
        <v>1071.5367115281838</v>
      </c>
      <c r="N3382" s="38">
        <f t="shared" si="349"/>
        <v>31.696875000000002</v>
      </c>
      <c r="O3382" s="36">
        <f t="shared" si="347"/>
        <v>845.25</v>
      </c>
      <c r="P3382" s="38">
        <f ca="1">IF(ISERROR(IF(O3382&lt;fi_h/20,0,(OFFSET('Base de dados'!$A$5,IF(O3382&lt;20,1,IF(O3382&gt;1000,10,MATCH(O3382,Cargas,1))),Coluna_fih,1,1))*(1+0.13*0.25)*(PI()*(fi_h/1000)^2/4)*SQRT(2*9.81*(O3382/100-fi_h/2/1000))*1000)),"",IF(O3382&lt;fi_h/20,0,(OFFSET('Base de dados'!$A$5,IF(O3382&lt;20,1,IF(O3382&gt;1000,10,MATCH(O3382,Cargas,1))),Coluna_fih,1,1))*(PI()*(fi_h/1000)^2/4)*SQRT(2*9.81*(O3382/100-fi_h/2/1000))*1000))</f>
        <v>7.7742102026824833</v>
      </c>
      <c r="Q3382" s="38">
        <f ca="1">IF(O3382="","",IF(Tipo_Vertedor="Retangular",IF(O3382&lt;=cota_s*100,0,IF(Tipo_Vertedor="Retangular",Cd_sr*Lef_sr*((O3382/100-cota_s)^(3/2))*1000)),IF(O3382&lt;=cota_s*100+fi_s/20,0,(OFFSET('Base de dados'!$A$4,IF(O3382&lt;20,1,IF(O3382&gt;1000,10,MATCH(O3382,Cargas,1))),Coluna_fis,1,1))*(PI()*(fi_s/1000)^2/4)*(2*9.81*(O3382/100-cota_s-fi_s/2/1000))^0.5*1000)))</f>
        <v>7.2000013255010034</v>
      </c>
      <c r="R3382" s="38">
        <f t="shared" ca="1" si="350"/>
        <v>14.974211528183487</v>
      </c>
      <c r="S3382" s="38">
        <f t="shared" ca="1" si="351"/>
        <v>1056.5625000000002</v>
      </c>
    </row>
    <row r="3383" spans="13:19">
      <c r="M3383" s="132">
        <f t="shared" ca="1" si="348"/>
        <v>1071.8516073956739</v>
      </c>
      <c r="N3383" s="38">
        <f t="shared" si="349"/>
        <v>31.706250000000001</v>
      </c>
      <c r="O3383" s="36">
        <f t="shared" si="347"/>
        <v>845.5</v>
      </c>
      <c r="P3383" s="38">
        <f ca="1">IF(ISERROR(IF(O3383&lt;fi_h/20,0,(OFFSET('Base de dados'!$A$5,IF(O3383&lt;20,1,IF(O3383&gt;1000,10,MATCH(O3383,Cargas,1))),Coluna_fih,1,1))*(1+0.13*0.25)*(PI()*(fi_h/1000)^2/4)*SQRT(2*9.81*(O3383/100-fi_h/2/1000))*1000)),"",IF(O3383&lt;fi_h/20,0,(OFFSET('Base de dados'!$A$5,IF(O3383&lt;20,1,IF(O3383&gt;1000,10,MATCH(O3383,Cargas,1))),Coluna_fih,1,1))*(PI()*(fi_h/1000)^2/4)*SQRT(2*9.81*(O3383/100-fi_h/2/1000))*1000))</f>
        <v>7.7753622071880342</v>
      </c>
      <c r="Q3383" s="38">
        <f ca="1">IF(O3383="","",IF(Tipo_Vertedor="Retangular",IF(O3383&lt;=cota_s*100,0,IF(Tipo_Vertedor="Retangular",Cd_sr*Lef_sr*((O3383/100-cota_s)^(3/2))*1000)),IF(O3383&lt;=cota_s*100+fi_s/20,0,(OFFSET('Base de dados'!$A$4,IF(O3383&lt;20,1,IF(O3383&gt;1000,10,MATCH(O3383,Cargas,1))),Coluna_fis,1,1))*(PI()*(fi_s/1000)^2/4)*(2*9.81*(O3383/100-cota_s-fi_s/2/1000))^0.5*1000)))</f>
        <v>7.2012451884859319</v>
      </c>
      <c r="R3383" s="38">
        <f t="shared" ca="1" si="350"/>
        <v>14.976607395673966</v>
      </c>
      <c r="S3383" s="38">
        <f t="shared" ca="1" si="351"/>
        <v>1056.875</v>
      </c>
    </row>
    <row r="3384" spans="13:19">
      <c r="M3384" s="132">
        <f t="shared" ca="1" si="348"/>
        <v>1072.1665028776938</v>
      </c>
      <c r="N3384" s="38">
        <f t="shared" si="349"/>
        <v>31.715624999999999</v>
      </c>
      <c r="O3384" s="36">
        <f t="shared" si="347"/>
        <v>845.75</v>
      </c>
      <c r="P3384" s="38">
        <f ca="1">IF(ISERROR(IF(O3384&lt;fi_h/20,0,(OFFSET('Base de dados'!$A$5,IF(O3384&lt;20,1,IF(O3384&gt;1000,10,MATCH(O3384,Cargas,1))),Coluna_fih,1,1))*(1+0.13*0.25)*(PI()*(fi_h/1000)^2/4)*SQRT(2*9.81*(O3384/100-fi_h/2/1000))*1000)),"",IF(O3384&lt;fi_h/20,0,(OFFSET('Base de dados'!$A$5,IF(O3384&lt;20,1,IF(O3384&gt;1000,10,MATCH(O3384,Cargas,1))),Coluna_fih,1,1))*(PI()*(fi_h/1000)^2/4)*SQRT(2*9.81*(O3384/100-fi_h/2/1000))*1000))</f>
        <v>7.7765140410368669</v>
      </c>
      <c r="Q3384" s="38">
        <f ca="1">IF(O3384="","",IF(Tipo_Vertedor="Retangular",IF(O3384&lt;=cota_s*100,0,IF(Tipo_Vertedor="Retangular",Cd_sr*Lef_sr*((O3384/100-cota_s)^(3/2))*1000)),IF(O3384&lt;=cota_s*100+fi_s/20,0,(OFFSET('Base de dados'!$A$4,IF(O3384&lt;20,1,IF(O3384&gt;1000,10,MATCH(O3384,Cargas,1))),Coluna_fis,1,1))*(PI()*(fi_s/1000)^2/4)*(2*9.81*(O3384/100-cota_s-fi_s/2/1000))^0.5*1000)))</f>
        <v>7.2024888366569062</v>
      </c>
      <c r="R3384" s="38">
        <f t="shared" ca="1" si="350"/>
        <v>14.979002877693773</v>
      </c>
      <c r="S3384" s="38">
        <f t="shared" ca="1" si="351"/>
        <v>1057.1875</v>
      </c>
    </row>
    <row r="3385" spans="13:19">
      <c r="M3385" s="132">
        <f t="shared" ca="1" si="348"/>
        <v>1072.4813979744299</v>
      </c>
      <c r="N3385" s="38">
        <f t="shared" si="349"/>
        <v>31.725000000000001</v>
      </c>
      <c r="O3385" s="36">
        <f t="shared" si="347"/>
        <v>846</v>
      </c>
      <c r="P3385" s="38">
        <f ca="1">IF(ISERROR(IF(O3385&lt;fi_h/20,0,(OFFSET('Base de dados'!$A$5,IF(O3385&lt;20,1,IF(O3385&gt;1000,10,MATCH(O3385,Cargas,1))),Coluna_fih,1,1))*(1+0.13*0.25)*(PI()*(fi_h/1000)^2/4)*SQRT(2*9.81*(O3385/100-fi_h/2/1000))*1000)),"",IF(O3385&lt;fi_h/20,0,(OFFSET('Base de dados'!$A$5,IF(O3385&lt;20,1,IF(O3385&gt;1000,10,MATCH(O3385,Cargas,1))),Coluna_fih,1,1))*(PI()*(fi_h/1000)^2/4)*SQRT(2*9.81*(O3385/100-fi_h/2/1000))*1000))</f>
        <v>7.7776657043048036</v>
      </c>
      <c r="Q3385" s="38">
        <f ca="1">IF(O3385="","",IF(Tipo_Vertedor="Retangular",IF(O3385&lt;=cota_s*100,0,IF(Tipo_Vertedor="Retangular",Cd_sr*Lef_sr*((O3385/100-cota_s)^(3/2))*1000)),IF(O3385&lt;=cota_s*100+fi_s/20,0,(OFFSET('Base de dados'!$A$4,IF(O3385&lt;20,1,IF(O3385&gt;1000,10,MATCH(O3385,Cargas,1))),Coluna_fis,1,1))*(PI()*(fi_s/1000)^2/4)*(2*9.81*(O3385/100-cota_s-fi_s/2/1000))^0.5*1000)))</f>
        <v>7.2037322701251831</v>
      </c>
      <c r="R3385" s="38">
        <f t="shared" ca="1" si="350"/>
        <v>14.981397974429987</v>
      </c>
      <c r="S3385" s="38">
        <f t="shared" ca="1" si="351"/>
        <v>1057.5</v>
      </c>
    </row>
    <row r="3386" spans="13:19">
      <c r="M3386" s="132">
        <f t="shared" ca="1" si="348"/>
        <v>1072.7962926860696</v>
      </c>
      <c r="N3386" s="38">
        <f t="shared" si="349"/>
        <v>31.734375</v>
      </c>
      <c r="O3386" s="36">
        <f t="shared" si="347"/>
        <v>846.25</v>
      </c>
      <c r="P3386" s="38">
        <f ca="1">IF(ISERROR(IF(O3386&lt;fi_h/20,0,(OFFSET('Base de dados'!$A$5,IF(O3386&lt;20,1,IF(O3386&gt;1000,10,MATCH(O3386,Cargas,1))),Coluna_fih,1,1))*(1+0.13*0.25)*(PI()*(fi_h/1000)^2/4)*SQRT(2*9.81*(O3386/100-fi_h/2/1000))*1000)),"",IF(O3386&lt;fi_h/20,0,(OFFSET('Base de dados'!$A$5,IF(O3386&lt;20,1,IF(O3386&gt;1000,10,MATCH(O3386,Cargas,1))),Coluna_fih,1,1))*(PI()*(fi_h/1000)^2/4)*SQRT(2*9.81*(O3386/100-fi_h/2/1000))*1000))</f>
        <v>7.778817197067605</v>
      </c>
      <c r="Q3386" s="38">
        <f ca="1">IF(O3386="","",IF(Tipo_Vertedor="Retangular",IF(O3386&lt;=cota_s*100,0,IF(Tipo_Vertedor="Retangular",Cd_sr*Lef_sr*((O3386/100-cota_s)^(3/2))*1000)),IF(O3386&lt;=cota_s*100+fi_s/20,0,(OFFSET('Base de dados'!$A$4,IF(O3386&lt;20,1,IF(O3386&gt;1000,10,MATCH(O3386,Cargas,1))),Coluna_fis,1,1))*(PI()*(fi_s/1000)^2/4)*(2*9.81*(O3386/100-cota_s-fi_s/2/1000))^0.5*1000)))</f>
        <v>7.2049754890019244</v>
      </c>
      <c r="R3386" s="38">
        <f t="shared" ca="1" si="350"/>
        <v>14.983792686069529</v>
      </c>
      <c r="S3386" s="38">
        <f t="shared" ca="1" si="351"/>
        <v>1057.8125</v>
      </c>
    </row>
    <row r="3387" spans="13:19">
      <c r="M3387" s="132">
        <f t="shared" ca="1" si="348"/>
        <v>1073.1111870127991</v>
      </c>
      <c r="N3387" s="38">
        <f t="shared" si="349"/>
        <v>31.743749999999999</v>
      </c>
      <c r="O3387" s="36">
        <f t="shared" si="347"/>
        <v>846.5</v>
      </c>
      <c r="P3387" s="38">
        <f ca="1">IF(ISERROR(IF(O3387&lt;fi_h/20,0,(OFFSET('Base de dados'!$A$5,IF(O3387&lt;20,1,IF(O3387&gt;1000,10,MATCH(O3387,Cargas,1))),Coluna_fih,1,1))*(1+0.13*0.25)*(PI()*(fi_h/1000)^2/4)*SQRT(2*9.81*(O3387/100-fi_h/2/1000))*1000)),"",IF(O3387&lt;fi_h/20,0,(OFFSET('Base de dados'!$A$5,IF(O3387&lt;20,1,IF(O3387&gt;1000,10,MATCH(O3387,Cargas,1))),Coluna_fih,1,1))*(PI()*(fi_h/1000)^2/4)*SQRT(2*9.81*(O3387/100-fi_h/2/1000))*1000))</f>
        <v>7.7799685194009793</v>
      </c>
      <c r="Q3387" s="38">
        <f ca="1">IF(O3387="","",IF(Tipo_Vertedor="Retangular",IF(O3387&lt;=cota_s*100,0,IF(Tipo_Vertedor="Retangular",Cd_sr*Lef_sr*((O3387/100-cota_s)^(3/2))*1000)),IF(O3387&lt;=cota_s*100+fi_s/20,0,(OFFSET('Base de dados'!$A$4,IF(O3387&lt;20,1,IF(O3387&gt;1000,10,MATCH(O3387,Cargas,1))),Coluna_fis,1,1))*(PI()*(fi_s/1000)^2/4)*(2*9.81*(O3387/100-cota_s-fi_s/2/1000))^0.5*1000)))</f>
        <v>7.2062184933981897</v>
      </c>
      <c r="R3387" s="38">
        <f t="shared" ca="1" si="350"/>
        <v>14.986187012799169</v>
      </c>
      <c r="S3387" s="38">
        <f t="shared" ca="1" si="351"/>
        <v>1058.125</v>
      </c>
    </row>
    <row r="3388" spans="13:19">
      <c r="M3388" s="132">
        <f t="shared" ca="1" si="348"/>
        <v>1073.4260809548052</v>
      </c>
      <c r="N3388" s="38">
        <f t="shared" si="349"/>
        <v>31.753124999999997</v>
      </c>
      <c r="O3388" s="36">
        <f t="shared" si="347"/>
        <v>846.75</v>
      </c>
      <c r="P3388" s="38">
        <f ca="1">IF(ISERROR(IF(O3388&lt;fi_h/20,0,(OFFSET('Base de dados'!$A$5,IF(O3388&lt;20,1,IF(O3388&gt;1000,10,MATCH(O3388,Cargas,1))),Coluna_fih,1,1))*(1+0.13*0.25)*(PI()*(fi_h/1000)^2/4)*SQRT(2*9.81*(O3388/100-fi_h/2/1000))*1000)),"",IF(O3388&lt;fi_h/20,0,(OFFSET('Base de dados'!$A$5,IF(O3388&lt;20,1,IF(O3388&gt;1000,10,MATCH(O3388,Cargas,1))),Coluna_fih,1,1))*(PI()*(fi_h/1000)^2/4)*SQRT(2*9.81*(O3388/100-fi_h/2/1000))*1000))</f>
        <v>7.7811196713805817</v>
      </c>
      <c r="Q3388" s="38">
        <f ca="1">IF(O3388="","",IF(Tipo_Vertedor="Retangular",IF(O3388&lt;=cota_s*100,0,IF(Tipo_Vertedor="Retangular",Cd_sr*Lef_sr*((O3388/100-cota_s)^(3/2))*1000)),IF(O3388&lt;=cota_s*100+fi_s/20,0,(OFFSET('Base de dados'!$A$4,IF(O3388&lt;20,1,IF(O3388&gt;1000,10,MATCH(O3388,Cargas,1))),Coluna_fis,1,1))*(PI()*(fi_s/1000)^2/4)*(2*9.81*(O3388/100-cota_s-fi_s/2/1000))^0.5*1000)))</f>
        <v>7.2074612834249523</v>
      </c>
      <c r="R3388" s="38">
        <f t="shared" ca="1" si="350"/>
        <v>14.988580954805535</v>
      </c>
      <c r="S3388" s="38">
        <f t="shared" ca="1" si="351"/>
        <v>1058.4374999999998</v>
      </c>
    </row>
    <row r="3389" spans="13:19">
      <c r="M3389" s="132">
        <f t="shared" ca="1" si="348"/>
        <v>1073.7409745122752</v>
      </c>
      <c r="N3389" s="38">
        <f t="shared" si="349"/>
        <v>31.762500000000003</v>
      </c>
      <c r="O3389" s="36">
        <f t="shared" si="347"/>
        <v>847</v>
      </c>
      <c r="P3389" s="38">
        <f ca="1">IF(ISERROR(IF(O3389&lt;fi_h/20,0,(OFFSET('Base de dados'!$A$5,IF(O3389&lt;20,1,IF(O3389&gt;1000,10,MATCH(O3389,Cargas,1))),Coluna_fih,1,1))*(1+0.13*0.25)*(PI()*(fi_h/1000)^2/4)*SQRT(2*9.81*(O3389/100-fi_h/2/1000))*1000)),"",IF(O3389&lt;fi_h/20,0,(OFFSET('Base de dados'!$A$5,IF(O3389&lt;20,1,IF(O3389&gt;1000,10,MATCH(O3389,Cargas,1))),Coluna_fih,1,1))*(PI()*(fi_h/1000)^2/4)*SQRT(2*9.81*(O3389/100-fi_h/2/1000))*1000))</f>
        <v>7.7822706530820058</v>
      </c>
      <c r="Q3389" s="38">
        <f ca="1">IF(O3389="","",IF(Tipo_Vertedor="Retangular",IF(O3389&lt;=cota_s*100,0,IF(Tipo_Vertedor="Retangular",Cd_sr*Lef_sr*((O3389/100-cota_s)^(3/2))*1000)),IF(O3389&lt;=cota_s*100+fi_s/20,0,(OFFSET('Base de dados'!$A$4,IF(O3389&lt;20,1,IF(O3389&gt;1000,10,MATCH(O3389,Cargas,1))),Coluna_fis,1,1))*(PI()*(fi_s/1000)^2/4)*(2*9.81*(O3389/100-cota_s-fi_s/2/1000))^0.5*1000)))</f>
        <v>7.2087038591930819</v>
      </c>
      <c r="R3389" s="38">
        <f t="shared" ca="1" si="350"/>
        <v>14.990974512275088</v>
      </c>
      <c r="S3389" s="38">
        <f t="shared" ca="1" si="351"/>
        <v>1058.7500000000002</v>
      </c>
    </row>
    <row r="3390" spans="13:19">
      <c r="M3390" s="132">
        <f t="shared" ca="1" si="348"/>
        <v>1074.0558676853941</v>
      </c>
      <c r="N3390" s="38">
        <f t="shared" si="349"/>
        <v>31.771875000000001</v>
      </c>
      <c r="O3390" s="36">
        <f t="shared" si="347"/>
        <v>847.25</v>
      </c>
      <c r="P3390" s="38">
        <f ca="1">IF(ISERROR(IF(O3390&lt;fi_h/20,0,(OFFSET('Base de dados'!$A$5,IF(O3390&lt;20,1,IF(O3390&gt;1000,10,MATCH(O3390,Cargas,1))),Coluna_fih,1,1))*(1+0.13*0.25)*(PI()*(fi_h/1000)^2/4)*SQRT(2*9.81*(O3390/100-fi_h/2/1000))*1000)),"",IF(O3390&lt;fi_h/20,0,(OFFSET('Base de dados'!$A$5,IF(O3390&lt;20,1,IF(O3390&gt;1000,10,MATCH(O3390,Cargas,1))),Coluna_fih,1,1))*(PI()*(fi_h/1000)^2/4)*SQRT(2*9.81*(O3390/100-fi_h/2/1000))*1000))</f>
        <v>7.7834214645807931</v>
      </c>
      <c r="Q3390" s="38">
        <f ca="1">IF(O3390="","",IF(Tipo_Vertedor="Retangular",IF(O3390&lt;=cota_s*100,0,IF(Tipo_Vertedor="Retangular",Cd_sr*Lef_sr*((O3390/100-cota_s)^(3/2))*1000)),IF(O3390&lt;=cota_s*100+fi_s/20,0,(OFFSET('Base de dados'!$A$4,IF(O3390&lt;20,1,IF(O3390&gt;1000,10,MATCH(O3390,Cargas,1))),Coluna_fis,1,1))*(PI()*(fi_s/1000)^2/4)*(2*9.81*(O3390/100-cota_s-fi_s/2/1000))^0.5*1000)))</f>
        <v>7.2099462208133565</v>
      </c>
      <c r="R3390" s="38">
        <f t="shared" ca="1" si="350"/>
        <v>14.99336768539415</v>
      </c>
      <c r="S3390" s="38">
        <f t="shared" ca="1" si="351"/>
        <v>1059.0625</v>
      </c>
    </row>
    <row r="3391" spans="13:19">
      <c r="M3391" s="132">
        <f t="shared" ca="1" si="348"/>
        <v>1074.3707604743488</v>
      </c>
      <c r="N3391" s="38">
        <f t="shared" si="349"/>
        <v>31.78125</v>
      </c>
      <c r="O3391" s="36">
        <f t="shared" si="347"/>
        <v>847.5</v>
      </c>
      <c r="P3391" s="38">
        <f ca="1">IF(ISERROR(IF(O3391&lt;fi_h/20,0,(OFFSET('Base de dados'!$A$5,IF(O3391&lt;20,1,IF(O3391&gt;1000,10,MATCH(O3391,Cargas,1))),Coluna_fih,1,1))*(1+0.13*0.25)*(PI()*(fi_h/1000)^2/4)*SQRT(2*9.81*(O3391/100-fi_h/2/1000))*1000)),"",IF(O3391&lt;fi_h/20,0,(OFFSET('Base de dados'!$A$5,IF(O3391&lt;20,1,IF(O3391&gt;1000,10,MATCH(O3391,Cargas,1))),Coluna_fih,1,1))*(PI()*(fi_h/1000)^2/4)*SQRT(2*9.81*(O3391/100-fi_h/2/1000))*1000))</f>
        <v>7.7845721059524253</v>
      </c>
      <c r="Q3391" s="38">
        <f ca="1">IF(O3391="","",IF(Tipo_Vertedor="Retangular",IF(O3391&lt;=cota_s*100,0,IF(Tipo_Vertedor="Retangular",Cd_sr*Lef_sr*((O3391/100-cota_s)^(3/2))*1000)),IF(O3391&lt;=cota_s*100+fi_s/20,0,(OFFSET('Base de dados'!$A$4,IF(O3391&lt;20,1,IF(O3391&gt;1000,10,MATCH(O3391,Cargas,1))),Coluna_fis,1,1))*(PI()*(fi_s/1000)^2/4)*(2*9.81*(O3391/100-cota_s-fi_s/2/1000))^0.5*1000)))</f>
        <v>7.2111883683964582</v>
      </c>
      <c r="R3391" s="38">
        <f t="shared" ca="1" si="350"/>
        <v>14.995760474348884</v>
      </c>
      <c r="S3391" s="38">
        <f t="shared" ca="1" si="351"/>
        <v>1059.375</v>
      </c>
    </row>
    <row r="3392" spans="13:19">
      <c r="M3392" s="132">
        <f t="shared" ca="1" si="348"/>
        <v>1074.6856528793253</v>
      </c>
      <c r="N3392" s="38">
        <f t="shared" si="349"/>
        <v>31.790624999999999</v>
      </c>
      <c r="O3392" s="36">
        <f t="shared" si="347"/>
        <v>847.75</v>
      </c>
      <c r="P3392" s="38">
        <f ca="1">IF(ISERROR(IF(O3392&lt;fi_h/20,0,(OFFSET('Base de dados'!$A$5,IF(O3392&lt;20,1,IF(O3392&gt;1000,10,MATCH(O3392,Cargas,1))),Coluna_fih,1,1))*(1+0.13*0.25)*(PI()*(fi_h/1000)^2/4)*SQRT(2*9.81*(O3392/100-fi_h/2/1000))*1000)),"",IF(O3392&lt;fi_h/20,0,(OFFSET('Base de dados'!$A$5,IF(O3392&lt;20,1,IF(O3392&gt;1000,10,MATCH(O3392,Cargas,1))),Coluna_fih,1,1))*(PI()*(fi_h/1000)^2/4)*SQRT(2*9.81*(O3392/100-fi_h/2/1000))*1000))</f>
        <v>7.7857225772723346</v>
      </c>
      <c r="Q3392" s="38">
        <f ca="1">IF(O3392="","",IF(Tipo_Vertedor="Retangular",IF(O3392&lt;=cota_s*100,0,IF(Tipo_Vertedor="Retangular",Cd_sr*Lef_sr*((O3392/100-cota_s)^(3/2))*1000)),IF(O3392&lt;=cota_s*100+fi_s/20,0,(OFFSET('Base de dados'!$A$4,IF(O3392&lt;20,1,IF(O3392&gt;1000,10,MATCH(O3392,Cargas,1))),Coluna_fis,1,1))*(PI()*(fi_s/1000)^2/4)*(2*9.81*(O3392/100-cota_s-fi_s/2/1000))^0.5*1000)))</f>
        <v>7.2124303020529741</v>
      </c>
      <c r="R3392" s="38">
        <f t="shared" ca="1" si="350"/>
        <v>14.998152879325309</v>
      </c>
      <c r="S3392" s="38">
        <f t="shared" ca="1" si="351"/>
        <v>1059.6875</v>
      </c>
    </row>
    <row r="3393" spans="13:19">
      <c r="M3393" s="132">
        <f t="shared" ca="1" si="348"/>
        <v>1075.0005449005093</v>
      </c>
      <c r="N3393" s="38">
        <f t="shared" si="349"/>
        <v>31.8</v>
      </c>
      <c r="O3393" s="36">
        <f t="shared" si="347"/>
        <v>848</v>
      </c>
      <c r="P3393" s="38">
        <f ca="1">IF(ISERROR(IF(O3393&lt;fi_h/20,0,(OFFSET('Base de dados'!$A$5,IF(O3393&lt;20,1,IF(O3393&gt;1000,10,MATCH(O3393,Cargas,1))),Coluna_fih,1,1))*(1+0.13*0.25)*(PI()*(fi_h/1000)^2/4)*SQRT(2*9.81*(O3393/100-fi_h/2/1000))*1000)),"",IF(O3393&lt;fi_h/20,0,(OFFSET('Base de dados'!$A$5,IF(O3393&lt;20,1,IF(O3393&gt;1000,10,MATCH(O3393,Cargas,1))),Coluna_fih,1,1))*(PI()*(fi_h/1000)^2/4)*SQRT(2*9.81*(O3393/100-fi_h/2/1000))*1000))</f>
        <v>7.7868728786158901</v>
      </c>
      <c r="Q3393" s="38">
        <f ca="1">IF(O3393="","",IF(Tipo_Vertedor="Retangular",IF(O3393&lt;=cota_s*100,0,IF(Tipo_Vertedor="Retangular",Cd_sr*Lef_sr*((O3393/100-cota_s)^(3/2))*1000)),IF(O3393&lt;=cota_s*100+fi_s/20,0,(OFFSET('Base de dados'!$A$4,IF(O3393&lt;20,1,IF(O3393&gt;1000,10,MATCH(O3393,Cargas,1))),Coluna_fis,1,1))*(PI()*(fi_s/1000)^2/4)*(2*9.81*(O3393/100-cota_s-fi_s/2/1000))^0.5*1000)))</f>
        <v>7.2136720218933945</v>
      </c>
      <c r="R3393" s="38">
        <f t="shared" ca="1" si="350"/>
        <v>15.000544900509285</v>
      </c>
      <c r="S3393" s="38">
        <f t="shared" ca="1" si="351"/>
        <v>1060</v>
      </c>
    </row>
    <row r="3394" spans="13:19">
      <c r="M3394" s="132">
        <f t="shared" ca="1" si="348"/>
        <v>1075.3154365380865</v>
      </c>
      <c r="N3394" s="38">
        <f t="shared" si="349"/>
        <v>31.809374999999999</v>
      </c>
      <c r="O3394" s="36">
        <f t="shared" si="347"/>
        <v>848.25</v>
      </c>
      <c r="P3394" s="38">
        <f ca="1">IF(ISERROR(IF(O3394&lt;fi_h/20,0,(OFFSET('Base de dados'!$A$5,IF(O3394&lt;20,1,IF(O3394&gt;1000,10,MATCH(O3394,Cargas,1))),Coluna_fih,1,1))*(1+0.13*0.25)*(PI()*(fi_h/1000)^2/4)*SQRT(2*9.81*(O3394/100-fi_h/2/1000))*1000)),"",IF(O3394&lt;fi_h/20,0,(OFFSET('Base de dados'!$A$5,IF(O3394&lt;20,1,IF(O3394&gt;1000,10,MATCH(O3394,Cargas,1))),Coluna_fih,1,1))*(PI()*(fi_h/1000)^2/4)*SQRT(2*9.81*(O3394/100-fi_h/2/1000))*1000))</f>
        <v>7.7880230100584136</v>
      </c>
      <c r="Q3394" s="38">
        <f ca="1">IF(O3394="","",IF(Tipo_Vertedor="Retangular",IF(O3394&lt;=cota_s*100,0,IF(Tipo_Vertedor="Retangular",Cd_sr*Lef_sr*((O3394/100-cota_s)^(3/2))*1000)),IF(O3394&lt;=cota_s*100+fi_s/20,0,(OFFSET('Base de dados'!$A$4,IF(O3394&lt;20,1,IF(O3394&gt;1000,10,MATCH(O3394,Cargas,1))),Coluna_fis,1,1))*(PI()*(fi_s/1000)^2/4)*(2*9.81*(O3394/100-cota_s-fi_s/2/1000))^0.5*1000)))</f>
        <v>7.2149135280281147</v>
      </c>
      <c r="R3394" s="38">
        <f t="shared" ca="1" si="350"/>
        <v>15.002936538086528</v>
      </c>
      <c r="S3394" s="38">
        <f t="shared" ca="1" si="351"/>
        <v>1060.3125</v>
      </c>
    </row>
    <row r="3395" spans="13:19">
      <c r="M3395" s="132">
        <f t="shared" ca="1" si="348"/>
        <v>1075.6303277922423</v>
      </c>
      <c r="N3395" s="38">
        <f t="shared" si="349"/>
        <v>31.818749999999998</v>
      </c>
      <c r="O3395" s="36">
        <f t="shared" si="347"/>
        <v>848.5</v>
      </c>
      <c r="P3395" s="38">
        <f ca="1">IF(ISERROR(IF(O3395&lt;fi_h/20,0,(OFFSET('Base de dados'!$A$5,IF(O3395&lt;20,1,IF(O3395&gt;1000,10,MATCH(O3395,Cargas,1))),Coluna_fih,1,1))*(1+0.13*0.25)*(PI()*(fi_h/1000)^2/4)*SQRT(2*9.81*(O3395/100-fi_h/2/1000))*1000)),"",IF(O3395&lt;fi_h/20,0,(OFFSET('Base de dados'!$A$5,IF(O3395&lt;20,1,IF(O3395&gt;1000,10,MATCH(O3395,Cargas,1))),Coluna_fih,1,1))*(PI()*(fi_h/1000)^2/4)*SQRT(2*9.81*(O3395/100-fi_h/2/1000))*1000))</f>
        <v>7.7891729716751614</v>
      </c>
      <c r="Q3395" s="38">
        <f ca="1">IF(O3395="","",IF(Tipo_Vertedor="Retangular",IF(O3395&lt;=cota_s*100,0,IF(Tipo_Vertedor="Retangular",Cd_sr*Lef_sr*((O3395/100-cota_s)^(3/2))*1000)),IF(O3395&lt;=cota_s*100+fi_s/20,0,(OFFSET('Base de dados'!$A$4,IF(O3395&lt;20,1,IF(O3395&gt;1000,10,MATCH(O3395,Cargas,1))),Coluna_fis,1,1))*(PI()*(fi_s/1000)^2/4)*(2*9.81*(O3395/100-cota_s-fi_s/2/1000))^0.5*1000)))</f>
        <v>7.2161548205674384</v>
      </c>
      <c r="R3395" s="38">
        <f t="shared" ca="1" si="350"/>
        <v>15.0053277922426</v>
      </c>
      <c r="S3395" s="38">
        <f t="shared" ca="1" si="351"/>
        <v>1060.6249999999998</v>
      </c>
    </row>
    <row r="3396" spans="13:19">
      <c r="M3396" s="132">
        <f t="shared" ca="1" si="348"/>
        <v>1075.9452186631631</v>
      </c>
      <c r="N3396" s="38">
        <f t="shared" si="349"/>
        <v>31.828125000000004</v>
      </c>
      <c r="O3396" s="36">
        <f t="shared" si="347"/>
        <v>848.75</v>
      </c>
      <c r="P3396" s="38">
        <f ca="1">IF(ISERROR(IF(O3396&lt;fi_h/20,0,(OFFSET('Base de dados'!$A$5,IF(O3396&lt;20,1,IF(O3396&gt;1000,10,MATCH(O3396,Cargas,1))),Coluna_fih,1,1))*(1+0.13*0.25)*(PI()*(fi_h/1000)^2/4)*SQRT(2*9.81*(O3396/100-fi_h/2/1000))*1000)),"",IF(O3396&lt;fi_h/20,0,(OFFSET('Base de dados'!$A$5,IF(O3396&lt;20,1,IF(O3396&gt;1000,10,MATCH(O3396,Cargas,1))),Coluna_fih,1,1))*(PI()*(fi_h/1000)^2/4)*SQRT(2*9.81*(O3396/100-fi_h/2/1000))*1000))</f>
        <v>7.7903227635413455</v>
      </c>
      <c r="Q3396" s="38">
        <f ca="1">IF(O3396="","",IF(Tipo_Vertedor="Retangular",IF(O3396&lt;=cota_s*100,0,IF(Tipo_Vertedor="Retangular",Cd_sr*Lef_sr*((O3396/100-cota_s)^(3/2))*1000)),IF(O3396&lt;=cota_s*100+fi_s/20,0,(OFFSET('Base de dados'!$A$4,IF(O3396&lt;20,1,IF(O3396&gt;1000,10,MATCH(O3396,Cargas,1))),Coluna_fis,1,1))*(PI()*(fi_s/1000)^2/4)*(2*9.81*(O3396/100-cota_s-fi_s/2/1000))^0.5*1000)))</f>
        <v>7.2173958996215708</v>
      </c>
      <c r="R3396" s="38">
        <f t="shared" ca="1" si="350"/>
        <v>15.007718663162915</v>
      </c>
      <c r="S3396" s="38">
        <f t="shared" ca="1" si="351"/>
        <v>1060.9375000000002</v>
      </c>
    </row>
    <row r="3397" spans="13:19">
      <c r="M3397" s="132">
        <f t="shared" ca="1" si="348"/>
        <v>1076.260109151033</v>
      </c>
      <c r="N3397" s="38">
        <f t="shared" si="349"/>
        <v>31.837500000000002</v>
      </c>
      <c r="O3397" s="36">
        <f t="shared" si="347"/>
        <v>849</v>
      </c>
      <c r="P3397" s="38">
        <f ca="1">IF(ISERROR(IF(O3397&lt;fi_h/20,0,(OFFSET('Base de dados'!$A$5,IF(O3397&lt;20,1,IF(O3397&gt;1000,10,MATCH(O3397,Cargas,1))),Coluna_fih,1,1))*(1+0.13*0.25)*(PI()*(fi_h/1000)^2/4)*SQRT(2*9.81*(O3397/100-fi_h/2/1000))*1000)),"",IF(O3397&lt;fi_h/20,0,(OFFSET('Base de dados'!$A$5,IF(O3397&lt;20,1,IF(O3397&gt;1000,10,MATCH(O3397,Cargas,1))),Coluna_fih,1,1))*(PI()*(fi_h/1000)^2/4)*SQRT(2*9.81*(O3397/100-fi_h/2/1000))*1000))</f>
        <v>7.7914723857321118</v>
      </c>
      <c r="Q3397" s="38">
        <f ca="1">IF(O3397="","",IF(Tipo_Vertedor="Retangular",IF(O3397&lt;=cota_s*100,0,IF(Tipo_Vertedor="Retangular",Cd_sr*Lef_sr*((O3397/100-cota_s)^(3/2))*1000)),IF(O3397&lt;=cota_s*100+fi_s/20,0,(OFFSET('Base de dados'!$A$4,IF(O3397&lt;20,1,IF(O3397&gt;1000,10,MATCH(O3397,Cargas,1))),Coluna_fis,1,1))*(PI()*(fi_s/1000)^2/4)*(2*9.81*(O3397/100-cota_s-fi_s/2/1000))^0.5*1000)))</f>
        <v>7.2186367653006229</v>
      </c>
      <c r="R3397" s="38">
        <f t="shared" ca="1" si="350"/>
        <v>15.010109151032735</v>
      </c>
      <c r="S3397" s="38">
        <f t="shared" ca="1" si="351"/>
        <v>1061.2500000000002</v>
      </c>
    </row>
    <row r="3398" spans="13:19">
      <c r="M3398" s="132">
        <f t="shared" ca="1" si="348"/>
        <v>1076.574999256037</v>
      </c>
      <c r="N3398" s="38">
        <f t="shared" si="349"/>
        <v>31.846874999999997</v>
      </c>
      <c r="O3398" s="36">
        <f t="shared" si="347"/>
        <v>849.25</v>
      </c>
      <c r="P3398" s="38">
        <f ca="1">IF(ISERROR(IF(O3398&lt;fi_h/20,0,(OFFSET('Base de dados'!$A$5,IF(O3398&lt;20,1,IF(O3398&gt;1000,10,MATCH(O3398,Cargas,1))),Coluna_fih,1,1))*(1+0.13*0.25)*(PI()*(fi_h/1000)^2/4)*SQRT(2*9.81*(O3398/100-fi_h/2/1000))*1000)),"",IF(O3398&lt;fi_h/20,0,(OFFSET('Base de dados'!$A$5,IF(O3398&lt;20,1,IF(O3398&gt;1000,10,MATCH(O3398,Cargas,1))),Coluna_fih,1,1))*(PI()*(fi_h/1000)^2/4)*SQRT(2*9.81*(O3398/100-fi_h/2/1000))*1000))</f>
        <v>7.792621838322555</v>
      </c>
      <c r="Q3398" s="38">
        <f ca="1">IF(O3398="","",IF(Tipo_Vertedor="Retangular",IF(O3398&lt;=cota_s*100,0,IF(Tipo_Vertedor="Retangular",Cd_sr*Lef_sr*((O3398/100-cota_s)^(3/2))*1000)),IF(O3398&lt;=cota_s*100+fi_s/20,0,(OFFSET('Base de dados'!$A$4,IF(O3398&lt;20,1,IF(O3398&gt;1000,10,MATCH(O3398,Cargas,1))),Coluna_fis,1,1))*(PI()*(fi_s/1000)^2/4)*(2*9.81*(O3398/100-cota_s-fi_s/2/1000))^0.5*1000)))</f>
        <v>7.2198774177146117</v>
      </c>
      <c r="R3398" s="38">
        <f t="shared" ca="1" si="350"/>
        <v>15.012499256037167</v>
      </c>
      <c r="S3398" s="38">
        <f t="shared" ca="1" si="351"/>
        <v>1061.5624999999998</v>
      </c>
    </row>
    <row r="3399" spans="13:19">
      <c r="M3399" s="132">
        <f t="shared" ca="1" si="348"/>
        <v>1076.8898889783609</v>
      </c>
      <c r="N3399" s="38">
        <f t="shared" si="349"/>
        <v>31.856249999999996</v>
      </c>
      <c r="O3399" s="36">
        <f t="shared" si="347"/>
        <v>849.5</v>
      </c>
      <c r="P3399" s="38">
        <f ca="1">IF(ISERROR(IF(O3399&lt;fi_h/20,0,(OFFSET('Base de dados'!$A$5,IF(O3399&lt;20,1,IF(O3399&gt;1000,10,MATCH(O3399,Cargas,1))),Coluna_fih,1,1))*(1+0.13*0.25)*(PI()*(fi_h/1000)^2/4)*SQRT(2*9.81*(O3399/100-fi_h/2/1000))*1000)),"",IF(O3399&lt;fi_h/20,0,(OFFSET('Base de dados'!$A$5,IF(O3399&lt;20,1,IF(O3399&gt;1000,10,MATCH(O3399,Cargas,1))),Coluna_fih,1,1))*(PI()*(fi_h/1000)^2/4)*SQRT(2*9.81*(O3399/100-fi_h/2/1000))*1000))</f>
        <v>7.7937711213877181</v>
      </c>
      <c r="Q3399" s="38">
        <f ca="1">IF(O3399="","",IF(Tipo_Vertedor="Retangular",IF(O3399&lt;=cota_s*100,0,IF(Tipo_Vertedor="Retangular",Cd_sr*Lef_sr*((O3399/100-cota_s)^(3/2))*1000)),IF(O3399&lt;=cota_s*100+fi_s/20,0,(OFFSET('Base de dados'!$A$4,IF(O3399&lt;20,1,IF(O3399&gt;1000,10,MATCH(O3399,Cargas,1))),Coluna_fis,1,1))*(PI()*(fi_s/1000)^2/4)*(2*9.81*(O3399/100-cota_s-fi_s/2/1000))^0.5*1000)))</f>
        <v>7.2211178569734598</v>
      </c>
      <c r="R3399" s="38">
        <f t="shared" ca="1" si="350"/>
        <v>15.014888978361178</v>
      </c>
      <c r="S3399" s="38">
        <f t="shared" ca="1" si="351"/>
        <v>1061.8749999999998</v>
      </c>
    </row>
    <row r="3400" spans="13:19">
      <c r="M3400" s="132">
        <f t="shared" ca="1" si="348"/>
        <v>1077.2047783181895</v>
      </c>
      <c r="N3400" s="38">
        <f t="shared" si="349"/>
        <v>31.865625000000001</v>
      </c>
      <c r="O3400" s="36">
        <f t="shared" si="347"/>
        <v>849.75</v>
      </c>
      <c r="P3400" s="38">
        <f ca="1">IF(ISERROR(IF(O3400&lt;fi_h/20,0,(OFFSET('Base de dados'!$A$5,IF(O3400&lt;20,1,IF(O3400&gt;1000,10,MATCH(O3400,Cargas,1))),Coluna_fih,1,1))*(1+0.13*0.25)*(PI()*(fi_h/1000)^2/4)*SQRT(2*9.81*(O3400/100-fi_h/2/1000))*1000)),"",IF(O3400&lt;fi_h/20,0,(OFFSET('Base de dados'!$A$5,IF(O3400&lt;20,1,IF(O3400&gt;1000,10,MATCH(O3400,Cargas,1))),Coluna_fih,1,1))*(PI()*(fi_h/1000)^2/4)*SQRT(2*9.81*(O3400/100-fi_h/2/1000))*1000))</f>
        <v>7.7949202350025857</v>
      </c>
      <c r="Q3400" s="38">
        <f ca="1">IF(O3400="","",IF(Tipo_Vertedor="Retangular",IF(O3400&lt;=cota_s*100,0,IF(Tipo_Vertedor="Retangular",Cd_sr*Lef_sr*((O3400/100-cota_s)^(3/2))*1000)),IF(O3400&lt;=cota_s*100+fi_s/20,0,(OFFSET('Base de dados'!$A$4,IF(O3400&lt;20,1,IF(O3400&gt;1000,10,MATCH(O3400,Cargas,1))),Coluna_fis,1,1))*(PI()*(fi_s/1000)^2/4)*(2*9.81*(O3400/100-cota_s-fi_s/2/1000))^0.5*1000)))</f>
        <v>7.2223580831869976</v>
      </c>
      <c r="R3400" s="38">
        <f t="shared" ca="1" si="350"/>
        <v>15.017278318189582</v>
      </c>
      <c r="S3400" s="38">
        <f t="shared" ca="1" si="351"/>
        <v>1062.1875</v>
      </c>
    </row>
    <row r="3401" spans="13:19">
      <c r="M3401" s="132">
        <f t="shared" ca="1" si="348"/>
        <v>1077.519667275707</v>
      </c>
      <c r="N3401" s="38">
        <f t="shared" si="349"/>
        <v>31.875</v>
      </c>
      <c r="O3401" s="36">
        <f t="shared" si="347"/>
        <v>850</v>
      </c>
      <c r="P3401" s="38">
        <f ca="1">IF(ISERROR(IF(O3401&lt;fi_h/20,0,(OFFSET('Base de dados'!$A$5,IF(O3401&lt;20,1,IF(O3401&gt;1000,10,MATCH(O3401,Cargas,1))),Coluna_fih,1,1))*(1+0.13*0.25)*(PI()*(fi_h/1000)^2/4)*SQRT(2*9.81*(O3401/100-fi_h/2/1000))*1000)),"",IF(O3401&lt;fi_h/20,0,(OFFSET('Base de dados'!$A$5,IF(O3401&lt;20,1,IF(O3401&gt;1000,10,MATCH(O3401,Cargas,1))),Coluna_fih,1,1))*(PI()*(fi_h/1000)^2/4)*SQRT(2*9.81*(O3401/100-fi_h/2/1000))*1000))</f>
        <v>7.7960691792420826</v>
      </c>
      <c r="Q3401" s="38">
        <f ca="1">IF(O3401="","",IF(Tipo_Vertedor="Retangular",IF(O3401&lt;=cota_s*100,0,IF(Tipo_Vertedor="Retangular",Cd_sr*Lef_sr*((O3401/100-cota_s)^(3/2))*1000)),IF(O3401&lt;=cota_s*100+fi_s/20,0,(OFFSET('Base de dados'!$A$4,IF(O3401&lt;20,1,IF(O3401&gt;1000,10,MATCH(O3401,Cargas,1))),Coluna_fis,1,1))*(PI()*(fi_s/1000)^2/4)*(2*9.81*(O3401/100-cota_s-fi_s/2/1000))^0.5*1000)))</f>
        <v>7.2235980964649569</v>
      </c>
      <c r="R3401" s="38">
        <f t="shared" ca="1" si="350"/>
        <v>15.01966727570704</v>
      </c>
      <c r="S3401" s="38">
        <f t="shared" ca="1" si="351"/>
        <v>1062.5</v>
      </c>
    </row>
    <row r="3402" spans="13:19">
      <c r="M3402" s="132">
        <f t="shared" ca="1" si="348"/>
        <v>1077.834555851098</v>
      </c>
      <c r="N3402" s="38">
        <f t="shared" si="349"/>
        <v>31.884374999999999</v>
      </c>
      <c r="O3402" s="36">
        <f t="shared" si="347"/>
        <v>850.25</v>
      </c>
      <c r="P3402" s="38">
        <f ca="1">IF(ISERROR(IF(O3402&lt;fi_h/20,0,(OFFSET('Base de dados'!$A$5,IF(O3402&lt;20,1,IF(O3402&gt;1000,10,MATCH(O3402,Cargas,1))),Coluna_fih,1,1))*(1+0.13*0.25)*(PI()*(fi_h/1000)^2/4)*SQRT(2*9.81*(O3402/100-fi_h/2/1000))*1000)),"",IF(O3402&lt;fi_h/20,0,(OFFSET('Base de dados'!$A$5,IF(O3402&lt;20,1,IF(O3402&gt;1000,10,MATCH(O3402,Cargas,1))),Coluna_fih,1,1))*(PI()*(fi_h/1000)^2/4)*SQRT(2*9.81*(O3402/100-fi_h/2/1000))*1000))</f>
        <v>7.7972179541810878</v>
      </c>
      <c r="Q3402" s="38">
        <f ca="1">IF(O3402="","",IF(Tipo_Vertedor="Retangular",IF(O3402&lt;=cota_s*100,0,IF(Tipo_Vertedor="Retangular",Cd_sr*Lef_sr*((O3402/100-cota_s)^(3/2))*1000)),IF(O3402&lt;=cota_s*100+fi_s/20,0,(OFFSET('Base de dados'!$A$4,IF(O3402&lt;20,1,IF(O3402&gt;1000,10,MATCH(O3402,Cargas,1))),Coluna_fis,1,1))*(PI()*(fi_s/1000)^2/4)*(2*9.81*(O3402/100-cota_s-fi_s/2/1000))^0.5*1000)))</f>
        <v>7.2248378969169753</v>
      </c>
      <c r="R3402" s="38">
        <f t="shared" ca="1" si="350"/>
        <v>15.022055851098063</v>
      </c>
      <c r="S3402" s="38">
        <f t="shared" ca="1" si="351"/>
        <v>1062.8125</v>
      </c>
    </row>
    <row r="3403" spans="13:19">
      <c r="M3403" s="132">
        <f t="shared" ca="1" si="348"/>
        <v>1078.1494440445472</v>
      </c>
      <c r="N3403" s="38">
        <f t="shared" si="349"/>
        <v>31.893750000000004</v>
      </c>
      <c r="O3403" s="36">
        <f t="shared" si="347"/>
        <v>850.5</v>
      </c>
      <c r="P3403" s="38">
        <f ca="1">IF(ISERROR(IF(O3403&lt;fi_h/20,0,(OFFSET('Base de dados'!$A$5,IF(O3403&lt;20,1,IF(O3403&gt;1000,10,MATCH(O3403,Cargas,1))),Coluna_fih,1,1))*(1+0.13*0.25)*(PI()*(fi_h/1000)^2/4)*SQRT(2*9.81*(O3403/100-fi_h/2/1000))*1000)),"",IF(O3403&lt;fi_h/20,0,(OFFSET('Base de dados'!$A$5,IF(O3403&lt;20,1,IF(O3403&gt;1000,10,MATCH(O3403,Cargas,1))),Coluna_fih,1,1))*(PI()*(fi_h/1000)^2/4)*SQRT(2*9.81*(O3403/100-fi_h/2/1000))*1000))</f>
        <v>7.7983665598944176</v>
      </c>
      <c r="Q3403" s="38">
        <f ca="1">IF(O3403="","",IF(Tipo_Vertedor="Retangular",IF(O3403&lt;=cota_s*100,0,IF(Tipo_Vertedor="Retangular",Cd_sr*Lef_sr*((O3403/100-cota_s)^(3/2))*1000)),IF(O3403&lt;=cota_s*100+fi_s/20,0,(OFFSET('Base de dados'!$A$4,IF(O3403&lt;20,1,IF(O3403&gt;1000,10,MATCH(O3403,Cargas,1))),Coluna_fis,1,1))*(PI()*(fi_s/1000)^2/4)*(2*9.81*(O3403/100-cota_s-fi_s/2/1000))^0.5*1000)))</f>
        <v>7.2260774846526026</v>
      </c>
      <c r="R3403" s="38">
        <f t="shared" ca="1" si="350"/>
        <v>15.024444044547021</v>
      </c>
      <c r="S3403" s="38">
        <f t="shared" ca="1" si="351"/>
        <v>1063.1250000000002</v>
      </c>
    </row>
    <row r="3404" spans="13:19">
      <c r="M3404" s="132">
        <f t="shared" ca="1" si="348"/>
        <v>1078.4643318562385</v>
      </c>
      <c r="N3404" s="38">
        <f t="shared" si="349"/>
        <v>31.903125000000003</v>
      </c>
      <c r="O3404" s="36">
        <f t="shared" si="347"/>
        <v>850.75</v>
      </c>
      <c r="P3404" s="38">
        <f ca="1">IF(ISERROR(IF(O3404&lt;fi_h/20,0,(OFFSET('Base de dados'!$A$5,IF(O3404&lt;20,1,IF(O3404&gt;1000,10,MATCH(O3404,Cargas,1))),Coluna_fih,1,1))*(1+0.13*0.25)*(PI()*(fi_h/1000)^2/4)*SQRT(2*9.81*(O3404/100-fi_h/2/1000))*1000)),"",IF(O3404&lt;fi_h/20,0,(OFFSET('Base de dados'!$A$5,IF(O3404&lt;20,1,IF(O3404&gt;1000,10,MATCH(O3404,Cargas,1))),Coluna_fih,1,1))*(PI()*(fi_h/1000)^2/4)*SQRT(2*9.81*(O3404/100-fi_h/2/1000))*1000))</f>
        <v>7.7995149964568347</v>
      </c>
      <c r="Q3404" s="38">
        <f ca="1">IF(O3404="","",IF(Tipo_Vertedor="Retangular",IF(O3404&lt;=cota_s*100,0,IF(Tipo_Vertedor="Retangular",Cd_sr*Lef_sr*((O3404/100-cota_s)^(3/2))*1000)),IF(O3404&lt;=cota_s*100+fi_s/20,0,(OFFSET('Base de dados'!$A$4,IF(O3404&lt;20,1,IF(O3404&gt;1000,10,MATCH(O3404,Cargas,1))),Coluna_fis,1,1))*(PI()*(fi_s/1000)^2/4)*(2*9.81*(O3404/100-cota_s-fi_s/2/1000))^0.5*1000)))</f>
        <v>7.2273168597812889</v>
      </c>
      <c r="R3404" s="38">
        <f t="shared" ca="1" si="350"/>
        <v>15.026831856238124</v>
      </c>
      <c r="S3404" s="38">
        <f t="shared" ca="1" si="351"/>
        <v>1063.4375000000002</v>
      </c>
    </row>
    <row r="3405" spans="13:19">
      <c r="M3405" s="132">
        <f t="shared" ca="1" si="348"/>
        <v>1078.7792192863551</v>
      </c>
      <c r="N3405" s="38">
        <f t="shared" si="349"/>
        <v>31.912499999999998</v>
      </c>
      <c r="O3405" s="36">
        <f t="shared" si="347"/>
        <v>851</v>
      </c>
      <c r="P3405" s="38">
        <f ca="1">IF(ISERROR(IF(O3405&lt;fi_h/20,0,(OFFSET('Base de dados'!$A$5,IF(O3405&lt;20,1,IF(O3405&gt;1000,10,MATCH(O3405,Cargas,1))),Coluna_fih,1,1))*(1+0.13*0.25)*(PI()*(fi_h/1000)^2/4)*SQRT(2*9.81*(O3405/100-fi_h/2/1000))*1000)),"",IF(O3405&lt;fi_h/20,0,(OFFSET('Base de dados'!$A$5,IF(O3405&lt;20,1,IF(O3405&gt;1000,10,MATCH(O3405,Cargas,1))),Coluna_fih,1,1))*(PI()*(fi_h/1000)^2/4)*SQRT(2*9.81*(O3405/100-fi_h/2/1000))*1000))</f>
        <v>7.8006632639430498</v>
      </c>
      <c r="Q3405" s="38">
        <f ca="1">IF(O3405="","",IF(Tipo_Vertedor="Retangular",IF(O3405&lt;=cota_s*100,0,IF(Tipo_Vertedor="Retangular",Cd_sr*Lef_sr*((O3405/100-cota_s)^(3/2))*1000)),IF(O3405&lt;=cota_s*100+fi_s/20,0,(OFFSET('Base de dados'!$A$4,IF(O3405&lt;20,1,IF(O3405&gt;1000,10,MATCH(O3405,Cargas,1))),Coluna_fis,1,1))*(PI()*(fi_s/1000)^2/4)*(2*9.81*(O3405/100-cota_s-fi_s/2/1000))^0.5*1000)))</f>
        <v>7.2285560224123895</v>
      </c>
      <c r="R3405" s="38">
        <f t="shared" ca="1" si="350"/>
        <v>15.029219286355438</v>
      </c>
      <c r="S3405" s="38">
        <f t="shared" ca="1" si="351"/>
        <v>1063.7499999999998</v>
      </c>
    </row>
    <row r="3406" spans="13:19">
      <c r="M3406" s="132">
        <f t="shared" ca="1" si="348"/>
        <v>1079.0941063350826</v>
      </c>
      <c r="N3406" s="38">
        <f t="shared" si="349"/>
        <v>31.921874999999996</v>
      </c>
      <c r="O3406" s="36">
        <f t="shared" si="347"/>
        <v>851.25</v>
      </c>
      <c r="P3406" s="38">
        <f ca="1">IF(ISERROR(IF(O3406&lt;fi_h/20,0,(OFFSET('Base de dados'!$A$5,IF(O3406&lt;20,1,IF(O3406&gt;1000,10,MATCH(O3406,Cargas,1))),Coluna_fih,1,1))*(1+0.13*0.25)*(PI()*(fi_h/1000)^2/4)*SQRT(2*9.81*(O3406/100-fi_h/2/1000))*1000)),"",IF(O3406&lt;fi_h/20,0,(OFFSET('Base de dados'!$A$5,IF(O3406&lt;20,1,IF(O3406&gt;1000,10,MATCH(O3406,Cargas,1))),Coluna_fih,1,1))*(PI()*(fi_h/1000)^2/4)*SQRT(2*9.81*(O3406/100-fi_h/2/1000))*1000))</f>
        <v>7.8018113624277152</v>
      </c>
      <c r="Q3406" s="38">
        <f ca="1">IF(O3406="","",IF(Tipo_Vertedor="Retangular",IF(O3406&lt;=cota_s*100,0,IF(Tipo_Vertedor="Retangular",Cd_sr*Lef_sr*((O3406/100-cota_s)^(3/2))*1000)),IF(O3406&lt;=cota_s*100+fi_s/20,0,(OFFSET('Base de dados'!$A$4,IF(O3406&lt;20,1,IF(O3406&gt;1000,10,MATCH(O3406,Cargas,1))),Coluna_fis,1,1))*(PI()*(fi_s/1000)^2/4)*(2*9.81*(O3406/100-cota_s-fi_s/2/1000))^0.5*1000)))</f>
        <v>7.2297949726551716</v>
      </c>
      <c r="R3406" s="38">
        <f t="shared" ca="1" si="350"/>
        <v>15.031606335082888</v>
      </c>
      <c r="S3406" s="38">
        <f t="shared" ca="1" si="351"/>
        <v>1064.0624999999998</v>
      </c>
    </row>
    <row r="3407" spans="13:19">
      <c r="M3407" s="132">
        <f t="shared" ca="1" si="348"/>
        <v>1079.4089930026046</v>
      </c>
      <c r="N3407" s="38">
        <f t="shared" si="349"/>
        <v>31.931250000000002</v>
      </c>
      <c r="O3407" s="36">
        <f t="shared" si="347"/>
        <v>851.5</v>
      </c>
      <c r="P3407" s="38">
        <f ca="1">IF(ISERROR(IF(O3407&lt;fi_h/20,0,(OFFSET('Base de dados'!$A$5,IF(O3407&lt;20,1,IF(O3407&gt;1000,10,MATCH(O3407,Cargas,1))),Coluna_fih,1,1))*(1+0.13*0.25)*(PI()*(fi_h/1000)^2/4)*SQRT(2*9.81*(O3407/100-fi_h/2/1000))*1000)),"",IF(O3407&lt;fi_h/20,0,(OFFSET('Base de dados'!$A$5,IF(O3407&lt;20,1,IF(O3407&gt;1000,10,MATCH(O3407,Cargas,1))),Coluna_fih,1,1))*(PI()*(fi_h/1000)^2/4)*SQRT(2*9.81*(O3407/100-fi_h/2/1000))*1000))</f>
        <v>7.8029592919854318</v>
      </c>
      <c r="Q3407" s="38">
        <f ca="1">IF(O3407="","",IF(Tipo_Vertedor="Retangular",IF(O3407&lt;=cota_s*100,0,IF(Tipo_Vertedor="Retangular",Cd_sr*Lef_sr*((O3407/100-cota_s)^(3/2))*1000)),IF(O3407&lt;=cota_s*100+fi_s/20,0,(OFFSET('Base de dados'!$A$4,IF(O3407&lt;20,1,IF(O3407&gt;1000,10,MATCH(O3407,Cargas,1))),Coluna_fis,1,1))*(PI()*(fi_s/1000)^2/4)*(2*9.81*(O3407/100-cota_s-fi_s/2/1000))^0.5*1000)))</f>
        <v>7.2310337106188074</v>
      </c>
      <c r="R3407" s="38">
        <f t="shared" ca="1" si="350"/>
        <v>15.033993002604239</v>
      </c>
      <c r="S3407" s="38">
        <f t="shared" ca="1" si="351"/>
        <v>1064.3750000000002</v>
      </c>
    </row>
    <row r="3408" spans="13:19">
      <c r="M3408" s="132">
        <f t="shared" ca="1" si="348"/>
        <v>1079.723879289103</v>
      </c>
      <c r="N3408" s="38">
        <f t="shared" si="349"/>
        <v>31.940625000000001</v>
      </c>
      <c r="O3408" s="36">
        <f t="shared" si="347"/>
        <v>851.75</v>
      </c>
      <c r="P3408" s="38">
        <f ca="1">IF(ISERROR(IF(O3408&lt;fi_h/20,0,(OFFSET('Base de dados'!$A$5,IF(O3408&lt;20,1,IF(O3408&gt;1000,10,MATCH(O3408,Cargas,1))),Coluna_fih,1,1))*(1+0.13*0.25)*(PI()*(fi_h/1000)^2/4)*SQRT(2*9.81*(O3408/100-fi_h/2/1000))*1000)),"",IF(O3408&lt;fi_h/20,0,(OFFSET('Base de dados'!$A$5,IF(O3408&lt;20,1,IF(O3408&gt;1000,10,MATCH(O3408,Cargas,1))),Coluna_fih,1,1))*(PI()*(fi_h/1000)^2/4)*SQRT(2*9.81*(O3408/100-fi_h/2/1000))*1000))</f>
        <v>7.8041070526907408</v>
      </c>
      <c r="Q3408" s="38">
        <f ca="1">IF(O3408="","",IF(Tipo_Vertedor="Retangular",IF(O3408&lt;=cota_s*100,0,IF(Tipo_Vertedor="Retangular",Cd_sr*Lef_sr*((O3408/100-cota_s)^(3/2))*1000)),IF(O3408&lt;=cota_s*100+fi_s/20,0,(OFFSET('Base de dados'!$A$4,IF(O3408&lt;20,1,IF(O3408&gt;1000,10,MATCH(O3408,Cargas,1))),Coluna_fis,1,1))*(PI()*(fi_s/1000)^2/4)*(2*9.81*(O3408/100-cota_s-fi_s/2/1000))^0.5*1000)))</f>
        <v>7.2322722364123688</v>
      </c>
      <c r="R3408" s="38">
        <f t="shared" ca="1" si="350"/>
        <v>15.03637928910311</v>
      </c>
      <c r="S3408" s="38">
        <f t="shared" ca="1" si="351"/>
        <v>1064.6875</v>
      </c>
    </row>
    <row r="3409" spans="13:19">
      <c r="M3409" s="132">
        <f t="shared" ca="1" si="348"/>
        <v>1080.0387651947631</v>
      </c>
      <c r="N3409" s="38">
        <f t="shared" si="349"/>
        <v>31.95</v>
      </c>
      <c r="O3409" s="36">
        <f t="shared" si="347"/>
        <v>852</v>
      </c>
      <c r="P3409" s="38">
        <f ca="1">IF(ISERROR(IF(O3409&lt;fi_h/20,0,(OFFSET('Base de dados'!$A$5,IF(O3409&lt;20,1,IF(O3409&gt;1000,10,MATCH(O3409,Cargas,1))),Coluna_fih,1,1))*(1+0.13*0.25)*(PI()*(fi_h/1000)^2/4)*SQRT(2*9.81*(O3409/100-fi_h/2/1000))*1000)),"",IF(O3409&lt;fi_h/20,0,(OFFSET('Base de dados'!$A$5,IF(O3409&lt;20,1,IF(O3409&gt;1000,10,MATCH(O3409,Cargas,1))),Coluna_fih,1,1))*(PI()*(fi_h/1000)^2/4)*SQRT(2*9.81*(O3409/100-fi_h/2/1000))*1000))</f>
        <v>7.8052546446181328</v>
      </c>
      <c r="Q3409" s="38">
        <f ca="1">IF(O3409="","",IF(Tipo_Vertedor="Retangular",IF(O3409&lt;=cota_s*100,0,IF(Tipo_Vertedor="Retangular",Cd_sr*Lef_sr*((O3409/100-cota_s)^(3/2))*1000)),IF(O3409&lt;=cota_s*100+fi_s/20,0,(OFFSET('Base de dados'!$A$4,IF(O3409&lt;20,1,IF(O3409&gt;1000,10,MATCH(O3409,Cargas,1))),Coluna_fis,1,1))*(PI()*(fi_s/1000)^2/4)*(2*9.81*(O3409/100-cota_s-fi_s/2/1000))^0.5*1000)))</f>
        <v>7.2335105501448425</v>
      </c>
      <c r="R3409" s="38">
        <f t="shared" ca="1" si="350"/>
        <v>15.038765194762975</v>
      </c>
      <c r="S3409" s="38">
        <f t="shared" ca="1" si="351"/>
        <v>1065</v>
      </c>
    </row>
    <row r="3410" spans="13:19">
      <c r="M3410" s="132">
        <f t="shared" ca="1" si="348"/>
        <v>1080.3536507197671</v>
      </c>
      <c r="N3410" s="38">
        <f t="shared" si="349"/>
        <v>31.959375000000001</v>
      </c>
      <c r="O3410" s="36">
        <f t="shared" si="347"/>
        <v>852.25</v>
      </c>
      <c r="P3410" s="38">
        <f ca="1">IF(ISERROR(IF(O3410&lt;fi_h/20,0,(OFFSET('Base de dados'!$A$5,IF(O3410&lt;20,1,IF(O3410&gt;1000,10,MATCH(O3410,Cargas,1))),Coluna_fih,1,1))*(1+0.13*0.25)*(PI()*(fi_h/1000)^2/4)*SQRT(2*9.81*(O3410/100-fi_h/2/1000))*1000)),"",IF(O3410&lt;fi_h/20,0,(OFFSET('Base de dados'!$A$5,IF(O3410&lt;20,1,IF(O3410&gt;1000,10,MATCH(O3410,Cargas,1))),Coluna_fih,1,1))*(PI()*(fi_h/1000)^2/4)*SQRT(2*9.81*(O3410/100-fi_h/2/1000))*1000))</f>
        <v>7.8064020678420425</v>
      </c>
      <c r="Q3410" s="38">
        <f ca="1">IF(O3410="","",IF(Tipo_Vertedor="Retangular",IF(O3410&lt;=cota_s*100,0,IF(Tipo_Vertedor="Retangular",Cd_sr*Lef_sr*((O3410/100-cota_s)^(3/2))*1000)),IF(O3410&lt;=cota_s*100+fi_s/20,0,(OFFSET('Base de dados'!$A$4,IF(O3410&lt;20,1,IF(O3410&gt;1000,10,MATCH(O3410,Cargas,1))),Coluna_fis,1,1))*(PI()*(fi_s/1000)^2/4)*(2*9.81*(O3410/100-cota_s-fi_s/2/1000))^0.5*1000)))</f>
        <v>7.234748651925119</v>
      </c>
      <c r="R3410" s="38">
        <f t="shared" ca="1" si="350"/>
        <v>15.041150719767161</v>
      </c>
      <c r="S3410" s="38">
        <f t="shared" ca="1" si="351"/>
        <v>1065.3125</v>
      </c>
    </row>
    <row r="3411" spans="13:19">
      <c r="M3411" s="132">
        <f t="shared" ca="1" si="348"/>
        <v>1080.6685358642987</v>
      </c>
      <c r="N3411" s="38">
        <f t="shared" si="349"/>
        <v>31.96875</v>
      </c>
      <c r="O3411" s="36">
        <f t="shared" ref="O3411:O3474" si="352">IF(ISERROR(IF(O3410+passo_altura&gt;h_max_puls*100,"",O3410+passo_altura)),"",IF(O3410+passo_altura&gt;h_max_puls*100,"",O3410+passo_altura))</f>
        <v>852.5</v>
      </c>
      <c r="P3411" s="38">
        <f ca="1">IF(ISERROR(IF(O3411&lt;fi_h/20,0,(OFFSET('Base de dados'!$A$5,IF(O3411&lt;20,1,IF(O3411&gt;1000,10,MATCH(O3411,Cargas,1))),Coluna_fih,1,1))*(1+0.13*0.25)*(PI()*(fi_h/1000)^2/4)*SQRT(2*9.81*(O3411/100-fi_h/2/1000))*1000)),"",IF(O3411&lt;fi_h/20,0,(OFFSET('Base de dados'!$A$5,IF(O3411&lt;20,1,IF(O3411&gt;1000,10,MATCH(O3411,Cargas,1))),Coluna_fih,1,1))*(PI()*(fi_h/1000)^2/4)*SQRT(2*9.81*(O3411/100-fi_h/2/1000))*1000))</f>
        <v>7.8075493224368486</v>
      </c>
      <c r="Q3411" s="38">
        <f ca="1">IF(O3411="","",IF(Tipo_Vertedor="Retangular",IF(O3411&lt;=cota_s*100,0,IF(Tipo_Vertedor="Retangular",Cd_sr*Lef_sr*((O3411/100-cota_s)^(3/2))*1000)),IF(O3411&lt;=cota_s*100+fi_s/20,0,(OFFSET('Base de dados'!$A$4,IF(O3411&lt;20,1,IF(O3411&gt;1000,10,MATCH(O3411,Cargas,1))),Coluna_fis,1,1))*(PI()*(fi_s/1000)^2/4)*(2*9.81*(O3411/100-cota_s-fi_s/2/1000))^0.5*1000)))</f>
        <v>7.2359865418619931</v>
      </c>
      <c r="R3411" s="38">
        <f t="shared" ca="1" si="350"/>
        <v>15.043535864298843</v>
      </c>
      <c r="S3411" s="38">
        <f t="shared" ca="1" si="351"/>
        <v>1065.625</v>
      </c>
    </row>
    <row r="3412" spans="13:19">
      <c r="M3412" s="132">
        <f t="shared" ca="1" si="348"/>
        <v>1080.9834206285411</v>
      </c>
      <c r="N3412" s="38">
        <f t="shared" si="349"/>
        <v>31.978124999999999</v>
      </c>
      <c r="O3412" s="36">
        <f t="shared" si="352"/>
        <v>852.75</v>
      </c>
      <c r="P3412" s="38">
        <f ca="1">IF(ISERROR(IF(O3412&lt;fi_h/20,0,(OFFSET('Base de dados'!$A$5,IF(O3412&lt;20,1,IF(O3412&gt;1000,10,MATCH(O3412,Cargas,1))),Coluna_fih,1,1))*(1+0.13*0.25)*(PI()*(fi_h/1000)^2/4)*SQRT(2*9.81*(O3412/100-fi_h/2/1000))*1000)),"",IF(O3412&lt;fi_h/20,0,(OFFSET('Base de dados'!$A$5,IF(O3412&lt;20,1,IF(O3412&gt;1000,10,MATCH(O3412,Cargas,1))),Coluna_fih,1,1))*(PI()*(fi_h/1000)^2/4)*SQRT(2*9.81*(O3412/100-fi_h/2/1000))*1000))</f>
        <v>7.8086964084768757</v>
      </c>
      <c r="Q3412" s="38">
        <f ca="1">IF(O3412="","",IF(Tipo_Vertedor="Retangular",IF(O3412&lt;=cota_s*100,0,IF(Tipo_Vertedor="Retangular",Cd_sr*Lef_sr*((O3412/100-cota_s)^(3/2))*1000)),IF(O3412&lt;=cota_s*100+fi_s/20,0,(OFFSET('Base de dados'!$A$4,IF(O3412&lt;20,1,IF(O3412&gt;1000,10,MATCH(O3412,Cargas,1))),Coluna_fis,1,1))*(PI()*(fi_s/1000)^2/4)*(2*9.81*(O3412/100-cota_s-fi_s/2/1000))^0.5*1000)))</f>
        <v>7.2372242200641725</v>
      </c>
      <c r="R3412" s="38">
        <f t="shared" ca="1" si="350"/>
        <v>15.045920628541047</v>
      </c>
      <c r="S3412" s="38">
        <f t="shared" ca="1" si="351"/>
        <v>1065.9375</v>
      </c>
    </row>
    <row r="3413" spans="13:19">
      <c r="M3413" s="132">
        <f t="shared" ca="1" si="348"/>
        <v>1081.2983050126763</v>
      </c>
      <c r="N3413" s="38">
        <f t="shared" si="349"/>
        <v>31.987499999999997</v>
      </c>
      <c r="O3413" s="36">
        <f t="shared" si="352"/>
        <v>853</v>
      </c>
      <c r="P3413" s="38">
        <f ca="1">IF(ISERROR(IF(O3413&lt;fi_h/20,0,(OFFSET('Base de dados'!$A$5,IF(O3413&lt;20,1,IF(O3413&gt;1000,10,MATCH(O3413,Cargas,1))),Coluna_fih,1,1))*(1+0.13*0.25)*(PI()*(fi_h/1000)^2/4)*SQRT(2*9.81*(O3413/100-fi_h/2/1000))*1000)),"",IF(O3413&lt;fi_h/20,0,(OFFSET('Base de dados'!$A$5,IF(O3413&lt;20,1,IF(O3413&gt;1000,10,MATCH(O3413,Cargas,1))),Coluna_fih,1,1))*(PI()*(fi_h/1000)^2/4)*SQRT(2*9.81*(O3413/100-fi_h/2/1000))*1000))</f>
        <v>7.809843326036396</v>
      </c>
      <c r="Q3413" s="38">
        <f ca="1">IF(O3413="","",IF(Tipo_Vertedor="Retangular",IF(O3413&lt;=cota_s*100,0,IF(Tipo_Vertedor="Retangular",Cd_sr*Lef_sr*((O3413/100-cota_s)^(3/2))*1000)),IF(O3413&lt;=cota_s*100+fi_s/20,0,(OFFSET('Base de dados'!$A$4,IF(O3413&lt;20,1,IF(O3413&gt;1000,10,MATCH(O3413,Cargas,1))),Coluna_fis,1,1))*(PI()*(fi_s/1000)^2/4)*(2*9.81*(O3413/100-cota_s-fi_s/2/1000))^0.5*1000)))</f>
        <v>7.2384616866402656</v>
      </c>
      <c r="R3413" s="38">
        <f t="shared" ca="1" si="350"/>
        <v>15.048305012676661</v>
      </c>
      <c r="S3413" s="38">
        <f t="shared" ca="1" si="351"/>
        <v>1066.2499999999998</v>
      </c>
    </row>
    <row r="3414" spans="13:19">
      <c r="M3414" s="132">
        <f t="shared" ca="1" si="348"/>
        <v>1081.6131890168886</v>
      </c>
      <c r="N3414" s="38">
        <f t="shared" si="349"/>
        <v>31.996875000000003</v>
      </c>
      <c r="O3414" s="36">
        <f t="shared" si="352"/>
        <v>853.25</v>
      </c>
      <c r="P3414" s="38">
        <f ca="1">IF(ISERROR(IF(O3414&lt;fi_h/20,0,(OFFSET('Base de dados'!$A$5,IF(O3414&lt;20,1,IF(O3414&gt;1000,10,MATCH(O3414,Cargas,1))),Coluna_fih,1,1))*(1+0.13*0.25)*(PI()*(fi_h/1000)^2/4)*SQRT(2*9.81*(O3414/100-fi_h/2/1000))*1000)),"",IF(O3414&lt;fi_h/20,0,(OFFSET('Base de dados'!$A$5,IF(O3414&lt;20,1,IF(O3414&gt;1000,10,MATCH(O3414,Cargas,1))),Coluna_fih,1,1))*(PI()*(fi_h/1000)^2/4)*SQRT(2*9.81*(O3414/100-fi_h/2/1000))*1000))</f>
        <v>7.8109900751896246</v>
      </c>
      <c r="Q3414" s="38">
        <f ca="1">IF(O3414="","",IF(Tipo_Vertedor="Retangular",IF(O3414&lt;=cota_s*100,0,IF(Tipo_Vertedor="Retangular",Cd_sr*Lef_sr*((O3414/100-cota_s)^(3/2))*1000)),IF(O3414&lt;=cota_s*100+fi_s/20,0,(OFFSET('Base de dados'!$A$4,IF(O3414&lt;20,1,IF(O3414&gt;1000,10,MATCH(O3414,Cargas,1))),Coluna_fis,1,1))*(PI()*(fi_s/1000)^2/4)*(2*9.81*(O3414/100-cota_s-fi_s/2/1000))^0.5*1000)))</f>
        <v>7.2396989416987934</v>
      </c>
      <c r="R3414" s="38">
        <f t="shared" ca="1" si="350"/>
        <v>15.050689016888418</v>
      </c>
      <c r="S3414" s="38">
        <f t="shared" ca="1" si="351"/>
        <v>1066.5625000000002</v>
      </c>
    </row>
    <row r="3415" spans="13:19">
      <c r="M3415" s="132">
        <f t="shared" ref="M3415:M3477" ca="1" si="353">IF(O3415="","",2*N3415*1000/(Passo*60)+R3415)</f>
        <v>1081.928072641359</v>
      </c>
      <c r="N3415" s="38">
        <f t="shared" ref="N3415:N3477" si="354">IF(O3415="","",b_0*(O3415/100)^c_0)</f>
        <v>32.006250000000001</v>
      </c>
      <c r="O3415" s="36">
        <f t="shared" si="352"/>
        <v>853.5</v>
      </c>
      <c r="P3415" s="38">
        <f ca="1">IF(ISERROR(IF(O3415&lt;fi_h/20,0,(OFFSET('Base de dados'!$A$5,IF(O3415&lt;20,1,IF(O3415&gt;1000,10,MATCH(O3415,Cargas,1))),Coluna_fih,1,1))*(1+0.13*0.25)*(PI()*(fi_h/1000)^2/4)*SQRT(2*9.81*(O3415/100-fi_h/2/1000))*1000)),"",IF(O3415&lt;fi_h/20,0,(OFFSET('Base de dados'!$A$5,IF(O3415&lt;20,1,IF(O3415&gt;1000,10,MATCH(O3415,Cargas,1))),Coluna_fih,1,1))*(PI()*(fi_h/1000)^2/4)*SQRT(2*9.81*(O3415/100-fi_h/2/1000))*1000))</f>
        <v>7.8121366560107219</v>
      </c>
      <c r="Q3415" s="38">
        <f ca="1">IF(O3415="","",IF(Tipo_Vertedor="Retangular",IF(O3415&lt;=cota_s*100,0,IF(Tipo_Vertedor="Retangular",Cd_sr*Lef_sr*((O3415/100-cota_s)^(3/2))*1000)),IF(O3415&lt;=cota_s*100+fi_s/20,0,(OFFSET('Base de dados'!$A$4,IF(O3415&lt;20,1,IF(O3415&gt;1000,10,MATCH(O3415,Cargas,1))),Coluna_fis,1,1))*(PI()*(fi_s/1000)^2/4)*(2*9.81*(O3415/100-cota_s-fi_s/2/1000))^0.5*1000)))</f>
        <v>7.2409359853481785</v>
      </c>
      <c r="R3415" s="38">
        <f t="shared" ref="R3415:R3477" ca="1" si="355">IF(O3415="","",Q3415+P3415)</f>
        <v>15.0530726413589</v>
      </c>
      <c r="S3415" s="38">
        <f t="shared" ref="S3415:S3477" ca="1" si="356">IF(M3415="","",2*N3415*1000/(Passo*60))</f>
        <v>1066.875</v>
      </c>
    </row>
    <row r="3416" spans="13:19">
      <c r="M3416" s="132">
        <f t="shared" ca="1" si="353"/>
        <v>1082.2429558862705</v>
      </c>
      <c r="N3416" s="38">
        <f t="shared" si="354"/>
        <v>32.015625</v>
      </c>
      <c r="O3416" s="36">
        <f t="shared" si="352"/>
        <v>853.75</v>
      </c>
      <c r="P3416" s="38">
        <f ca="1">IF(ISERROR(IF(O3416&lt;fi_h/20,0,(OFFSET('Base de dados'!$A$5,IF(O3416&lt;20,1,IF(O3416&gt;1000,10,MATCH(O3416,Cargas,1))),Coluna_fih,1,1))*(1+0.13*0.25)*(PI()*(fi_h/1000)^2/4)*SQRT(2*9.81*(O3416/100-fi_h/2/1000))*1000)),"",IF(O3416&lt;fi_h/20,0,(OFFSET('Base de dados'!$A$5,IF(O3416&lt;20,1,IF(O3416&gt;1000,10,MATCH(O3416,Cargas,1))),Coluna_fih,1,1))*(PI()*(fi_h/1000)^2/4)*SQRT(2*9.81*(O3416/100-fi_h/2/1000))*1000))</f>
        <v>7.8132830685737966</v>
      </c>
      <c r="Q3416" s="38">
        <f ca="1">IF(O3416="","",IF(Tipo_Vertedor="Retangular",IF(O3416&lt;=cota_s*100,0,IF(Tipo_Vertedor="Retangular",Cd_sr*Lef_sr*((O3416/100-cota_s)^(3/2))*1000)),IF(O3416&lt;=cota_s*100+fi_s/20,0,(OFFSET('Base de dados'!$A$4,IF(O3416&lt;20,1,IF(O3416&gt;1000,10,MATCH(O3416,Cargas,1))),Coluna_fis,1,1))*(PI()*(fi_s/1000)^2/4)*(2*9.81*(O3416/100-cota_s-fi_s/2/1000))^0.5*1000)))</f>
        <v>7.2421728176967548</v>
      </c>
      <c r="R3416" s="38">
        <f t="shared" ca="1" si="355"/>
        <v>15.055455886270551</v>
      </c>
      <c r="S3416" s="38">
        <f t="shared" ca="1" si="356"/>
        <v>1067.1875</v>
      </c>
    </row>
    <row r="3417" spans="13:19">
      <c r="M3417" s="132">
        <f t="shared" ca="1" si="353"/>
        <v>1082.5578387518058</v>
      </c>
      <c r="N3417" s="38">
        <f t="shared" si="354"/>
        <v>32.024999999999999</v>
      </c>
      <c r="O3417" s="36">
        <f t="shared" si="352"/>
        <v>854</v>
      </c>
      <c r="P3417" s="38">
        <f ca="1">IF(ISERROR(IF(O3417&lt;fi_h/20,0,(OFFSET('Base de dados'!$A$5,IF(O3417&lt;20,1,IF(O3417&gt;1000,10,MATCH(O3417,Cargas,1))),Coluna_fih,1,1))*(1+0.13*0.25)*(PI()*(fi_h/1000)^2/4)*SQRT(2*9.81*(O3417/100-fi_h/2/1000))*1000)),"",IF(O3417&lt;fi_h/20,0,(OFFSET('Base de dados'!$A$5,IF(O3417&lt;20,1,IF(O3417&gt;1000,10,MATCH(O3417,Cargas,1))),Coluna_fih,1,1))*(PI()*(fi_h/1000)^2/4)*SQRT(2*9.81*(O3417/100-fi_h/2/1000))*1000))</f>
        <v>7.8144293129529006</v>
      </c>
      <c r="Q3417" s="38">
        <f ca="1">IF(O3417="","",IF(Tipo_Vertedor="Retangular",IF(O3417&lt;=cota_s*100,0,IF(Tipo_Vertedor="Retangular",Cd_sr*Lef_sr*((O3417/100-cota_s)^(3/2))*1000)),IF(O3417&lt;=cota_s*100+fi_s/20,0,(OFFSET('Base de dados'!$A$4,IF(O3417&lt;20,1,IF(O3417&gt;1000,10,MATCH(O3417,Cargas,1))),Coluna_fis,1,1))*(PI()*(fi_s/1000)^2/4)*(2*9.81*(O3417/100-cota_s-fi_s/2/1000))^0.5*1000)))</f>
        <v>7.2434094388527654</v>
      </c>
      <c r="R3417" s="38">
        <f t="shared" ca="1" si="355"/>
        <v>15.057838751805665</v>
      </c>
      <c r="S3417" s="38">
        <f t="shared" ca="1" si="356"/>
        <v>1067.5</v>
      </c>
    </row>
    <row r="3418" spans="13:19">
      <c r="M3418" s="132">
        <f t="shared" ca="1" si="353"/>
        <v>1082.8727212381466</v>
      </c>
      <c r="N3418" s="38">
        <f t="shared" si="354"/>
        <v>32.034375000000004</v>
      </c>
      <c r="O3418" s="36">
        <f t="shared" si="352"/>
        <v>854.25</v>
      </c>
      <c r="P3418" s="38">
        <f ca="1">IF(ISERROR(IF(O3418&lt;fi_h/20,0,(OFFSET('Base de dados'!$A$5,IF(O3418&lt;20,1,IF(O3418&gt;1000,10,MATCH(O3418,Cargas,1))),Coluna_fih,1,1))*(1+0.13*0.25)*(PI()*(fi_h/1000)^2/4)*SQRT(2*9.81*(O3418/100-fi_h/2/1000))*1000)),"",IF(O3418&lt;fi_h/20,0,(OFFSET('Base de dados'!$A$5,IF(O3418&lt;20,1,IF(O3418&gt;1000,10,MATCH(O3418,Cargas,1))),Coluna_fih,1,1))*(PI()*(fi_h/1000)^2/4)*SQRT(2*9.81*(O3418/100-fi_h/2/1000))*1000))</f>
        <v>7.8155753892220314</v>
      </c>
      <c r="Q3418" s="38">
        <f ca="1">IF(O3418="","",IF(Tipo_Vertedor="Retangular",IF(O3418&lt;=cota_s*100,0,IF(Tipo_Vertedor="Retangular",Cd_sr*Lef_sr*((O3418/100-cota_s)^(3/2))*1000)),IF(O3418&lt;=cota_s*100+fi_s/20,0,(OFFSET('Base de dados'!$A$4,IF(O3418&lt;20,1,IF(O3418&gt;1000,10,MATCH(O3418,Cargas,1))),Coluna_fis,1,1))*(PI()*(fi_s/1000)^2/4)*(2*9.81*(O3418/100-cota_s-fi_s/2/1000))^0.5*1000)))</f>
        <v>7.2446458489243568</v>
      </c>
      <c r="R3418" s="38">
        <f t="shared" ca="1" si="355"/>
        <v>15.060221238146388</v>
      </c>
      <c r="S3418" s="38">
        <f t="shared" ca="1" si="356"/>
        <v>1067.8125000000002</v>
      </c>
    </row>
    <row r="3419" spans="13:19">
      <c r="M3419" s="132">
        <f t="shared" ca="1" si="353"/>
        <v>1083.1876033454751</v>
      </c>
      <c r="N3419" s="38">
        <f t="shared" si="354"/>
        <v>32.043750000000003</v>
      </c>
      <c r="O3419" s="36">
        <f t="shared" si="352"/>
        <v>854.5</v>
      </c>
      <c r="P3419" s="38">
        <f ca="1">IF(ISERROR(IF(O3419&lt;fi_h/20,0,(OFFSET('Base de dados'!$A$5,IF(O3419&lt;20,1,IF(O3419&gt;1000,10,MATCH(O3419,Cargas,1))),Coluna_fih,1,1))*(1+0.13*0.25)*(PI()*(fi_h/1000)^2/4)*SQRT(2*9.81*(O3419/100-fi_h/2/1000))*1000)),"",IF(O3419&lt;fi_h/20,0,(OFFSET('Base de dados'!$A$5,IF(O3419&lt;20,1,IF(O3419&gt;1000,10,MATCH(O3419,Cargas,1))),Coluna_fih,1,1))*(PI()*(fi_h/1000)^2/4)*SQRT(2*9.81*(O3419/100-fi_h/2/1000))*1000))</f>
        <v>7.8167212974551337</v>
      </c>
      <c r="Q3419" s="38">
        <f ca="1">IF(O3419="","",IF(Tipo_Vertedor="Retangular",IF(O3419&lt;=cota_s*100,0,IF(Tipo_Vertedor="Retangular",Cd_sr*Lef_sr*((O3419/100-cota_s)^(3/2))*1000)),IF(O3419&lt;=cota_s*100+fi_s/20,0,(OFFSET('Base de dados'!$A$4,IF(O3419&lt;20,1,IF(O3419&gt;1000,10,MATCH(O3419,Cargas,1))),Coluna_fis,1,1))*(PI()*(fi_s/1000)^2/4)*(2*9.81*(O3419/100-cota_s-fi_s/2/1000))^0.5*1000)))</f>
        <v>7.2458820480195847</v>
      </c>
      <c r="R3419" s="38">
        <f t="shared" ca="1" si="355"/>
        <v>15.062603345474718</v>
      </c>
      <c r="S3419" s="38">
        <f t="shared" ca="1" si="356"/>
        <v>1068.1250000000002</v>
      </c>
    </row>
    <row r="3420" spans="13:19">
      <c r="M3420" s="132">
        <f t="shared" ca="1" si="353"/>
        <v>1083.5024850739724</v>
      </c>
      <c r="N3420" s="38">
        <f t="shared" si="354"/>
        <v>32.053124999999994</v>
      </c>
      <c r="O3420" s="36">
        <f t="shared" si="352"/>
        <v>854.75</v>
      </c>
      <c r="P3420" s="38">
        <f ca="1">IF(ISERROR(IF(O3420&lt;fi_h/20,0,(OFFSET('Base de dados'!$A$5,IF(O3420&lt;20,1,IF(O3420&gt;1000,10,MATCH(O3420,Cargas,1))),Coluna_fih,1,1))*(1+0.13*0.25)*(PI()*(fi_h/1000)^2/4)*SQRT(2*9.81*(O3420/100-fi_h/2/1000))*1000)),"",IF(O3420&lt;fi_h/20,0,(OFFSET('Base de dados'!$A$5,IF(O3420&lt;20,1,IF(O3420&gt;1000,10,MATCH(O3420,Cargas,1))),Coluna_fih,1,1))*(PI()*(fi_h/1000)^2/4)*SQRT(2*9.81*(O3420/100-fi_h/2/1000))*1000))</f>
        <v>7.8178670377260993</v>
      </c>
      <c r="Q3420" s="38">
        <f ca="1">IF(O3420="","",IF(Tipo_Vertedor="Retangular",IF(O3420&lt;=cota_s*100,0,IF(Tipo_Vertedor="Retangular",Cd_sr*Lef_sr*((O3420/100-cota_s)^(3/2))*1000)),IF(O3420&lt;=cota_s*100+fi_s/20,0,(OFFSET('Base de dados'!$A$4,IF(O3420&lt;20,1,IF(O3420&gt;1000,10,MATCH(O3420,Cargas,1))),Coluna_fis,1,1))*(PI()*(fi_s/1000)^2/4)*(2*9.81*(O3420/100-cota_s-fi_s/2/1000))^0.5*1000)))</f>
        <v>7.2471180362464125</v>
      </c>
      <c r="R3420" s="38">
        <f t="shared" ca="1" si="355"/>
        <v>15.064985073972512</v>
      </c>
      <c r="S3420" s="38">
        <f t="shared" ca="1" si="356"/>
        <v>1068.4374999999998</v>
      </c>
    </row>
    <row r="3421" spans="13:19">
      <c r="M3421" s="132">
        <f t="shared" ca="1" si="353"/>
        <v>1083.8173664238216</v>
      </c>
      <c r="N3421" s="38">
        <f t="shared" si="354"/>
        <v>32.0625</v>
      </c>
      <c r="O3421" s="36">
        <f t="shared" si="352"/>
        <v>855</v>
      </c>
      <c r="P3421" s="38">
        <f ca="1">IF(ISERROR(IF(O3421&lt;fi_h/20,0,(OFFSET('Base de dados'!$A$5,IF(O3421&lt;20,1,IF(O3421&gt;1000,10,MATCH(O3421,Cargas,1))),Coluna_fih,1,1))*(1+0.13*0.25)*(PI()*(fi_h/1000)^2/4)*SQRT(2*9.81*(O3421/100-fi_h/2/1000))*1000)),"",IF(O3421&lt;fi_h/20,0,(OFFSET('Base de dados'!$A$5,IF(O3421&lt;20,1,IF(O3421&gt;1000,10,MATCH(O3421,Cargas,1))),Coluna_fih,1,1))*(PI()*(fi_h/1000)^2/4)*SQRT(2*9.81*(O3421/100-fi_h/2/1000))*1000))</f>
        <v>7.8190126101087625</v>
      </c>
      <c r="Q3421" s="38">
        <f ca="1">IF(O3421="","",IF(Tipo_Vertedor="Retangular",IF(O3421&lt;=cota_s*100,0,IF(Tipo_Vertedor="Retangular",Cd_sr*Lef_sr*((O3421/100-cota_s)^(3/2))*1000)),IF(O3421&lt;=cota_s*100+fi_s/20,0,(OFFSET('Base de dados'!$A$4,IF(O3421&lt;20,1,IF(O3421&gt;1000,10,MATCH(O3421,Cargas,1))),Coluna_fis,1,1))*(PI()*(fi_s/1000)^2/4)*(2*9.81*(O3421/100-cota_s-fi_s/2/1000))^0.5*1000)))</f>
        <v>7.248353813712713</v>
      </c>
      <c r="R3421" s="38">
        <f t="shared" ca="1" si="355"/>
        <v>15.067366423821476</v>
      </c>
      <c r="S3421" s="38">
        <f t="shared" ca="1" si="356"/>
        <v>1068.75</v>
      </c>
    </row>
    <row r="3422" spans="13:19">
      <c r="M3422" s="132">
        <f t="shared" ca="1" si="353"/>
        <v>1084.1322473952032</v>
      </c>
      <c r="N3422" s="38">
        <f t="shared" si="354"/>
        <v>32.071874999999999</v>
      </c>
      <c r="O3422" s="36">
        <f t="shared" si="352"/>
        <v>855.25</v>
      </c>
      <c r="P3422" s="38">
        <f ca="1">IF(ISERROR(IF(O3422&lt;fi_h/20,0,(OFFSET('Base de dados'!$A$5,IF(O3422&lt;20,1,IF(O3422&gt;1000,10,MATCH(O3422,Cargas,1))),Coluna_fih,1,1))*(1+0.13*0.25)*(PI()*(fi_h/1000)^2/4)*SQRT(2*9.81*(O3422/100-fi_h/2/1000))*1000)),"",IF(O3422&lt;fi_h/20,0,(OFFSET('Base de dados'!$A$5,IF(O3422&lt;20,1,IF(O3422&gt;1000,10,MATCH(O3422,Cargas,1))),Coluna_fih,1,1))*(PI()*(fi_h/1000)^2/4)*SQRT(2*9.81*(O3422/100-fi_h/2/1000))*1000))</f>
        <v>7.8201580146769043</v>
      </c>
      <c r="Q3422" s="38">
        <f ca="1">IF(O3422="","",IF(Tipo_Vertedor="Retangular",IF(O3422&lt;=cota_s*100,0,IF(Tipo_Vertedor="Retangular",Cd_sr*Lef_sr*((O3422/100-cota_s)^(3/2))*1000)),IF(O3422&lt;=cota_s*100+fi_s/20,0,(OFFSET('Base de dados'!$A$4,IF(O3422&lt;20,1,IF(O3422&gt;1000,10,MATCH(O3422,Cargas,1))),Coluna_fis,1,1))*(PI()*(fi_s/1000)^2/4)*(2*9.81*(O3422/100-cota_s-fi_s/2/1000))^0.5*1000)))</f>
        <v>7.2495893805262668</v>
      </c>
      <c r="R3422" s="38">
        <f t="shared" ca="1" si="355"/>
        <v>15.069747395203171</v>
      </c>
      <c r="S3422" s="38">
        <f t="shared" ca="1" si="356"/>
        <v>1069.0625</v>
      </c>
    </row>
    <row r="3423" spans="13:19">
      <c r="M3423" s="132">
        <f t="shared" ca="1" si="353"/>
        <v>1084.4471279882987</v>
      </c>
      <c r="N3423" s="38">
        <f t="shared" si="354"/>
        <v>32.081249999999997</v>
      </c>
      <c r="O3423" s="36">
        <f t="shared" si="352"/>
        <v>855.5</v>
      </c>
      <c r="P3423" s="38">
        <f ca="1">IF(ISERROR(IF(O3423&lt;fi_h/20,0,(OFFSET('Base de dados'!$A$5,IF(O3423&lt;20,1,IF(O3423&gt;1000,10,MATCH(O3423,Cargas,1))),Coluna_fih,1,1))*(1+0.13*0.25)*(PI()*(fi_h/1000)^2/4)*SQRT(2*9.81*(O3423/100-fi_h/2/1000))*1000)),"",IF(O3423&lt;fi_h/20,0,(OFFSET('Base de dados'!$A$5,IF(O3423&lt;20,1,IF(O3423&gt;1000,10,MATCH(O3423,Cargas,1))),Coluna_fih,1,1))*(PI()*(fi_h/1000)^2/4)*SQRT(2*9.81*(O3423/100-fi_h/2/1000))*1000))</f>
        <v>7.8213032515042533</v>
      </c>
      <c r="Q3423" s="38">
        <f ca="1">IF(O3423="","",IF(Tipo_Vertedor="Retangular",IF(O3423&lt;=cota_s*100,0,IF(Tipo_Vertedor="Retangular",Cd_sr*Lef_sr*((O3423/100-cota_s)^(3/2))*1000)),IF(O3423&lt;=cota_s*100+fi_s/20,0,(OFFSET('Base de dados'!$A$4,IF(O3423&lt;20,1,IF(O3423&gt;1000,10,MATCH(O3423,Cargas,1))),Coluna_fis,1,1))*(PI()*(fi_s/1000)^2/4)*(2*9.81*(O3423/100-cota_s-fi_s/2/1000))^0.5*1000)))</f>
        <v>7.2508247367947591</v>
      </c>
      <c r="R3423" s="38">
        <f t="shared" ca="1" si="355"/>
        <v>15.072127988299012</v>
      </c>
      <c r="S3423" s="38">
        <f t="shared" ca="1" si="356"/>
        <v>1069.3749999999998</v>
      </c>
    </row>
    <row r="3424" spans="13:19">
      <c r="M3424" s="132">
        <f t="shared" ca="1" si="353"/>
        <v>1084.76200820329</v>
      </c>
      <c r="N3424" s="38">
        <f t="shared" si="354"/>
        <v>32.090624999999996</v>
      </c>
      <c r="O3424" s="36">
        <f t="shared" si="352"/>
        <v>855.75</v>
      </c>
      <c r="P3424" s="38">
        <f ca="1">IF(ISERROR(IF(O3424&lt;fi_h/20,0,(OFFSET('Base de dados'!$A$5,IF(O3424&lt;20,1,IF(O3424&gt;1000,10,MATCH(O3424,Cargas,1))),Coluna_fih,1,1))*(1+0.13*0.25)*(PI()*(fi_h/1000)^2/4)*SQRT(2*9.81*(O3424/100-fi_h/2/1000))*1000)),"",IF(O3424&lt;fi_h/20,0,(OFFSET('Base de dados'!$A$5,IF(O3424&lt;20,1,IF(O3424&gt;1000,10,MATCH(O3424,Cargas,1))),Coluna_fih,1,1))*(PI()*(fi_h/1000)^2/4)*SQRT(2*9.81*(O3424/100-fi_h/2/1000))*1000))</f>
        <v>7.8224483206644804</v>
      </c>
      <c r="Q3424" s="38">
        <f ca="1">IF(O3424="","",IF(Tipo_Vertedor="Retangular",IF(O3424&lt;=cota_s*100,0,IF(Tipo_Vertedor="Retangular",Cd_sr*Lef_sr*((O3424/100-cota_s)^(3/2))*1000)),IF(O3424&lt;=cota_s*100+fi_s/20,0,(OFFSET('Base de dados'!$A$4,IF(O3424&lt;20,1,IF(O3424&gt;1000,10,MATCH(O3424,Cargas,1))),Coluna_fis,1,1))*(PI()*(fi_s/1000)^2/4)*(2*9.81*(O3424/100-cota_s-fi_s/2/1000))^0.5*1000)))</f>
        <v>7.2520598826257894</v>
      </c>
      <c r="R3424" s="38">
        <f t="shared" ca="1" si="355"/>
        <v>15.07450820329027</v>
      </c>
      <c r="S3424" s="38">
        <f t="shared" ca="1" si="356"/>
        <v>1069.6874999999998</v>
      </c>
    </row>
    <row r="3425" spans="13:19">
      <c r="M3425" s="132">
        <f t="shared" ca="1" si="353"/>
        <v>1085.076888040358</v>
      </c>
      <c r="N3425" s="38">
        <f t="shared" si="354"/>
        <v>32.1</v>
      </c>
      <c r="O3425" s="36">
        <f t="shared" si="352"/>
        <v>856</v>
      </c>
      <c r="P3425" s="38">
        <f ca="1">IF(ISERROR(IF(O3425&lt;fi_h/20,0,(OFFSET('Base de dados'!$A$5,IF(O3425&lt;20,1,IF(O3425&gt;1000,10,MATCH(O3425,Cargas,1))),Coluna_fih,1,1))*(1+0.13*0.25)*(PI()*(fi_h/1000)^2/4)*SQRT(2*9.81*(O3425/100-fi_h/2/1000))*1000)),"",IF(O3425&lt;fi_h/20,0,(OFFSET('Base de dados'!$A$5,IF(O3425&lt;20,1,IF(O3425&gt;1000,10,MATCH(O3425,Cargas,1))),Coluna_fih,1,1))*(PI()*(fi_h/1000)^2/4)*SQRT(2*9.81*(O3425/100-fi_h/2/1000))*1000))</f>
        <v>7.823593222231211</v>
      </c>
      <c r="Q3425" s="38">
        <f ca="1">IF(O3425="","",IF(Tipo_Vertedor="Retangular",IF(O3425&lt;=cota_s*100,0,IF(Tipo_Vertedor="Retangular",Cd_sr*Lef_sr*((O3425/100-cota_s)^(3/2))*1000)),IF(O3425&lt;=cota_s*100+fi_s/20,0,(OFFSET('Base de dados'!$A$4,IF(O3425&lt;20,1,IF(O3425&gt;1000,10,MATCH(O3425,Cargas,1))),Coluna_fis,1,1))*(PI()*(fi_s/1000)^2/4)*(2*9.81*(O3425/100-cota_s-fi_s/2/1000))^0.5*1000)))</f>
        <v>7.2532948181268591</v>
      </c>
      <c r="R3425" s="38">
        <f t="shared" ca="1" si="355"/>
        <v>15.076888040358071</v>
      </c>
      <c r="S3425" s="38">
        <f t="shared" ca="1" si="356"/>
        <v>1070</v>
      </c>
    </row>
    <row r="3426" spans="13:19">
      <c r="M3426" s="132">
        <f t="shared" ca="1" si="353"/>
        <v>1085.3917674996833</v>
      </c>
      <c r="N3426" s="38">
        <f t="shared" si="354"/>
        <v>32.109375</v>
      </c>
      <c r="O3426" s="36">
        <f t="shared" si="352"/>
        <v>856.25</v>
      </c>
      <c r="P3426" s="38">
        <f ca="1">IF(ISERROR(IF(O3426&lt;fi_h/20,0,(OFFSET('Base de dados'!$A$5,IF(O3426&lt;20,1,IF(O3426&gt;1000,10,MATCH(O3426,Cargas,1))),Coluna_fih,1,1))*(1+0.13*0.25)*(PI()*(fi_h/1000)^2/4)*SQRT(2*9.81*(O3426/100-fi_h/2/1000))*1000)),"",IF(O3426&lt;fi_h/20,0,(OFFSET('Base de dados'!$A$5,IF(O3426&lt;20,1,IF(O3426&gt;1000,10,MATCH(O3426,Cargas,1))),Coluna_fih,1,1))*(PI()*(fi_h/1000)^2/4)*SQRT(2*9.81*(O3426/100-fi_h/2/1000))*1000))</f>
        <v>7.8247379562780068</v>
      </c>
      <c r="Q3426" s="38">
        <f ca="1">IF(O3426="","",IF(Tipo_Vertedor="Retangular",IF(O3426&lt;=cota_s*100,0,IF(Tipo_Vertedor="Retangular",Cd_sr*Lef_sr*((O3426/100-cota_s)^(3/2))*1000)),IF(O3426&lt;=cota_s*100+fi_s/20,0,(OFFSET('Base de dados'!$A$4,IF(O3426&lt;20,1,IF(O3426&gt;1000,10,MATCH(O3426,Cargas,1))),Coluna_fis,1,1))*(PI()*(fi_s/1000)^2/4)*(2*9.81*(O3426/100-cota_s-fi_s/2/1000))^0.5*1000)))</f>
        <v>7.2545295434053845</v>
      </c>
      <c r="R3426" s="38">
        <f t="shared" ca="1" si="355"/>
        <v>15.079267499683391</v>
      </c>
      <c r="S3426" s="38">
        <f t="shared" ca="1" si="356"/>
        <v>1070.3125</v>
      </c>
    </row>
    <row r="3427" spans="13:19">
      <c r="M3427" s="132">
        <f t="shared" ca="1" si="353"/>
        <v>1085.7066465814471</v>
      </c>
      <c r="N3427" s="38">
        <f t="shared" si="354"/>
        <v>32.118749999999999</v>
      </c>
      <c r="O3427" s="36">
        <f t="shared" si="352"/>
        <v>856.5</v>
      </c>
      <c r="P3427" s="38">
        <f ca="1">IF(ISERROR(IF(O3427&lt;fi_h/20,0,(OFFSET('Base de dados'!$A$5,IF(O3427&lt;20,1,IF(O3427&gt;1000,10,MATCH(O3427,Cargas,1))),Coluna_fih,1,1))*(1+0.13*0.25)*(PI()*(fi_h/1000)^2/4)*SQRT(2*9.81*(O3427/100-fi_h/2/1000))*1000)),"",IF(O3427&lt;fi_h/20,0,(OFFSET('Base de dados'!$A$5,IF(O3427&lt;20,1,IF(O3427&gt;1000,10,MATCH(O3427,Cargas,1))),Coluna_fih,1,1))*(PI()*(fi_h/1000)^2/4)*SQRT(2*9.81*(O3427/100-fi_h/2/1000))*1000))</f>
        <v>7.8258825228783806</v>
      </c>
      <c r="Q3427" s="38">
        <f ca="1">IF(O3427="","",IF(Tipo_Vertedor="Retangular",IF(O3427&lt;=cota_s*100,0,IF(Tipo_Vertedor="Retangular",Cd_sr*Lef_sr*((O3427/100-cota_s)^(3/2))*1000)),IF(O3427&lt;=cota_s*100+fi_s/20,0,(OFFSET('Base de dados'!$A$4,IF(O3427&lt;20,1,IF(O3427&gt;1000,10,MATCH(O3427,Cargas,1))),Coluna_fis,1,1))*(PI()*(fi_s/1000)^2/4)*(2*9.81*(O3427/100-cota_s-fi_s/2/1000))^0.5*1000)))</f>
        <v>7.2557640585686833</v>
      </c>
      <c r="R3427" s="38">
        <f t="shared" ca="1" si="355"/>
        <v>15.081646581447064</v>
      </c>
      <c r="S3427" s="38">
        <f t="shared" ca="1" si="356"/>
        <v>1070.625</v>
      </c>
    </row>
    <row r="3428" spans="13:19">
      <c r="M3428" s="132">
        <f t="shared" ca="1" si="353"/>
        <v>1086.02152528583</v>
      </c>
      <c r="N3428" s="38">
        <f t="shared" si="354"/>
        <v>32.128125000000004</v>
      </c>
      <c r="O3428" s="36">
        <f t="shared" si="352"/>
        <v>856.75</v>
      </c>
      <c r="P3428" s="38">
        <f ca="1">IF(ISERROR(IF(O3428&lt;fi_h/20,0,(OFFSET('Base de dados'!$A$5,IF(O3428&lt;20,1,IF(O3428&gt;1000,10,MATCH(O3428,Cargas,1))),Coluna_fih,1,1))*(1+0.13*0.25)*(PI()*(fi_h/1000)^2/4)*SQRT(2*9.81*(O3428/100-fi_h/2/1000))*1000)),"",IF(O3428&lt;fi_h/20,0,(OFFSET('Base de dados'!$A$5,IF(O3428&lt;20,1,IF(O3428&gt;1000,10,MATCH(O3428,Cargas,1))),Coluna_fih,1,1))*(PI()*(fi_h/1000)^2/4)*SQRT(2*9.81*(O3428/100-fi_h/2/1000))*1000))</f>
        <v>7.8270269221057918</v>
      </c>
      <c r="Q3428" s="38">
        <f ca="1">IF(O3428="","",IF(Tipo_Vertedor="Retangular",IF(O3428&lt;=cota_s*100,0,IF(Tipo_Vertedor="Retangular",Cd_sr*Lef_sr*((O3428/100-cota_s)^(3/2))*1000)),IF(O3428&lt;=cota_s*100+fi_s/20,0,(OFFSET('Base de dados'!$A$4,IF(O3428&lt;20,1,IF(O3428&gt;1000,10,MATCH(O3428,Cargas,1))),Coluna_fis,1,1))*(PI()*(fi_s/1000)^2/4)*(2*9.81*(O3428/100-cota_s-fi_s/2/1000))^0.5*1000)))</f>
        <v>7.2569983637239917</v>
      </c>
      <c r="R3428" s="38">
        <f t="shared" ca="1" si="355"/>
        <v>15.084025285829783</v>
      </c>
      <c r="S3428" s="38">
        <f t="shared" ca="1" si="356"/>
        <v>1070.9375000000002</v>
      </c>
    </row>
    <row r="3429" spans="13:19">
      <c r="M3429" s="132">
        <f t="shared" ca="1" si="353"/>
        <v>1086.3364036130124</v>
      </c>
      <c r="N3429" s="38">
        <f t="shared" si="354"/>
        <v>32.137500000000003</v>
      </c>
      <c r="O3429" s="36">
        <f t="shared" si="352"/>
        <v>857</v>
      </c>
      <c r="P3429" s="38">
        <f ca="1">IF(ISERROR(IF(O3429&lt;fi_h/20,0,(OFFSET('Base de dados'!$A$5,IF(O3429&lt;20,1,IF(O3429&gt;1000,10,MATCH(O3429,Cargas,1))),Coluna_fih,1,1))*(1+0.13*0.25)*(PI()*(fi_h/1000)^2/4)*SQRT(2*9.81*(O3429/100-fi_h/2/1000))*1000)),"",IF(O3429&lt;fi_h/20,0,(OFFSET('Base de dados'!$A$5,IF(O3429&lt;20,1,IF(O3429&gt;1000,10,MATCH(O3429,Cargas,1))),Coluna_fih,1,1))*(PI()*(fi_h/1000)^2/4)*SQRT(2*9.81*(O3429/100-fi_h/2/1000))*1000))</f>
        <v>7.8281711540336438</v>
      </c>
      <c r="Q3429" s="38">
        <f ca="1">IF(O3429="","",IF(Tipo_Vertedor="Retangular",IF(O3429&lt;=cota_s*100,0,IF(Tipo_Vertedor="Retangular",Cd_sr*Lef_sr*((O3429/100-cota_s)^(3/2))*1000)),IF(O3429&lt;=cota_s*100+fi_s/20,0,(OFFSET('Base de dados'!$A$4,IF(O3429&lt;20,1,IF(O3429&gt;1000,10,MATCH(O3429,Cargas,1))),Coluna_fis,1,1))*(PI()*(fi_s/1000)^2/4)*(2*9.81*(O3429/100-cota_s-fi_s/2/1000))^0.5*1000)))</f>
        <v>7.2582324589784424</v>
      </c>
      <c r="R3429" s="38">
        <f t="shared" ca="1" si="355"/>
        <v>15.086403613012086</v>
      </c>
      <c r="S3429" s="38">
        <f t="shared" ca="1" si="356"/>
        <v>1071.2500000000002</v>
      </c>
    </row>
    <row r="3430" spans="13:19">
      <c r="M3430" s="132">
        <f t="shared" ca="1" si="353"/>
        <v>1086.6512815631743</v>
      </c>
      <c r="N3430" s="38">
        <f t="shared" si="354"/>
        <v>32.146875000000001</v>
      </c>
      <c r="O3430" s="36">
        <f t="shared" si="352"/>
        <v>857.25</v>
      </c>
      <c r="P3430" s="38">
        <f ca="1">IF(ISERROR(IF(O3430&lt;fi_h/20,0,(OFFSET('Base de dados'!$A$5,IF(O3430&lt;20,1,IF(O3430&gt;1000,10,MATCH(O3430,Cargas,1))),Coluna_fih,1,1))*(1+0.13*0.25)*(PI()*(fi_h/1000)^2/4)*SQRT(2*9.81*(O3430/100-fi_h/2/1000))*1000)),"",IF(O3430&lt;fi_h/20,0,(OFFSET('Base de dados'!$A$5,IF(O3430&lt;20,1,IF(O3430&gt;1000,10,MATCH(O3430,Cargas,1))),Coluna_fih,1,1))*(PI()*(fi_h/1000)^2/4)*SQRT(2*9.81*(O3430/100-fi_h/2/1000))*1000))</f>
        <v>7.8293152187352888</v>
      </c>
      <c r="Q3430" s="38">
        <f ca="1">IF(O3430="","",IF(Tipo_Vertedor="Retangular",IF(O3430&lt;=cota_s*100,0,IF(Tipo_Vertedor="Retangular",Cd_sr*Lef_sr*((O3430/100-cota_s)^(3/2))*1000)),IF(O3430&lt;=cota_s*100+fi_s/20,0,(OFFSET('Base de dados'!$A$4,IF(O3430&lt;20,1,IF(O3430&gt;1000,10,MATCH(O3430,Cargas,1))),Coluna_fis,1,1))*(PI()*(fi_s/1000)^2/4)*(2*9.81*(O3430/100-cota_s-fi_s/2/1000))^0.5*1000)))</f>
        <v>7.2594663444390886</v>
      </c>
      <c r="R3430" s="38">
        <f t="shared" ca="1" si="355"/>
        <v>15.088781563174377</v>
      </c>
      <c r="S3430" s="38">
        <f t="shared" ca="1" si="356"/>
        <v>1071.5625</v>
      </c>
    </row>
    <row r="3431" spans="13:19">
      <c r="M3431" s="132">
        <f t="shared" ca="1" si="353"/>
        <v>1086.9661591364968</v>
      </c>
      <c r="N3431" s="38">
        <f t="shared" si="354"/>
        <v>32.15625</v>
      </c>
      <c r="O3431" s="36">
        <f t="shared" si="352"/>
        <v>857.5</v>
      </c>
      <c r="P3431" s="38">
        <f ca="1">IF(ISERROR(IF(O3431&lt;fi_h/20,0,(OFFSET('Base de dados'!$A$5,IF(O3431&lt;20,1,IF(O3431&gt;1000,10,MATCH(O3431,Cargas,1))),Coluna_fih,1,1))*(1+0.13*0.25)*(PI()*(fi_h/1000)^2/4)*SQRT(2*9.81*(O3431/100-fi_h/2/1000))*1000)),"",IF(O3431&lt;fi_h/20,0,(OFFSET('Base de dados'!$A$5,IF(O3431&lt;20,1,IF(O3431&gt;1000,10,MATCH(O3431,Cargas,1))),Coluna_fih,1,1))*(PI()*(fi_h/1000)^2/4)*SQRT(2*9.81*(O3431/100-fi_h/2/1000))*1000))</f>
        <v>7.8304591162840254</v>
      </c>
      <c r="Q3431" s="38">
        <f ca="1">IF(O3431="","",IF(Tipo_Vertedor="Retangular",IF(O3431&lt;=cota_s*100,0,IF(Tipo_Vertedor="Retangular",Cd_sr*Lef_sr*((O3431/100-cota_s)^(3/2))*1000)),IF(O3431&lt;=cota_s*100+fi_s/20,0,(OFFSET('Base de dados'!$A$4,IF(O3431&lt;20,1,IF(O3431&gt;1000,10,MATCH(O3431,Cargas,1))),Coluna_fis,1,1))*(PI()*(fi_s/1000)^2/4)*(2*9.81*(O3431/100-cota_s-fi_s/2/1000))^0.5*1000)))</f>
        <v>7.2607000202128855</v>
      </c>
      <c r="R3431" s="38">
        <f t="shared" ca="1" si="355"/>
        <v>15.091159136496911</v>
      </c>
      <c r="S3431" s="38">
        <f t="shared" ca="1" si="356"/>
        <v>1071.875</v>
      </c>
    </row>
    <row r="3432" spans="13:19">
      <c r="M3432" s="132">
        <f t="shared" ca="1" si="353"/>
        <v>1087.28103633316</v>
      </c>
      <c r="N3432" s="38">
        <f t="shared" si="354"/>
        <v>32.165625000000006</v>
      </c>
      <c r="O3432" s="36">
        <f t="shared" si="352"/>
        <v>857.75</v>
      </c>
      <c r="P3432" s="38">
        <f ca="1">IF(ISERROR(IF(O3432&lt;fi_h/20,0,(OFFSET('Base de dados'!$A$5,IF(O3432&lt;20,1,IF(O3432&gt;1000,10,MATCH(O3432,Cargas,1))),Coluna_fih,1,1))*(1+0.13*0.25)*(PI()*(fi_h/1000)^2/4)*SQRT(2*9.81*(O3432/100-fi_h/2/1000))*1000)),"",IF(O3432&lt;fi_h/20,0,(OFFSET('Base de dados'!$A$5,IF(O3432&lt;20,1,IF(O3432&gt;1000,10,MATCH(O3432,Cargas,1))),Coluna_fih,1,1))*(PI()*(fi_h/1000)^2/4)*SQRT(2*9.81*(O3432/100-fi_h/2/1000))*1000))</f>
        <v>7.8316028467530945</v>
      </c>
      <c r="Q3432" s="38">
        <f ca="1">IF(O3432="","",IF(Tipo_Vertedor="Retangular",IF(O3432&lt;=cota_s*100,0,IF(Tipo_Vertedor="Retangular",Cd_sr*Lef_sr*((O3432/100-cota_s)^(3/2))*1000)),IF(O3432&lt;=cota_s*100+fi_s/20,0,(OFFSET('Base de dados'!$A$4,IF(O3432&lt;20,1,IF(O3432&gt;1000,10,MATCH(O3432,Cargas,1))),Coluna_fis,1,1))*(PI()*(fi_s/1000)^2/4)*(2*9.81*(O3432/100-cota_s-fi_s/2/1000))^0.5*1000)))</f>
        <v>7.2619334864067007</v>
      </c>
      <c r="R3432" s="38">
        <f t="shared" ca="1" si="355"/>
        <v>15.093536333159795</v>
      </c>
      <c r="S3432" s="38">
        <f t="shared" ca="1" si="356"/>
        <v>1072.1875000000002</v>
      </c>
    </row>
    <row r="3433" spans="13:19">
      <c r="M3433" s="132">
        <f t="shared" ca="1" si="353"/>
        <v>1087.5959131533427</v>
      </c>
      <c r="N3433" s="38">
        <f t="shared" si="354"/>
        <v>32.174999999999997</v>
      </c>
      <c r="O3433" s="36">
        <f t="shared" si="352"/>
        <v>858</v>
      </c>
      <c r="P3433" s="38">
        <f ca="1">IF(ISERROR(IF(O3433&lt;fi_h/20,0,(OFFSET('Base de dados'!$A$5,IF(O3433&lt;20,1,IF(O3433&gt;1000,10,MATCH(O3433,Cargas,1))),Coluna_fih,1,1))*(1+0.13*0.25)*(PI()*(fi_h/1000)^2/4)*SQRT(2*9.81*(O3433/100-fi_h/2/1000))*1000)),"",IF(O3433&lt;fi_h/20,0,(OFFSET('Base de dados'!$A$5,IF(O3433&lt;20,1,IF(O3433&gt;1000,10,MATCH(O3433,Cargas,1))),Coluna_fih,1,1))*(PI()*(fi_h/1000)^2/4)*SQRT(2*9.81*(O3433/100-fi_h/2/1000))*1000))</f>
        <v>7.8327464102156874</v>
      </c>
      <c r="Q3433" s="38">
        <f ca="1">IF(O3433="","",IF(Tipo_Vertedor="Retangular",IF(O3433&lt;=cota_s*100,0,IF(Tipo_Vertedor="Retangular",Cd_sr*Lef_sr*((O3433/100-cota_s)^(3/2))*1000)),IF(O3433&lt;=cota_s*100+fi_s/20,0,(OFFSET('Base de dados'!$A$4,IF(O3433&lt;20,1,IF(O3433&gt;1000,10,MATCH(O3433,Cargas,1))),Coluna_fis,1,1))*(PI()*(fi_s/1000)^2/4)*(2*9.81*(O3433/100-cota_s-fi_s/2/1000))^0.5*1000)))</f>
        <v>7.2631667431273081</v>
      </c>
      <c r="R3433" s="38">
        <f t="shared" ca="1" si="355"/>
        <v>15.095913153342995</v>
      </c>
      <c r="S3433" s="38">
        <f t="shared" ca="1" si="356"/>
        <v>1072.4999999999998</v>
      </c>
    </row>
    <row r="3434" spans="13:19">
      <c r="M3434" s="132">
        <f t="shared" ca="1" si="353"/>
        <v>1087.9107895972261</v>
      </c>
      <c r="N3434" s="38">
        <f t="shared" si="354"/>
        <v>32.184374999999996</v>
      </c>
      <c r="O3434" s="36">
        <f t="shared" si="352"/>
        <v>858.25</v>
      </c>
      <c r="P3434" s="38">
        <f ca="1">IF(ISERROR(IF(O3434&lt;fi_h/20,0,(OFFSET('Base de dados'!$A$5,IF(O3434&lt;20,1,IF(O3434&gt;1000,10,MATCH(O3434,Cargas,1))),Coluna_fih,1,1))*(1+0.13*0.25)*(PI()*(fi_h/1000)^2/4)*SQRT(2*9.81*(O3434/100-fi_h/2/1000))*1000)),"",IF(O3434&lt;fi_h/20,0,(OFFSET('Base de dados'!$A$5,IF(O3434&lt;20,1,IF(O3434&gt;1000,10,MATCH(O3434,Cargas,1))),Coluna_fih,1,1))*(PI()*(fi_h/1000)^2/4)*SQRT(2*9.81*(O3434/100-fi_h/2/1000))*1000))</f>
        <v>7.8338898067449421</v>
      </c>
      <c r="Q3434" s="38">
        <f ca="1">IF(O3434="","",IF(Tipo_Vertedor="Retangular",IF(O3434&lt;=cota_s*100,0,IF(Tipo_Vertedor="Retangular",Cd_sr*Lef_sr*((O3434/100-cota_s)^(3/2))*1000)),IF(O3434&lt;=cota_s*100+fi_s/20,0,(OFFSET('Base de dados'!$A$4,IF(O3434&lt;20,1,IF(O3434&gt;1000,10,MATCH(O3434,Cargas,1))),Coluna_fis,1,1))*(PI()*(fi_s/1000)^2/4)*(2*9.81*(O3434/100-cota_s-fi_s/2/1000))^0.5*1000)))</f>
        <v>7.2643997904813942</v>
      </c>
      <c r="R3434" s="38">
        <f t="shared" ca="1" si="355"/>
        <v>15.098289597226337</v>
      </c>
      <c r="S3434" s="38">
        <f t="shared" ca="1" si="356"/>
        <v>1072.8124999999998</v>
      </c>
    </row>
    <row r="3435" spans="13:19">
      <c r="M3435" s="132">
        <f t="shared" ca="1" si="353"/>
        <v>1088.2256656649895</v>
      </c>
      <c r="N3435" s="38">
        <f t="shared" si="354"/>
        <v>32.193750000000001</v>
      </c>
      <c r="O3435" s="36">
        <f t="shared" si="352"/>
        <v>858.5</v>
      </c>
      <c r="P3435" s="38">
        <f ca="1">IF(ISERROR(IF(O3435&lt;fi_h/20,0,(OFFSET('Base de dados'!$A$5,IF(O3435&lt;20,1,IF(O3435&gt;1000,10,MATCH(O3435,Cargas,1))),Coluna_fih,1,1))*(1+0.13*0.25)*(PI()*(fi_h/1000)^2/4)*SQRT(2*9.81*(O3435/100-fi_h/2/1000))*1000)),"",IF(O3435&lt;fi_h/20,0,(OFFSET('Base de dados'!$A$5,IF(O3435&lt;20,1,IF(O3435&gt;1000,10,MATCH(O3435,Cargas,1))),Coluna_fih,1,1))*(PI()*(fi_h/1000)^2/4)*SQRT(2*9.81*(O3435/100-fi_h/2/1000))*1000))</f>
        <v>7.8350330364139449</v>
      </c>
      <c r="Q3435" s="38">
        <f ca="1">IF(O3435="","",IF(Tipo_Vertedor="Retangular",IF(O3435&lt;=cota_s*100,0,IF(Tipo_Vertedor="Retangular",Cd_sr*Lef_sr*((O3435/100-cota_s)^(3/2))*1000)),IF(O3435&lt;=cota_s*100+fi_s/20,0,(OFFSET('Base de dados'!$A$4,IF(O3435&lt;20,1,IF(O3435&gt;1000,10,MATCH(O3435,Cargas,1))),Coluna_fis,1,1))*(PI()*(fi_s/1000)^2/4)*(2*9.81*(O3435/100-cota_s-fi_s/2/1000))^0.5*1000)))</f>
        <v>7.2656326285755526</v>
      </c>
      <c r="R3435" s="38">
        <f t="shared" ca="1" si="355"/>
        <v>15.100665664989497</v>
      </c>
      <c r="S3435" s="38">
        <f t="shared" ca="1" si="356"/>
        <v>1073.125</v>
      </c>
    </row>
    <row r="3436" spans="13:19">
      <c r="M3436" s="132">
        <f t="shared" ca="1" si="353"/>
        <v>1088.5405413568119</v>
      </c>
      <c r="N3436" s="38">
        <f t="shared" si="354"/>
        <v>32.203125</v>
      </c>
      <c r="O3436" s="36">
        <f t="shared" si="352"/>
        <v>858.75</v>
      </c>
      <c r="P3436" s="38">
        <f ca="1">IF(ISERROR(IF(O3436&lt;fi_h/20,0,(OFFSET('Base de dados'!$A$5,IF(O3436&lt;20,1,IF(O3436&gt;1000,10,MATCH(O3436,Cargas,1))),Coluna_fih,1,1))*(1+0.13*0.25)*(PI()*(fi_h/1000)^2/4)*SQRT(2*9.81*(O3436/100-fi_h/2/1000))*1000)),"",IF(O3436&lt;fi_h/20,0,(OFFSET('Base de dados'!$A$5,IF(O3436&lt;20,1,IF(O3436&gt;1000,10,MATCH(O3436,Cargas,1))),Coluna_fih,1,1))*(PI()*(fi_h/1000)^2/4)*SQRT(2*9.81*(O3436/100-fi_h/2/1000))*1000))</f>
        <v>7.8361760992957192</v>
      </c>
      <c r="Q3436" s="38">
        <f ca="1">IF(O3436="","",IF(Tipo_Vertedor="Retangular",IF(O3436&lt;=cota_s*100,0,IF(Tipo_Vertedor="Retangular",Cd_sr*Lef_sr*((O3436/100-cota_s)^(3/2))*1000)),IF(O3436&lt;=cota_s*100+fi_s/20,0,(OFFSET('Base de dados'!$A$4,IF(O3436&lt;20,1,IF(O3436&gt;1000,10,MATCH(O3436,Cargas,1))),Coluna_fis,1,1))*(PI()*(fi_s/1000)^2/4)*(2*9.81*(O3436/100-cota_s-fi_s/2/1000))^0.5*1000)))</f>
        <v>7.2668652575162884</v>
      </c>
      <c r="R3436" s="38">
        <f t="shared" ca="1" si="355"/>
        <v>15.103041356812007</v>
      </c>
      <c r="S3436" s="38">
        <f t="shared" ca="1" si="356"/>
        <v>1073.4375</v>
      </c>
    </row>
    <row r="3437" spans="13:19">
      <c r="M3437" s="132">
        <f t="shared" ca="1" si="353"/>
        <v>1088.8554166728732</v>
      </c>
      <c r="N3437" s="38">
        <f t="shared" si="354"/>
        <v>32.212499999999999</v>
      </c>
      <c r="O3437" s="36">
        <f t="shared" si="352"/>
        <v>859</v>
      </c>
      <c r="P3437" s="38">
        <f ca="1">IF(ISERROR(IF(O3437&lt;fi_h/20,0,(OFFSET('Base de dados'!$A$5,IF(O3437&lt;20,1,IF(O3437&gt;1000,10,MATCH(O3437,Cargas,1))),Coluna_fih,1,1))*(1+0.13*0.25)*(PI()*(fi_h/1000)^2/4)*SQRT(2*9.81*(O3437/100-fi_h/2/1000))*1000)),"",IF(O3437&lt;fi_h/20,0,(OFFSET('Base de dados'!$A$5,IF(O3437&lt;20,1,IF(O3437&gt;1000,10,MATCH(O3437,Cargas,1))),Coluna_fih,1,1))*(PI()*(fi_h/1000)^2/4)*SQRT(2*9.81*(O3437/100-fi_h/2/1000))*1000))</f>
        <v>7.8373189954632476</v>
      </c>
      <c r="Q3437" s="38">
        <f ca="1">IF(O3437="","",IF(Tipo_Vertedor="Retangular",IF(O3437&lt;=cota_s*100,0,IF(Tipo_Vertedor="Retangular",Cd_sr*Lef_sr*((O3437/100-cota_s)^(3/2))*1000)),IF(O3437&lt;=cota_s*100+fi_s/20,0,(OFFSET('Base de dados'!$A$4,IF(O3437&lt;20,1,IF(O3437&gt;1000,10,MATCH(O3437,Cargas,1))),Coluna_fis,1,1))*(PI()*(fi_s/1000)^2/4)*(2*9.81*(O3437/100-cota_s-fi_s/2/1000))^0.5*1000)))</f>
        <v>7.2680976774100152</v>
      </c>
      <c r="R3437" s="38">
        <f t="shared" ca="1" si="355"/>
        <v>15.105416672873263</v>
      </c>
      <c r="S3437" s="38">
        <f t="shared" ca="1" si="356"/>
        <v>1073.75</v>
      </c>
    </row>
    <row r="3438" spans="13:19">
      <c r="M3438" s="132">
        <f t="shared" ca="1" si="353"/>
        <v>1089.1702916133522</v>
      </c>
      <c r="N3438" s="38">
        <f t="shared" si="354"/>
        <v>32.221874999999997</v>
      </c>
      <c r="O3438" s="36">
        <f t="shared" si="352"/>
        <v>859.25</v>
      </c>
      <c r="P3438" s="38">
        <f ca="1">IF(ISERROR(IF(O3438&lt;fi_h/20,0,(OFFSET('Base de dados'!$A$5,IF(O3438&lt;20,1,IF(O3438&gt;1000,10,MATCH(O3438,Cargas,1))),Coluna_fih,1,1))*(1+0.13*0.25)*(PI()*(fi_h/1000)^2/4)*SQRT(2*9.81*(O3438/100-fi_h/2/1000))*1000)),"",IF(O3438&lt;fi_h/20,0,(OFFSET('Base de dados'!$A$5,IF(O3438&lt;20,1,IF(O3438&gt;1000,10,MATCH(O3438,Cargas,1))),Coluna_fih,1,1))*(PI()*(fi_h/1000)^2/4)*SQRT(2*9.81*(O3438/100-fi_h/2/1000))*1000))</f>
        <v>7.8384617249894522</v>
      </c>
      <c r="Q3438" s="38">
        <f ca="1">IF(O3438="","",IF(Tipo_Vertedor="Retangular",IF(O3438&lt;=cota_s*100,0,IF(Tipo_Vertedor="Retangular",Cd_sr*Lef_sr*((O3438/100-cota_s)^(3/2))*1000)),IF(O3438&lt;=cota_s*100+fi_s/20,0,(OFFSET('Base de dados'!$A$4,IF(O3438&lt;20,1,IF(O3438&gt;1000,10,MATCH(O3438,Cargas,1))),Coluna_fis,1,1))*(PI()*(fi_s/1000)^2/4)*(2*9.81*(O3438/100-cota_s-fi_s/2/1000))^0.5*1000)))</f>
        <v>7.2693298883630559</v>
      </c>
      <c r="R3438" s="38">
        <f t="shared" ca="1" si="355"/>
        <v>15.107791613352507</v>
      </c>
      <c r="S3438" s="38">
        <f t="shared" ca="1" si="356"/>
        <v>1074.0624999999998</v>
      </c>
    </row>
    <row r="3439" spans="13:19">
      <c r="M3439" s="132">
        <f t="shared" ca="1" si="353"/>
        <v>1089.4851661784292</v>
      </c>
      <c r="N3439" s="38">
        <f t="shared" si="354"/>
        <v>32.231250000000003</v>
      </c>
      <c r="O3439" s="36">
        <f t="shared" si="352"/>
        <v>859.5</v>
      </c>
      <c r="P3439" s="38">
        <f ca="1">IF(ISERROR(IF(O3439&lt;fi_h/20,0,(OFFSET('Base de dados'!$A$5,IF(O3439&lt;20,1,IF(O3439&gt;1000,10,MATCH(O3439,Cargas,1))),Coluna_fih,1,1))*(1+0.13*0.25)*(PI()*(fi_h/1000)^2/4)*SQRT(2*9.81*(O3439/100-fi_h/2/1000))*1000)),"",IF(O3439&lt;fi_h/20,0,(OFFSET('Base de dados'!$A$5,IF(O3439&lt;20,1,IF(O3439&gt;1000,10,MATCH(O3439,Cargas,1))),Coluna_fih,1,1))*(PI()*(fi_h/1000)^2/4)*SQRT(2*9.81*(O3439/100-fi_h/2/1000))*1000))</f>
        <v>7.8396042879472061</v>
      </c>
      <c r="Q3439" s="38">
        <f ca="1">IF(O3439="","",IF(Tipo_Vertedor="Retangular",IF(O3439&lt;=cota_s*100,0,IF(Tipo_Vertedor="Retangular",Cd_sr*Lef_sr*((O3439/100-cota_s)^(3/2))*1000)),IF(O3439&lt;=cota_s*100+fi_s/20,0,(OFFSET('Base de dados'!$A$4,IF(O3439&lt;20,1,IF(O3439&gt;1000,10,MATCH(O3439,Cargas,1))),Coluna_fis,1,1))*(PI()*(fi_s/1000)^2/4)*(2*9.81*(O3439/100-cota_s-fi_s/2/1000))^0.5*1000)))</f>
        <v>7.2705618904816438</v>
      </c>
      <c r="R3439" s="38">
        <f t="shared" ca="1" si="355"/>
        <v>15.11016617842885</v>
      </c>
      <c r="S3439" s="38">
        <f t="shared" ca="1" si="356"/>
        <v>1074.3750000000002</v>
      </c>
    </row>
    <row r="3440" spans="13:19">
      <c r="M3440" s="132">
        <f t="shared" ca="1" si="353"/>
        <v>1089.8000403682813</v>
      </c>
      <c r="N3440" s="38">
        <f t="shared" si="354"/>
        <v>32.240625000000001</v>
      </c>
      <c r="O3440" s="36">
        <f t="shared" si="352"/>
        <v>859.75</v>
      </c>
      <c r="P3440" s="38">
        <f ca="1">IF(ISERROR(IF(O3440&lt;fi_h/20,0,(OFFSET('Base de dados'!$A$5,IF(O3440&lt;20,1,IF(O3440&gt;1000,10,MATCH(O3440,Cargas,1))),Coluna_fih,1,1))*(1+0.13*0.25)*(PI()*(fi_h/1000)^2/4)*SQRT(2*9.81*(O3440/100-fi_h/2/1000))*1000)),"",IF(O3440&lt;fi_h/20,0,(OFFSET('Base de dados'!$A$5,IF(O3440&lt;20,1,IF(O3440&gt;1000,10,MATCH(O3440,Cargas,1))),Coluna_fih,1,1))*(PI()*(fi_h/1000)^2/4)*SQRT(2*9.81*(O3440/100-fi_h/2/1000))*1000))</f>
        <v>7.8407466844093214</v>
      </c>
      <c r="Q3440" s="38">
        <f ca="1">IF(O3440="","",IF(Tipo_Vertedor="Retangular",IF(O3440&lt;=cota_s*100,0,IF(Tipo_Vertedor="Retangular",Cd_sr*Lef_sr*((O3440/100-cota_s)^(3/2))*1000)),IF(O3440&lt;=cota_s*100+fi_s/20,0,(OFFSET('Base de dados'!$A$4,IF(O3440&lt;20,1,IF(O3440&gt;1000,10,MATCH(O3440,Cargas,1))),Coluna_fis,1,1))*(PI()*(fi_s/1000)^2/4)*(2*9.81*(O3440/100-cota_s-fi_s/2/1000))^0.5*1000)))</f>
        <v>7.2717936838719224</v>
      </c>
      <c r="R3440" s="38">
        <f t="shared" ca="1" si="355"/>
        <v>15.112540368281245</v>
      </c>
      <c r="S3440" s="38">
        <f t="shared" ca="1" si="356"/>
        <v>1074.6875</v>
      </c>
    </row>
    <row r="3441" spans="13:19">
      <c r="M3441" s="132">
        <f t="shared" ca="1" si="353"/>
        <v>1090.1149141830886</v>
      </c>
      <c r="N3441" s="38">
        <f t="shared" si="354"/>
        <v>32.25</v>
      </c>
      <c r="O3441" s="36">
        <f t="shared" si="352"/>
        <v>860</v>
      </c>
      <c r="P3441" s="38">
        <f ca="1">IF(ISERROR(IF(O3441&lt;fi_h/20,0,(OFFSET('Base de dados'!$A$5,IF(O3441&lt;20,1,IF(O3441&gt;1000,10,MATCH(O3441,Cargas,1))),Coluna_fih,1,1))*(1+0.13*0.25)*(PI()*(fi_h/1000)^2/4)*SQRT(2*9.81*(O3441/100-fi_h/2/1000))*1000)),"",IF(O3441&lt;fi_h/20,0,(OFFSET('Base de dados'!$A$5,IF(O3441&lt;20,1,IF(O3441&gt;1000,10,MATCH(O3441,Cargas,1))),Coluna_fih,1,1))*(PI()*(fi_h/1000)^2/4)*SQRT(2*9.81*(O3441/100-fi_h/2/1000))*1000))</f>
        <v>7.8418889144485693</v>
      </c>
      <c r="Q3441" s="38">
        <f ca="1">IF(O3441="","",IF(Tipo_Vertedor="Retangular",IF(O3441&lt;=cota_s*100,0,IF(Tipo_Vertedor="Retangular",Cd_sr*Lef_sr*((O3441/100-cota_s)^(3/2))*1000)),IF(O3441&lt;=cota_s*100+fi_s/20,0,(OFFSET('Base de dados'!$A$4,IF(O3441&lt;20,1,IF(O3441&gt;1000,10,MATCH(O3441,Cargas,1))),Coluna_fis,1,1))*(PI()*(fi_s/1000)^2/4)*(2*9.81*(O3441/100-cota_s-fi_s/2/1000))^0.5*1000)))</f>
        <v>7.2730252686399455</v>
      </c>
      <c r="R3441" s="38">
        <f t="shared" ca="1" si="355"/>
        <v>15.114914183088516</v>
      </c>
      <c r="S3441" s="38">
        <f t="shared" ca="1" si="356"/>
        <v>1075</v>
      </c>
    </row>
    <row r="3442" spans="13:19">
      <c r="M3442" s="132">
        <f t="shared" ca="1" si="353"/>
        <v>1090.4297876230294</v>
      </c>
      <c r="N3442" s="38">
        <f t="shared" si="354"/>
        <v>32.259374999999999</v>
      </c>
      <c r="O3442" s="36">
        <f t="shared" si="352"/>
        <v>860.25</v>
      </c>
      <c r="P3442" s="38">
        <f ca="1">IF(ISERROR(IF(O3442&lt;fi_h/20,0,(OFFSET('Base de dados'!$A$5,IF(O3442&lt;20,1,IF(O3442&gt;1000,10,MATCH(O3442,Cargas,1))),Coluna_fih,1,1))*(1+0.13*0.25)*(PI()*(fi_h/1000)^2/4)*SQRT(2*9.81*(O3442/100-fi_h/2/1000))*1000)),"",IF(O3442&lt;fi_h/20,0,(OFFSET('Base de dados'!$A$5,IF(O3442&lt;20,1,IF(O3442&gt;1000,10,MATCH(O3442,Cargas,1))),Coluna_fih,1,1))*(PI()*(fi_h/1000)^2/4)*SQRT(2*9.81*(O3442/100-fi_h/2/1000))*1000))</f>
        <v>7.8430309781376568</v>
      </c>
      <c r="Q3442" s="38">
        <f ca="1">IF(O3442="","",IF(Tipo_Vertedor="Retangular",IF(O3442&lt;=cota_s*100,0,IF(Tipo_Vertedor="Retangular",Cd_sr*Lef_sr*((O3442/100-cota_s)^(3/2))*1000)),IF(O3442&lt;=cota_s*100+fi_s/20,0,(OFFSET('Base de dados'!$A$4,IF(O3442&lt;20,1,IF(O3442&gt;1000,10,MATCH(O3442,Cargas,1))),Coluna_fis,1,1))*(PI()*(fi_s/1000)^2/4)*(2*9.81*(O3442/100-cota_s-fi_s/2/1000))^0.5*1000)))</f>
        <v>7.2742566448916772</v>
      </c>
      <c r="R3442" s="38">
        <f t="shared" ca="1" si="355"/>
        <v>15.117287623029334</v>
      </c>
      <c r="S3442" s="38">
        <f t="shared" ca="1" si="356"/>
        <v>1075.3125</v>
      </c>
    </row>
    <row r="3443" spans="13:19">
      <c r="M3443" s="132">
        <f t="shared" ca="1" si="353"/>
        <v>1090.7446606882825</v>
      </c>
      <c r="N3443" s="38">
        <f t="shared" si="354"/>
        <v>32.268750000000004</v>
      </c>
      <c r="O3443" s="36">
        <f t="shared" si="352"/>
        <v>860.5</v>
      </c>
      <c r="P3443" s="38">
        <f ca="1">IF(ISERROR(IF(O3443&lt;fi_h/20,0,(OFFSET('Base de dados'!$A$5,IF(O3443&lt;20,1,IF(O3443&gt;1000,10,MATCH(O3443,Cargas,1))),Coluna_fih,1,1))*(1+0.13*0.25)*(PI()*(fi_h/1000)^2/4)*SQRT(2*9.81*(O3443/100-fi_h/2/1000))*1000)),"",IF(O3443&lt;fi_h/20,0,(OFFSET('Base de dados'!$A$5,IF(O3443&lt;20,1,IF(O3443&gt;1000,10,MATCH(O3443,Cargas,1))),Coluna_fih,1,1))*(PI()*(fi_h/1000)^2/4)*SQRT(2*9.81*(O3443/100-fi_h/2/1000))*1000))</f>
        <v>7.8441728755492441</v>
      </c>
      <c r="Q3443" s="38">
        <f ca="1">IF(O3443="","",IF(Tipo_Vertedor="Retangular",IF(O3443&lt;=cota_s*100,0,IF(Tipo_Vertedor="Retangular",Cd_sr*Lef_sr*((O3443/100-cota_s)^(3/2))*1000)),IF(O3443&lt;=cota_s*100+fi_s/20,0,(OFFSET('Base de dados'!$A$4,IF(O3443&lt;20,1,IF(O3443&gt;1000,10,MATCH(O3443,Cargas,1))),Coluna_fis,1,1))*(PI()*(fi_s/1000)^2/4)*(2*9.81*(O3443/100-cota_s-fi_s/2/1000))^0.5*1000)))</f>
        <v>7.2754878127329938</v>
      </c>
      <c r="R3443" s="38">
        <f t="shared" ca="1" si="355"/>
        <v>15.119660688282238</v>
      </c>
      <c r="S3443" s="38">
        <f t="shared" ca="1" si="356"/>
        <v>1075.6250000000002</v>
      </c>
    </row>
    <row r="3444" spans="13:19">
      <c r="M3444" s="132">
        <f t="shared" ca="1" si="353"/>
        <v>1091.0595333790259</v>
      </c>
      <c r="N3444" s="38">
        <f t="shared" si="354"/>
        <v>32.278125000000003</v>
      </c>
      <c r="O3444" s="36">
        <f t="shared" si="352"/>
        <v>860.75</v>
      </c>
      <c r="P3444" s="38">
        <f ca="1">IF(ISERROR(IF(O3444&lt;fi_h/20,0,(OFFSET('Base de dados'!$A$5,IF(O3444&lt;20,1,IF(O3444&gt;1000,10,MATCH(O3444,Cargas,1))),Coluna_fih,1,1))*(1+0.13*0.25)*(PI()*(fi_h/1000)^2/4)*SQRT(2*9.81*(O3444/100-fi_h/2/1000))*1000)),"",IF(O3444&lt;fi_h/20,0,(OFFSET('Base de dados'!$A$5,IF(O3444&lt;20,1,IF(O3444&gt;1000,10,MATCH(O3444,Cargas,1))),Coluna_fih,1,1))*(PI()*(fi_h/1000)^2/4)*SQRT(2*9.81*(O3444/100-fi_h/2/1000))*1000))</f>
        <v>7.8453146067559381</v>
      </c>
      <c r="Q3444" s="38">
        <f ca="1">IF(O3444="","",IF(Tipo_Vertedor="Retangular",IF(O3444&lt;=cota_s*100,0,IF(Tipo_Vertedor="Retangular",Cd_sr*Lef_sr*((O3444/100-cota_s)^(3/2))*1000)),IF(O3444&lt;=cota_s*100+fi_s/20,0,(OFFSET('Base de dados'!$A$4,IF(O3444&lt;20,1,IF(O3444&gt;1000,10,MATCH(O3444,Cargas,1))),Coluna_fis,1,1))*(PI()*(fi_s/1000)^2/4)*(2*9.81*(O3444/100-cota_s-fi_s/2/1000))^0.5*1000)))</f>
        <v>7.2767187722696738</v>
      </c>
      <c r="R3444" s="38">
        <f t="shared" ca="1" si="355"/>
        <v>15.122033379025613</v>
      </c>
      <c r="S3444" s="38">
        <f t="shared" ca="1" si="356"/>
        <v>1075.9375000000002</v>
      </c>
    </row>
    <row r="3445" spans="13:19">
      <c r="M3445" s="132">
        <f t="shared" ca="1" si="353"/>
        <v>1091.3744056954374</v>
      </c>
      <c r="N3445" s="38">
        <f t="shared" si="354"/>
        <v>32.287499999999994</v>
      </c>
      <c r="O3445" s="36">
        <f t="shared" si="352"/>
        <v>861</v>
      </c>
      <c r="P3445" s="38">
        <f ca="1">IF(ISERROR(IF(O3445&lt;fi_h/20,0,(OFFSET('Base de dados'!$A$5,IF(O3445&lt;20,1,IF(O3445&gt;1000,10,MATCH(O3445,Cargas,1))),Coluna_fih,1,1))*(1+0.13*0.25)*(PI()*(fi_h/1000)^2/4)*SQRT(2*9.81*(O3445/100-fi_h/2/1000))*1000)),"",IF(O3445&lt;fi_h/20,0,(OFFSET('Base de dados'!$A$5,IF(O3445&lt;20,1,IF(O3445&gt;1000,10,MATCH(O3445,Cargas,1))),Coluna_fih,1,1))*(PI()*(fi_h/1000)^2/4)*SQRT(2*9.81*(O3445/100-fi_h/2/1000))*1000))</f>
        <v>7.8464561718302894</v>
      </c>
      <c r="Q3445" s="38">
        <f ca="1">IF(O3445="","",IF(Tipo_Vertedor="Retangular",IF(O3445&lt;=cota_s*100,0,IF(Tipo_Vertedor="Retangular",Cd_sr*Lef_sr*((O3445/100-cota_s)^(3/2))*1000)),IF(O3445&lt;=cota_s*100+fi_s/20,0,(OFFSET('Base de dados'!$A$4,IF(O3445&lt;20,1,IF(O3445&gt;1000,10,MATCH(O3445,Cargas,1))),Coluna_fis,1,1))*(PI()*(fi_s/1000)^2/4)*(2*9.81*(O3445/100-cota_s-fi_s/2/1000))^0.5*1000)))</f>
        <v>7.2779495236074183</v>
      </c>
      <c r="R3445" s="38">
        <f t="shared" ca="1" si="355"/>
        <v>15.124405695437709</v>
      </c>
      <c r="S3445" s="38">
        <f t="shared" ca="1" si="356"/>
        <v>1076.2499999999998</v>
      </c>
    </row>
    <row r="3446" spans="13:19">
      <c r="M3446" s="132">
        <f t="shared" ca="1" si="353"/>
        <v>1091.6892776376967</v>
      </c>
      <c r="N3446" s="38">
        <f t="shared" si="354"/>
        <v>32.296875</v>
      </c>
      <c r="O3446" s="36">
        <f t="shared" si="352"/>
        <v>861.25</v>
      </c>
      <c r="P3446" s="38">
        <f ca="1">IF(ISERROR(IF(O3446&lt;fi_h/20,0,(OFFSET('Base de dados'!$A$5,IF(O3446&lt;20,1,IF(O3446&gt;1000,10,MATCH(O3446,Cargas,1))),Coluna_fih,1,1))*(1+0.13*0.25)*(PI()*(fi_h/1000)^2/4)*SQRT(2*9.81*(O3446/100-fi_h/2/1000))*1000)),"",IF(O3446&lt;fi_h/20,0,(OFFSET('Base de dados'!$A$5,IF(O3446&lt;20,1,IF(O3446&gt;1000,10,MATCH(O3446,Cargas,1))),Coluna_fih,1,1))*(PI()*(fi_h/1000)^2/4)*SQRT(2*9.81*(O3446/100-fi_h/2/1000))*1000))</f>
        <v>7.8475975708448011</v>
      </c>
      <c r="Q3446" s="38">
        <f ca="1">IF(O3446="","",IF(Tipo_Vertedor="Retangular",IF(O3446&lt;=cota_s*100,0,IF(Tipo_Vertedor="Retangular",Cd_sr*Lef_sr*((O3446/100-cota_s)^(3/2))*1000)),IF(O3446&lt;=cota_s*100+fi_s/20,0,(OFFSET('Base de dados'!$A$4,IF(O3446&lt;20,1,IF(O3446&gt;1000,10,MATCH(O3446,Cargas,1))),Coluna_fis,1,1))*(PI()*(fi_s/1000)^2/4)*(2*9.81*(O3446/100-cota_s-fi_s/2/1000))^0.5*1000)))</f>
        <v>7.2791800668518309</v>
      </c>
      <c r="R3446" s="38">
        <f t="shared" ca="1" si="355"/>
        <v>15.126777637696632</v>
      </c>
      <c r="S3446" s="38">
        <f t="shared" ca="1" si="356"/>
        <v>1076.5625</v>
      </c>
    </row>
    <row r="3447" spans="13:19">
      <c r="M3447" s="132">
        <f t="shared" ca="1" si="353"/>
        <v>1092.0041492059804</v>
      </c>
      <c r="N3447" s="38">
        <f t="shared" si="354"/>
        <v>32.306249999999999</v>
      </c>
      <c r="O3447" s="36">
        <f t="shared" si="352"/>
        <v>861.5</v>
      </c>
      <c r="P3447" s="38">
        <f ca="1">IF(ISERROR(IF(O3447&lt;fi_h/20,0,(OFFSET('Base de dados'!$A$5,IF(O3447&lt;20,1,IF(O3447&gt;1000,10,MATCH(O3447,Cargas,1))),Coluna_fih,1,1))*(1+0.13*0.25)*(PI()*(fi_h/1000)^2/4)*SQRT(2*9.81*(O3447/100-fi_h/2/1000))*1000)),"",IF(O3447&lt;fi_h/20,0,(OFFSET('Base de dados'!$A$5,IF(O3447&lt;20,1,IF(O3447&gt;1000,10,MATCH(O3447,Cargas,1))),Coluna_fih,1,1))*(PI()*(fi_h/1000)^2/4)*SQRT(2*9.81*(O3447/100-fi_h/2/1000))*1000))</f>
        <v>7.8487388038719192</v>
      </c>
      <c r="Q3447" s="38">
        <f ca="1">IF(O3447="","",IF(Tipo_Vertedor="Retangular",IF(O3447&lt;=cota_s*100,0,IF(Tipo_Vertedor="Retangular",Cd_sr*Lef_sr*((O3447/100-cota_s)^(3/2))*1000)),IF(O3447&lt;=cota_s*100+fi_s/20,0,(OFFSET('Base de dados'!$A$4,IF(O3447&lt;20,1,IF(O3447&gt;1000,10,MATCH(O3447,Cargas,1))),Coluna_fis,1,1))*(PI()*(fi_s/1000)^2/4)*(2*9.81*(O3447/100-cota_s-fi_s/2/1000))^0.5*1000)))</f>
        <v>7.2804104021084282</v>
      </c>
      <c r="R3447" s="38">
        <f t="shared" ca="1" si="355"/>
        <v>15.129149205980347</v>
      </c>
      <c r="S3447" s="38">
        <f t="shared" ca="1" si="356"/>
        <v>1076.875</v>
      </c>
    </row>
    <row r="3448" spans="13:19">
      <c r="M3448" s="132">
        <f t="shared" ca="1" si="353"/>
        <v>1092.3190204004663</v>
      </c>
      <c r="N3448" s="38">
        <f t="shared" si="354"/>
        <v>32.315624999999997</v>
      </c>
      <c r="O3448" s="36">
        <f t="shared" si="352"/>
        <v>861.75</v>
      </c>
      <c r="P3448" s="38">
        <f ca="1">IF(ISERROR(IF(O3448&lt;fi_h/20,0,(OFFSET('Base de dados'!$A$5,IF(O3448&lt;20,1,IF(O3448&gt;1000,10,MATCH(O3448,Cargas,1))),Coluna_fih,1,1))*(1+0.13*0.25)*(PI()*(fi_h/1000)^2/4)*SQRT(2*9.81*(O3448/100-fi_h/2/1000))*1000)),"",IF(O3448&lt;fi_h/20,0,(OFFSET('Base de dados'!$A$5,IF(O3448&lt;20,1,IF(O3448&gt;1000,10,MATCH(O3448,Cargas,1))),Coluna_fih,1,1))*(PI()*(fi_h/1000)^2/4)*SQRT(2*9.81*(O3448/100-fi_h/2/1000))*1000))</f>
        <v>7.8498798709840374</v>
      </c>
      <c r="Q3448" s="38">
        <f ca="1">IF(O3448="","",IF(Tipo_Vertedor="Retangular",IF(O3448&lt;=cota_s*100,0,IF(Tipo_Vertedor="Retangular",Cd_sr*Lef_sr*((O3448/100-cota_s)^(3/2))*1000)),IF(O3448&lt;=cota_s*100+fi_s/20,0,(OFFSET('Base de dados'!$A$4,IF(O3448&lt;20,1,IF(O3448&gt;1000,10,MATCH(O3448,Cargas,1))),Coluna_fis,1,1))*(PI()*(fi_s/1000)^2/4)*(2*9.81*(O3448/100-cota_s-fi_s/2/1000))^0.5*1000)))</f>
        <v>7.2816405294826367</v>
      </c>
      <c r="R3448" s="38">
        <f t="shared" ca="1" si="355"/>
        <v>15.131520400466673</v>
      </c>
      <c r="S3448" s="38">
        <f t="shared" ca="1" si="356"/>
        <v>1077.1874999999998</v>
      </c>
    </row>
    <row r="3449" spans="13:19">
      <c r="M3449" s="132">
        <f t="shared" ca="1" si="353"/>
        <v>1092.633891221333</v>
      </c>
      <c r="N3449" s="38">
        <f t="shared" si="354"/>
        <v>32.324999999999996</v>
      </c>
      <c r="O3449" s="36">
        <f t="shared" si="352"/>
        <v>862</v>
      </c>
      <c r="P3449" s="38">
        <f ca="1">IF(ISERROR(IF(O3449&lt;fi_h/20,0,(OFFSET('Base de dados'!$A$5,IF(O3449&lt;20,1,IF(O3449&gt;1000,10,MATCH(O3449,Cargas,1))),Coluna_fih,1,1))*(1+0.13*0.25)*(PI()*(fi_h/1000)^2/4)*SQRT(2*9.81*(O3449/100-fi_h/2/1000))*1000)),"",IF(O3449&lt;fi_h/20,0,(OFFSET('Base de dados'!$A$5,IF(O3449&lt;20,1,IF(O3449&gt;1000,10,MATCH(O3449,Cargas,1))),Coluna_fih,1,1))*(PI()*(fi_h/1000)^2/4)*SQRT(2*9.81*(O3449/100-fi_h/2/1000))*1000))</f>
        <v>7.8510207722535013</v>
      </c>
      <c r="Q3449" s="38">
        <f ca="1">IF(O3449="","",IF(Tipo_Vertedor="Retangular",IF(O3449&lt;=cota_s*100,0,IF(Tipo_Vertedor="Retangular",Cd_sr*Lef_sr*((O3449/100-cota_s)^(3/2))*1000)),IF(O3449&lt;=cota_s*100+fi_s/20,0,(OFFSET('Base de dados'!$A$4,IF(O3449&lt;20,1,IF(O3449&gt;1000,10,MATCH(O3449,Cargas,1))),Coluna_fis,1,1))*(PI()*(fi_s/1000)^2/4)*(2*9.81*(O3449/100-cota_s-fi_s/2/1000))^0.5*1000)))</f>
        <v>7.2828704490797955</v>
      </c>
      <c r="R3449" s="38">
        <f t="shared" ca="1" si="355"/>
        <v>15.133891221333297</v>
      </c>
      <c r="S3449" s="38">
        <f t="shared" ca="1" si="356"/>
        <v>1077.4999999999998</v>
      </c>
    </row>
    <row r="3450" spans="13:19">
      <c r="M3450" s="132">
        <f t="shared" ca="1" si="353"/>
        <v>1092.9487616687577</v>
      </c>
      <c r="N3450" s="38">
        <f t="shared" si="354"/>
        <v>32.334375000000001</v>
      </c>
      <c r="O3450" s="36">
        <f t="shared" si="352"/>
        <v>862.25</v>
      </c>
      <c r="P3450" s="38">
        <f ca="1">IF(ISERROR(IF(O3450&lt;fi_h/20,0,(OFFSET('Base de dados'!$A$5,IF(O3450&lt;20,1,IF(O3450&gt;1000,10,MATCH(O3450,Cargas,1))),Coluna_fih,1,1))*(1+0.13*0.25)*(PI()*(fi_h/1000)^2/4)*SQRT(2*9.81*(O3450/100-fi_h/2/1000))*1000)),"",IF(O3450&lt;fi_h/20,0,(OFFSET('Base de dados'!$A$5,IF(O3450&lt;20,1,IF(O3450&gt;1000,10,MATCH(O3450,Cargas,1))),Coluna_fih,1,1))*(PI()*(fi_h/1000)^2/4)*SQRT(2*9.81*(O3450/100-fi_h/2/1000))*1000))</f>
        <v>7.852161507752597</v>
      </c>
      <c r="Q3450" s="38">
        <f ca="1">IF(O3450="","",IF(Tipo_Vertedor="Retangular",IF(O3450&lt;=cota_s*100,0,IF(Tipo_Vertedor="Retangular",Cd_sr*Lef_sr*((O3450/100-cota_s)^(3/2))*1000)),IF(O3450&lt;=cota_s*100+fi_s/20,0,(OFFSET('Base de dados'!$A$4,IF(O3450&lt;20,1,IF(O3450&gt;1000,10,MATCH(O3450,Cargas,1))),Coluna_fis,1,1))*(PI()*(fi_s/1000)^2/4)*(2*9.81*(O3450/100-cota_s-fi_s/2/1000))^0.5*1000)))</f>
        <v>7.2841001610051554</v>
      </c>
      <c r="R3450" s="38">
        <f t="shared" ca="1" si="355"/>
        <v>15.136261668757752</v>
      </c>
      <c r="S3450" s="38">
        <f t="shared" ca="1" si="356"/>
        <v>1077.8125</v>
      </c>
    </row>
    <row r="3451" spans="13:19">
      <c r="M3451" s="132">
        <f t="shared" ca="1" si="353"/>
        <v>1093.2636317429174</v>
      </c>
      <c r="N3451" s="38">
        <f t="shared" si="354"/>
        <v>32.34375</v>
      </c>
      <c r="O3451" s="36">
        <f t="shared" si="352"/>
        <v>862.5</v>
      </c>
      <c r="P3451" s="38">
        <f ca="1">IF(ISERROR(IF(O3451&lt;fi_h/20,0,(OFFSET('Base de dados'!$A$5,IF(O3451&lt;20,1,IF(O3451&gt;1000,10,MATCH(O3451,Cargas,1))),Coluna_fih,1,1))*(1+0.13*0.25)*(PI()*(fi_h/1000)^2/4)*SQRT(2*9.81*(O3451/100-fi_h/2/1000))*1000)),"",IF(O3451&lt;fi_h/20,0,(OFFSET('Base de dados'!$A$5,IF(O3451&lt;20,1,IF(O3451&gt;1000,10,MATCH(O3451,Cargas,1))),Coluna_fih,1,1))*(PI()*(fi_h/1000)^2/4)*SQRT(2*9.81*(O3451/100-fi_h/2/1000))*1000))</f>
        <v>7.853302077553562</v>
      </c>
      <c r="Q3451" s="38">
        <f ca="1">IF(O3451="","",IF(Tipo_Vertedor="Retangular",IF(O3451&lt;=cota_s*100,0,IF(Tipo_Vertedor="Retangular",Cd_sr*Lef_sr*((O3451/100-cota_s)^(3/2))*1000)),IF(O3451&lt;=cota_s*100+fi_s/20,0,(OFFSET('Base de dados'!$A$4,IF(O3451&lt;20,1,IF(O3451&gt;1000,10,MATCH(O3451,Cargas,1))),Coluna_fis,1,1))*(PI()*(fi_s/1000)^2/4)*(2*9.81*(O3451/100-cota_s-fi_s/2/1000))^0.5*1000)))</f>
        <v>7.2853296653638751</v>
      </c>
      <c r="R3451" s="38">
        <f t="shared" ca="1" si="355"/>
        <v>15.138631742917436</v>
      </c>
      <c r="S3451" s="38">
        <f t="shared" ca="1" si="356"/>
        <v>1078.125</v>
      </c>
    </row>
    <row r="3452" spans="13:19">
      <c r="M3452" s="132">
        <f t="shared" ca="1" si="353"/>
        <v>1093.5785014439896</v>
      </c>
      <c r="N3452" s="38">
        <f t="shared" si="354"/>
        <v>32.353124999999999</v>
      </c>
      <c r="O3452" s="36">
        <f t="shared" si="352"/>
        <v>862.75</v>
      </c>
      <c r="P3452" s="38">
        <f ca="1">IF(ISERROR(IF(O3452&lt;fi_h/20,0,(OFFSET('Base de dados'!$A$5,IF(O3452&lt;20,1,IF(O3452&gt;1000,10,MATCH(O3452,Cargas,1))),Coluna_fih,1,1))*(1+0.13*0.25)*(PI()*(fi_h/1000)^2/4)*SQRT(2*9.81*(O3452/100-fi_h/2/1000))*1000)),"",IF(O3452&lt;fi_h/20,0,(OFFSET('Base de dados'!$A$5,IF(O3452&lt;20,1,IF(O3452&gt;1000,10,MATCH(O3452,Cargas,1))),Coluna_fih,1,1))*(PI()*(fi_h/1000)^2/4)*SQRT(2*9.81*(O3452/100-fi_h/2/1000))*1000))</f>
        <v>7.8544424817285838</v>
      </c>
      <c r="Q3452" s="38">
        <f ca="1">IF(O3452="","",IF(Tipo_Vertedor="Retangular",IF(O3452&lt;=cota_s*100,0,IF(Tipo_Vertedor="Retangular",Cd_sr*Lef_sr*((O3452/100-cota_s)^(3/2))*1000)),IF(O3452&lt;=cota_s*100+fi_s/20,0,(OFFSET('Base de dados'!$A$4,IF(O3452&lt;20,1,IF(O3452&gt;1000,10,MATCH(O3452,Cargas,1))),Coluna_fis,1,1))*(PI()*(fi_s/1000)^2/4)*(2*9.81*(O3452/100-cota_s-fi_s/2/1000))^0.5*1000)))</f>
        <v>7.2865589622610267</v>
      </c>
      <c r="R3452" s="38">
        <f t="shared" ca="1" si="355"/>
        <v>15.141001443989611</v>
      </c>
      <c r="S3452" s="38">
        <f t="shared" ca="1" si="356"/>
        <v>1078.4375</v>
      </c>
    </row>
    <row r="3453" spans="13:19">
      <c r="M3453" s="132">
        <f t="shared" ca="1" si="353"/>
        <v>1093.8933707721517</v>
      </c>
      <c r="N3453" s="38">
        <f t="shared" si="354"/>
        <v>32.362500000000004</v>
      </c>
      <c r="O3453" s="36">
        <f t="shared" si="352"/>
        <v>863</v>
      </c>
      <c r="P3453" s="38">
        <f ca="1">IF(ISERROR(IF(O3453&lt;fi_h/20,0,(OFFSET('Base de dados'!$A$5,IF(O3453&lt;20,1,IF(O3453&gt;1000,10,MATCH(O3453,Cargas,1))),Coluna_fih,1,1))*(1+0.13*0.25)*(PI()*(fi_h/1000)^2/4)*SQRT(2*9.81*(O3453/100-fi_h/2/1000))*1000)),"",IF(O3453&lt;fi_h/20,0,(OFFSET('Base de dados'!$A$5,IF(O3453&lt;20,1,IF(O3453&gt;1000,10,MATCH(O3453,Cargas,1))),Coluna_fih,1,1))*(PI()*(fi_h/1000)^2/4)*SQRT(2*9.81*(O3453/100-fi_h/2/1000))*1000))</f>
        <v>7.8555827203497932</v>
      </c>
      <c r="Q3453" s="38">
        <f ca="1">IF(O3453="","",IF(Tipo_Vertedor="Retangular",IF(O3453&lt;=cota_s*100,0,IF(Tipo_Vertedor="Retangular",Cd_sr*Lef_sr*((O3453/100-cota_s)^(3/2))*1000)),IF(O3453&lt;=cota_s*100+fi_s/20,0,(OFFSET('Base de dados'!$A$4,IF(O3453&lt;20,1,IF(O3453&gt;1000,10,MATCH(O3453,Cargas,1))),Coluna_fis,1,1))*(PI()*(fi_s/1000)^2/4)*(2*9.81*(O3453/100-cota_s-fi_s/2/1000))^0.5*1000)))</f>
        <v>7.2877880518015932</v>
      </c>
      <c r="R3453" s="38">
        <f t="shared" ca="1" si="355"/>
        <v>15.143370772151385</v>
      </c>
      <c r="S3453" s="38">
        <f t="shared" ca="1" si="356"/>
        <v>1078.7500000000002</v>
      </c>
    </row>
    <row r="3454" spans="13:19">
      <c r="M3454" s="132">
        <f t="shared" ca="1" si="353"/>
        <v>1094.2082397275799</v>
      </c>
      <c r="N3454" s="38">
        <f t="shared" si="354"/>
        <v>32.371875000000003</v>
      </c>
      <c r="O3454" s="36">
        <f t="shared" si="352"/>
        <v>863.25</v>
      </c>
      <c r="P3454" s="38">
        <f ca="1">IF(ISERROR(IF(O3454&lt;fi_h/20,0,(OFFSET('Base de dados'!$A$5,IF(O3454&lt;20,1,IF(O3454&gt;1000,10,MATCH(O3454,Cargas,1))),Coluna_fih,1,1))*(1+0.13*0.25)*(PI()*(fi_h/1000)^2/4)*SQRT(2*9.81*(O3454/100-fi_h/2/1000))*1000)),"",IF(O3454&lt;fi_h/20,0,(OFFSET('Base de dados'!$A$5,IF(O3454&lt;20,1,IF(O3454&gt;1000,10,MATCH(O3454,Cargas,1))),Coluna_fih,1,1))*(PI()*(fi_h/1000)^2/4)*SQRT(2*9.81*(O3454/100-fi_h/2/1000))*1000))</f>
        <v>7.8567227934892694</v>
      </c>
      <c r="Q3454" s="38">
        <f ca="1">IF(O3454="","",IF(Tipo_Vertedor="Retangular",IF(O3454&lt;=cota_s*100,0,IF(Tipo_Vertedor="Retangular",Cd_sr*Lef_sr*((O3454/100-cota_s)^(3/2))*1000)),IF(O3454&lt;=cota_s*100+fi_s/20,0,(OFFSET('Base de dados'!$A$4,IF(O3454&lt;20,1,IF(O3454&gt;1000,10,MATCH(O3454,Cargas,1))),Coluna_fis,1,1))*(PI()*(fi_s/1000)^2/4)*(2*9.81*(O3454/100-cota_s-fi_s/2/1000))^0.5*1000)))</f>
        <v>7.28901693409047</v>
      </c>
      <c r="R3454" s="38">
        <f t="shared" ca="1" si="355"/>
        <v>15.145739727579739</v>
      </c>
      <c r="S3454" s="38">
        <f t="shared" ca="1" si="356"/>
        <v>1079.0625000000002</v>
      </c>
    </row>
    <row r="3455" spans="13:19">
      <c r="M3455" s="132">
        <f t="shared" ca="1" si="353"/>
        <v>1094.5231083104516</v>
      </c>
      <c r="N3455" s="38">
        <f t="shared" si="354"/>
        <v>32.381250000000001</v>
      </c>
      <c r="O3455" s="36">
        <f t="shared" si="352"/>
        <v>863.5</v>
      </c>
      <c r="P3455" s="38">
        <f ca="1">IF(ISERROR(IF(O3455&lt;fi_h/20,0,(OFFSET('Base de dados'!$A$5,IF(O3455&lt;20,1,IF(O3455&gt;1000,10,MATCH(O3455,Cargas,1))),Coluna_fih,1,1))*(1+0.13*0.25)*(PI()*(fi_h/1000)^2/4)*SQRT(2*9.81*(O3455/100-fi_h/2/1000))*1000)),"",IF(O3455&lt;fi_h/20,0,(OFFSET('Base de dados'!$A$5,IF(O3455&lt;20,1,IF(O3455&gt;1000,10,MATCH(O3455,Cargas,1))),Coluna_fih,1,1))*(PI()*(fi_h/1000)^2/4)*SQRT(2*9.81*(O3455/100-fi_h/2/1000))*1000))</f>
        <v>7.857862701219041</v>
      </c>
      <c r="Q3455" s="38">
        <f ca="1">IF(O3455="","",IF(Tipo_Vertedor="Retangular",IF(O3455&lt;=cota_s*100,0,IF(Tipo_Vertedor="Retangular",Cd_sr*Lef_sr*((O3455/100-cota_s)^(3/2))*1000)),IF(O3455&lt;=cota_s*100+fi_s/20,0,(OFFSET('Base de dados'!$A$4,IF(O3455&lt;20,1,IF(O3455&gt;1000,10,MATCH(O3455,Cargas,1))),Coluna_fis,1,1))*(PI()*(fi_s/1000)^2/4)*(2*9.81*(O3455/100-cota_s-fi_s/2/1000))^0.5*1000)))</f>
        <v>7.2902456092324641</v>
      </c>
      <c r="R3455" s="38">
        <f t="shared" ca="1" si="355"/>
        <v>15.148108310451505</v>
      </c>
      <c r="S3455" s="38">
        <f t="shared" ca="1" si="356"/>
        <v>1079.375</v>
      </c>
    </row>
    <row r="3456" spans="13:19">
      <c r="M3456" s="132">
        <f t="shared" ca="1" si="353"/>
        <v>1094.8379765209434</v>
      </c>
      <c r="N3456" s="38">
        <f t="shared" si="354"/>
        <v>32.390625</v>
      </c>
      <c r="O3456" s="36">
        <f t="shared" si="352"/>
        <v>863.75</v>
      </c>
      <c r="P3456" s="38">
        <f ca="1">IF(ISERROR(IF(O3456&lt;fi_h/20,0,(OFFSET('Base de dados'!$A$5,IF(O3456&lt;20,1,IF(O3456&gt;1000,10,MATCH(O3456,Cargas,1))),Coluna_fih,1,1))*(1+0.13*0.25)*(PI()*(fi_h/1000)^2/4)*SQRT(2*9.81*(O3456/100-fi_h/2/1000))*1000)),"",IF(O3456&lt;fi_h/20,0,(OFFSET('Base de dados'!$A$5,IF(O3456&lt;20,1,IF(O3456&gt;1000,10,MATCH(O3456,Cargas,1))),Coluna_fih,1,1))*(PI()*(fi_h/1000)^2/4)*SQRT(2*9.81*(O3456/100-fi_h/2/1000))*1000))</f>
        <v>7.8590024436110824</v>
      </c>
      <c r="Q3456" s="38">
        <f ca="1">IF(O3456="","",IF(Tipo_Vertedor="Retangular",IF(O3456&lt;=cota_s*100,0,IF(Tipo_Vertedor="Retangular",Cd_sr*Lef_sr*((O3456/100-cota_s)^(3/2))*1000)),IF(O3456&lt;=cota_s*100+fi_s/20,0,(OFFSET('Base de dados'!$A$4,IF(O3456&lt;20,1,IF(O3456&gt;1000,10,MATCH(O3456,Cargas,1))),Coluna_fis,1,1))*(PI()*(fi_s/1000)^2/4)*(2*9.81*(O3456/100-cota_s-fi_s/2/1000))^0.5*1000)))</f>
        <v>7.2914740773322908</v>
      </c>
      <c r="R3456" s="38">
        <f t="shared" ca="1" si="355"/>
        <v>15.150476520943373</v>
      </c>
      <c r="S3456" s="38">
        <f t="shared" ca="1" si="356"/>
        <v>1079.6875</v>
      </c>
    </row>
    <row r="3457" spans="13:19">
      <c r="M3457" s="132">
        <f t="shared" ca="1" si="353"/>
        <v>1095.1528443592322</v>
      </c>
      <c r="N3457" s="38">
        <f t="shared" si="354"/>
        <v>32.400000000000006</v>
      </c>
      <c r="O3457" s="36">
        <f t="shared" si="352"/>
        <v>864</v>
      </c>
      <c r="P3457" s="38">
        <f ca="1">IF(ISERROR(IF(O3457&lt;fi_h/20,0,(OFFSET('Base de dados'!$A$5,IF(O3457&lt;20,1,IF(O3457&gt;1000,10,MATCH(O3457,Cargas,1))),Coluna_fih,1,1))*(1+0.13*0.25)*(PI()*(fi_h/1000)^2/4)*SQRT(2*9.81*(O3457/100-fi_h/2/1000))*1000)),"",IF(O3457&lt;fi_h/20,0,(OFFSET('Base de dados'!$A$5,IF(O3457&lt;20,1,IF(O3457&gt;1000,10,MATCH(O3457,Cargas,1))),Coluna_fih,1,1))*(PI()*(fi_h/1000)^2/4)*SQRT(2*9.81*(O3457/100-fi_h/2/1000))*1000))</f>
        <v>7.86014202073732</v>
      </c>
      <c r="Q3457" s="38">
        <f ca="1">IF(O3457="","",IF(Tipo_Vertedor="Retangular",IF(O3457&lt;=cota_s*100,0,IF(Tipo_Vertedor="Retangular",Cd_sr*Lef_sr*((O3457/100-cota_s)^(3/2))*1000)),IF(O3457&lt;=cota_s*100+fi_s/20,0,(OFFSET('Base de dados'!$A$4,IF(O3457&lt;20,1,IF(O3457&gt;1000,10,MATCH(O3457,Cargas,1))),Coluna_fis,1,1))*(PI()*(fi_s/1000)^2/4)*(2*9.81*(O3457/100-cota_s-fi_s/2/1000))^0.5*1000)))</f>
        <v>7.2927023384945837</v>
      </c>
      <c r="R3457" s="38">
        <f t="shared" ca="1" si="355"/>
        <v>15.152844359231903</v>
      </c>
      <c r="S3457" s="38">
        <f t="shared" ca="1" si="356"/>
        <v>1080.0000000000002</v>
      </c>
    </row>
    <row r="3458" spans="13:19">
      <c r="M3458" s="132">
        <f t="shared" ca="1" si="353"/>
        <v>1095.4677118254933</v>
      </c>
      <c r="N3458" s="38">
        <f t="shared" si="354"/>
        <v>32.409374999999997</v>
      </c>
      <c r="O3458" s="36">
        <f t="shared" si="352"/>
        <v>864.25</v>
      </c>
      <c r="P3458" s="38">
        <f ca="1">IF(ISERROR(IF(O3458&lt;fi_h/20,0,(OFFSET('Base de dados'!$A$5,IF(O3458&lt;20,1,IF(O3458&gt;1000,10,MATCH(O3458,Cargas,1))),Coluna_fih,1,1))*(1+0.13*0.25)*(PI()*(fi_h/1000)^2/4)*SQRT(2*9.81*(O3458/100-fi_h/2/1000))*1000)),"",IF(O3458&lt;fi_h/20,0,(OFFSET('Base de dados'!$A$5,IF(O3458&lt;20,1,IF(O3458&gt;1000,10,MATCH(O3458,Cargas,1))),Coluna_fih,1,1))*(PI()*(fi_h/1000)^2/4)*SQRT(2*9.81*(O3458/100-fi_h/2/1000))*1000))</f>
        <v>7.8612814326696201</v>
      </c>
      <c r="Q3458" s="38">
        <f ca="1">IF(O3458="","",IF(Tipo_Vertedor="Retangular",IF(O3458&lt;=cota_s*100,0,IF(Tipo_Vertedor="Retangular",Cd_sr*Lef_sr*((O3458/100-cota_s)^(3/2))*1000)),IF(O3458&lt;=cota_s*100+fi_s/20,0,(OFFSET('Base de dados'!$A$4,IF(O3458&lt;20,1,IF(O3458&gt;1000,10,MATCH(O3458,Cargas,1))),Coluna_fis,1,1))*(PI()*(fi_s/1000)^2/4)*(2*9.81*(O3458/100-cota_s-fi_s/2/1000))^0.5*1000)))</f>
        <v>7.2939303928238806</v>
      </c>
      <c r="R3458" s="38">
        <f t="shared" ca="1" si="355"/>
        <v>15.155211825493501</v>
      </c>
      <c r="S3458" s="38">
        <f t="shared" ca="1" si="356"/>
        <v>1080.3124999999998</v>
      </c>
    </row>
    <row r="3459" spans="13:19">
      <c r="M3459" s="132">
        <f t="shared" ca="1" si="353"/>
        <v>1095.7825789199042</v>
      </c>
      <c r="N3459" s="38">
        <f t="shared" si="354"/>
        <v>32.418749999999996</v>
      </c>
      <c r="O3459" s="36">
        <f t="shared" si="352"/>
        <v>864.5</v>
      </c>
      <c r="P3459" s="38">
        <f ca="1">IF(ISERROR(IF(O3459&lt;fi_h/20,0,(OFFSET('Base de dados'!$A$5,IF(O3459&lt;20,1,IF(O3459&gt;1000,10,MATCH(O3459,Cargas,1))),Coluna_fih,1,1))*(1+0.13*0.25)*(PI()*(fi_h/1000)^2/4)*SQRT(2*9.81*(O3459/100-fi_h/2/1000))*1000)),"",IF(O3459&lt;fi_h/20,0,(OFFSET('Base de dados'!$A$5,IF(O3459&lt;20,1,IF(O3459&gt;1000,10,MATCH(O3459,Cargas,1))),Coluna_fih,1,1))*(PI()*(fi_h/1000)^2/4)*SQRT(2*9.81*(O3459/100-fi_h/2/1000))*1000))</f>
        <v>7.8624206794798059</v>
      </c>
      <c r="Q3459" s="38">
        <f ca="1">IF(O3459="","",IF(Tipo_Vertedor="Retangular",IF(O3459&lt;=cota_s*100,0,IF(Tipo_Vertedor="Retangular",Cd_sr*Lef_sr*((O3459/100-cota_s)^(3/2))*1000)),IF(O3459&lt;=cota_s*100+fi_s/20,0,(OFFSET('Base de dados'!$A$4,IF(O3459&lt;20,1,IF(O3459&gt;1000,10,MATCH(O3459,Cargas,1))),Coluna_fis,1,1))*(PI()*(fi_s/1000)^2/4)*(2*9.81*(O3459/100-cota_s-fi_s/2/1000))^0.5*1000)))</f>
        <v>7.2951582404246382</v>
      </c>
      <c r="R3459" s="38">
        <f t="shared" ca="1" si="355"/>
        <v>15.157578919904445</v>
      </c>
      <c r="S3459" s="38">
        <f t="shared" ca="1" si="356"/>
        <v>1080.6249999999998</v>
      </c>
    </row>
    <row r="3460" spans="13:19">
      <c r="M3460" s="132">
        <f t="shared" ca="1" si="353"/>
        <v>1096.0974456426409</v>
      </c>
      <c r="N3460" s="38">
        <f t="shared" si="354"/>
        <v>32.428125000000001</v>
      </c>
      <c r="O3460" s="36">
        <f t="shared" si="352"/>
        <v>864.75</v>
      </c>
      <c r="P3460" s="38">
        <f ca="1">IF(ISERROR(IF(O3460&lt;fi_h/20,0,(OFFSET('Base de dados'!$A$5,IF(O3460&lt;20,1,IF(O3460&gt;1000,10,MATCH(O3460,Cargas,1))),Coluna_fih,1,1))*(1+0.13*0.25)*(PI()*(fi_h/1000)^2/4)*SQRT(2*9.81*(O3460/100-fi_h/2/1000))*1000)),"",IF(O3460&lt;fi_h/20,0,(OFFSET('Base de dados'!$A$5,IF(O3460&lt;20,1,IF(O3460&gt;1000,10,MATCH(O3460,Cargas,1))),Coluna_fih,1,1))*(PI()*(fi_h/1000)^2/4)*SQRT(2*9.81*(O3460/100-fi_h/2/1000))*1000))</f>
        <v>7.8635597612396433</v>
      </c>
      <c r="Q3460" s="38">
        <f ca="1">IF(O3460="","",IF(Tipo_Vertedor="Retangular",IF(O3460&lt;=cota_s*100,0,IF(Tipo_Vertedor="Retangular",Cd_sr*Lef_sr*((O3460/100-cota_s)^(3/2))*1000)),IF(O3460&lt;=cota_s*100+fi_s/20,0,(OFFSET('Base de dados'!$A$4,IF(O3460&lt;20,1,IF(O3460&gt;1000,10,MATCH(O3460,Cargas,1))),Coluna_fis,1,1))*(PI()*(fi_s/1000)^2/4)*(2*9.81*(O3460/100-cota_s-fi_s/2/1000))^0.5*1000)))</f>
        <v>7.2963858814012221</v>
      </c>
      <c r="R3460" s="38">
        <f t="shared" ca="1" si="355"/>
        <v>15.159945642640865</v>
      </c>
      <c r="S3460" s="38">
        <f t="shared" ca="1" si="356"/>
        <v>1080.9375</v>
      </c>
    </row>
    <row r="3461" spans="13:19">
      <c r="M3461" s="132">
        <f t="shared" ca="1" si="353"/>
        <v>1096.4123119938788</v>
      </c>
      <c r="N3461" s="38">
        <f t="shared" si="354"/>
        <v>32.4375</v>
      </c>
      <c r="O3461" s="36">
        <f t="shared" si="352"/>
        <v>865</v>
      </c>
      <c r="P3461" s="38">
        <f ca="1">IF(ISERROR(IF(O3461&lt;fi_h/20,0,(OFFSET('Base de dados'!$A$5,IF(O3461&lt;20,1,IF(O3461&gt;1000,10,MATCH(O3461,Cargas,1))),Coluna_fih,1,1))*(1+0.13*0.25)*(PI()*(fi_h/1000)^2/4)*SQRT(2*9.81*(O3461/100-fi_h/2/1000))*1000)),"",IF(O3461&lt;fi_h/20,0,(OFFSET('Base de dados'!$A$5,IF(O3461&lt;20,1,IF(O3461&gt;1000,10,MATCH(O3461,Cargas,1))),Coluna_fih,1,1))*(PI()*(fi_h/1000)^2/4)*SQRT(2*9.81*(O3461/100-fi_h/2/1000))*1000))</f>
        <v>7.8646986780208472</v>
      </c>
      <c r="Q3461" s="38">
        <f ca="1">IF(O3461="","",IF(Tipo_Vertedor="Retangular",IF(O3461&lt;=cota_s*100,0,IF(Tipo_Vertedor="Retangular",Cd_sr*Lef_sr*((O3461/100-cota_s)^(3/2))*1000)),IF(O3461&lt;=cota_s*100+fi_s/20,0,(OFFSET('Base de dados'!$A$4,IF(O3461&lt;20,1,IF(O3461&gt;1000,10,MATCH(O3461,Cargas,1))),Coluna_fis,1,1))*(PI()*(fi_s/1000)^2/4)*(2*9.81*(O3461/100-cota_s-fi_s/2/1000))^0.5*1000)))</f>
        <v>7.2976133158579088</v>
      </c>
      <c r="R3461" s="38">
        <f t="shared" ca="1" si="355"/>
        <v>15.162311993878756</v>
      </c>
      <c r="S3461" s="38">
        <f t="shared" ca="1" si="356"/>
        <v>1081.25</v>
      </c>
    </row>
    <row r="3462" spans="13:19">
      <c r="M3462" s="132">
        <f t="shared" ca="1" si="353"/>
        <v>1096.7271779737939</v>
      </c>
      <c r="N3462" s="38">
        <f t="shared" si="354"/>
        <v>32.446874999999999</v>
      </c>
      <c r="O3462" s="36">
        <f t="shared" si="352"/>
        <v>865.25</v>
      </c>
      <c r="P3462" s="38">
        <f ca="1">IF(ISERROR(IF(O3462&lt;fi_h/20,0,(OFFSET('Base de dados'!$A$5,IF(O3462&lt;20,1,IF(O3462&gt;1000,10,MATCH(O3462,Cargas,1))),Coluna_fih,1,1))*(1+0.13*0.25)*(PI()*(fi_h/1000)^2/4)*SQRT(2*9.81*(O3462/100-fi_h/2/1000))*1000)),"",IF(O3462&lt;fi_h/20,0,(OFFSET('Base de dados'!$A$5,IF(O3462&lt;20,1,IF(O3462&gt;1000,10,MATCH(O3462,Cargas,1))),Coluna_fih,1,1))*(PI()*(fi_h/1000)^2/4)*SQRT(2*9.81*(O3462/100-fi_h/2/1000))*1000))</f>
        <v>7.8658374298950786</v>
      </c>
      <c r="Q3462" s="38">
        <f ca="1">IF(O3462="","",IF(Tipo_Vertedor="Retangular",IF(O3462&lt;=cota_s*100,0,IF(Tipo_Vertedor="Retangular",Cd_sr*Lef_sr*((O3462/100-cota_s)^(3/2))*1000)),IF(O3462&lt;=cota_s*100+fi_s/20,0,(OFFSET('Base de dados'!$A$4,IF(O3462&lt;20,1,IF(O3462&gt;1000,10,MATCH(O3462,Cargas,1))),Coluna_fis,1,1))*(PI()*(fi_s/1000)^2/4)*(2*9.81*(O3462/100-cota_s-fi_s/2/1000))^0.5*1000)))</f>
        <v>7.2988405438988897</v>
      </c>
      <c r="R3462" s="38">
        <f t="shared" ca="1" si="355"/>
        <v>15.164677973793967</v>
      </c>
      <c r="S3462" s="38">
        <f t="shared" ca="1" si="356"/>
        <v>1081.5625</v>
      </c>
    </row>
    <row r="3463" spans="13:19">
      <c r="M3463" s="132">
        <f t="shared" ca="1" si="353"/>
        <v>1097.042043582562</v>
      </c>
      <c r="N3463" s="38">
        <f t="shared" si="354"/>
        <v>32.456249999999997</v>
      </c>
      <c r="O3463" s="36">
        <f t="shared" si="352"/>
        <v>865.5</v>
      </c>
      <c r="P3463" s="38">
        <f ca="1">IF(ISERROR(IF(O3463&lt;fi_h/20,0,(OFFSET('Base de dados'!$A$5,IF(O3463&lt;20,1,IF(O3463&gt;1000,10,MATCH(O3463,Cargas,1))),Coluna_fih,1,1))*(1+0.13*0.25)*(PI()*(fi_h/1000)^2/4)*SQRT(2*9.81*(O3463/100-fi_h/2/1000))*1000)),"",IF(O3463&lt;fi_h/20,0,(OFFSET('Base de dados'!$A$5,IF(O3463&lt;20,1,IF(O3463&gt;1000,10,MATCH(O3463,Cargas,1))),Coluna_fih,1,1))*(PI()*(fi_h/1000)^2/4)*SQRT(2*9.81*(O3463/100-fi_h/2/1000))*1000))</f>
        <v>7.866976016933954</v>
      </c>
      <c r="Q3463" s="38">
        <f ca="1">IF(O3463="","",IF(Tipo_Vertedor="Retangular",IF(O3463&lt;=cota_s*100,0,IF(Tipo_Vertedor="Retangular",Cd_sr*Lef_sr*((O3463/100-cota_s)^(3/2))*1000)),IF(O3463&lt;=cota_s*100+fi_s/20,0,(OFFSET('Base de dados'!$A$4,IF(O3463&lt;20,1,IF(O3463&gt;1000,10,MATCH(O3463,Cargas,1))),Coluna_fis,1,1))*(PI()*(fi_s/1000)^2/4)*(2*9.81*(O3463/100-cota_s-fi_s/2/1000))^0.5*1000)))</f>
        <v>7.3000675656282672</v>
      </c>
      <c r="R3463" s="38">
        <f t="shared" ca="1" si="355"/>
        <v>15.167043582562222</v>
      </c>
      <c r="S3463" s="38">
        <f t="shared" ca="1" si="356"/>
        <v>1081.8749999999998</v>
      </c>
    </row>
    <row r="3464" spans="13:19">
      <c r="M3464" s="132">
        <f t="shared" ca="1" si="353"/>
        <v>1097.3569088203594</v>
      </c>
      <c r="N3464" s="38">
        <f t="shared" si="354"/>
        <v>32.465625000000003</v>
      </c>
      <c r="O3464" s="36">
        <f t="shared" si="352"/>
        <v>865.75</v>
      </c>
      <c r="P3464" s="38">
        <f ca="1">IF(ISERROR(IF(O3464&lt;fi_h/20,0,(OFFSET('Base de dados'!$A$5,IF(O3464&lt;20,1,IF(O3464&gt;1000,10,MATCH(O3464,Cargas,1))),Coluna_fih,1,1))*(1+0.13*0.25)*(PI()*(fi_h/1000)^2/4)*SQRT(2*9.81*(O3464/100-fi_h/2/1000))*1000)),"",IF(O3464&lt;fi_h/20,0,(OFFSET('Base de dados'!$A$5,IF(O3464&lt;20,1,IF(O3464&gt;1000,10,MATCH(O3464,Cargas,1))),Coluna_fih,1,1))*(PI()*(fi_h/1000)^2/4)*SQRT(2*9.81*(O3464/100-fi_h/2/1000))*1000))</f>
        <v>7.8681144392090276</v>
      </c>
      <c r="Q3464" s="38">
        <f ca="1">IF(O3464="","",IF(Tipo_Vertedor="Retangular",IF(O3464&lt;=cota_s*100,0,IF(Tipo_Vertedor="Retangular",Cd_sr*Lef_sr*((O3464/100-cota_s)^(3/2))*1000)),IF(O3464&lt;=cota_s*100+fi_s/20,0,(OFFSET('Base de dados'!$A$4,IF(O3464&lt;20,1,IF(O3464&gt;1000,10,MATCH(O3464,Cargas,1))),Coluna_fis,1,1))*(PI()*(fi_s/1000)^2/4)*(2*9.81*(O3464/100-cota_s-fi_s/2/1000))^0.5*1000)))</f>
        <v>7.3012943811500577</v>
      </c>
      <c r="R3464" s="38">
        <f t="shared" ca="1" si="355"/>
        <v>15.169408820359084</v>
      </c>
      <c r="S3464" s="38">
        <f t="shared" ca="1" si="356"/>
        <v>1082.1875000000002</v>
      </c>
    </row>
    <row r="3465" spans="13:19">
      <c r="M3465" s="132">
        <f t="shared" ca="1" si="353"/>
        <v>1097.67177368736</v>
      </c>
      <c r="N3465" s="38">
        <f t="shared" si="354"/>
        <v>32.475000000000001</v>
      </c>
      <c r="O3465" s="36">
        <f t="shared" si="352"/>
        <v>866</v>
      </c>
      <c r="P3465" s="38">
        <f ca="1">IF(ISERROR(IF(O3465&lt;fi_h/20,0,(OFFSET('Base de dados'!$A$5,IF(O3465&lt;20,1,IF(O3465&gt;1000,10,MATCH(O3465,Cargas,1))),Coluna_fih,1,1))*(1+0.13*0.25)*(PI()*(fi_h/1000)^2/4)*SQRT(2*9.81*(O3465/100-fi_h/2/1000))*1000)),"",IF(O3465&lt;fi_h/20,0,(OFFSET('Base de dados'!$A$5,IF(O3465&lt;20,1,IF(O3465&gt;1000,10,MATCH(O3465,Cargas,1))),Coluna_fih,1,1))*(PI()*(fi_h/1000)^2/4)*SQRT(2*9.81*(O3465/100-fi_h/2/1000))*1000))</f>
        <v>7.8692526967918104</v>
      </c>
      <c r="Q3465" s="38">
        <f ca="1">IF(O3465="","",IF(Tipo_Vertedor="Retangular",IF(O3465&lt;=cota_s*100,0,IF(Tipo_Vertedor="Retangular",Cd_sr*Lef_sr*((O3465/100-cota_s)^(3/2))*1000)),IF(O3465&lt;=cota_s*100+fi_s/20,0,(OFFSET('Base de dados'!$A$4,IF(O3465&lt;20,1,IF(O3465&gt;1000,10,MATCH(O3465,Cargas,1))),Coluna_fis,1,1))*(PI()*(fi_s/1000)^2/4)*(2*9.81*(O3465/100-cota_s-fi_s/2/1000))^0.5*1000)))</f>
        <v>7.3025209905681852</v>
      </c>
      <c r="R3465" s="38">
        <f t="shared" ca="1" si="355"/>
        <v>15.171773687359995</v>
      </c>
      <c r="S3465" s="38">
        <f t="shared" ca="1" si="356"/>
        <v>1082.5</v>
      </c>
    </row>
    <row r="3466" spans="13:19">
      <c r="M3466" s="132">
        <f t="shared" ca="1" si="353"/>
        <v>1097.9866381837403</v>
      </c>
      <c r="N3466" s="38">
        <f t="shared" si="354"/>
        <v>32.484375</v>
      </c>
      <c r="O3466" s="36">
        <f t="shared" si="352"/>
        <v>866.25</v>
      </c>
      <c r="P3466" s="38">
        <f ca="1">IF(ISERROR(IF(O3466&lt;fi_h/20,0,(OFFSET('Base de dados'!$A$5,IF(O3466&lt;20,1,IF(O3466&gt;1000,10,MATCH(O3466,Cargas,1))),Coluna_fih,1,1))*(1+0.13*0.25)*(PI()*(fi_h/1000)^2/4)*SQRT(2*9.81*(O3466/100-fi_h/2/1000))*1000)),"",IF(O3466&lt;fi_h/20,0,(OFFSET('Base de dados'!$A$5,IF(O3466&lt;20,1,IF(O3466&gt;1000,10,MATCH(O3466,Cargas,1))),Coluna_fih,1,1))*(PI()*(fi_h/1000)^2/4)*SQRT(2*9.81*(O3466/100-fi_h/2/1000))*1000))</f>
        <v>7.8703907897537553</v>
      </c>
      <c r="Q3466" s="38">
        <f ca="1">IF(O3466="","",IF(Tipo_Vertedor="Retangular",IF(O3466&lt;=cota_s*100,0,IF(Tipo_Vertedor="Retangular",Cd_sr*Lef_sr*((O3466/100-cota_s)^(3/2))*1000)),IF(O3466&lt;=cota_s*100+fi_s/20,0,(OFFSET('Base de dados'!$A$4,IF(O3466&lt;20,1,IF(O3466&gt;1000,10,MATCH(O3466,Cargas,1))),Coluna_fis,1,1))*(PI()*(fi_s/1000)^2/4)*(2*9.81*(O3466/100-cota_s-fi_s/2/1000))^0.5*1000)))</f>
        <v>7.3037473939864954</v>
      </c>
      <c r="R3466" s="38">
        <f t="shared" ca="1" si="355"/>
        <v>15.174138183740251</v>
      </c>
      <c r="S3466" s="38">
        <f t="shared" ca="1" si="356"/>
        <v>1082.8125</v>
      </c>
    </row>
    <row r="3467" spans="13:19">
      <c r="M3467" s="132">
        <f t="shared" ca="1" si="353"/>
        <v>1098.301502309675</v>
      </c>
      <c r="N3467" s="38">
        <f t="shared" si="354"/>
        <v>32.493749999999999</v>
      </c>
      <c r="O3467" s="36">
        <f t="shared" si="352"/>
        <v>866.5</v>
      </c>
      <c r="P3467" s="38">
        <f ca="1">IF(ISERROR(IF(O3467&lt;fi_h/20,0,(OFFSET('Base de dados'!$A$5,IF(O3467&lt;20,1,IF(O3467&gt;1000,10,MATCH(O3467,Cargas,1))),Coluna_fih,1,1))*(1+0.13*0.25)*(PI()*(fi_h/1000)^2/4)*SQRT(2*9.81*(O3467/100-fi_h/2/1000))*1000)),"",IF(O3467&lt;fi_h/20,0,(OFFSET('Base de dados'!$A$5,IF(O3467&lt;20,1,IF(O3467&gt;1000,10,MATCH(O3467,Cargas,1))),Coluna_fih,1,1))*(PI()*(fi_h/1000)^2/4)*SQRT(2*9.81*(O3467/100-fi_h/2/1000))*1000))</f>
        <v>7.8715287181662683</v>
      </c>
      <c r="Q3467" s="38">
        <f ca="1">IF(O3467="","",IF(Tipo_Vertedor="Retangular",IF(O3467&lt;=cota_s*100,0,IF(Tipo_Vertedor="Retangular",Cd_sr*Lef_sr*((O3467/100-cota_s)^(3/2))*1000)),IF(O3467&lt;=cota_s*100+fi_s/20,0,(OFFSET('Base de dados'!$A$4,IF(O3467&lt;20,1,IF(O3467&gt;1000,10,MATCH(O3467,Cargas,1))),Coluna_fis,1,1))*(PI()*(fi_s/1000)^2/4)*(2*9.81*(O3467/100-cota_s-fi_s/2/1000))^0.5*1000)))</f>
        <v>7.304973591508741</v>
      </c>
      <c r="R3467" s="38">
        <f t="shared" ca="1" si="355"/>
        <v>15.176502309675008</v>
      </c>
      <c r="S3467" s="38">
        <f t="shared" ca="1" si="356"/>
        <v>1083.125</v>
      </c>
    </row>
    <row r="3468" spans="13:19">
      <c r="M3468" s="132">
        <f t="shared" ca="1" si="353"/>
        <v>1098.6163660653394</v>
      </c>
      <c r="N3468" s="38">
        <f t="shared" si="354"/>
        <v>32.503125000000004</v>
      </c>
      <c r="O3468" s="36">
        <f t="shared" si="352"/>
        <v>866.75</v>
      </c>
      <c r="P3468" s="38">
        <f ca="1">IF(ISERROR(IF(O3468&lt;fi_h/20,0,(OFFSET('Base de dados'!$A$5,IF(O3468&lt;20,1,IF(O3468&gt;1000,10,MATCH(O3468,Cargas,1))),Coluna_fih,1,1))*(1+0.13*0.25)*(PI()*(fi_h/1000)^2/4)*SQRT(2*9.81*(O3468/100-fi_h/2/1000))*1000)),"",IF(O3468&lt;fi_h/20,0,(OFFSET('Base de dados'!$A$5,IF(O3468&lt;20,1,IF(O3468&gt;1000,10,MATCH(O3468,Cargas,1))),Coluna_fih,1,1))*(PI()*(fi_h/1000)^2/4)*SQRT(2*9.81*(O3468/100-fi_h/2/1000))*1000))</f>
        <v>7.8726664821007049</v>
      </c>
      <c r="Q3468" s="38">
        <f ca="1">IF(O3468="","",IF(Tipo_Vertedor="Retangular",IF(O3468&lt;=cota_s*100,0,IF(Tipo_Vertedor="Retangular",Cd_sr*Lef_sr*((O3468/100-cota_s)^(3/2))*1000)),IF(O3468&lt;=cota_s*100+fi_s/20,0,(OFFSET('Base de dados'!$A$4,IF(O3468&lt;20,1,IF(O3468&gt;1000,10,MATCH(O3468,Cargas,1))),Coluna_fis,1,1))*(PI()*(fi_s/1000)^2/4)*(2*9.81*(O3468/100-cota_s-fi_s/2/1000))^0.5*1000)))</f>
        <v>7.3061995832385866</v>
      </c>
      <c r="R3468" s="38">
        <f t="shared" ca="1" si="355"/>
        <v>15.178866065339292</v>
      </c>
      <c r="S3468" s="38">
        <f t="shared" ca="1" si="356"/>
        <v>1083.4375000000002</v>
      </c>
    </row>
    <row r="3469" spans="13:19">
      <c r="M3469" s="132">
        <f t="shared" ca="1" si="353"/>
        <v>1098.9312294509082</v>
      </c>
      <c r="N3469" s="38">
        <f t="shared" si="354"/>
        <v>32.512500000000003</v>
      </c>
      <c r="O3469" s="36">
        <f t="shared" si="352"/>
        <v>867</v>
      </c>
      <c r="P3469" s="38">
        <f ca="1">IF(ISERROR(IF(O3469&lt;fi_h/20,0,(OFFSET('Base de dados'!$A$5,IF(O3469&lt;20,1,IF(O3469&gt;1000,10,MATCH(O3469,Cargas,1))),Coluna_fih,1,1))*(1+0.13*0.25)*(PI()*(fi_h/1000)^2/4)*SQRT(2*9.81*(O3469/100-fi_h/2/1000))*1000)),"",IF(O3469&lt;fi_h/20,0,(OFFSET('Base de dados'!$A$5,IF(O3469&lt;20,1,IF(O3469&gt;1000,10,MATCH(O3469,Cargas,1))),Coluna_fih,1,1))*(PI()*(fi_h/1000)^2/4)*SQRT(2*9.81*(O3469/100-fi_h/2/1000))*1000))</f>
        <v>7.8738040816283634</v>
      </c>
      <c r="Q3469" s="38">
        <f ca="1">IF(O3469="","",IF(Tipo_Vertedor="Retangular",IF(O3469&lt;=cota_s*100,0,IF(Tipo_Vertedor="Retangular",Cd_sr*Lef_sr*((O3469/100-cota_s)^(3/2))*1000)),IF(O3469&lt;=cota_s*100+fi_s/20,0,(OFFSET('Base de dados'!$A$4,IF(O3469&lt;20,1,IF(O3469&gt;1000,10,MATCH(O3469,Cargas,1))),Coluna_fis,1,1))*(PI()*(fi_s/1000)^2/4)*(2*9.81*(O3469/100-cota_s-fi_s/2/1000))^0.5*1000)))</f>
        <v>7.3074253692796116</v>
      </c>
      <c r="R3469" s="38">
        <f t="shared" ca="1" si="355"/>
        <v>15.181229450907974</v>
      </c>
      <c r="S3469" s="38">
        <f t="shared" ca="1" si="356"/>
        <v>1083.7500000000002</v>
      </c>
    </row>
    <row r="3470" spans="13:19">
      <c r="M3470" s="132">
        <f t="shared" ca="1" si="353"/>
        <v>1099.2460924665556</v>
      </c>
      <c r="N3470" s="38">
        <f t="shared" si="354"/>
        <v>32.521874999999994</v>
      </c>
      <c r="O3470" s="36">
        <f t="shared" si="352"/>
        <v>867.25</v>
      </c>
      <c r="P3470" s="38">
        <f ca="1">IF(ISERROR(IF(O3470&lt;fi_h/20,0,(OFFSET('Base de dados'!$A$5,IF(O3470&lt;20,1,IF(O3470&gt;1000,10,MATCH(O3470,Cargas,1))),Coluna_fih,1,1))*(1+0.13*0.25)*(PI()*(fi_h/1000)^2/4)*SQRT(2*9.81*(O3470/100-fi_h/2/1000))*1000)),"",IF(O3470&lt;fi_h/20,0,(OFFSET('Base de dados'!$A$5,IF(O3470&lt;20,1,IF(O3470&gt;1000,10,MATCH(O3470,Cargas,1))),Coluna_fih,1,1))*(PI()*(fi_h/1000)^2/4)*SQRT(2*9.81*(O3470/100-fi_h/2/1000))*1000))</f>
        <v>7.874941516820491</v>
      </c>
      <c r="Q3470" s="38">
        <f ca="1">IF(O3470="","",IF(Tipo_Vertedor="Retangular",IF(O3470&lt;=cota_s*100,0,IF(Tipo_Vertedor="Retangular",Cd_sr*Lef_sr*((O3470/100-cota_s)^(3/2))*1000)),IF(O3470&lt;=cota_s*100+fi_s/20,0,(OFFSET('Base de dados'!$A$4,IF(O3470&lt;20,1,IF(O3470&gt;1000,10,MATCH(O3470,Cargas,1))),Coluna_fis,1,1))*(PI()*(fi_s/1000)^2/4)*(2*9.81*(O3470/100-cota_s-fi_s/2/1000))^0.5*1000)))</f>
        <v>7.3086509497353092</v>
      </c>
      <c r="R3470" s="38">
        <f t="shared" ca="1" si="355"/>
        <v>15.183592466555801</v>
      </c>
      <c r="S3470" s="38">
        <f t="shared" ca="1" si="356"/>
        <v>1084.0624999999998</v>
      </c>
    </row>
    <row r="3471" spans="13:19">
      <c r="M3471" s="132">
        <f t="shared" ca="1" si="353"/>
        <v>1099.5609551124573</v>
      </c>
      <c r="N3471" s="38">
        <f t="shared" si="354"/>
        <v>32.53125</v>
      </c>
      <c r="O3471" s="36">
        <f t="shared" si="352"/>
        <v>867.5</v>
      </c>
      <c r="P3471" s="38">
        <f ca="1">IF(ISERROR(IF(O3471&lt;fi_h/20,0,(OFFSET('Base de dados'!$A$5,IF(O3471&lt;20,1,IF(O3471&gt;1000,10,MATCH(O3471,Cargas,1))),Coluna_fih,1,1))*(1+0.13*0.25)*(PI()*(fi_h/1000)^2/4)*SQRT(2*9.81*(O3471/100-fi_h/2/1000))*1000)),"",IF(O3471&lt;fi_h/20,0,(OFFSET('Base de dados'!$A$5,IF(O3471&lt;20,1,IF(O3471&gt;1000,10,MATCH(O3471,Cargas,1))),Coluna_fih,1,1))*(PI()*(fi_h/1000)^2/4)*SQRT(2*9.81*(O3471/100-fi_h/2/1000))*1000))</f>
        <v>7.8760787877482921</v>
      </c>
      <c r="Q3471" s="38">
        <f ca="1">IF(O3471="","",IF(Tipo_Vertedor="Retangular",IF(O3471&lt;=cota_s*100,0,IF(Tipo_Vertedor="Retangular",Cd_sr*Lef_sr*((O3471/100-cota_s)^(3/2))*1000)),IF(O3471&lt;=cota_s*100+fi_s/20,0,(OFFSET('Base de dados'!$A$4,IF(O3471&lt;20,1,IF(O3471&gt;1000,10,MATCH(O3471,Cargas,1))),Coluna_fis,1,1))*(PI()*(fi_s/1000)^2/4)*(2*9.81*(O3471/100-cota_s-fi_s/2/1000))^0.5*1000)))</f>
        <v>7.3098763247090863</v>
      </c>
      <c r="R3471" s="38">
        <f t="shared" ca="1" si="355"/>
        <v>15.185955112457378</v>
      </c>
      <c r="S3471" s="38">
        <f t="shared" ca="1" si="356"/>
        <v>1084.375</v>
      </c>
    </row>
    <row r="3472" spans="13:19">
      <c r="M3472" s="132">
        <f t="shared" ca="1" si="353"/>
        <v>1099.8758173887873</v>
      </c>
      <c r="N3472" s="38">
        <f t="shared" si="354"/>
        <v>32.540624999999999</v>
      </c>
      <c r="O3472" s="36">
        <f t="shared" si="352"/>
        <v>867.75</v>
      </c>
      <c r="P3472" s="38">
        <f ca="1">IF(ISERROR(IF(O3472&lt;fi_h/20,0,(OFFSET('Base de dados'!$A$5,IF(O3472&lt;20,1,IF(O3472&gt;1000,10,MATCH(O3472,Cargas,1))),Coluna_fih,1,1))*(1+0.13*0.25)*(PI()*(fi_h/1000)^2/4)*SQRT(2*9.81*(O3472/100-fi_h/2/1000))*1000)),"",IF(O3472&lt;fi_h/20,0,(OFFSET('Base de dados'!$A$5,IF(O3472&lt;20,1,IF(O3472&gt;1000,10,MATCH(O3472,Cargas,1))),Coluna_fih,1,1))*(PI()*(fi_h/1000)^2/4)*SQRT(2*9.81*(O3472/100-fi_h/2/1000))*1000))</f>
        <v>7.8772158944829096</v>
      </c>
      <c r="Q3472" s="38">
        <f ca="1">IF(O3472="","",IF(Tipo_Vertedor="Retangular",IF(O3472&lt;=cota_s*100,0,IF(Tipo_Vertedor="Retangular",Cd_sr*Lef_sr*((O3472/100-cota_s)^(3/2))*1000)),IF(O3472&lt;=cota_s*100+fi_s/20,0,(OFFSET('Base de dados'!$A$4,IF(O3472&lt;20,1,IF(O3472&gt;1000,10,MATCH(O3472,Cargas,1))),Coluna_fis,1,1))*(PI()*(fi_s/1000)^2/4)*(2*9.81*(O3472/100-cota_s-fi_s/2/1000))^0.5*1000)))</f>
        <v>7.3111014943042614</v>
      </c>
      <c r="R3472" s="38">
        <f t="shared" ca="1" si="355"/>
        <v>15.188317388787171</v>
      </c>
      <c r="S3472" s="38">
        <f t="shared" ca="1" si="356"/>
        <v>1084.6875</v>
      </c>
    </row>
    <row r="3473" spans="13:19">
      <c r="M3473" s="132">
        <f t="shared" ca="1" si="353"/>
        <v>1100.1906792957193</v>
      </c>
      <c r="N3473" s="38">
        <f t="shared" si="354"/>
        <v>32.549999999999997</v>
      </c>
      <c r="O3473" s="36">
        <f t="shared" si="352"/>
        <v>868</v>
      </c>
      <c r="P3473" s="38">
        <f ca="1">IF(ISERROR(IF(O3473&lt;fi_h/20,0,(OFFSET('Base de dados'!$A$5,IF(O3473&lt;20,1,IF(O3473&gt;1000,10,MATCH(O3473,Cargas,1))),Coluna_fih,1,1))*(1+0.13*0.25)*(PI()*(fi_h/1000)^2/4)*SQRT(2*9.81*(O3473/100-fi_h/2/1000))*1000)),"",IF(O3473&lt;fi_h/20,0,(OFFSET('Base de dados'!$A$5,IF(O3473&lt;20,1,IF(O3473&gt;1000,10,MATCH(O3473,Cargas,1))),Coluna_fih,1,1))*(PI()*(fi_h/1000)^2/4)*SQRT(2*9.81*(O3473/100-fi_h/2/1000))*1000))</f>
        <v>7.8783528370954397</v>
      </c>
      <c r="Q3473" s="38">
        <f ca="1">IF(O3473="","",IF(Tipo_Vertedor="Retangular",IF(O3473&lt;=cota_s*100,0,IF(Tipo_Vertedor="Retangular",Cd_sr*Lef_sr*((O3473/100-cota_s)^(3/2))*1000)),IF(O3473&lt;=cota_s*100+fi_s/20,0,(OFFSET('Base de dados'!$A$4,IF(O3473&lt;20,1,IF(O3473&gt;1000,10,MATCH(O3473,Cargas,1))),Coluna_fis,1,1))*(PI()*(fi_s/1000)^2/4)*(2*9.81*(O3473/100-cota_s-fi_s/2/1000))^0.5*1000)))</f>
        <v>7.3123264586240646</v>
      </c>
      <c r="R3473" s="38">
        <f t="shared" ca="1" si="355"/>
        <v>15.190679295719505</v>
      </c>
      <c r="S3473" s="38">
        <f t="shared" ca="1" si="356"/>
        <v>1084.9999999999998</v>
      </c>
    </row>
    <row r="3474" spans="13:19">
      <c r="M3474" s="132">
        <f t="shared" ca="1" si="353"/>
        <v>1100.5055408334283</v>
      </c>
      <c r="N3474" s="38">
        <f t="shared" si="354"/>
        <v>32.559374999999996</v>
      </c>
      <c r="O3474" s="36">
        <f t="shared" si="352"/>
        <v>868.25</v>
      </c>
      <c r="P3474" s="38">
        <f ca="1">IF(ISERROR(IF(O3474&lt;fi_h/20,0,(OFFSET('Base de dados'!$A$5,IF(O3474&lt;20,1,IF(O3474&gt;1000,10,MATCH(O3474,Cargas,1))),Coluna_fih,1,1))*(1+0.13*0.25)*(PI()*(fi_h/1000)^2/4)*SQRT(2*9.81*(O3474/100-fi_h/2/1000))*1000)),"",IF(O3474&lt;fi_h/20,0,(OFFSET('Base de dados'!$A$5,IF(O3474&lt;20,1,IF(O3474&gt;1000,10,MATCH(O3474,Cargas,1))),Coluna_fih,1,1))*(PI()*(fi_h/1000)^2/4)*SQRT(2*9.81*(O3474/100-fi_h/2/1000))*1000))</f>
        <v>7.8794896156569267</v>
      </c>
      <c r="Q3474" s="38">
        <f ca="1">IF(O3474="","",IF(Tipo_Vertedor="Retangular",IF(O3474&lt;=cota_s*100,0,IF(Tipo_Vertedor="Retangular",Cd_sr*Lef_sr*((O3474/100-cota_s)^(3/2))*1000)),IF(O3474&lt;=cota_s*100+fi_s/20,0,(OFFSET('Base de dados'!$A$4,IF(O3474&lt;20,1,IF(O3474&gt;1000,10,MATCH(O3474,Cargas,1))),Coluna_fis,1,1))*(PI()*(fi_s/1000)^2/4)*(2*9.81*(O3474/100-cota_s-fi_s/2/1000))^0.5*1000)))</f>
        <v>7.3135512177716464</v>
      </c>
      <c r="R3474" s="38">
        <f t="shared" ca="1" si="355"/>
        <v>15.193040833428572</v>
      </c>
      <c r="S3474" s="38">
        <f t="shared" ca="1" si="356"/>
        <v>1085.3124999999998</v>
      </c>
    </row>
    <row r="3475" spans="13:19">
      <c r="M3475" s="132">
        <f t="shared" ca="1" si="353"/>
        <v>1100.8204020020885</v>
      </c>
      <c r="N3475" s="38">
        <f t="shared" si="354"/>
        <v>32.568750000000001</v>
      </c>
      <c r="O3475" s="36">
        <f>IF(ISERROR(IF(O3474+passo_altura&gt;h_max_puls*100,"",O3474+passo_altura)),"",IF(O3474+passo_altura&gt;h_max_puls*100,"",O3474+passo_altura))</f>
        <v>868.5</v>
      </c>
      <c r="P3475" s="38">
        <f ca="1">IF(ISERROR(IF(O3475&lt;fi_h/20,0,(OFFSET('Base de dados'!$A$5,IF(O3475&lt;20,1,IF(O3475&gt;1000,10,MATCH(O3475,Cargas,1))),Coluna_fih,1,1))*(1+0.13*0.25)*(PI()*(fi_h/1000)^2/4)*SQRT(2*9.81*(O3475/100-fi_h/2/1000))*1000)),"",IF(O3475&lt;fi_h/20,0,(OFFSET('Base de dados'!$A$5,IF(O3475&lt;20,1,IF(O3475&gt;1000,10,MATCH(O3475,Cargas,1))),Coluna_fih,1,1))*(PI()*(fi_h/1000)^2/4)*SQRT(2*9.81*(O3475/100-fi_h/2/1000))*1000))</f>
        <v>7.880626230238363</v>
      </c>
      <c r="Q3475" s="38">
        <f ca="1">IF(O3475="","",IF(Tipo_Vertedor="Retangular",IF(O3475&lt;=cota_s*100,0,IF(Tipo_Vertedor="Retangular",Cd_sr*Lef_sr*((O3475/100-cota_s)^(3/2))*1000)),IF(O3475&lt;=cota_s*100+fi_s/20,0,(OFFSET('Base de dados'!$A$4,IF(O3475&lt;20,1,IF(O3475&gt;1000,10,MATCH(O3475,Cargas,1))),Coluna_fis,1,1))*(PI()*(fi_s/1000)^2/4)*(2*9.81*(O3475/100-cota_s-fi_s/2/1000))^0.5*1000)))</f>
        <v>7.3147757718500657</v>
      </c>
      <c r="R3475" s="38">
        <f t="shared" ca="1" si="355"/>
        <v>15.195402002088429</v>
      </c>
      <c r="S3475" s="38">
        <f t="shared" ca="1" si="356"/>
        <v>1085.625</v>
      </c>
    </row>
    <row r="3476" spans="13:19">
      <c r="M3476" s="132">
        <f t="shared" ca="1" si="353"/>
        <v>1101.1352628018731</v>
      </c>
      <c r="N3476" s="38">
        <f t="shared" si="354"/>
        <v>32.578125</v>
      </c>
      <c r="O3476" s="36">
        <f>IF(ISERROR(IF(O3475+passo_altura&gt;h_max_puls*100,"",O3475+passo_altura)),"",IF(O3475+passo_altura&gt;h_max_puls*100,"",O3475+passo_altura))</f>
        <v>868.75</v>
      </c>
      <c r="P3476" s="38">
        <f ca="1">IF(ISERROR(IF(O3476&lt;fi_h/20,0,(OFFSET('Base de dados'!$A$5,IF(O3476&lt;20,1,IF(O3476&gt;1000,10,MATCH(O3476,Cargas,1))),Coluna_fih,1,1))*(1+0.13*0.25)*(PI()*(fi_h/1000)^2/4)*SQRT(2*9.81*(O3476/100-fi_h/2/1000))*1000)),"",IF(O3476&lt;fi_h/20,0,(OFFSET('Base de dados'!$A$5,IF(O3476&lt;20,1,IF(O3476&gt;1000,10,MATCH(O3476,Cargas,1))),Coluna_fih,1,1))*(PI()*(fi_h/1000)^2/4)*SQRT(2*9.81*(O3476/100-fi_h/2/1000))*1000))</f>
        <v>7.8817626809106915</v>
      </c>
      <c r="Q3476" s="38">
        <f ca="1">IF(O3476="","",IF(Tipo_Vertedor="Retangular",IF(O3476&lt;=cota_s*100,0,IF(Tipo_Vertedor="Retangular",Cd_sr*Lef_sr*((O3476/100-cota_s)^(3/2))*1000)),IF(O3476&lt;=cota_s*100+fi_s/20,0,(OFFSET('Base de dados'!$A$4,IF(O3476&lt;20,1,IF(O3476&gt;1000,10,MATCH(O3476,Cargas,1))),Coluna_fis,1,1))*(PI()*(fi_s/1000)^2/4)*(2*9.81*(O3476/100-cota_s-fi_s/2/1000))^0.5*1000)))</f>
        <v>7.3160001209622925</v>
      </c>
      <c r="R3476" s="38">
        <f t="shared" ca="1" si="355"/>
        <v>15.197762801872983</v>
      </c>
      <c r="S3476" s="38">
        <f t="shared" ca="1" si="356"/>
        <v>1085.9375</v>
      </c>
    </row>
    <row r="3477" spans="13:19">
      <c r="M3477" s="132">
        <f t="shared" ca="1" si="353"/>
        <v>1101.450123232956</v>
      </c>
      <c r="N3477" s="38">
        <f t="shared" si="354"/>
        <v>32.587499999999999</v>
      </c>
      <c r="O3477" s="36">
        <f>IF(ISERROR(IF(O3476+passo_altura&gt;h_max_puls*100,"",O3476+passo_altura)),"",IF(O3476+passo_altura&gt;h_max_puls*100,"",O3476+passo_altura))</f>
        <v>869</v>
      </c>
      <c r="P3477" s="38">
        <f ca="1">IF(ISERROR(IF(O3477&lt;fi_h/20,0,(OFFSET('Base de dados'!$A$5,IF(O3477&lt;20,1,IF(O3477&gt;1000,10,MATCH(O3477,Cargas,1))),Coluna_fih,1,1))*(1+0.13*0.25)*(PI()*(fi_h/1000)^2/4)*SQRT(2*9.81*(O3477/100-fi_h/2/1000))*1000)),"",IF(O3477&lt;fi_h/20,0,(OFFSET('Base de dados'!$A$5,IF(O3477&lt;20,1,IF(O3477&gt;1000,10,MATCH(O3477,Cargas,1))),Coluna_fih,1,1))*(PI()*(fi_h/1000)^2/4)*SQRT(2*9.81*(O3477/100-fi_h/2/1000))*1000))</f>
        <v>7.8828989677448016</v>
      </c>
      <c r="Q3477" s="38">
        <f ca="1">IF(O3477="","",IF(Tipo_Vertedor="Retangular",IF(O3477&lt;=cota_s*100,0,IF(Tipo_Vertedor="Retangular",Cd_sr*Lef_sr*((O3477/100-cota_s)^(3/2))*1000)),IF(O3477&lt;=cota_s*100+fi_s/20,0,(OFFSET('Base de dados'!$A$4,IF(O3477&lt;20,1,IF(O3477&gt;1000,10,MATCH(O3477,Cargas,1))),Coluna_fis,1,1))*(PI()*(fi_s/1000)^2/4)*(2*9.81*(O3477/100-cota_s-fi_s/2/1000))^0.5*1000)))</f>
        <v>7.3172242652112178</v>
      </c>
      <c r="R3477" s="38">
        <f t="shared" ca="1" si="355"/>
        <v>15.20012323295602</v>
      </c>
      <c r="S3477" s="38">
        <f t="shared" ca="1" si="356"/>
        <v>1086.25</v>
      </c>
    </row>
  </sheetData>
  <mergeCells count="6">
    <mergeCell ref="AR3:AS3"/>
    <mergeCell ref="A1:J1"/>
    <mergeCell ref="A2:I2"/>
    <mergeCell ref="M1:S1"/>
    <mergeCell ref="AD3:AE3"/>
    <mergeCell ref="AO3:AP3"/>
  </mergeCells>
  <conditionalFormatting sqref="T3:AD3 A17:K1048576 A13:J16 A10:K12 A3:I9 AL3:XFD3 T458:AH1048576 AJ486:XFD1048576 AL4:AP10 AG11:AH12 AG19:AH457 T4:AF457 AR4:XFD10 AJ11:AJ485 AL11:XFD485 M3:R1048576">
    <cfRule type="notContainsBlanks" dxfId="40" priority="26">
      <formula>LEN(TRIM(A3))&gt;0</formula>
    </cfRule>
  </conditionalFormatting>
  <conditionalFormatting sqref="A6:A487">
    <cfRule type="notContainsBlanks" dxfId="39" priority="25">
      <formula>LEN(TRIM(A6))&gt;0</formula>
    </cfRule>
  </conditionalFormatting>
  <conditionalFormatting sqref="C3">
    <cfRule type="notContainsBlanks" dxfId="38" priority="24">
      <formula>LEN(TRIM(C3))&gt;0</formula>
    </cfRule>
  </conditionalFormatting>
  <conditionalFormatting sqref="C4">
    <cfRule type="notContainsBlanks" dxfId="37" priority="23">
      <formula>LEN(TRIM(C4))&gt;0</formula>
    </cfRule>
  </conditionalFormatting>
  <conditionalFormatting sqref="D3">
    <cfRule type="notContainsBlanks" dxfId="36" priority="22">
      <formula>LEN(TRIM(D3))&gt;0</formula>
    </cfRule>
  </conditionalFormatting>
  <conditionalFormatting sqref="D4">
    <cfRule type="notContainsBlanks" dxfId="35" priority="21">
      <formula>LEN(TRIM(D4))&gt;0</formula>
    </cfRule>
  </conditionalFormatting>
  <conditionalFormatting sqref="E3:G3">
    <cfRule type="notContainsBlanks" dxfId="34" priority="20">
      <formula>LEN(TRIM(E3))&gt;0</formula>
    </cfRule>
  </conditionalFormatting>
  <conditionalFormatting sqref="E4:G4">
    <cfRule type="notContainsBlanks" dxfId="33" priority="19">
      <formula>LEN(TRIM(E4))&gt;0</formula>
    </cfRule>
  </conditionalFormatting>
  <conditionalFormatting sqref="H3">
    <cfRule type="notContainsBlanks" dxfId="32" priority="18">
      <formula>LEN(TRIM(H3))&gt;0</formula>
    </cfRule>
  </conditionalFormatting>
  <conditionalFormatting sqref="H4">
    <cfRule type="notContainsBlanks" dxfId="31" priority="17">
      <formula>LEN(TRIM(H4))&gt;0</formula>
    </cfRule>
  </conditionalFormatting>
  <conditionalFormatting sqref="M4:M3477">
    <cfRule type="notContainsBlanks" dxfId="30" priority="12">
      <formula>LEN(TRIM(M4))&gt;0</formula>
    </cfRule>
  </conditionalFormatting>
  <conditionalFormatting sqref="M3">
    <cfRule type="notContainsBlanks" dxfId="29" priority="14">
      <formula>LEN(TRIM(M3))&gt;0</formula>
    </cfRule>
  </conditionalFormatting>
  <conditionalFormatting sqref="M3">
    <cfRule type="notContainsBlanks" dxfId="28" priority="13">
      <formula>LEN(TRIM(M3))&gt;0</formula>
    </cfRule>
  </conditionalFormatting>
  <conditionalFormatting sqref="S3">
    <cfRule type="notContainsBlanks" dxfId="27" priority="10">
      <formula>LEN(TRIM(S3))&gt;0</formula>
    </cfRule>
  </conditionalFormatting>
  <conditionalFormatting sqref="S3">
    <cfRule type="notContainsBlanks" dxfId="26" priority="9">
      <formula>LEN(TRIM(S3))&gt;0</formula>
    </cfRule>
  </conditionalFormatting>
  <conditionalFormatting sqref="S3">
    <cfRule type="notContainsBlanks" dxfId="25" priority="8">
      <formula>LEN(TRIM(S3))&gt;0</formula>
    </cfRule>
  </conditionalFormatting>
  <conditionalFormatting sqref="S4">
    <cfRule type="notContainsBlanks" dxfId="24" priority="7">
      <formula>LEN(TRIM(S4))&gt;0</formula>
    </cfRule>
  </conditionalFormatting>
  <conditionalFormatting sqref="M658:S3477">
    <cfRule type="notContainsBlanks" dxfId="23" priority="6">
      <formula>LEN(TRIM(M658))&gt;0</formula>
    </cfRule>
  </conditionalFormatting>
  <conditionalFormatting sqref="S5:S3477">
    <cfRule type="notContainsBlanks" dxfId="22" priority="5">
      <formula>LEN(TRIM(S5))&gt;0</formula>
    </cfRule>
  </conditionalFormatting>
  <conditionalFormatting sqref="S5:S1048576">
    <cfRule type="notContainsBlanks" dxfId="21" priority="4">
      <formula>LEN(TRIM(S5))&gt;0</formula>
    </cfRule>
  </conditionalFormatting>
  <conditionalFormatting sqref="K13:L16">
    <cfRule type="notContainsBlanks" dxfId="20" priority="3">
      <formula>LEN(TRIM(K13))&gt;0</formula>
    </cfRule>
  </conditionalFormatting>
  <conditionalFormatting sqref="AO3">
    <cfRule type="notContainsBlanks" dxfId="19" priority="2">
      <formula>LEN(TRIM(AO3))&gt;0</formula>
    </cfRule>
  </conditionalFormatting>
  <conditionalFormatting sqref="AR3">
    <cfRule type="notContainsBlanks" dxfId="18" priority="1">
      <formula>LEN(TRIM(AR3))&gt;0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BE61"/>
  <sheetViews>
    <sheetView topLeftCell="N13" zoomScaleNormal="100" workbookViewId="0">
      <selection activeCell="W28" sqref="W28:AD28"/>
    </sheetView>
  </sheetViews>
  <sheetFormatPr defaultColWidth="9.109375" defaultRowHeight="16.2"/>
  <cols>
    <col min="1" max="1" width="6.109375" style="58" customWidth="1"/>
    <col min="2" max="2" width="5.33203125" style="58" bestFit="1" customWidth="1"/>
    <col min="3" max="3" width="8.88671875" style="58" bestFit="1" customWidth="1"/>
    <col min="4" max="6" width="5.33203125" style="58" bestFit="1" customWidth="1"/>
    <col min="7" max="10" width="9.109375" style="58"/>
    <col min="11" max="11" width="10.88671875" style="58" bestFit="1" customWidth="1"/>
    <col min="12" max="12" width="9.109375" style="58"/>
    <col min="13" max="13" width="9.6640625" style="58" bestFit="1" customWidth="1"/>
    <col min="14" max="14" width="7.6640625" style="58" bestFit="1" customWidth="1"/>
    <col min="15" max="15" width="10.109375" style="58" customWidth="1"/>
    <col min="16" max="16" width="9.109375" style="58"/>
    <col min="17" max="17" width="9.109375" style="58" customWidth="1"/>
    <col min="18" max="18" width="10.88671875" style="58" customWidth="1"/>
    <col min="19" max="19" width="11.33203125" style="58" customWidth="1"/>
    <col min="20" max="20" width="7.5546875" style="58" bestFit="1" customWidth="1"/>
    <col min="21" max="21" width="12" style="58" bestFit="1" customWidth="1"/>
    <col min="22" max="22" width="9.44140625" style="58" customWidth="1"/>
    <col min="23" max="23" width="7.5546875" style="58" bestFit="1" customWidth="1"/>
    <col min="24" max="24" width="5.109375" style="58" customWidth="1"/>
    <col min="25" max="25" width="6.33203125" style="58" bestFit="1" customWidth="1"/>
    <col min="26" max="37" width="9.109375" style="58"/>
    <col min="38" max="38" width="12" style="58" bestFit="1" customWidth="1"/>
    <col min="39" max="39" width="12.33203125" style="58" bestFit="1" customWidth="1"/>
    <col min="40" max="40" width="11.33203125" style="58" customWidth="1"/>
    <col min="41" max="41" width="8.44140625" style="58" bestFit="1" customWidth="1"/>
    <col min="42" max="42" width="12" style="58" bestFit="1" customWidth="1"/>
    <col min="43" max="43" width="10.33203125" style="58" bestFit="1" customWidth="1"/>
    <col min="44" max="45" width="9.109375" style="58"/>
    <col min="46" max="46" width="12.6640625" style="58" bestFit="1" customWidth="1"/>
    <col min="47" max="47" width="7" style="58" bestFit="1" customWidth="1"/>
    <col min="48" max="48" width="12" style="58" bestFit="1" customWidth="1"/>
    <col min="49" max="49" width="10.33203125" style="58" bestFit="1" customWidth="1"/>
    <col min="50" max="16384" width="9.109375" style="58"/>
  </cols>
  <sheetData>
    <row r="1" spans="1:44">
      <c r="A1" s="59" t="s">
        <v>115</v>
      </c>
    </row>
    <row r="2" spans="1:44">
      <c r="A2" s="61"/>
      <c r="B2" s="61"/>
      <c r="C2" s="61"/>
      <c r="D2" s="61"/>
      <c r="E2" s="61"/>
      <c r="F2" s="61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</row>
    <row r="3" spans="1:44" ht="11.25" customHeight="1">
      <c r="A3" s="66" t="s">
        <v>116</v>
      </c>
      <c r="B3" s="228" t="s">
        <v>117</v>
      </c>
      <c r="C3" s="228"/>
      <c r="D3" s="228"/>
      <c r="E3" s="228"/>
      <c r="F3" s="228"/>
      <c r="G3" s="60"/>
    </row>
    <row r="4" spans="1:44" ht="12.75" customHeight="1">
      <c r="A4" s="67" t="s">
        <v>74</v>
      </c>
      <c r="B4" s="67">
        <v>20</v>
      </c>
      <c r="C4" s="67">
        <v>30</v>
      </c>
      <c r="D4" s="67">
        <v>40</v>
      </c>
      <c r="E4" s="67">
        <v>50</v>
      </c>
      <c r="F4" s="67">
        <v>60</v>
      </c>
    </row>
    <row r="5" spans="1:44" ht="12" customHeight="1">
      <c r="A5" s="66">
        <v>20</v>
      </c>
      <c r="B5" s="68">
        <v>0.65300000000000002</v>
      </c>
      <c r="C5" s="68">
        <v>0.63200000000000001</v>
      </c>
      <c r="D5" s="68">
        <v>0.60899999999999999</v>
      </c>
      <c r="E5" s="68">
        <v>0.60699999999999998</v>
      </c>
      <c r="F5" s="68">
        <v>0.60699999999999998</v>
      </c>
    </row>
    <row r="6" spans="1:44" ht="12" customHeight="1">
      <c r="A6" s="66">
        <v>40</v>
      </c>
      <c r="B6" s="68">
        <v>0.65100000000000002</v>
      </c>
      <c r="C6" s="68">
        <v>0.625</v>
      </c>
      <c r="D6" s="68">
        <v>0.61</v>
      </c>
      <c r="E6" s="68">
        <v>0.60699999999999998</v>
      </c>
      <c r="F6" s="68">
        <v>0.60699999999999998</v>
      </c>
    </row>
    <row r="7" spans="1:44" ht="12" customHeight="1">
      <c r="A7" s="66">
        <v>60</v>
      </c>
      <c r="B7" s="68">
        <v>0.64800000000000002</v>
      </c>
      <c r="C7" s="68">
        <v>0.625</v>
      </c>
      <c r="D7" s="68">
        <v>0.61</v>
      </c>
      <c r="E7" s="68">
        <v>0.60699999999999998</v>
      </c>
      <c r="F7" s="68">
        <v>0.60799999999999998</v>
      </c>
    </row>
    <row r="8" spans="1:44" ht="12" customHeight="1">
      <c r="A8" s="66">
        <v>80</v>
      </c>
      <c r="B8" s="68">
        <v>0.64500000000000002</v>
      </c>
      <c r="C8" s="68">
        <v>0.623</v>
      </c>
      <c r="D8" s="68">
        <v>0.61</v>
      </c>
      <c r="E8" s="68">
        <v>0.60699999999999998</v>
      </c>
      <c r="F8" s="68">
        <v>0.60799999999999998</v>
      </c>
    </row>
    <row r="9" spans="1:44" ht="12" customHeight="1">
      <c r="A9" s="66">
        <v>100</v>
      </c>
      <c r="B9" s="68">
        <v>0.64200000000000002</v>
      </c>
      <c r="C9" s="68">
        <v>0.622</v>
      </c>
      <c r="D9" s="68">
        <v>0.61</v>
      </c>
      <c r="E9" s="68">
        <v>0.60699999999999998</v>
      </c>
      <c r="F9" s="68">
        <v>0.60799999999999998</v>
      </c>
    </row>
    <row r="10" spans="1:44" ht="12" customHeight="1">
      <c r="A10" s="66">
        <v>150</v>
      </c>
      <c r="B10" s="68">
        <v>0.63800000000000001</v>
      </c>
      <c r="C10" s="68">
        <v>0.622</v>
      </c>
      <c r="D10" s="68">
        <v>0.61</v>
      </c>
      <c r="E10" s="68">
        <v>0.60699999999999998</v>
      </c>
      <c r="F10" s="68">
        <v>0.60799999999999998</v>
      </c>
    </row>
    <row r="11" spans="1:44" ht="12" customHeight="1">
      <c r="A11" s="66">
        <v>200</v>
      </c>
      <c r="B11" s="68">
        <v>0.63400000000000001</v>
      </c>
      <c r="C11" s="68">
        <v>0.622</v>
      </c>
      <c r="D11" s="68">
        <v>0.61</v>
      </c>
      <c r="E11" s="68">
        <v>0.60699999999999998</v>
      </c>
      <c r="F11" s="68">
        <v>0.60799999999999998</v>
      </c>
    </row>
    <row r="12" spans="1:44" ht="12" customHeight="1">
      <c r="A12" s="68">
        <v>300</v>
      </c>
      <c r="B12" s="68">
        <v>0.63400000000000001</v>
      </c>
      <c r="C12" s="68">
        <v>0.621</v>
      </c>
      <c r="D12" s="68">
        <v>0.61099999999999999</v>
      </c>
      <c r="E12" s="68">
        <v>0.60699999999999998</v>
      </c>
      <c r="F12" s="68">
        <v>0.60799999999999998</v>
      </c>
    </row>
    <row r="13" spans="1:44">
      <c r="A13" s="62">
        <v>500</v>
      </c>
      <c r="B13" s="64">
        <v>0.63400000000000001</v>
      </c>
      <c r="C13" s="64">
        <v>0.621</v>
      </c>
      <c r="D13" s="64">
        <v>0.61099999999999999</v>
      </c>
      <c r="E13" s="64">
        <v>0.60699999999999998</v>
      </c>
      <c r="F13" s="64">
        <v>0.60799999999999998</v>
      </c>
    </row>
    <row r="14" spans="1:44">
      <c r="A14" s="63">
        <v>1000</v>
      </c>
      <c r="B14" s="65">
        <v>0.63400000000000001</v>
      </c>
      <c r="C14" s="65">
        <v>0.621</v>
      </c>
      <c r="D14" s="65">
        <v>0.61099999999999999</v>
      </c>
      <c r="E14" s="65">
        <v>0.60699999999999998</v>
      </c>
      <c r="F14" s="65">
        <v>0.60899999999999999</v>
      </c>
    </row>
    <row r="18" spans="1:57">
      <c r="A18" s="229" t="s">
        <v>118</v>
      </c>
      <c r="B18" s="229"/>
      <c r="C18" s="229" t="s">
        <v>191</v>
      </c>
      <c r="D18" s="229"/>
      <c r="E18" s="229" t="s">
        <v>192</v>
      </c>
      <c r="F18" s="229"/>
      <c r="G18" s="229"/>
      <c r="H18" s="229" t="s">
        <v>193</v>
      </c>
      <c r="I18" s="229"/>
    </row>
    <row r="19" spans="1:57">
      <c r="A19" s="226">
        <v>20</v>
      </c>
      <c r="B19" s="226"/>
      <c r="C19" s="226">
        <v>1.5</v>
      </c>
      <c r="D19" s="226"/>
      <c r="E19" s="227">
        <f>A19-2*C19</f>
        <v>17</v>
      </c>
      <c r="F19" s="227"/>
      <c r="G19" s="227"/>
      <c r="H19" s="233">
        <v>15</v>
      </c>
      <c r="I19" s="233"/>
      <c r="J19" s="106"/>
      <c r="K19" s="231" t="s">
        <v>174</v>
      </c>
      <c r="L19" s="231"/>
      <c r="M19" s="231"/>
      <c r="N19" s="231"/>
    </row>
    <row r="20" spans="1:57">
      <c r="A20" s="226">
        <v>25</v>
      </c>
      <c r="B20" s="226"/>
      <c r="C20" s="226">
        <v>1.7</v>
      </c>
      <c r="D20" s="226"/>
      <c r="E20" s="227">
        <f t="shared" ref="E20:E31" si="0">A20-2*C20</f>
        <v>21.6</v>
      </c>
      <c r="F20" s="227"/>
      <c r="G20" s="227"/>
      <c r="H20" s="226">
        <v>20</v>
      </c>
      <c r="I20" s="226"/>
      <c r="K20" s="87" t="s">
        <v>119</v>
      </c>
      <c r="L20" s="87" t="s">
        <v>120</v>
      </c>
      <c r="M20" s="87" t="s">
        <v>96</v>
      </c>
      <c r="N20" s="87" t="s">
        <v>121</v>
      </c>
    </row>
    <row r="21" spans="1:57">
      <c r="A21" s="226">
        <v>32</v>
      </c>
      <c r="B21" s="226"/>
      <c r="C21" s="226">
        <v>2.1</v>
      </c>
      <c r="D21" s="226"/>
      <c r="E21" s="227">
        <f t="shared" si="0"/>
        <v>27.8</v>
      </c>
      <c r="F21" s="227"/>
      <c r="G21" s="227"/>
      <c r="H21" s="226">
        <v>25</v>
      </c>
      <c r="I21" s="226"/>
      <c r="K21" s="87">
        <v>20</v>
      </c>
      <c r="L21" s="87">
        <v>6.72</v>
      </c>
      <c r="M21" s="87">
        <v>2.0299999999999998</v>
      </c>
      <c r="N21" s="87">
        <v>3.08</v>
      </c>
    </row>
    <row r="22" spans="1:57">
      <c r="A22" s="226">
        <v>40</v>
      </c>
      <c r="B22" s="226"/>
      <c r="C22" s="226">
        <v>2.4</v>
      </c>
      <c r="D22" s="226"/>
      <c r="E22" s="227">
        <f t="shared" si="0"/>
        <v>35.200000000000003</v>
      </c>
      <c r="F22" s="227"/>
      <c r="G22" s="227"/>
      <c r="H22" s="226">
        <v>32</v>
      </c>
      <c r="I22" s="226"/>
      <c r="K22" s="87">
        <v>25</v>
      </c>
      <c r="L22" s="87">
        <v>5.5</v>
      </c>
      <c r="M22" s="87">
        <v>2.6</v>
      </c>
      <c r="N22" s="87">
        <v>3.08</v>
      </c>
    </row>
    <row r="23" spans="1:57">
      <c r="A23" s="226">
        <v>50</v>
      </c>
      <c r="B23" s="226"/>
      <c r="C23" s="226">
        <v>3</v>
      </c>
      <c r="D23" s="226"/>
      <c r="E23" s="227">
        <f t="shared" si="0"/>
        <v>44</v>
      </c>
      <c r="F23" s="227"/>
      <c r="G23" s="227"/>
      <c r="H23" s="226">
        <v>40</v>
      </c>
      <c r="I23" s="226"/>
      <c r="K23" s="87">
        <v>32</v>
      </c>
      <c r="L23" s="87">
        <v>4.87</v>
      </c>
      <c r="M23" s="87">
        <v>2.71</v>
      </c>
      <c r="N23" s="87">
        <v>3.08</v>
      </c>
    </row>
    <row r="24" spans="1:57">
      <c r="A24" s="226">
        <v>60</v>
      </c>
      <c r="B24" s="226"/>
      <c r="C24" s="226">
        <v>3.3</v>
      </c>
      <c r="D24" s="226"/>
      <c r="E24" s="227">
        <f t="shared" si="0"/>
        <v>53.4</v>
      </c>
      <c r="F24" s="227"/>
      <c r="G24" s="227"/>
      <c r="H24" s="226">
        <v>50</v>
      </c>
      <c r="I24" s="226"/>
      <c r="K24" s="87">
        <v>40</v>
      </c>
      <c r="L24" s="87">
        <v>3.87</v>
      </c>
      <c r="M24" s="87">
        <v>2.7</v>
      </c>
      <c r="N24" s="87">
        <v>3.08</v>
      </c>
      <c r="T24" s="218" t="s">
        <v>242</v>
      </c>
      <c r="U24" s="218"/>
      <c r="V24" s="218"/>
    </row>
    <row r="25" spans="1:57">
      <c r="A25" s="226">
        <v>75</v>
      </c>
      <c r="B25" s="226"/>
      <c r="C25" s="226">
        <v>4.2</v>
      </c>
      <c r="D25" s="226"/>
      <c r="E25" s="227">
        <f t="shared" si="0"/>
        <v>66.599999999999994</v>
      </c>
      <c r="F25" s="227"/>
      <c r="G25" s="227"/>
      <c r="H25" s="226">
        <v>60</v>
      </c>
      <c r="I25" s="226"/>
      <c r="K25" s="87">
        <v>50</v>
      </c>
      <c r="L25" s="87">
        <v>2.63</v>
      </c>
      <c r="M25" s="87">
        <v>3.39</v>
      </c>
      <c r="N25" s="87">
        <v>3.08</v>
      </c>
      <c r="T25" s="218">
        <f ca="1">IF(ISERROR(MATCH($U$28,$H$19:$H$31,0)),4,MATCH($U$28,$H$19:$H$31,0))</f>
        <v>4</v>
      </c>
      <c r="U25" s="218"/>
      <c r="V25" s="218"/>
    </row>
    <row r="26" spans="1:57">
      <c r="A26" s="226">
        <v>85</v>
      </c>
      <c r="B26" s="226"/>
      <c r="C26" s="226">
        <v>4.7</v>
      </c>
      <c r="D26" s="226"/>
      <c r="E26" s="227">
        <f t="shared" si="0"/>
        <v>75.599999999999994</v>
      </c>
      <c r="F26" s="227"/>
      <c r="G26" s="227"/>
      <c r="H26" s="226">
        <v>75</v>
      </c>
      <c r="I26" s="226"/>
      <c r="K26" s="231" t="s">
        <v>215</v>
      </c>
      <c r="L26" s="231"/>
      <c r="M26" s="231"/>
      <c r="N26" s="231"/>
      <c r="O26" s="231"/>
      <c r="P26" s="231"/>
      <c r="Q26" s="231"/>
      <c r="R26" s="231"/>
      <c r="S26" s="129" t="s">
        <v>217</v>
      </c>
      <c r="T26" s="219" t="s">
        <v>218</v>
      </c>
      <c r="U26" s="219"/>
      <c r="V26" s="219"/>
      <c r="W26" s="225" t="s">
        <v>238</v>
      </c>
      <c r="X26" s="225"/>
      <c r="Y26" s="225"/>
      <c r="Z26" s="225"/>
      <c r="AA26" s="225"/>
      <c r="AB26" s="225"/>
      <c r="AC26" s="225"/>
      <c r="AD26" s="225"/>
      <c r="AE26" s="223" t="s">
        <v>173</v>
      </c>
      <c r="AF26" s="224"/>
      <c r="AG26" s="224"/>
      <c r="AH26" s="224"/>
    </row>
    <row r="27" spans="1:57">
      <c r="A27" s="226">
        <v>110</v>
      </c>
      <c r="B27" s="226"/>
      <c r="C27" s="226">
        <v>6.1</v>
      </c>
      <c r="D27" s="226"/>
      <c r="E27" s="227">
        <f t="shared" si="0"/>
        <v>97.8</v>
      </c>
      <c r="F27" s="227"/>
      <c r="G27" s="227"/>
      <c r="H27" s="226">
        <v>100</v>
      </c>
      <c r="I27" s="226"/>
      <c r="K27" s="87" t="s">
        <v>219</v>
      </c>
      <c r="L27" s="87" t="s">
        <v>120</v>
      </c>
      <c r="M27" s="87" t="s">
        <v>96</v>
      </c>
      <c r="N27" s="87" t="s">
        <v>121</v>
      </c>
      <c r="O27" s="87" t="s">
        <v>104</v>
      </c>
      <c r="P27" s="218" t="s">
        <v>173</v>
      </c>
      <c r="Q27" s="218"/>
      <c r="R27" s="218"/>
      <c r="S27" s="130" t="s">
        <v>216</v>
      </c>
      <c r="T27" s="129" t="s">
        <v>81</v>
      </c>
      <c r="U27" s="129" t="s">
        <v>219</v>
      </c>
      <c r="V27" s="129" t="s">
        <v>96</v>
      </c>
      <c r="W27" s="225"/>
      <c r="X27" s="225"/>
      <c r="Y27" s="225"/>
      <c r="Z27" s="225"/>
      <c r="AA27" s="225"/>
      <c r="AB27" s="225"/>
      <c r="AC27" s="225"/>
      <c r="AD27" s="225"/>
      <c r="AE27" s="223"/>
      <c r="AF27" s="224"/>
      <c r="AG27" s="224"/>
      <c r="AH27" s="224"/>
      <c r="AI27" s="136" t="s">
        <v>239</v>
      </c>
      <c r="AJ27" s="219" t="s">
        <v>240</v>
      </c>
      <c r="AK27" s="219"/>
      <c r="AL27" s="219"/>
      <c r="AM27" s="162"/>
      <c r="AN27" s="162"/>
      <c r="AO27" s="163" t="s">
        <v>81</v>
      </c>
      <c r="AP27" s="163" t="s">
        <v>219</v>
      </c>
      <c r="AQ27" s="163" t="s">
        <v>96</v>
      </c>
    </row>
    <row r="28" spans="1:57" ht="15.75" customHeight="1">
      <c r="A28" s="226">
        <v>125</v>
      </c>
      <c r="B28" s="226"/>
      <c r="C28" s="226">
        <v>6.1</v>
      </c>
      <c r="D28" s="226"/>
      <c r="E28" s="227">
        <f t="shared" si="0"/>
        <v>112.8</v>
      </c>
      <c r="F28" s="227"/>
      <c r="G28" s="227"/>
      <c r="H28" s="226">
        <v>110</v>
      </c>
      <c r="I28" s="226"/>
      <c r="K28" s="87">
        <v>15</v>
      </c>
      <c r="L28" s="104">
        <v>5.90625</v>
      </c>
      <c r="M28" s="103">
        <v>2.4006437921470285</v>
      </c>
      <c r="N28" s="103">
        <v>3.0784242293765245</v>
      </c>
      <c r="O28" s="102">
        <v>1.575</v>
      </c>
      <c r="P28" s="218" t="str">
        <f t="shared" ref="P28:P40" si="1">CONCATENATE("φh = ",K28," - h = ",ROUND(O28,2),"m - ",IF(AND(M28&lt;=N28,O28&lt;=hmax_max),"OK","N-OK"))</f>
        <v>φh = 15 - h = 1,58m - N-OK</v>
      </c>
      <c r="Q28" s="218"/>
      <c r="R28" s="218"/>
      <c r="S28" s="129" t="str">
        <f t="shared" ref="S28:S40" si="2">IF(AND(M28&lt;=N28,O28&lt;=hmax_max),L28,"")</f>
        <v/>
      </c>
      <c r="T28" s="129">
        <f ca="1">ROUND(OFFSET(L27,MATCH(MIN(S28:S40),S28:S40,0),0,1,1),2)</f>
        <v>3.88</v>
      </c>
      <c r="U28" s="129">
        <f ca="1">OFFSET(K27,MATCH(MIN(S28:S40),S28:S40,0),0,1,1)</f>
        <v>32</v>
      </c>
      <c r="V28" s="129">
        <f ca="1">ROUND(OFFSET(M27,MATCH(MIN(S28:S40),S28:S40,0),0,1,1),2)</f>
        <v>2.7</v>
      </c>
      <c r="W28" s="225" t="str">
        <f ca="1">IF(OR(ISERROR(T28),ISERROR(U28),ISERROR(V28)),"Não disponível",CONCATENATE("Volume = ",T28," m³  ","φ = ",U28," mm  ","Qmaxef = ",V28," L/s"))</f>
        <v>Volume = 3,88 m³  φ = 32 mm  Qmaxef = 2,7 L/s</v>
      </c>
      <c r="X28" s="225"/>
      <c r="Y28" s="225"/>
      <c r="Z28" s="225"/>
      <c r="AA28" s="225"/>
      <c r="AB28" s="225"/>
      <c r="AC28" s="225"/>
      <c r="AD28" s="225"/>
      <c r="AE28" s="222" t="str">
        <f ca="1">IF(ISERROR(OFFSET(P27,MATCH(MIN(S28:S40),S28:S40,0),0,1,1)),"--",OFFSET(P27,MATCH(MIN(S28:S40),S28:S40,0),0,1,1))</f>
        <v>φh = 32 - h = 1,04m - OK</v>
      </c>
      <c r="AF28" s="219"/>
      <c r="AG28" s="219"/>
      <c r="AH28" s="219"/>
      <c r="AI28" s="135">
        <v>15</v>
      </c>
      <c r="AJ28" s="58" t="s">
        <v>246</v>
      </c>
      <c r="AM28" s="60"/>
      <c r="AN28" s="60"/>
      <c r="AO28" s="60">
        <v>5.0599999999999996</v>
      </c>
      <c r="AP28" s="60">
        <v>25</v>
      </c>
      <c r="AQ28" s="58">
        <v>1.98</v>
      </c>
      <c r="AS28" s="217" t="str">
        <f>IF(ISERROR(CONCATENATE("Vol = ",AO28,"m³   Qmaxef = ",AQ28,"L/s  ","φs = ",AI28,"mm ",AJ28)),"--",CONCATENATE("Vol = ",AO28,"m³   Qmaxef = ",AQ28,"L/s  ","φs = ",AI28," mm ",AJ28))</f>
        <v>Vol = 5,06m³   Qmaxef = 1,98L/s  φs = 15 mm φh = 25 - h = 1.35m - OK</v>
      </c>
      <c r="AT28" s="217"/>
      <c r="AU28" s="217"/>
      <c r="AV28" s="217"/>
      <c r="AW28" s="217"/>
      <c r="AX28" s="217"/>
      <c r="AY28" s="217"/>
      <c r="AZ28" s="217"/>
      <c r="BE28" s="58" t="s">
        <v>250</v>
      </c>
    </row>
    <row r="29" spans="1:57">
      <c r="A29" s="226">
        <v>150</v>
      </c>
      <c r="B29" s="226"/>
      <c r="C29" s="226">
        <v>6.1</v>
      </c>
      <c r="D29" s="226"/>
      <c r="E29" s="227">
        <f t="shared" si="0"/>
        <v>137.80000000000001</v>
      </c>
      <c r="F29" s="227"/>
      <c r="G29" s="227"/>
      <c r="H29" s="226">
        <v>125</v>
      </c>
      <c r="I29" s="226"/>
      <c r="K29" s="87">
        <v>20</v>
      </c>
      <c r="L29" s="104">
        <v>5.5031249999999998</v>
      </c>
      <c r="M29" s="103">
        <v>2.5901231202581045</v>
      </c>
      <c r="N29" s="103">
        <v>3.0784242293765245</v>
      </c>
      <c r="O29" s="102">
        <v>1.4675</v>
      </c>
      <c r="P29" s="218" t="str">
        <f t="shared" si="1"/>
        <v>φh = 20 - h = 1,47m - OK</v>
      </c>
      <c r="Q29" s="218"/>
      <c r="R29" s="218"/>
      <c r="S29" s="131">
        <f t="shared" si="2"/>
        <v>5.5031249999999998</v>
      </c>
      <c r="T29" s="129"/>
      <c r="U29" s="129"/>
      <c r="V29" s="129"/>
      <c r="AF29" s="136"/>
      <c r="AI29" s="135">
        <v>20</v>
      </c>
      <c r="AJ29" s="58" t="s">
        <v>247</v>
      </c>
      <c r="AM29" s="60"/>
      <c r="AN29" s="60"/>
      <c r="AO29" s="60">
        <v>4.9800000000000004</v>
      </c>
      <c r="AP29" s="60">
        <v>25</v>
      </c>
      <c r="AQ29" s="58">
        <v>2.3199999999999998</v>
      </c>
      <c r="AS29" s="217" t="str">
        <f t="shared" ref="AS29:AS31" si="3">IF(ISERROR(CONCATENATE("Vol = ",AO29,"m³   Qmaxef = ",AQ29,"L/s  ","φs = ",AI29,"mm ",AJ29)),"--",CONCATENATE("Vol = ",AO29,"m³   Qmaxef = ",AQ29,"L/s  ","φs = ",AI29," mm ",AJ29))</f>
        <v>Vol = 4,98m³   Qmaxef = 2,32L/s  φs = 20 mm φh = 25 - h = 1.33m - OK</v>
      </c>
      <c r="AT29" s="217"/>
      <c r="AU29" s="217"/>
      <c r="AV29" s="217"/>
      <c r="AW29" s="217"/>
      <c r="AX29" s="217"/>
      <c r="AY29" s="217"/>
      <c r="AZ29" s="217"/>
      <c r="BE29" s="58" t="s">
        <v>251</v>
      </c>
    </row>
    <row r="30" spans="1:57">
      <c r="A30" s="226">
        <v>175</v>
      </c>
      <c r="B30" s="226"/>
      <c r="C30" s="226">
        <v>6.1</v>
      </c>
      <c r="D30" s="226"/>
      <c r="E30" s="227">
        <f t="shared" si="0"/>
        <v>162.80000000000001</v>
      </c>
      <c r="F30" s="227"/>
      <c r="G30" s="227"/>
      <c r="H30" s="226">
        <v>150</v>
      </c>
      <c r="I30" s="226"/>
      <c r="K30" s="87">
        <v>25</v>
      </c>
      <c r="L30" s="104">
        <v>4.8656250000000005</v>
      </c>
      <c r="M30" s="103">
        <v>2.7012694587810291</v>
      </c>
      <c r="N30" s="103">
        <v>3.0784242293765245</v>
      </c>
      <c r="O30" s="102">
        <v>1.2975000000000001</v>
      </c>
      <c r="P30" s="218" t="str">
        <f t="shared" si="1"/>
        <v>φh = 25 - h = 1,3m - OK</v>
      </c>
      <c r="Q30" s="218"/>
      <c r="R30" s="218"/>
      <c r="S30" s="131">
        <f t="shared" si="2"/>
        <v>4.8656250000000005</v>
      </c>
      <c r="T30" s="129"/>
      <c r="U30" s="129"/>
      <c r="V30" s="129"/>
      <c r="AI30" s="135">
        <v>25</v>
      </c>
      <c r="AJ30" s="58" t="s">
        <v>248</v>
      </c>
      <c r="AM30" s="60"/>
      <c r="AN30" s="60"/>
      <c r="AO30" s="60">
        <v>4.93</v>
      </c>
      <c r="AP30" s="60">
        <v>25</v>
      </c>
      <c r="AQ30" s="58">
        <v>2.5099999999999998</v>
      </c>
      <c r="AS30" s="217" t="str">
        <f t="shared" si="3"/>
        <v>Vol = 4,93m³   Qmaxef = 2,51L/s  φs = 25 mm φh = 25 - h = 1.32m - OK</v>
      </c>
      <c r="AT30" s="217"/>
      <c r="AU30" s="217"/>
      <c r="AV30" s="217"/>
      <c r="AW30" s="217"/>
      <c r="AX30" s="217"/>
      <c r="AY30" s="217"/>
      <c r="AZ30" s="217"/>
      <c r="BE30" s="58" t="s">
        <v>249</v>
      </c>
    </row>
    <row r="31" spans="1:57">
      <c r="A31" s="230">
        <v>200</v>
      </c>
      <c r="B31" s="230"/>
      <c r="C31" s="230">
        <v>6.1</v>
      </c>
      <c r="D31" s="230"/>
      <c r="E31" s="230">
        <f t="shared" si="0"/>
        <v>187.8</v>
      </c>
      <c r="F31" s="230"/>
      <c r="G31" s="230"/>
      <c r="H31" s="230">
        <v>180</v>
      </c>
      <c r="I31" s="230"/>
      <c r="K31" s="87">
        <v>32</v>
      </c>
      <c r="L31" s="104">
        <v>3.8812499999999996</v>
      </c>
      <c r="M31" s="103">
        <v>2.7043379408169734</v>
      </c>
      <c r="N31" s="103">
        <v>3.0784242293765245</v>
      </c>
      <c r="O31" s="102">
        <v>1.0349999999999999</v>
      </c>
      <c r="P31" s="218" t="str">
        <f t="shared" si="1"/>
        <v>φh = 32 - h = 1,04m - OK</v>
      </c>
      <c r="Q31" s="218"/>
      <c r="R31" s="218"/>
      <c r="S31" s="131">
        <f t="shared" si="2"/>
        <v>3.8812499999999996</v>
      </c>
      <c r="T31" s="129"/>
      <c r="U31" s="129"/>
      <c r="V31" s="129"/>
      <c r="AI31" s="135">
        <v>32</v>
      </c>
      <c r="AJ31" s="58" t="s">
        <v>241</v>
      </c>
      <c r="AM31" s="60"/>
      <c r="AN31" s="60"/>
      <c r="AO31" s="60" t="e">
        <v>#N/A</v>
      </c>
      <c r="AP31" s="60" t="e">
        <v>#N/A</v>
      </c>
      <c r="AQ31" s="58" t="e">
        <v>#N/A</v>
      </c>
      <c r="AS31" s="217" t="str">
        <f t="shared" si="3"/>
        <v>--</v>
      </c>
      <c r="AT31" s="217"/>
      <c r="AU31" s="217"/>
      <c r="AV31" s="217"/>
      <c r="AW31" s="217"/>
      <c r="AX31" s="217"/>
      <c r="AY31" s="217"/>
      <c r="AZ31" s="217"/>
    </row>
    <row r="32" spans="1:57">
      <c r="K32" s="87">
        <v>40</v>
      </c>
      <c r="L32" s="104">
        <v>2.6343749999999999</v>
      </c>
      <c r="M32" s="103">
        <v>3.3891331827509354</v>
      </c>
      <c r="N32" s="103">
        <v>3.0784242293765245</v>
      </c>
      <c r="O32" s="102">
        <v>0.70250000000000001</v>
      </c>
      <c r="P32" s="218" t="str">
        <f t="shared" si="1"/>
        <v>φh = 40 - h = 0,7m - N-OK</v>
      </c>
      <c r="Q32" s="218"/>
      <c r="R32" s="218"/>
      <c r="S32" s="131" t="str">
        <f t="shared" si="2"/>
        <v/>
      </c>
      <c r="T32" s="129"/>
      <c r="U32" s="129"/>
      <c r="V32" s="129"/>
      <c r="AI32" s="135">
        <v>40</v>
      </c>
      <c r="AJ32" s="58" t="s">
        <v>241</v>
      </c>
      <c r="AM32" s="60"/>
      <c r="AN32" s="60"/>
      <c r="AO32" s="60" t="e">
        <v>#N/A</v>
      </c>
      <c r="AP32" s="60" t="e">
        <v>#N/A</v>
      </c>
      <c r="AQ32" s="58" t="e">
        <v>#N/A</v>
      </c>
      <c r="AS32" s="217" t="str">
        <f t="shared" ref="AS32:AS40" si="4">IF(ISERROR(CONCATENATE("Vol = ",AO32,"m³   Qmaxef = ",AQ32,"L/s  ","#s = ",AI32," ",AJ32)),"--",CONCATENATE("Vol = ",AO32,"m³   Qmaxef = ",AQ32,"L/s  ","#s = ",AI32," ",AJ32))</f>
        <v>--</v>
      </c>
      <c r="AT32" s="217"/>
      <c r="AU32" s="217"/>
      <c r="AV32" s="217"/>
      <c r="AW32" s="217"/>
      <c r="AX32" s="217"/>
      <c r="AY32" s="217"/>
      <c r="AZ32" s="217"/>
    </row>
    <row r="33" spans="1:52">
      <c r="K33" s="105">
        <v>50</v>
      </c>
      <c r="L33" s="104">
        <v>1.6031249999999999</v>
      </c>
      <c r="M33" s="103">
        <v>3.8121891806374619</v>
      </c>
      <c r="N33" s="103">
        <v>3.0784242293765245</v>
      </c>
      <c r="O33" s="102">
        <v>0.42749999999999999</v>
      </c>
      <c r="P33" s="218" t="str">
        <f t="shared" si="1"/>
        <v>φh = 50 - h = 0,43m - N-OK</v>
      </c>
      <c r="Q33" s="218"/>
      <c r="R33" s="218"/>
      <c r="S33" s="131" t="str">
        <f t="shared" si="2"/>
        <v/>
      </c>
      <c r="T33" s="129"/>
      <c r="U33" s="129"/>
      <c r="V33" s="129"/>
      <c r="AI33" s="135">
        <v>50</v>
      </c>
      <c r="AJ33" s="58" t="s">
        <v>241</v>
      </c>
      <c r="AM33" s="60"/>
      <c r="AN33" s="60"/>
      <c r="AO33" s="60" t="e">
        <v>#N/A</v>
      </c>
      <c r="AP33" s="60" t="e">
        <v>#N/A</v>
      </c>
      <c r="AQ33" s="58" t="e">
        <v>#N/A</v>
      </c>
      <c r="AS33" s="217" t="str">
        <f t="shared" si="4"/>
        <v>--</v>
      </c>
      <c r="AT33" s="217"/>
      <c r="AU33" s="217"/>
      <c r="AV33" s="217"/>
      <c r="AW33" s="217"/>
      <c r="AX33" s="217"/>
      <c r="AY33" s="217"/>
      <c r="AZ33" s="217"/>
    </row>
    <row r="34" spans="1:52">
      <c r="K34" s="127">
        <v>60</v>
      </c>
      <c r="L34" s="127">
        <v>0.77812499999999996</v>
      </c>
      <c r="M34" s="127">
        <v>3.9093144756460481</v>
      </c>
      <c r="N34" s="127">
        <v>3.0784242293765245</v>
      </c>
      <c r="O34" s="127">
        <v>0.20749999999999999</v>
      </c>
      <c r="P34" s="218" t="str">
        <f t="shared" si="1"/>
        <v>φh = 60 - h = 0,21m - N-OK</v>
      </c>
      <c r="Q34" s="218"/>
      <c r="R34" s="218"/>
      <c r="S34" s="131" t="str">
        <f t="shared" si="2"/>
        <v/>
      </c>
      <c r="T34" s="129"/>
      <c r="U34" s="129"/>
      <c r="V34" s="129"/>
      <c r="AI34" s="135">
        <v>60</v>
      </c>
      <c r="AJ34" s="58" t="s">
        <v>241</v>
      </c>
      <c r="AM34" s="60"/>
      <c r="AN34" s="60"/>
      <c r="AO34" s="60" t="e">
        <v>#N/A</v>
      </c>
      <c r="AP34" s="60" t="e">
        <v>#N/A</v>
      </c>
      <c r="AQ34" s="58" t="e">
        <v>#N/A</v>
      </c>
      <c r="AS34" s="217" t="str">
        <f t="shared" si="4"/>
        <v>--</v>
      </c>
      <c r="AT34" s="217"/>
      <c r="AU34" s="217"/>
      <c r="AV34" s="217"/>
      <c r="AW34" s="217"/>
      <c r="AX34" s="217"/>
      <c r="AY34" s="217"/>
      <c r="AZ34" s="217"/>
    </row>
    <row r="35" spans="1:52">
      <c r="K35" s="127">
        <v>75</v>
      </c>
      <c r="L35" s="127">
        <v>0.53437499999999993</v>
      </c>
      <c r="M35" s="127">
        <v>3.9052155128212367</v>
      </c>
      <c r="N35" s="127">
        <v>3.0784242293765245</v>
      </c>
      <c r="O35" s="127">
        <v>0.14249999999999999</v>
      </c>
      <c r="P35" s="218" t="str">
        <f t="shared" si="1"/>
        <v>φh = 75 - h = 0,14m - N-OK</v>
      </c>
      <c r="Q35" s="218"/>
      <c r="R35" s="218"/>
      <c r="S35" s="131" t="str">
        <f t="shared" si="2"/>
        <v/>
      </c>
      <c r="T35" s="129"/>
      <c r="U35" s="129"/>
      <c r="V35" s="129"/>
      <c r="AI35" s="135">
        <v>75</v>
      </c>
      <c r="AJ35" s="58" t="s">
        <v>241</v>
      </c>
      <c r="AM35" s="60"/>
      <c r="AN35" s="60"/>
      <c r="AO35" s="60" t="e">
        <v>#N/A</v>
      </c>
      <c r="AP35" s="60" t="e">
        <v>#N/A</v>
      </c>
      <c r="AQ35" s="58" t="e">
        <v>#N/A</v>
      </c>
      <c r="AS35" s="217" t="str">
        <f t="shared" si="4"/>
        <v>--</v>
      </c>
      <c r="AT35" s="217"/>
      <c r="AU35" s="217"/>
      <c r="AV35" s="217"/>
      <c r="AW35" s="217"/>
      <c r="AX35" s="217"/>
      <c r="AY35" s="217"/>
      <c r="AZ35" s="217"/>
    </row>
    <row r="36" spans="1:52">
      <c r="K36" s="127">
        <v>100</v>
      </c>
      <c r="L36" s="127">
        <v>0.328125</v>
      </c>
      <c r="M36" s="127">
        <v>3.968253754954354</v>
      </c>
      <c r="N36" s="127">
        <v>3.0784242293765245</v>
      </c>
      <c r="O36" s="127">
        <v>8.7499999999999994E-2</v>
      </c>
      <c r="P36" s="218" t="str">
        <f t="shared" si="1"/>
        <v>φh = 100 - h = 0,09m - N-OK</v>
      </c>
      <c r="Q36" s="218"/>
      <c r="R36" s="218"/>
      <c r="S36" s="131" t="str">
        <f t="shared" si="2"/>
        <v/>
      </c>
      <c r="T36" s="129"/>
      <c r="U36" s="129"/>
      <c r="V36" s="129"/>
      <c r="AI36" s="135">
        <v>100</v>
      </c>
      <c r="AJ36" s="58" t="s">
        <v>241</v>
      </c>
      <c r="AM36" s="60"/>
      <c r="AN36" s="60"/>
      <c r="AO36" s="60" t="e">
        <v>#N/A</v>
      </c>
      <c r="AP36" s="60" t="e">
        <v>#N/A</v>
      </c>
      <c r="AQ36" s="58" t="e">
        <v>#N/A</v>
      </c>
      <c r="AS36" s="217" t="str">
        <f t="shared" si="4"/>
        <v>--</v>
      </c>
      <c r="AT36" s="217"/>
      <c r="AU36" s="217"/>
      <c r="AV36" s="217"/>
      <c r="AW36" s="217"/>
      <c r="AX36" s="217"/>
      <c r="AY36" s="217"/>
      <c r="AZ36" s="217"/>
    </row>
    <row r="37" spans="1:52">
      <c r="K37" s="127">
        <v>110</v>
      </c>
      <c r="L37" s="127">
        <v>0.29062500000000002</v>
      </c>
      <c r="M37" s="127">
        <v>3.9029006916637665</v>
      </c>
      <c r="N37" s="127">
        <v>3.0784242293765245</v>
      </c>
      <c r="O37" s="127">
        <v>7.7499999999999999E-2</v>
      </c>
      <c r="P37" s="218" t="str">
        <f t="shared" si="1"/>
        <v>φh = 110 - h = 0,08m - N-OK</v>
      </c>
      <c r="Q37" s="218"/>
      <c r="R37" s="218"/>
      <c r="S37" s="131" t="str">
        <f t="shared" si="2"/>
        <v/>
      </c>
      <c r="T37" s="129"/>
      <c r="U37" s="129"/>
      <c r="V37" s="129"/>
      <c r="AI37" s="135">
        <v>110</v>
      </c>
      <c r="AJ37" s="58" t="s">
        <v>241</v>
      </c>
      <c r="AM37" s="60"/>
      <c r="AN37" s="60"/>
      <c r="AO37" s="60" t="e">
        <v>#N/A</v>
      </c>
      <c r="AP37" s="60" t="e">
        <v>#N/A</v>
      </c>
      <c r="AQ37" s="58" t="e">
        <v>#N/A</v>
      </c>
      <c r="AS37" s="217" t="str">
        <f t="shared" si="4"/>
        <v>--</v>
      </c>
      <c r="AT37" s="217"/>
      <c r="AU37" s="217"/>
      <c r="AV37" s="217"/>
      <c r="AW37" s="217"/>
      <c r="AX37" s="217"/>
      <c r="AY37" s="217"/>
      <c r="AZ37" s="217"/>
    </row>
    <row r="38" spans="1:52">
      <c r="K38" s="127">
        <v>125</v>
      </c>
      <c r="L38" s="127">
        <v>0.29062500000000002</v>
      </c>
      <c r="M38" s="127">
        <v>3.7185680604395479</v>
      </c>
      <c r="N38" s="127">
        <v>3.0784242293765245</v>
      </c>
      <c r="O38" s="127">
        <v>7.7499999999999999E-2</v>
      </c>
      <c r="P38" s="218" t="str">
        <f t="shared" si="1"/>
        <v>φh = 125 - h = 0,08m - N-OK</v>
      </c>
      <c r="Q38" s="218"/>
      <c r="R38" s="218"/>
      <c r="S38" s="131" t="str">
        <f t="shared" si="2"/>
        <v/>
      </c>
      <c r="T38" s="129"/>
      <c r="U38" s="164"/>
      <c r="V38" s="129"/>
      <c r="AI38" s="135">
        <v>125</v>
      </c>
      <c r="AJ38" s="58" t="s">
        <v>241</v>
      </c>
      <c r="AM38" s="60"/>
      <c r="AN38" s="60"/>
      <c r="AO38" s="60" t="e">
        <v>#N/A</v>
      </c>
      <c r="AP38" s="60" t="e">
        <v>#N/A</v>
      </c>
      <c r="AQ38" s="58" t="e">
        <v>#N/A</v>
      </c>
      <c r="AS38" s="217" t="str">
        <f t="shared" si="4"/>
        <v>--</v>
      </c>
      <c r="AT38" s="217"/>
      <c r="AU38" s="217"/>
      <c r="AV38" s="217"/>
      <c r="AW38" s="217"/>
      <c r="AX38" s="217"/>
      <c r="AY38" s="217"/>
      <c r="AZ38" s="217"/>
    </row>
    <row r="39" spans="1:52">
      <c r="K39" s="127">
        <v>150</v>
      </c>
      <c r="L39" s="127">
        <v>0.328125</v>
      </c>
      <c r="M39" s="127">
        <v>4.3712112216476084</v>
      </c>
      <c r="N39" s="127">
        <v>3.0784242293765245</v>
      </c>
      <c r="O39" s="127">
        <v>8.7499999999999994E-2</v>
      </c>
      <c r="P39" s="218" t="str">
        <f t="shared" si="1"/>
        <v>φh = 150 - h = 0,09m - N-OK</v>
      </c>
      <c r="Q39" s="218"/>
      <c r="R39" s="218"/>
      <c r="S39" s="131" t="str">
        <f t="shared" si="2"/>
        <v/>
      </c>
      <c r="T39" s="129"/>
      <c r="U39" s="129"/>
      <c r="V39" s="129"/>
      <c r="AI39" s="135">
        <v>150</v>
      </c>
      <c r="AJ39" s="58" t="s">
        <v>241</v>
      </c>
      <c r="AM39" s="60"/>
      <c r="AN39" s="60"/>
      <c r="AO39" s="60" t="e">
        <v>#N/A</v>
      </c>
      <c r="AP39" s="60" t="e">
        <v>#N/A</v>
      </c>
      <c r="AQ39" s="58" t="e">
        <v>#N/A</v>
      </c>
      <c r="AS39" s="217" t="str">
        <f t="shared" si="4"/>
        <v>--</v>
      </c>
      <c r="AT39" s="217"/>
      <c r="AU39" s="217"/>
      <c r="AV39" s="217"/>
      <c r="AW39" s="217"/>
      <c r="AX39" s="217"/>
      <c r="AY39" s="217"/>
      <c r="AZ39" s="217"/>
    </row>
    <row r="40" spans="1:52">
      <c r="K40" s="127">
        <v>180</v>
      </c>
      <c r="L40" s="127">
        <v>0.375</v>
      </c>
      <c r="M40" s="127">
        <v>5.8168004780625768</v>
      </c>
      <c r="N40" s="127">
        <v>3.0784242293765245</v>
      </c>
      <c r="O40" s="127">
        <v>0.1</v>
      </c>
      <c r="P40" s="218" t="str">
        <f t="shared" si="1"/>
        <v>φh = 180 - h = 0,1m - N-OK</v>
      </c>
      <c r="Q40" s="218"/>
      <c r="R40" s="218"/>
      <c r="S40" s="131" t="str">
        <f t="shared" si="2"/>
        <v/>
      </c>
      <c r="T40" s="129"/>
      <c r="U40" s="129"/>
      <c r="V40" s="129"/>
      <c r="AI40" s="135">
        <v>180</v>
      </c>
      <c r="AJ40" s="58" t="s">
        <v>241</v>
      </c>
      <c r="AM40" s="60"/>
      <c r="AN40" s="60"/>
      <c r="AO40" s="60" t="e">
        <v>#N/A</v>
      </c>
      <c r="AP40" s="60" t="e">
        <v>#N/A</v>
      </c>
      <c r="AQ40" s="58" t="e">
        <v>#N/A</v>
      </c>
      <c r="AS40" s="217" t="str">
        <f t="shared" si="4"/>
        <v>--</v>
      </c>
      <c r="AT40" s="217"/>
      <c r="AU40" s="217"/>
      <c r="AV40" s="217"/>
      <c r="AW40" s="217"/>
      <c r="AX40" s="217"/>
      <c r="AY40" s="217"/>
      <c r="AZ40" s="217"/>
    </row>
    <row r="44" spans="1:52">
      <c r="A44" s="58" t="s">
        <v>186</v>
      </c>
    </row>
    <row r="45" spans="1:52">
      <c r="A45" s="58" t="s">
        <v>187</v>
      </c>
    </row>
    <row r="46" spans="1:52">
      <c r="A46" s="58" t="s">
        <v>188</v>
      </c>
    </row>
    <row r="48" spans="1:52">
      <c r="T48" s="100" t="s">
        <v>244</v>
      </c>
      <c r="U48" s="220" t="s">
        <v>245</v>
      </c>
      <c r="V48" s="221"/>
      <c r="W48" s="100" t="s">
        <v>244</v>
      </c>
      <c r="X48" s="220" t="s">
        <v>245</v>
      </c>
      <c r="Y48" s="221"/>
    </row>
    <row r="49" spans="2:25" ht="16.8">
      <c r="B49" s="232" t="s">
        <v>140</v>
      </c>
      <c r="C49" s="232"/>
      <c r="T49" s="88" t="s">
        <v>164</v>
      </c>
      <c r="U49" s="89">
        <f>tc</f>
        <v>35</v>
      </c>
      <c r="V49" s="91" t="s">
        <v>0</v>
      </c>
      <c r="W49" s="93" t="s">
        <v>23</v>
      </c>
      <c r="X49" s="90">
        <f>S_i</f>
        <v>5.1836734693877702</v>
      </c>
      <c r="Y49" s="92" t="s">
        <v>53</v>
      </c>
    </row>
    <row r="50" spans="2:25" ht="16.8">
      <c r="B50" s="80" t="s">
        <v>147</v>
      </c>
      <c r="C50" s="81">
        <v>0.88372093023255816</v>
      </c>
      <c r="T50" s="88" t="s">
        <v>165</v>
      </c>
      <c r="U50" s="89">
        <f>tc_1</f>
        <v>11</v>
      </c>
      <c r="V50" s="91" t="s">
        <v>0</v>
      </c>
      <c r="W50" s="88" t="s">
        <v>54</v>
      </c>
      <c r="X50" s="90">
        <f>I_a</f>
        <v>1.0367346938775541</v>
      </c>
      <c r="Y50" s="92" t="s">
        <v>53</v>
      </c>
    </row>
    <row r="51" spans="2:25" ht="16.8">
      <c r="B51" s="80" t="s">
        <v>148</v>
      </c>
      <c r="C51" s="81">
        <v>0.80200414990623414</v>
      </c>
      <c r="T51" s="88" t="s">
        <v>166</v>
      </c>
      <c r="U51" s="98">
        <f>Qmax</f>
        <v>718.29898685452247</v>
      </c>
      <c r="V51" s="91" t="s">
        <v>42</v>
      </c>
      <c r="W51" s="88" t="str">
        <f>"Pef("&amp;ROUND(tc,1)&amp;")"</f>
        <v>Pef(35)</v>
      </c>
      <c r="X51" s="90">
        <f>Pef</f>
        <v>57.031816359744454</v>
      </c>
      <c r="Y51" s="92" t="s">
        <v>53</v>
      </c>
    </row>
    <row r="52" spans="2:25" ht="16.8">
      <c r="B52" s="80" t="s">
        <v>149</v>
      </c>
      <c r="C52" s="81">
        <v>0.74374999999999991</v>
      </c>
      <c r="T52" s="88" t="s">
        <v>167</v>
      </c>
      <c r="U52" s="98">
        <f>Q_max_i</f>
        <v>225.75111015427848</v>
      </c>
      <c r="V52" s="91" t="s">
        <v>42</v>
      </c>
      <c r="W52" s="88" t="s">
        <v>168</v>
      </c>
      <c r="X52" s="90">
        <f>Runoff_pos</f>
        <v>0.90741070069268526</v>
      </c>
      <c r="Y52" s="92" t="s">
        <v>33</v>
      </c>
    </row>
    <row r="53" spans="2:25" ht="16.8">
      <c r="B53" s="83" t="s">
        <v>150</v>
      </c>
      <c r="C53" s="81">
        <v>0.12365127005800447</v>
      </c>
      <c r="T53" s="88" t="s">
        <v>169</v>
      </c>
      <c r="U53" s="98">
        <f>qmax_i</f>
        <v>205.22828195843496</v>
      </c>
      <c r="V53" s="91" t="s">
        <v>48</v>
      </c>
      <c r="W53" s="88" t="s">
        <v>170</v>
      </c>
      <c r="X53" s="90">
        <f>Qmax_lot_i</f>
        <v>4.0737011685531748</v>
      </c>
      <c r="Y53" s="92" t="s">
        <v>42</v>
      </c>
    </row>
    <row r="54" spans="2:25" ht="16.8">
      <c r="B54" s="94" t="s">
        <v>151</v>
      </c>
      <c r="C54" s="82">
        <v>0.85714285714285721</v>
      </c>
      <c r="T54" s="88" t="s">
        <v>171</v>
      </c>
      <c r="U54" s="90">
        <f>Qref_i</f>
        <v>3.0784242293765245</v>
      </c>
      <c r="V54" s="91" t="s">
        <v>42</v>
      </c>
      <c r="W54" s="88" t="s">
        <v>172</v>
      </c>
      <c r="X54" s="99">
        <f>Dados_de_entrada!B199</f>
        <v>0.85714285714285721</v>
      </c>
      <c r="Y54" s="92"/>
    </row>
    <row r="56" spans="2:25">
      <c r="B56" s="220" t="s">
        <v>140</v>
      </c>
      <c r="C56" s="220"/>
    </row>
    <row r="57" spans="2:25">
      <c r="B57" s="95" t="s">
        <v>176</v>
      </c>
      <c r="C57" s="81">
        <f ca="1">Simulação!AS4</f>
        <v>0.88372093023255816</v>
      </c>
    </row>
    <row r="58" spans="2:25">
      <c r="B58" s="95" t="s">
        <v>177</v>
      </c>
      <c r="C58" s="81">
        <f ca="1">Simulação!AS5</f>
        <v>0.87848124212714018</v>
      </c>
    </row>
    <row r="59" spans="2:25">
      <c r="B59" s="95" t="s">
        <v>178</v>
      </c>
      <c r="C59" s="81">
        <f ca="1">Simulação!AS6</f>
        <v>0.69</v>
      </c>
    </row>
    <row r="60" spans="2:25">
      <c r="B60" s="96" t="s">
        <v>179</v>
      </c>
      <c r="C60" s="81">
        <f ca="1">Simulação!AS7</f>
        <v>5.5692714423551171E-2</v>
      </c>
    </row>
    <row r="61" spans="2:25">
      <c r="B61" s="97" t="s">
        <v>180</v>
      </c>
      <c r="C61" s="82">
        <f>Simulação!AS8</f>
        <v>0.85714285714285721</v>
      </c>
    </row>
  </sheetData>
  <mergeCells count="98">
    <mergeCell ref="P34:R34"/>
    <mergeCell ref="P35:R35"/>
    <mergeCell ref="P36:R36"/>
    <mergeCell ref="P37:R37"/>
    <mergeCell ref="P38:R38"/>
    <mergeCell ref="P39:R39"/>
    <mergeCell ref="P40:R40"/>
    <mergeCell ref="P32:R32"/>
    <mergeCell ref="H18:I18"/>
    <mergeCell ref="H19:I19"/>
    <mergeCell ref="H20:I20"/>
    <mergeCell ref="H21:I21"/>
    <mergeCell ref="H22:I22"/>
    <mergeCell ref="H23:I23"/>
    <mergeCell ref="H24:I24"/>
    <mergeCell ref="H25:I25"/>
    <mergeCell ref="H26:I26"/>
    <mergeCell ref="H27:I27"/>
    <mergeCell ref="K26:R26"/>
    <mergeCell ref="H29:I29"/>
    <mergeCell ref="H30:I30"/>
    <mergeCell ref="E30:G30"/>
    <mergeCell ref="E31:G31"/>
    <mergeCell ref="E21:G21"/>
    <mergeCell ref="E22:G22"/>
    <mergeCell ref="E19:G19"/>
    <mergeCell ref="E24:G24"/>
    <mergeCell ref="E25:G25"/>
    <mergeCell ref="E26:G26"/>
    <mergeCell ref="E27:G27"/>
    <mergeCell ref="E28:G28"/>
    <mergeCell ref="E18:G18"/>
    <mergeCell ref="H31:I31"/>
    <mergeCell ref="P28:R28"/>
    <mergeCell ref="B56:C56"/>
    <mergeCell ref="A28:B28"/>
    <mergeCell ref="C28:D28"/>
    <mergeCell ref="A29:B29"/>
    <mergeCell ref="C29:D29"/>
    <mergeCell ref="A30:B30"/>
    <mergeCell ref="C30:D30"/>
    <mergeCell ref="A31:B31"/>
    <mergeCell ref="C31:D31"/>
    <mergeCell ref="K19:N19"/>
    <mergeCell ref="E20:G20"/>
    <mergeCell ref="B49:C49"/>
    <mergeCell ref="E23:G23"/>
    <mergeCell ref="P30:R30"/>
    <mergeCell ref="P33:R33"/>
    <mergeCell ref="C27:D27"/>
    <mergeCell ref="P31:R31"/>
    <mergeCell ref="B3:F3"/>
    <mergeCell ref="A18:B18"/>
    <mergeCell ref="C18:D18"/>
    <mergeCell ref="A24:B24"/>
    <mergeCell ref="A25:B25"/>
    <mergeCell ref="C19:D19"/>
    <mergeCell ref="C20:D20"/>
    <mergeCell ref="C21:D21"/>
    <mergeCell ref="C22:D22"/>
    <mergeCell ref="C23:D23"/>
    <mergeCell ref="C24:D24"/>
    <mergeCell ref="C25:D25"/>
    <mergeCell ref="A19:B19"/>
    <mergeCell ref="A20:B20"/>
    <mergeCell ref="A21:B21"/>
    <mergeCell ref="A22:B22"/>
    <mergeCell ref="A23:B23"/>
    <mergeCell ref="A26:B26"/>
    <mergeCell ref="A27:B27"/>
    <mergeCell ref="C26:D26"/>
    <mergeCell ref="AS28:AZ28"/>
    <mergeCell ref="AS29:AZ29"/>
    <mergeCell ref="P27:R27"/>
    <mergeCell ref="P29:R29"/>
    <mergeCell ref="E29:G29"/>
    <mergeCell ref="H28:I28"/>
    <mergeCell ref="U48:V48"/>
    <mergeCell ref="X48:Y48"/>
    <mergeCell ref="AE28:AH28"/>
    <mergeCell ref="AE26:AH27"/>
    <mergeCell ref="W28:AD28"/>
    <mergeCell ref="W26:AD27"/>
    <mergeCell ref="AS38:AZ38"/>
    <mergeCell ref="AS39:AZ39"/>
    <mergeCell ref="AS40:AZ40"/>
    <mergeCell ref="T25:V25"/>
    <mergeCell ref="T24:V24"/>
    <mergeCell ref="AS30:AZ30"/>
    <mergeCell ref="T26:V26"/>
    <mergeCell ref="AJ27:AL27"/>
    <mergeCell ref="AS31:AZ31"/>
    <mergeCell ref="AS32:AZ32"/>
    <mergeCell ref="AS33:AZ33"/>
    <mergeCell ref="AS34:AZ34"/>
    <mergeCell ref="AS35:AZ35"/>
    <mergeCell ref="AS36:AZ36"/>
    <mergeCell ref="AS37:AZ37"/>
  </mergeCells>
  <conditionalFormatting sqref="S26:V40">
    <cfRule type="notContainsBlanks" dxfId="17" priority="9">
      <formula>LEN(TRIM(S26))&gt;0</formula>
    </cfRule>
  </conditionalFormatting>
  <conditionalFormatting sqref="K26:R40">
    <cfRule type="notContainsBlanks" dxfId="16" priority="8">
      <formula>LEN(TRIM(K26))&gt;0</formula>
    </cfRule>
  </conditionalFormatting>
  <conditionalFormatting sqref="AI28:AI40">
    <cfRule type="notContainsBlanks" dxfId="15" priority="3">
      <formula>LEN(TRIM(AI28))&gt;0</formula>
    </cfRule>
  </conditionalFormatting>
  <conditionalFormatting sqref="AM27:AQ27">
    <cfRule type="notContainsBlanks" dxfId="14" priority="1">
      <formula>LEN(TRIM(AM27))&gt;0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AJ24"/>
  <sheetViews>
    <sheetView zoomScale="85" zoomScaleNormal="85" workbookViewId="0">
      <selection activeCell="A5" sqref="A5:B9"/>
    </sheetView>
  </sheetViews>
  <sheetFormatPr defaultColWidth="9.109375" defaultRowHeight="15.6"/>
  <cols>
    <col min="1" max="1" width="9.109375" style="41"/>
    <col min="2" max="2" width="9.88671875" style="41" bestFit="1" customWidth="1"/>
    <col min="3" max="3" width="19.6640625" style="41" customWidth="1"/>
    <col min="4" max="6" width="9.109375" style="41"/>
    <col min="7" max="7" width="10.109375" style="41" customWidth="1"/>
    <col min="8" max="8" width="9.109375" style="41"/>
    <col min="9" max="9" width="24.88671875" style="41" customWidth="1"/>
    <col min="10" max="10" width="10" style="41" bestFit="1" customWidth="1"/>
    <col min="11" max="20" width="9.109375" style="18"/>
    <col min="21" max="21" width="10" style="18" bestFit="1" customWidth="1"/>
    <col min="22" max="16384" width="9.109375" style="18"/>
  </cols>
  <sheetData>
    <row r="1" spans="1:36">
      <c r="A1" s="19" t="s">
        <v>36</v>
      </c>
      <c r="B1" s="18"/>
      <c r="C1" s="18"/>
      <c r="D1" s="18"/>
      <c r="E1" s="18"/>
      <c r="F1" s="18"/>
      <c r="G1" s="18"/>
      <c r="H1" s="18"/>
      <c r="I1" s="18"/>
      <c r="J1" s="18"/>
      <c r="AD1" s="234" t="s">
        <v>128</v>
      </c>
      <c r="AE1" s="234"/>
      <c r="AF1" s="234"/>
      <c r="AG1" s="234"/>
      <c r="AH1" s="234"/>
      <c r="AI1" s="234"/>
      <c r="AJ1" s="234"/>
    </row>
    <row r="2" spans="1:36">
      <c r="A2" s="18" t="s">
        <v>137</v>
      </c>
      <c r="B2" s="18"/>
      <c r="C2" s="18"/>
      <c r="D2" s="18"/>
      <c r="E2" s="18"/>
      <c r="F2" s="18"/>
      <c r="G2" s="18"/>
      <c r="H2" s="18"/>
      <c r="I2" s="18"/>
      <c r="J2" s="18"/>
      <c r="AD2" s="69"/>
      <c r="AE2" s="69"/>
      <c r="AF2" s="69"/>
      <c r="AG2" s="69"/>
      <c r="AH2" s="69"/>
      <c r="AI2" s="69"/>
      <c r="AJ2" s="69"/>
    </row>
    <row r="3" spans="1:36">
      <c r="A3" s="70" t="s">
        <v>37</v>
      </c>
      <c r="B3" s="70" t="s">
        <v>138</v>
      </c>
      <c r="C3" s="70" t="s">
        <v>200</v>
      </c>
      <c r="D3" s="70" t="s">
        <v>122</v>
      </c>
      <c r="E3" s="70" t="s">
        <v>123</v>
      </c>
      <c r="F3" s="70" t="s">
        <v>125</v>
      </c>
      <c r="G3" s="70" t="s">
        <v>124</v>
      </c>
      <c r="H3" s="70" t="s">
        <v>126</v>
      </c>
      <c r="I3" s="70" t="s">
        <v>201</v>
      </c>
      <c r="J3" s="70" t="s">
        <v>144</v>
      </c>
      <c r="K3" s="18" t="s">
        <v>199</v>
      </c>
      <c r="U3" s="18" t="s">
        <v>243</v>
      </c>
      <c r="V3" s="47">
        <f>AVERAGE(E5:E17)</f>
        <v>3.1851633826287125</v>
      </c>
      <c r="AD3" s="69"/>
      <c r="AE3" s="72" t="str">
        <f>CONCATENATE("S = ",ROUND(AF15,4),".(h ^ ",ROUND(AF16,4),")")</f>
        <v>S = 60,353.(h ^ 1,1229)</v>
      </c>
      <c r="AF3" s="69"/>
      <c r="AG3" s="69"/>
      <c r="AH3" s="72" t="s">
        <v>135</v>
      </c>
    </row>
    <row r="4" spans="1:36">
      <c r="A4" s="69" t="s">
        <v>13</v>
      </c>
      <c r="B4" s="69" t="s">
        <v>75</v>
      </c>
      <c r="C4" s="69" t="s">
        <v>139</v>
      </c>
      <c r="D4" s="69" t="s">
        <v>13</v>
      </c>
      <c r="E4" s="69" t="s">
        <v>75</v>
      </c>
      <c r="F4" s="69" t="s">
        <v>12</v>
      </c>
      <c r="G4" s="69" t="s">
        <v>127</v>
      </c>
      <c r="H4" s="69" t="s">
        <v>75</v>
      </c>
      <c r="I4" s="74" t="s">
        <v>139</v>
      </c>
      <c r="J4" s="69" t="s">
        <v>12</v>
      </c>
      <c r="L4" s="18" t="str">
        <f>"Least square fit  -  R2 = "&amp;ROUND(AF17,3)&amp;""</f>
        <v>Least square fit  -  R2 = 1</v>
      </c>
      <c r="V4" s="41"/>
      <c r="W4" s="41"/>
      <c r="AD4" s="69"/>
      <c r="AE4" s="69"/>
      <c r="AF4" s="69"/>
      <c r="AG4" s="69"/>
      <c r="AH4" s="69"/>
      <c r="AI4" s="69"/>
      <c r="AJ4" s="69"/>
    </row>
    <row r="5" spans="1:36">
      <c r="A5" s="41">
        <v>0.2</v>
      </c>
      <c r="B5" s="41">
        <v>10</v>
      </c>
      <c r="C5" s="41">
        <f>(E5-$V$3)^2</f>
        <v>0.7789444373344534</v>
      </c>
      <c r="D5" s="41">
        <f>IF(A5="","",LN(A5))</f>
        <v>-1.6094379124341003</v>
      </c>
      <c r="E5" s="41">
        <f>IF(A5="","",LN(B5))</f>
        <v>2.3025850929940459</v>
      </c>
      <c r="F5" s="41">
        <f>IF(A5="","",D5^2)</f>
        <v>2.5902903939802346</v>
      </c>
      <c r="G5" s="41">
        <f>IF(A5="","",D5*E5)</f>
        <v>-3.7058677452702158</v>
      </c>
      <c r="H5" s="41">
        <f t="shared" ref="H5:H17" si="0">IF(A5="","",alfa_1_quad*(A5^alfa_2_quad))</f>
        <v>9.9049531238002473</v>
      </c>
      <c r="I5" s="41">
        <f>(LN(H5)-$V$3)^2</f>
        <v>0.79589314465844418</v>
      </c>
      <c r="J5" s="41">
        <f t="shared" ref="J5:J17" si="1">IF(A5="","",alfa_1_quad*alfa_2_quad*A5^(alfa_2_quad-1))</f>
        <v>55.609444027567363</v>
      </c>
      <c r="V5" s="41"/>
      <c r="W5" s="41"/>
      <c r="AD5" s="69"/>
      <c r="AE5" s="69"/>
      <c r="AF5" s="69"/>
      <c r="AG5" s="69"/>
      <c r="AH5" s="69"/>
      <c r="AI5" s="69"/>
      <c r="AJ5" s="69"/>
    </row>
    <row r="6" spans="1:36">
      <c r="A6" s="41">
        <v>0.4</v>
      </c>
      <c r="B6" s="41">
        <v>21.23</v>
      </c>
      <c r="C6" s="41">
        <f t="shared" ref="C6:C8" si="2">(E6-$V$3)^2</f>
        <v>1.6834571247649366E-2</v>
      </c>
      <c r="D6" s="41">
        <f t="shared" ref="D6:D17" si="3">IF(A6="","",LN(A6))</f>
        <v>-0.916290731874155</v>
      </c>
      <c r="E6" s="41">
        <f t="shared" ref="E6:E17" si="4">IF(A6="","",LN(B6))</f>
        <v>3.0554152757151649</v>
      </c>
      <c r="F6" s="41">
        <f t="shared" ref="F6:F17" si="5">IF(A6="","",D6^2)</f>
        <v>0.83958870531847463</v>
      </c>
      <c r="G6" s="41">
        <f t="shared" ref="G6:G17" si="6">IF(A6="","",D6*E6)</f>
        <v>-2.7996486991645217</v>
      </c>
      <c r="H6" s="41">
        <f t="shared" si="0"/>
        <v>21.570855265777389</v>
      </c>
      <c r="I6" s="41">
        <f t="shared" ref="I6:I8" si="7">(LN(H6)-$V$3)^2</f>
        <v>1.2955054387685828E-2</v>
      </c>
      <c r="J6" s="41">
        <f t="shared" si="1"/>
        <v>60.552697904579986</v>
      </c>
      <c r="V6" s="41"/>
      <c r="W6" s="41"/>
      <c r="AD6" s="69"/>
      <c r="AE6" s="69"/>
      <c r="AF6" s="69"/>
      <c r="AG6" s="69"/>
      <c r="AH6" s="69" t="s">
        <v>19</v>
      </c>
      <c r="AI6" s="69">
        <f>(AF14-AF13*AI9)/AF11</f>
        <v>4.1002105371604127</v>
      </c>
    </row>
    <row r="7" spans="1:36">
      <c r="A7" s="41">
        <v>0.6</v>
      </c>
      <c r="B7" s="41">
        <v>33.75</v>
      </c>
      <c r="C7" s="41">
        <f t="shared" si="2"/>
        <v>0.11143381264910875</v>
      </c>
      <c r="D7" s="41">
        <f t="shared" si="3"/>
        <v>-0.51082562376599072</v>
      </c>
      <c r="E7" s="41">
        <f t="shared" si="4"/>
        <v>3.5189804173185388</v>
      </c>
      <c r="F7" s="41">
        <f t="shared" si="5"/>
        <v>0.2609428178959135</v>
      </c>
      <c r="G7" s="41">
        <f t="shared" si="6"/>
        <v>-1.7975853666970489</v>
      </c>
      <c r="H7" s="41">
        <f t="shared" si="0"/>
        <v>34.008966129602136</v>
      </c>
      <c r="I7" s="41">
        <f t="shared" si="7"/>
        <v>0.11659548948917427</v>
      </c>
      <c r="J7" s="41">
        <f t="shared" si="1"/>
        <v>63.645588046758874</v>
      </c>
      <c r="V7" s="41"/>
      <c r="W7" s="41"/>
      <c r="AD7" s="69"/>
      <c r="AE7" s="69"/>
      <c r="AF7" s="69"/>
      <c r="AG7" s="69"/>
      <c r="AH7" s="69"/>
      <c r="AI7" s="69"/>
      <c r="AJ7" s="69"/>
    </row>
    <row r="8" spans="1:36">
      <c r="A8" s="41">
        <v>0.8</v>
      </c>
      <c r="B8" s="41">
        <v>47.64</v>
      </c>
      <c r="C8" s="41">
        <f t="shared" si="2"/>
        <v>0.46037495412947532</v>
      </c>
      <c r="D8" s="41">
        <f t="shared" si="3"/>
        <v>-0.22314355131420971</v>
      </c>
      <c r="E8" s="41">
        <f t="shared" si="4"/>
        <v>3.8636727444870993</v>
      </c>
      <c r="F8" s="41">
        <f t="shared" si="5"/>
        <v>4.979304449311734E-2</v>
      </c>
      <c r="G8" s="41">
        <f t="shared" si="6"/>
        <v>-0.86215365732077054</v>
      </c>
      <c r="H8" s="41">
        <f t="shared" si="0"/>
        <v>46.976678342783828</v>
      </c>
      <c r="I8" s="41">
        <f t="shared" si="7"/>
        <v>0.44154415656530421</v>
      </c>
      <c r="J8" s="41">
        <f t="shared" si="1"/>
        <v>65.935369210051093</v>
      </c>
      <c r="V8" s="41"/>
      <c r="W8" s="41"/>
      <c r="AD8" s="69"/>
      <c r="AE8" s="69"/>
      <c r="AF8" s="69"/>
      <c r="AG8" s="69"/>
      <c r="AH8" s="69"/>
      <c r="AI8" s="69"/>
      <c r="AJ8" s="69"/>
    </row>
    <row r="9" spans="1:36">
      <c r="C9" s="41" t="str">
        <f t="shared" ref="C9:C16" si="8">IF(A9="","",(E9-AVERAGE($E$5:$E$17))^2)</f>
        <v/>
      </c>
      <c r="D9" s="41" t="str">
        <f t="shared" si="3"/>
        <v/>
      </c>
      <c r="E9" s="41" t="str">
        <f t="shared" si="4"/>
        <v/>
      </c>
      <c r="F9" s="41" t="str">
        <f t="shared" si="5"/>
        <v/>
      </c>
      <c r="G9" s="41" t="str">
        <f t="shared" si="6"/>
        <v/>
      </c>
      <c r="H9" s="41" t="str">
        <f t="shared" si="0"/>
        <v/>
      </c>
      <c r="I9" s="41" t="str">
        <f t="shared" ref="I9:I17" si="9">IF(A9="","",(LN(H9)-AVERAGE($E$5:$E$17))^2)</f>
        <v/>
      </c>
      <c r="J9" s="41" t="str">
        <f t="shared" si="1"/>
        <v/>
      </c>
      <c r="V9" s="41"/>
      <c r="W9" s="41"/>
      <c r="AD9" s="69"/>
      <c r="AE9" s="69"/>
      <c r="AF9" s="69"/>
      <c r="AG9" s="69"/>
      <c r="AH9" s="69" t="s">
        <v>18</v>
      </c>
      <c r="AI9" s="69">
        <f>(AF11*AF12-N_obs*AF14)/(AF11^2-N_obs*AF13)</f>
        <v>1.1228613267022027</v>
      </c>
      <c r="AJ9" s="69"/>
    </row>
    <row r="10" spans="1:36">
      <c r="C10" s="41" t="str">
        <f t="shared" si="8"/>
        <v/>
      </c>
      <c r="D10" s="41" t="str">
        <f t="shared" si="3"/>
        <v/>
      </c>
      <c r="E10" s="41" t="str">
        <f t="shared" si="4"/>
        <v/>
      </c>
      <c r="F10" s="41" t="str">
        <f t="shared" si="5"/>
        <v/>
      </c>
      <c r="G10" s="41" t="str">
        <f t="shared" si="6"/>
        <v/>
      </c>
      <c r="H10" s="41" t="str">
        <f t="shared" si="0"/>
        <v/>
      </c>
      <c r="I10" s="41" t="str">
        <f t="shared" si="9"/>
        <v/>
      </c>
      <c r="J10" s="41" t="str">
        <f t="shared" si="1"/>
        <v/>
      </c>
      <c r="V10" s="41"/>
      <c r="W10" s="41"/>
      <c r="AD10" s="69"/>
      <c r="AE10" s="69"/>
      <c r="AF10" s="69"/>
      <c r="AG10" s="69"/>
      <c r="AH10" s="69"/>
    </row>
    <row r="11" spans="1:36">
      <c r="C11" s="41" t="str">
        <f t="shared" si="8"/>
        <v/>
      </c>
      <c r="D11" s="41" t="str">
        <f t="shared" si="3"/>
        <v/>
      </c>
      <c r="E11" s="41" t="str">
        <f t="shared" si="4"/>
        <v/>
      </c>
      <c r="F11" s="41" t="str">
        <f t="shared" si="5"/>
        <v/>
      </c>
      <c r="G11" s="41" t="str">
        <f t="shared" si="6"/>
        <v/>
      </c>
      <c r="H11" s="41" t="str">
        <f t="shared" si="0"/>
        <v/>
      </c>
      <c r="I11" s="41" t="str">
        <f t="shared" si="9"/>
        <v/>
      </c>
      <c r="J11" s="41" t="str">
        <f t="shared" si="1"/>
        <v/>
      </c>
      <c r="V11" s="41"/>
      <c r="W11" s="41"/>
      <c r="AE11" s="69" t="s">
        <v>129</v>
      </c>
      <c r="AF11" s="73">
        <f>SUM(D5:D1048576)</f>
        <v>-3.2596978193884558</v>
      </c>
      <c r="AG11" s="69"/>
      <c r="AH11" s="69"/>
      <c r="AI11" s="69"/>
      <c r="AJ11" s="69"/>
    </row>
    <row r="12" spans="1:36">
      <c r="C12" s="41" t="str">
        <f t="shared" si="8"/>
        <v/>
      </c>
      <c r="D12" s="41" t="str">
        <f t="shared" si="3"/>
        <v/>
      </c>
      <c r="E12" s="41" t="str">
        <f t="shared" si="4"/>
        <v/>
      </c>
      <c r="F12" s="41" t="str">
        <f t="shared" si="5"/>
        <v/>
      </c>
      <c r="G12" s="41" t="str">
        <f t="shared" si="6"/>
        <v/>
      </c>
      <c r="H12" s="41" t="str">
        <f t="shared" si="0"/>
        <v/>
      </c>
      <c r="I12" s="41" t="str">
        <f t="shared" si="9"/>
        <v/>
      </c>
      <c r="J12" s="41" t="str">
        <f t="shared" si="1"/>
        <v/>
      </c>
      <c r="V12" s="41"/>
      <c r="W12" s="41"/>
      <c r="AE12" s="69" t="s">
        <v>130</v>
      </c>
      <c r="AF12" s="73">
        <f>SUM(E5:E1048576)</f>
        <v>12.74065353051485</v>
      </c>
      <c r="AG12" s="69"/>
      <c r="AH12" s="69"/>
      <c r="AI12" s="69"/>
      <c r="AJ12" s="69"/>
    </row>
    <row r="13" spans="1:36">
      <c r="C13" s="41" t="str">
        <f t="shared" si="8"/>
        <v/>
      </c>
      <c r="D13" s="41" t="str">
        <f t="shared" si="3"/>
        <v/>
      </c>
      <c r="E13" s="41" t="str">
        <f t="shared" si="4"/>
        <v/>
      </c>
      <c r="F13" s="41" t="str">
        <f t="shared" si="5"/>
        <v/>
      </c>
      <c r="G13" s="41" t="str">
        <f t="shared" si="6"/>
        <v/>
      </c>
      <c r="H13" s="41" t="str">
        <f t="shared" si="0"/>
        <v/>
      </c>
      <c r="I13" s="41" t="str">
        <f t="shared" si="9"/>
        <v/>
      </c>
      <c r="J13" s="41" t="str">
        <f t="shared" si="1"/>
        <v/>
      </c>
      <c r="V13" s="41"/>
      <c r="W13" s="41"/>
      <c r="AE13" s="69" t="s">
        <v>131</v>
      </c>
      <c r="AF13" s="73">
        <f>SUM(F5:F1048576)</f>
        <v>3.7406149616877404</v>
      </c>
      <c r="AG13" s="69"/>
      <c r="AH13" s="69"/>
    </row>
    <row r="14" spans="1:36">
      <c r="C14" s="41" t="str">
        <f t="shared" si="8"/>
        <v/>
      </c>
      <c r="D14" s="41" t="str">
        <f t="shared" si="3"/>
        <v/>
      </c>
      <c r="E14" s="41" t="str">
        <f t="shared" si="4"/>
        <v/>
      </c>
      <c r="F14" s="41" t="str">
        <f t="shared" si="5"/>
        <v/>
      </c>
      <c r="G14" s="41" t="str">
        <f t="shared" si="6"/>
        <v/>
      </c>
      <c r="H14" s="41" t="str">
        <f t="shared" si="0"/>
        <v/>
      </c>
      <c r="I14" s="41" t="str">
        <f t="shared" si="9"/>
        <v/>
      </c>
      <c r="J14" s="41" t="str">
        <f t="shared" si="1"/>
        <v/>
      </c>
      <c r="V14" s="41"/>
      <c r="W14" s="41"/>
      <c r="AE14" s="69" t="s">
        <v>133</v>
      </c>
      <c r="AF14" s="73">
        <f>SUM(G5:G1048576)</f>
        <v>-9.1652554684525587</v>
      </c>
      <c r="AG14" s="69"/>
      <c r="AH14" s="69"/>
      <c r="AI14" s="69"/>
      <c r="AJ14" s="69"/>
    </row>
    <row r="15" spans="1:36">
      <c r="C15" s="41" t="str">
        <f t="shared" si="8"/>
        <v/>
      </c>
      <c r="D15" s="41" t="str">
        <f t="shared" si="3"/>
        <v/>
      </c>
      <c r="E15" s="41" t="str">
        <f t="shared" si="4"/>
        <v/>
      </c>
      <c r="F15" s="41" t="str">
        <f t="shared" si="5"/>
        <v/>
      </c>
      <c r="G15" s="41" t="str">
        <f t="shared" si="6"/>
        <v/>
      </c>
      <c r="H15" s="41" t="str">
        <f t="shared" si="0"/>
        <v/>
      </c>
      <c r="I15" s="41" t="str">
        <f t="shared" si="9"/>
        <v/>
      </c>
      <c r="J15" s="41" t="str">
        <f t="shared" si="1"/>
        <v/>
      </c>
      <c r="V15" s="41"/>
      <c r="W15" s="41"/>
      <c r="AE15" s="69" t="s">
        <v>132</v>
      </c>
      <c r="AF15" s="69">
        <f>EXP(AI6)</f>
        <v>60.352992807583718</v>
      </c>
      <c r="AG15" s="69"/>
      <c r="AH15" s="69"/>
      <c r="AI15" s="69"/>
      <c r="AJ15" s="69"/>
    </row>
    <row r="16" spans="1:36">
      <c r="C16" s="41" t="str">
        <f t="shared" si="8"/>
        <v/>
      </c>
      <c r="D16" s="41" t="str">
        <f t="shared" si="3"/>
        <v/>
      </c>
      <c r="E16" s="41" t="str">
        <f t="shared" si="4"/>
        <v/>
      </c>
      <c r="F16" s="41" t="str">
        <f t="shared" si="5"/>
        <v/>
      </c>
      <c r="G16" s="41" t="str">
        <f t="shared" si="6"/>
        <v/>
      </c>
      <c r="H16" s="41" t="str">
        <f t="shared" si="0"/>
        <v/>
      </c>
      <c r="I16" s="41" t="str">
        <f t="shared" si="9"/>
        <v/>
      </c>
      <c r="J16" s="41" t="str">
        <f t="shared" si="1"/>
        <v/>
      </c>
      <c r="V16" s="41"/>
      <c r="W16" s="41"/>
      <c r="AE16" s="69" t="s">
        <v>134</v>
      </c>
      <c r="AF16" s="69">
        <f>AI9</f>
        <v>1.1228613267022027</v>
      </c>
      <c r="AG16" s="69"/>
      <c r="AH16" s="69"/>
      <c r="AI16" s="69"/>
      <c r="AJ16" s="69"/>
    </row>
    <row r="17" spans="4:36" ht="18.600000000000001">
      <c r="D17" s="41" t="str">
        <f t="shared" si="3"/>
        <v/>
      </c>
      <c r="E17" s="41" t="str">
        <f t="shared" si="4"/>
        <v/>
      </c>
      <c r="F17" s="41" t="str">
        <f t="shared" si="5"/>
        <v/>
      </c>
      <c r="G17" s="41" t="str">
        <f t="shared" si="6"/>
        <v/>
      </c>
      <c r="H17" s="41" t="str">
        <f t="shared" si="0"/>
        <v/>
      </c>
      <c r="I17" s="41" t="str">
        <f t="shared" si="9"/>
        <v/>
      </c>
      <c r="J17" s="41" t="str">
        <f t="shared" si="1"/>
        <v/>
      </c>
      <c r="AE17" s="69" t="s">
        <v>136</v>
      </c>
      <c r="AF17" s="73">
        <f>(SUM(I5:I1048576))/(SUM(C5:C1048576))</f>
        <v>0.99956132229982819</v>
      </c>
      <c r="AG17" s="73"/>
      <c r="AH17" s="69"/>
      <c r="AI17" s="69"/>
      <c r="AJ17" s="69"/>
    </row>
    <row r="18" spans="4:36">
      <c r="L18" s="69"/>
      <c r="N18" s="69"/>
      <c r="O18" s="69"/>
      <c r="P18" s="69"/>
      <c r="Q18" s="69"/>
      <c r="U18" s="47"/>
    </row>
    <row r="19" spans="4:36">
      <c r="AE19" s="18" t="str">
        <f>CONCATENATE("A = ",ROUND(alfa_1_quad*alfa_2_quad,4),".(h^",ROUND(alfa_2_quad-1,4),")")</f>
        <v>A = 67,768.(h^0,1229)</v>
      </c>
    </row>
    <row r="22" spans="4:36">
      <c r="L22" s="69"/>
      <c r="M22" s="69"/>
    </row>
    <row r="23" spans="4:36">
      <c r="M23" s="69"/>
    </row>
    <row r="24" spans="4:36">
      <c r="L24" s="69"/>
      <c r="M24" s="69"/>
    </row>
  </sheetData>
  <mergeCells count="1">
    <mergeCell ref="AD1:AJ1"/>
  </mergeCells>
  <conditionalFormatting sqref="C3 A4:H4">
    <cfRule type="notContainsBlanks" dxfId="13" priority="16">
      <formula>LEN(TRIM(A3))&gt;0</formula>
    </cfRule>
  </conditionalFormatting>
  <conditionalFormatting sqref="C3">
    <cfRule type="notContainsBlanks" dxfId="12" priority="15">
      <formula>LEN(TRIM(C3))&gt;0</formula>
    </cfRule>
  </conditionalFormatting>
  <conditionalFormatting sqref="D3:H3">
    <cfRule type="notContainsBlanks" dxfId="11" priority="14">
      <formula>LEN(TRIM(D3))&gt;0</formula>
    </cfRule>
  </conditionalFormatting>
  <conditionalFormatting sqref="A3:B3">
    <cfRule type="notContainsBlanks" dxfId="10" priority="13">
      <formula>LEN(TRIM(A3))&gt;0</formula>
    </cfRule>
  </conditionalFormatting>
  <conditionalFormatting sqref="A3:B3">
    <cfRule type="notContainsBlanks" dxfId="9" priority="12">
      <formula>LEN(TRIM(A3))&gt;0</formula>
    </cfRule>
  </conditionalFormatting>
  <conditionalFormatting sqref="B5:H1048576">
    <cfRule type="notContainsBlanks" dxfId="8" priority="10">
      <formula>LEN(TRIM(B5))&gt;0</formula>
    </cfRule>
  </conditionalFormatting>
  <conditionalFormatting sqref="I5:I1048576">
    <cfRule type="notContainsBlanks" dxfId="7" priority="17">
      <formula>LEN(TRIM(I5))&gt;0</formula>
    </cfRule>
  </conditionalFormatting>
  <conditionalFormatting sqref="I3">
    <cfRule type="notContainsBlanks" dxfId="6" priority="8">
      <formula>LEN(TRIM(I3))&gt;0</formula>
    </cfRule>
  </conditionalFormatting>
  <conditionalFormatting sqref="A5:A1048576">
    <cfRule type="notContainsBlanks" dxfId="5" priority="7">
      <formula>LEN(TRIM(A5))&gt;0</formula>
    </cfRule>
  </conditionalFormatting>
  <conditionalFormatting sqref="J4">
    <cfRule type="notContainsBlanks" dxfId="4" priority="5">
      <formula>LEN(TRIM(J4))&gt;0</formula>
    </cfRule>
  </conditionalFormatting>
  <conditionalFormatting sqref="J3">
    <cfRule type="notContainsBlanks" dxfId="3" priority="4">
      <formula>LEN(TRIM(J3))&gt;0</formula>
    </cfRule>
  </conditionalFormatting>
  <conditionalFormatting sqref="J5:J1048576">
    <cfRule type="notContainsBlanks" dxfId="2" priority="3">
      <formula>LEN(TRIM(J5))&gt;0</formula>
    </cfRule>
  </conditionalFormatting>
  <conditionalFormatting sqref="W4:W16">
    <cfRule type="notContainsBlanks" dxfId="1" priority="2">
      <formula>LEN(TRIM(W4))&gt;0</formula>
    </cfRule>
  </conditionalFormatting>
  <conditionalFormatting sqref="V4:V16">
    <cfRule type="notContainsBlanks" dxfId="0" priority="1">
      <formula>LEN(TRIM(V4))&gt;0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51</vt:i4>
      </vt:variant>
    </vt:vector>
  </HeadingPairs>
  <TitlesOfParts>
    <vt:vector size="58" baseType="lpstr">
      <vt:lpstr>Dados_de_entrada</vt:lpstr>
      <vt:lpstr>VBA</vt:lpstr>
      <vt:lpstr>Gráficos</vt:lpstr>
      <vt:lpstr>Hidrograma afluente</vt:lpstr>
      <vt:lpstr>Simulação</vt:lpstr>
      <vt:lpstr>Base de dados</vt:lpstr>
      <vt:lpstr>Regressão</vt:lpstr>
      <vt:lpstr>a</vt:lpstr>
      <vt:lpstr>Ad_i</vt:lpstr>
      <vt:lpstr>alfa_1_quad</vt:lpstr>
      <vt:lpstr>alfa_2_quad</vt:lpstr>
      <vt:lpstr>alot_i</vt:lpstr>
      <vt:lpstr>Area</vt:lpstr>
      <vt:lpstr>Dados_de_entrada!Area_de_impressao</vt:lpstr>
      <vt:lpstr>b</vt:lpstr>
      <vt:lpstr>b_0</vt:lpstr>
      <vt:lpstr>c_</vt:lpstr>
      <vt:lpstr>c_0</vt:lpstr>
      <vt:lpstr>Cargas</vt:lpstr>
      <vt:lpstr>Cd_sr</vt:lpstr>
      <vt:lpstr>chuva_bacia</vt:lpstr>
      <vt:lpstr>CN_pos</vt:lpstr>
      <vt:lpstr>coef_IA</vt:lpstr>
      <vt:lpstr>cota_s</vt:lpstr>
      <vt:lpstr>declividade_afluente</vt:lpstr>
      <vt:lpstr>Diametros_Cd</vt:lpstr>
      <vt:lpstr>fi_h</vt:lpstr>
      <vt:lpstr>fi_s</vt:lpstr>
      <vt:lpstr>h_0</vt:lpstr>
      <vt:lpstr>h_max_puls</vt:lpstr>
      <vt:lpstr>hmax</vt:lpstr>
      <vt:lpstr>hmax_max</vt:lpstr>
      <vt:lpstr>I_a</vt:lpstr>
      <vt:lpstr>k</vt:lpstr>
      <vt:lpstr>k_2</vt:lpstr>
      <vt:lpstr>Lef_sr</vt:lpstr>
      <vt:lpstr>matriz_cd</vt:lpstr>
      <vt:lpstr>Passo</vt:lpstr>
      <vt:lpstr>passo_altura</vt:lpstr>
      <vt:lpstr>Pef</vt:lpstr>
      <vt:lpstr>Ptotal</vt:lpstr>
      <vt:lpstr>Q_max_i</vt:lpstr>
      <vt:lpstr>Qmax</vt:lpstr>
      <vt:lpstr>qmax_i</vt:lpstr>
      <vt:lpstr>Qmax_lot_i</vt:lpstr>
      <vt:lpstr>Qref_i</vt:lpstr>
      <vt:lpstr>Runoff</vt:lpstr>
      <vt:lpstr>Runoff_pos</vt:lpstr>
      <vt:lpstr>S_i</vt:lpstr>
      <vt:lpstr>t_c</vt:lpstr>
      <vt:lpstr>tc</vt:lpstr>
      <vt:lpstr>tc_1</vt:lpstr>
      <vt:lpstr>tc_lot_i</vt:lpstr>
      <vt:lpstr>tc_min</vt:lpstr>
      <vt:lpstr>tempo_simul</vt:lpstr>
      <vt:lpstr>Tipo_Vertedor</vt:lpstr>
      <vt:lpstr>TR</vt:lpstr>
      <vt:lpstr>Vol_p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</dc:creator>
  <cp:lastModifiedBy>Eduardo</cp:lastModifiedBy>
  <cp:lastPrinted>2019-01-13T18:21:03Z</cp:lastPrinted>
  <dcterms:created xsi:type="dcterms:W3CDTF">2018-09-24T14:15:25Z</dcterms:created>
  <dcterms:modified xsi:type="dcterms:W3CDTF">2019-02-10T15:35:52Z</dcterms:modified>
</cp:coreProperties>
</file>