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W\Proyectos\000_AAA_TOP_SECRET\TenisTour\"/>
    </mc:Choice>
  </mc:AlternateContent>
  <xr:revisionPtr revIDLastSave="0" documentId="13_ncr:1_{66141489-9DDB-4920-B4DA-D39FBB76C74B}" xr6:coauthVersionLast="28" xr6:coauthVersionMax="28" xr10:uidLastSave="{00000000-0000-0000-0000-000000000000}"/>
  <bookViews>
    <workbookView xWindow="0" yWindow="0" windowWidth="28800" windowHeight="12216" xr2:uid="{00000000-000D-0000-FFFF-FFFF00000000}"/>
  </bookViews>
  <sheets>
    <sheet name="Hoja3" sheetId="3" r:id="rId1"/>
    <sheet name="Hoja1" sheetId="1" r:id="rId2"/>
    <sheet name="Hoja2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" i="3" l="1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2" i="3"/>
  <c r="K129" i="3"/>
  <c r="K128" i="3"/>
  <c r="K127" i="3"/>
  <c r="K126" i="3"/>
  <c r="K125" i="3"/>
  <c r="K124" i="3"/>
  <c r="K123" i="3"/>
  <c r="K122" i="3"/>
  <c r="K121" i="3"/>
  <c r="K120" i="3"/>
  <c r="K119" i="3"/>
  <c r="K118" i="3"/>
  <c r="K117" i="3"/>
  <c r="K116" i="3"/>
  <c r="K115" i="3"/>
  <c r="K114" i="3"/>
  <c r="K113" i="3"/>
  <c r="K112" i="3"/>
  <c r="K111" i="3"/>
  <c r="K110" i="3"/>
  <c r="K109" i="3"/>
  <c r="K108" i="3"/>
  <c r="K107" i="3"/>
  <c r="K106" i="3"/>
  <c r="K105" i="3"/>
  <c r="K104" i="3"/>
  <c r="K103" i="3"/>
  <c r="K102" i="3"/>
  <c r="K101" i="3"/>
  <c r="K100" i="3"/>
  <c r="K99" i="3"/>
  <c r="K98" i="3"/>
  <c r="K97" i="3"/>
  <c r="K96" i="3"/>
  <c r="K95" i="3"/>
  <c r="K94" i="3"/>
  <c r="K93" i="3"/>
  <c r="K92" i="3"/>
  <c r="K91" i="3"/>
  <c r="K90" i="3"/>
  <c r="K89" i="3"/>
  <c r="K88" i="3"/>
  <c r="K87" i="3"/>
  <c r="K86" i="3"/>
  <c r="K85" i="3"/>
  <c r="K84" i="3"/>
  <c r="K83" i="3"/>
  <c r="K82" i="3"/>
  <c r="K81" i="3"/>
  <c r="K80" i="3"/>
  <c r="K79" i="3"/>
  <c r="K78" i="3"/>
  <c r="K77" i="3"/>
  <c r="K76" i="3"/>
  <c r="K75" i="3"/>
  <c r="K74" i="3"/>
  <c r="K73" i="3"/>
  <c r="K72" i="3"/>
  <c r="K71" i="3"/>
  <c r="K70" i="3"/>
  <c r="K69" i="3"/>
  <c r="K68" i="3"/>
  <c r="K67" i="3"/>
  <c r="K66" i="3"/>
  <c r="K65" i="3"/>
  <c r="K64" i="3"/>
  <c r="K63" i="3"/>
  <c r="K62" i="3"/>
  <c r="K61" i="3"/>
  <c r="K60" i="3"/>
  <c r="K59" i="3"/>
  <c r="K58" i="3"/>
  <c r="K57" i="3"/>
  <c r="K56" i="3"/>
  <c r="K55" i="3"/>
  <c r="K54" i="3"/>
  <c r="K53" i="3"/>
  <c r="K52" i="3"/>
  <c r="K51" i="3"/>
  <c r="K50" i="3"/>
  <c r="K49" i="3"/>
  <c r="K48" i="3"/>
  <c r="K47" i="3"/>
  <c r="K46" i="3"/>
  <c r="K45" i="3"/>
  <c r="K44" i="3"/>
  <c r="K43" i="3"/>
  <c r="K42" i="3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K22" i="3"/>
  <c r="K21" i="3"/>
  <c r="K20" i="3"/>
  <c r="K19" i="3"/>
  <c r="K18" i="3"/>
  <c r="K17" i="3"/>
  <c r="K16" i="3"/>
  <c r="K15" i="3"/>
  <c r="K14" i="3"/>
  <c r="K13" i="3"/>
  <c r="K12" i="3"/>
  <c r="K11" i="3"/>
  <c r="K10" i="3"/>
  <c r="K9" i="3"/>
  <c r="K8" i="3"/>
  <c r="K7" i="3"/>
  <c r="K6" i="3"/>
  <c r="K5" i="3"/>
  <c r="K4" i="3"/>
  <c r="K3" i="3"/>
  <c r="K2" i="3"/>
  <c r="J3" i="2" l="1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2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  <c r="B122" i="2"/>
  <c r="B126" i="2"/>
  <c r="B77" i="2"/>
  <c r="B103" i="2"/>
  <c r="B85" i="2"/>
  <c r="B66" i="2"/>
  <c r="B111" i="2"/>
  <c r="B128" i="2"/>
  <c r="B123" i="2"/>
  <c r="B119" i="2"/>
  <c r="B83" i="2"/>
  <c r="B112" i="2"/>
  <c r="B78" i="2"/>
  <c r="B104" i="2"/>
  <c r="B96" i="2"/>
  <c r="B113" i="2"/>
  <c r="B64" i="2"/>
  <c r="B110" i="2"/>
  <c r="B98" i="2"/>
  <c r="B105" i="2"/>
  <c r="B93" i="2"/>
  <c r="B118" i="2"/>
  <c r="B102" i="2"/>
  <c r="B97" i="2"/>
  <c r="B124" i="2"/>
  <c r="B99" i="2"/>
  <c r="B106" i="2"/>
  <c r="B121" i="2"/>
  <c r="B71" i="2"/>
  <c r="B90" i="2"/>
  <c r="B91" i="2"/>
  <c r="B75" i="2"/>
  <c r="B53" i="2"/>
  <c r="B101" i="2"/>
  <c r="B127" i="2"/>
  <c r="B73" i="2"/>
  <c r="B92" i="2"/>
  <c r="B89" i="2"/>
  <c r="B120" i="2"/>
  <c r="B68" i="2"/>
  <c r="B117" i="2"/>
  <c r="B95" i="2"/>
  <c r="B115" i="2"/>
  <c r="B94" i="2"/>
  <c r="B74" i="2"/>
  <c r="B69" i="2"/>
  <c r="B63" i="2"/>
  <c r="B100" i="2"/>
  <c r="B116" i="2"/>
  <c r="B65" i="2"/>
  <c r="B41" i="2"/>
  <c r="B82" i="2"/>
  <c r="B87" i="2"/>
  <c r="B80" i="2"/>
  <c r="B125" i="2"/>
  <c r="B108" i="2"/>
  <c r="B109" i="2"/>
  <c r="B50" i="2"/>
  <c r="B129" i="2"/>
  <c r="B86" i="2"/>
  <c r="B79" i="2"/>
  <c r="B52" i="2"/>
  <c r="B39" i="2"/>
  <c r="B47" i="2"/>
  <c r="B88" i="2"/>
  <c r="B58" i="2"/>
  <c r="B114" i="2"/>
  <c r="B56" i="2"/>
  <c r="B107" i="2"/>
  <c r="B59" i="2"/>
  <c r="B70" i="2"/>
  <c r="B84" i="2"/>
  <c r="B67" i="2"/>
  <c r="B76" i="2"/>
  <c r="B61" i="2"/>
  <c r="B48" i="2"/>
  <c r="B49" i="2"/>
  <c r="B43" i="2"/>
  <c r="B81" i="2"/>
  <c r="B51" i="2"/>
  <c r="B54" i="2"/>
  <c r="B72" i="2"/>
  <c r="B57" i="2"/>
  <c r="B45" i="2"/>
  <c r="B42" i="2"/>
  <c r="B60" i="2"/>
  <c r="B55" i="2"/>
  <c r="B62" i="2"/>
  <c r="B44" i="2"/>
  <c r="B28" i="2"/>
  <c r="B21" i="2"/>
  <c r="B32" i="2"/>
  <c r="B46" i="2"/>
  <c r="B37" i="2"/>
  <c r="B29" i="2"/>
  <c r="B36" i="2"/>
  <c r="B17" i="2"/>
  <c r="B35" i="2"/>
  <c r="B38" i="2"/>
  <c r="B30" i="2"/>
  <c r="B40" i="2"/>
  <c r="B23" i="2"/>
  <c r="B14" i="2"/>
  <c r="B33" i="2"/>
  <c r="B27" i="2"/>
  <c r="B34" i="2"/>
  <c r="B25" i="2"/>
  <c r="B26" i="2"/>
  <c r="B5" i="2"/>
  <c r="B31" i="2"/>
  <c r="B20" i="2"/>
  <c r="B13" i="2"/>
  <c r="B24" i="2"/>
  <c r="B22" i="2"/>
  <c r="B2" i="2"/>
  <c r="B7" i="2"/>
  <c r="B19" i="2"/>
  <c r="B16" i="2"/>
  <c r="B12" i="2"/>
  <c r="B18" i="2"/>
  <c r="B15" i="2"/>
  <c r="B11" i="2"/>
  <c r="B10" i="2"/>
  <c r="B9" i="2"/>
  <c r="B6" i="2"/>
  <c r="B8" i="2"/>
  <c r="B4" i="2"/>
  <c r="B3" i="2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31" i="1"/>
  <c r="H26" i="1"/>
  <c r="H27" i="1"/>
  <c r="H28" i="1"/>
  <c r="H29" i="1"/>
  <c r="H30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51" i="1"/>
  <c r="H54" i="1"/>
  <c r="H61" i="1"/>
  <c r="H81" i="1"/>
  <c r="H86" i="1"/>
  <c r="H92" i="1"/>
  <c r="H93" i="1"/>
  <c r="H108" i="1"/>
  <c r="H116" i="1"/>
  <c r="H118" i="1"/>
  <c r="H121" i="1"/>
  <c r="H122" i="1"/>
  <c r="H123" i="1"/>
  <c r="H48" i="1"/>
  <c r="H49" i="1"/>
  <c r="H50" i="1"/>
  <c r="H52" i="1"/>
  <c r="H53" i="1"/>
  <c r="H55" i="1"/>
  <c r="H56" i="1"/>
  <c r="H57" i="1"/>
  <c r="H58" i="1"/>
  <c r="H59" i="1"/>
  <c r="H60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2" i="1"/>
  <c r="H83" i="1"/>
  <c r="H84" i="1"/>
  <c r="H85" i="1"/>
  <c r="H87" i="1"/>
  <c r="H88" i="1"/>
  <c r="H89" i="1"/>
  <c r="H90" i="1"/>
  <c r="H91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9" i="1"/>
  <c r="H110" i="1"/>
  <c r="H111" i="1"/>
  <c r="H112" i="1"/>
  <c r="H113" i="1"/>
  <c r="H114" i="1"/>
  <c r="H115" i="1"/>
  <c r="H117" i="1"/>
  <c r="H119" i="1"/>
  <c r="H120" i="1"/>
  <c r="H124" i="1"/>
  <c r="H125" i="1"/>
  <c r="H126" i="1"/>
  <c r="H127" i="1"/>
  <c r="H128" i="1"/>
  <c r="H129" i="1"/>
</calcChain>
</file>

<file path=xl/sharedStrings.xml><?xml version="1.0" encoding="utf-8"?>
<sst xmlns="http://schemas.openxmlformats.org/spreadsheetml/2006/main" count="542" uniqueCount="142">
  <si>
    <t>Roger Federer</t>
  </si>
  <si>
    <t>Rafael Nadal</t>
  </si>
  <si>
    <t>Grigor Dimitrov</t>
  </si>
  <si>
    <t>Alexander Zverev</t>
  </si>
  <si>
    <t>Dominic Thiem</t>
  </si>
  <si>
    <t>David Goffin</t>
  </si>
  <si>
    <t>Jack Sock</t>
  </si>
  <si>
    <t>Kevin Anderson</t>
  </si>
  <si>
    <t>Juan Martín del Potro</t>
  </si>
  <si>
    <t>Pablo Carreño Busta</t>
  </si>
  <si>
    <t>Sam Querrey</t>
  </si>
  <si>
    <t>Stan Wawrinka</t>
  </si>
  <si>
    <t>Novak Djokovic</t>
  </si>
  <si>
    <t>Nick Kyrgios</t>
  </si>
  <si>
    <t>Lucas Pouille</t>
  </si>
  <si>
    <t>Tomáš Berdych</t>
  </si>
  <si>
    <t>John Isner</t>
  </si>
  <si>
    <t>Albert Ramos Viñolas</t>
  </si>
  <si>
    <t>Andy Murray</t>
  </si>
  <si>
    <t>Fabio Fognini</t>
  </si>
  <si>
    <t>Roberto Bautista Agut</t>
  </si>
  <si>
    <t>Diego Schwartzman</t>
  </si>
  <si>
    <t>Adrian Mannarino</t>
  </si>
  <si>
    <t>Kyle Edmund</t>
  </si>
  <si>
    <t>Kei Nishikori</t>
  </si>
  <si>
    <t>Jo-Wilfried Tsonga</t>
  </si>
  <si>
    <t>Gilles Müller</t>
  </si>
  <si>
    <t>Damir Džumhur</t>
  </si>
  <si>
    <t>Hyeon Chung</t>
  </si>
  <si>
    <t>Andrey Rublev</t>
  </si>
  <si>
    <t>Milos Raonic</t>
  </si>
  <si>
    <t>Pablo Cuevas</t>
  </si>
  <si>
    <t>Richard Gasquet</t>
  </si>
  <si>
    <t>Philipp Kohlschreiber</t>
  </si>
  <si>
    <t>Feliciano López</t>
  </si>
  <si>
    <t>David Ferrer</t>
  </si>
  <si>
    <t>Gaël Monfils</t>
  </si>
  <si>
    <t>Fernando Verdasco</t>
  </si>
  <si>
    <t>Robin Haase</t>
  </si>
  <si>
    <t>Aljaž Bedene</t>
  </si>
  <si>
    <t>Alexandr Dolgopolov</t>
  </si>
  <si>
    <t>Benoît Paire</t>
  </si>
  <si>
    <t>Denis Shapovalov</t>
  </si>
  <si>
    <t>Karen Khachanov</t>
  </si>
  <si>
    <t>Leonardo Mayer</t>
  </si>
  <si>
    <t>Daniil Medvedev</t>
  </si>
  <si>
    <t>Steve Johnson</t>
  </si>
  <si>
    <t>Paolo Lorenzi</t>
  </si>
  <si>
    <t>Mischa Zverev</t>
  </si>
  <si>
    <t>Jan Lennard Struff</t>
  </si>
  <si>
    <t>Guido Pella</t>
  </si>
  <si>
    <t>Julien Benneteau</t>
  </si>
  <si>
    <t>Jared Donaldson</t>
  </si>
  <si>
    <t>Ryan Harrison</t>
  </si>
  <si>
    <t>Andreas Seppi</t>
  </si>
  <si>
    <t>Tennys Sandgren</t>
  </si>
  <si>
    <t>Márton Fucsovics</t>
  </si>
  <si>
    <t>Federico Delbonis</t>
  </si>
  <si>
    <t>Peter Gojowczyk</t>
  </si>
  <si>
    <t>Viktor Troicki</t>
  </si>
  <si>
    <t>Gilles Simon</t>
  </si>
  <si>
    <t>Guillermo García López</t>
  </si>
  <si>
    <t>Horacio Zeballos</t>
  </si>
  <si>
    <t>Florian Mayer</t>
  </si>
  <si>
    <t>Maximilian Marterer</t>
  </si>
  <si>
    <t>João Sousa</t>
  </si>
  <si>
    <t>Roberto Carballés Baena</t>
  </si>
  <si>
    <t>Marius Copil</t>
  </si>
  <si>
    <t>Donald Young</t>
  </si>
  <si>
    <t>Evgeny Donskoy</t>
  </si>
  <si>
    <t>Nikoloz Basilashvili</t>
  </si>
  <si>
    <t>Denis Istomin</t>
  </si>
  <si>
    <t>Stefanos Tsitsipas</t>
  </si>
  <si>
    <t>Thomas Fabbiano</t>
  </si>
  <si>
    <t>Yen Hsun Lu</t>
  </si>
  <si>
    <t>Vasek Pospisil</t>
  </si>
  <si>
    <t>Taylor Fritz</t>
  </si>
  <si>
    <t>Nicolás Kicker</t>
  </si>
  <si>
    <t>Radu Albot</t>
  </si>
  <si>
    <t>Matthew Ebden</t>
  </si>
  <si>
    <t>Mikhail Kukushkin</t>
  </si>
  <si>
    <t>Laslo Djere</t>
  </si>
  <si>
    <t>Frances Tiafoe</t>
  </si>
  <si>
    <t>Cedrik Marcel Stebe</t>
  </si>
  <si>
    <t>Mikhail Youzhny</t>
  </si>
  <si>
    <t>Nicolas Jarry</t>
  </si>
  <si>
    <t>Jordan Thompson</t>
  </si>
  <si>
    <t>Jérémy Chardy</t>
  </si>
  <si>
    <t>Dudi Sela</t>
  </si>
  <si>
    <t>Lukáš Lacko</t>
  </si>
  <si>
    <t>Pierre Hugues Herbert</t>
  </si>
  <si>
    <t>Nicolas Mahut</t>
  </si>
  <si>
    <t>Yuki Bhambri</t>
  </si>
  <si>
    <t>Marco Cecchinato</t>
  </si>
  <si>
    <t>John Millman</t>
  </si>
  <si>
    <t>Thiago Monteiro</t>
  </si>
  <si>
    <t>Taro Daniel</t>
  </si>
  <si>
    <t>Rogério Dutra Silva</t>
  </si>
  <si>
    <t>Quentin Halys</t>
  </si>
  <si>
    <t>Gerald Melzer</t>
  </si>
  <si>
    <t>Bjorn Fratangelo</t>
  </si>
  <si>
    <t>Marcos Baghdatis</t>
  </si>
  <si>
    <t>Ruben Bemelmans</t>
  </si>
  <si>
    <t>Gastão Elias</t>
  </si>
  <si>
    <t>Cameron Norrie</t>
  </si>
  <si>
    <t>Malek Jaziri</t>
  </si>
  <si>
    <t>Yannick Hanfmann</t>
  </si>
  <si>
    <t>Sergiy Stakhovsky</t>
  </si>
  <si>
    <t>Adrián Menéndez-Maceiras</t>
  </si>
  <si>
    <t>Casper Ruud</t>
  </si>
  <si>
    <t>Matteo Berrettini</t>
  </si>
  <si>
    <t>Pedro Sousa</t>
  </si>
  <si>
    <t>Thomaz Bellucci</t>
  </si>
  <si>
    <t>Steve Darcis</t>
  </si>
  <si>
    <t>Tim Smyczek</t>
  </si>
  <si>
    <t>Marcel Granollers</t>
  </si>
  <si>
    <t>Ernesto Escobedo</t>
  </si>
  <si>
    <t>Henri Laaksonen</t>
  </si>
  <si>
    <t>Filip Krajinovic</t>
  </si>
  <si>
    <t>Yuichi Sugita</t>
  </si>
  <si>
    <t>Borna Coric</t>
  </si>
  <si>
    <t>Jirí Veselý</t>
  </si>
  <si>
    <t>Mirza Bašic</t>
  </si>
  <si>
    <t>Ivo Karlovic</t>
  </si>
  <si>
    <t>Dušan Lajovic</t>
  </si>
  <si>
    <t>Ricardas Berankis</t>
  </si>
  <si>
    <t>Blaž Kavcic</t>
  </si>
  <si>
    <t>CLAY</t>
  </si>
  <si>
    <t>GRASS</t>
  </si>
  <si>
    <t>HARD</t>
  </si>
  <si>
    <t>TOTAL</t>
  </si>
  <si>
    <t>puntos</t>
  </si>
  <si>
    <t>id</t>
  </si>
  <si>
    <t>ranking</t>
  </si>
  <si>
    <t>seed</t>
  </si>
  <si>
    <t>nombre</t>
  </si>
  <si>
    <t>Marin Čilić</t>
  </si>
  <si>
    <t>GRASS_POW</t>
  </si>
  <si>
    <t>CLAY_POW</t>
  </si>
  <si>
    <t>HARD_POW</t>
  </si>
  <si>
    <t>victorias</t>
  </si>
  <si>
    <t>derrotas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</si>
</sst>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EF596-3315-40F2-8D27-22BD1F8DA7F6}">
  <dimension ref="A1:L129"/>
  <sheetViews>
    <sheetView tabSelected="1" topLeftCell="I1" workbookViewId="0">
      <selection activeCell="L129" sqref="L4:L129"/>
    </sheetView>
  </sheetViews>
  <sheetFormatPr baseColWidth="10" defaultRowHeight="14.4" x14ac:dyDescent="0.3"/>
  <cols>
    <col min="2" max="2" width="18.77734375" customWidth="1"/>
    <col min="12" max="12" width="158.44140625" customWidth="1"/>
  </cols>
  <sheetData>
    <row r="1" spans="1:12" x14ac:dyDescent="0.3">
      <c r="A1" s="1" t="s">
        <v>132</v>
      </c>
      <c r="B1" t="s">
        <v>135</v>
      </c>
      <c r="C1" t="s">
        <v>131</v>
      </c>
      <c r="D1" t="s">
        <v>140</v>
      </c>
      <c r="E1" t="s">
        <v>141</v>
      </c>
      <c r="F1" t="s">
        <v>133</v>
      </c>
      <c r="G1" t="s">
        <v>134</v>
      </c>
      <c r="H1" t="s">
        <v>127</v>
      </c>
      <c r="I1" t="s">
        <v>128</v>
      </c>
      <c r="J1" t="s">
        <v>129</v>
      </c>
      <c r="K1" t="s">
        <v>130</v>
      </c>
    </row>
    <row r="2" spans="1:12" x14ac:dyDescent="0.3">
      <c r="A2" s="1">
        <v>1</v>
      </c>
      <c r="B2" t="s">
        <v>0</v>
      </c>
      <c r="C2">
        <v>0</v>
      </c>
      <c r="D2">
        <v>0</v>
      </c>
      <c r="E2">
        <v>0</v>
      </c>
      <c r="F2">
        <v>1</v>
      </c>
      <c r="G2">
        <v>1</v>
      </c>
      <c r="H2">
        <v>11</v>
      </c>
      <c r="I2">
        <v>18</v>
      </c>
      <c r="J2">
        <v>16</v>
      </c>
      <c r="K2">
        <f>9775+8265+2130+9605*3</f>
        <v>48985</v>
      </c>
      <c r="L2" t="str">
        <f>"INSERT INTO `jugador`( `nombre`, `puntos`, `victorias`, `derrotas`, `ranking`, `seed`, `clay`, `grass`, `hard`, `power`) VALUES('"&amp;B2&amp;"','"&amp;C2&amp;"','"&amp;D2&amp;"','"&amp;E2&amp;"','"&amp;F2&amp;"','"&amp;G2&amp;"','"&amp;H2&amp;"','"&amp;I2&amp;"','"&amp;J2&amp;"','"&amp;K2&amp;"');"</f>
        <v>INSERT INTO `jugador`( `nombre`, `puntos`, `victorias`, `derrotas`, `ranking`, `seed`, `clay`, `grass`, `hard`, `power`) VALUES('Roger Federer','0','0','0','1','1','11','18','16','48985');</v>
      </c>
    </row>
    <row r="3" spans="1:12" x14ac:dyDescent="0.3">
      <c r="A3" s="1">
        <v>2</v>
      </c>
      <c r="B3" t="s">
        <v>1</v>
      </c>
      <c r="C3">
        <v>0</v>
      </c>
      <c r="D3">
        <v>0</v>
      </c>
      <c r="E3">
        <v>0</v>
      </c>
      <c r="F3">
        <v>2</v>
      </c>
      <c r="G3">
        <v>1</v>
      </c>
      <c r="H3">
        <v>20</v>
      </c>
      <c r="I3">
        <v>12</v>
      </c>
      <c r="J3">
        <v>12</v>
      </c>
      <c r="K3">
        <f>6835+5230+3300+10645*3</f>
        <v>47300</v>
      </c>
      <c r="L3" t="str">
        <f t="shared" ref="L3:L66" si="0">"INSERT INTO `jugador`( `nombre`, `puntos`, `victorias`, `derrotas`, `ranking`, `seed`, `clay`, `grass`, `hard`, `power`) VALUES('"&amp;B3&amp;"','"&amp;C3&amp;"','"&amp;D3&amp;"','"&amp;E3&amp;"','"&amp;F3&amp;"','"&amp;G3&amp;"','"&amp;H3&amp;"','"&amp;I3&amp;"','"&amp;J3&amp;"','"&amp;K3&amp;"');"</f>
        <v>INSERT INTO `jugador`( `nombre`, `puntos`, `victorias`, `derrotas`, `ranking`, `seed`, `clay`, `grass`, `hard`, `power`) VALUES('Rafael Nadal','0','0','0','2','1','20','12','12','47300');</v>
      </c>
    </row>
    <row r="4" spans="1:12" x14ac:dyDescent="0.3">
      <c r="A4" s="1">
        <v>3</v>
      </c>
      <c r="B4" t="s">
        <v>136</v>
      </c>
      <c r="C4">
        <v>0</v>
      </c>
      <c r="D4">
        <v>0</v>
      </c>
      <c r="E4">
        <v>0</v>
      </c>
      <c r="F4">
        <v>3</v>
      </c>
      <c r="G4">
        <v>1</v>
      </c>
      <c r="H4">
        <v>10</v>
      </c>
      <c r="I4">
        <v>10</v>
      </c>
      <c r="J4">
        <v>11</v>
      </c>
      <c r="K4">
        <f>4150+2405+3650+3805*5</f>
        <v>29230</v>
      </c>
      <c r="L4" t="str">
        <f t="shared" si="0"/>
        <v>INSERT INTO `jugador`( `nombre`, `puntos`, `victorias`, `derrotas`, `ranking`, `seed`, `clay`, `grass`, `hard`, `power`) VALUES('Marin Čilić','0','0','0','3','1','10','10','11','29230');</v>
      </c>
    </row>
    <row r="5" spans="1:12" x14ac:dyDescent="0.3">
      <c r="A5" s="1">
        <v>4</v>
      </c>
      <c r="B5" t="s">
        <v>2</v>
      </c>
      <c r="C5">
        <v>0</v>
      </c>
      <c r="D5">
        <v>0</v>
      </c>
      <c r="E5">
        <v>0</v>
      </c>
      <c r="F5">
        <v>4</v>
      </c>
      <c r="G5">
        <v>1</v>
      </c>
      <c r="H5">
        <v>10</v>
      </c>
      <c r="I5">
        <v>10</v>
      </c>
      <c r="J5">
        <v>11</v>
      </c>
      <c r="K5">
        <f>3645+1360+2035+5150*5</f>
        <v>32790</v>
      </c>
      <c r="L5" t="str">
        <f t="shared" si="0"/>
        <v>INSERT INTO `jugador`( `nombre`, `puntos`, `victorias`, `derrotas`, `ranking`, `seed`, `clay`, `grass`, `hard`, `power`) VALUES('Grigor Dimitrov','0','0','0','4','1','10','10','11','32790');</v>
      </c>
    </row>
    <row r="6" spans="1:12" x14ac:dyDescent="0.3">
      <c r="A6" s="1">
        <v>5</v>
      </c>
      <c r="B6" t="s">
        <v>3</v>
      </c>
      <c r="C6">
        <v>0</v>
      </c>
      <c r="D6">
        <v>0</v>
      </c>
      <c r="E6">
        <v>0</v>
      </c>
      <c r="F6">
        <v>5</v>
      </c>
      <c r="G6">
        <v>1</v>
      </c>
      <c r="H6">
        <v>10</v>
      </c>
      <c r="I6">
        <v>10</v>
      </c>
      <c r="J6">
        <v>10</v>
      </c>
      <c r="K6">
        <f>389+647+1655+4610*5</f>
        <v>25741</v>
      </c>
      <c r="L6" t="str">
        <f t="shared" si="0"/>
        <v>INSERT INTO `jugador`( `nombre`, `puntos`, `victorias`, `derrotas`, `ranking`, `seed`, `clay`, `grass`, `hard`, `power`) VALUES('Alexander Zverev','0','0','0','5','1','10','10','10','25741');</v>
      </c>
    </row>
    <row r="7" spans="1:12" x14ac:dyDescent="0.3">
      <c r="A7" s="1">
        <v>6</v>
      </c>
      <c r="B7" t="s">
        <v>4</v>
      </c>
      <c r="C7">
        <v>0</v>
      </c>
      <c r="D7">
        <v>0</v>
      </c>
      <c r="E7">
        <v>0</v>
      </c>
      <c r="F7">
        <v>6</v>
      </c>
      <c r="G7">
        <v>1</v>
      </c>
      <c r="H7">
        <v>10</v>
      </c>
      <c r="I7">
        <v>10</v>
      </c>
      <c r="J7">
        <v>10</v>
      </c>
      <c r="K7">
        <f>989+1600+3415+4015*4</f>
        <v>22064</v>
      </c>
      <c r="L7" t="str">
        <f t="shared" si="0"/>
        <v>INSERT INTO `jugador`( `nombre`, `puntos`, `victorias`, `derrotas`, `ranking`, `seed`, `clay`, `grass`, `hard`, `power`) VALUES('Dominic Thiem','0','0','0','6','1','10','10','10','22064');</v>
      </c>
    </row>
    <row r="8" spans="1:12" x14ac:dyDescent="0.3">
      <c r="A8" s="1">
        <v>7</v>
      </c>
      <c r="B8" t="s">
        <v>5</v>
      </c>
      <c r="C8">
        <v>0</v>
      </c>
      <c r="D8">
        <v>0</v>
      </c>
      <c r="E8">
        <v>0</v>
      </c>
      <c r="F8">
        <v>7</v>
      </c>
      <c r="G8">
        <v>1</v>
      </c>
      <c r="H8">
        <v>10</v>
      </c>
      <c r="I8">
        <v>10</v>
      </c>
      <c r="J8">
        <v>10</v>
      </c>
      <c r="K8">
        <f>1599+1880+2750+3775*4</f>
        <v>21329</v>
      </c>
      <c r="L8" t="str">
        <f t="shared" si="0"/>
        <v>INSERT INTO `jugador`( `nombre`, `puntos`, `victorias`, `derrotas`, `ranking`, `seed`, `clay`, `grass`, `hard`, `power`) VALUES('David Goffin','0','0','0','7','1','10','10','10','21329');</v>
      </c>
    </row>
    <row r="9" spans="1:12" x14ac:dyDescent="0.3">
      <c r="A9" s="1">
        <v>8</v>
      </c>
      <c r="B9" t="s">
        <v>6</v>
      </c>
      <c r="C9">
        <v>0</v>
      </c>
      <c r="D9">
        <v>0</v>
      </c>
      <c r="E9">
        <v>0</v>
      </c>
      <c r="F9">
        <v>8</v>
      </c>
      <c r="G9">
        <v>1</v>
      </c>
      <c r="H9">
        <v>10</v>
      </c>
      <c r="I9">
        <v>10</v>
      </c>
      <c r="J9">
        <v>10</v>
      </c>
      <c r="K9">
        <f>934+1465+1710+3165*4</f>
        <v>16769</v>
      </c>
      <c r="L9" t="str">
        <f t="shared" si="0"/>
        <v>INSERT INTO `jugador`( `nombre`, `puntos`, `victorias`, `derrotas`, `ranking`, `seed`, `clay`, `grass`, `hard`, `power`) VALUES('Jack Sock','0','0','0','8','1','10','10','10','16769');</v>
      </c>
    </row>
    <row r="10" spans="1:12" x14ac:dyDescent="0.3">
      <c r="A10" s="1">
        <v>9</v>
      </c>
      <c r="B10" t="s">
        <v>7</v>
      </c>
      <c r="C10">
        <v>0</v>
      </c>
      <c r="D10">
        <v>0</v>
      </c>
      <c r="E10">
        <v>0</v>
      </c>
      <c r="F10">
        <v>9</v>
      </c>
      <c r="G10">
        <v>1</v>
      </c>
      <c r="H10">
        <v>10</v>
      </c>
      <c r="I10">
        <v>10</v>
      </c>
      <c r="J10">
        <v>10</v>
      </c>
      <c r="K10">
        <f>2080+2475+735+2480*4</f>
        <v>15210</v>
      </c>
      <c r="L10" t="str">
        <f t="shared" si="0"/>
        <v>INSERT INTO `jugador`( `nombre`, `puntos`, `victorias`, `derrotas`, `ranking`, `seed`, `clay`, `grass`, `hard`, `power`) VALUES('Kevin Anderson','0','0','0','9','1','10','10','10','15210');</v>
      </c>
    </row>
    <row r="11" spans="1:12" x14ac:dyDescent="0.3">
      <c r="A11" s="1">
        <v>10</v>
      </c>
      <c r="B11" t="s">
        <v>8</v>
      </c>
      <c r="C11">
        <v>0</v>
      </c>
      <c r="D11">
        <v>0</v>
      </c>
      <c r="E11">
        <v>0</v>
      </c>
      <c r="F11">
        <v>10</v>
      </c>
      <c r="G11">
        <v>1</v>
      </c>
      <c r="H11">
        <v>10</v>
      </c>
      <c r="I11">
        <v>10</v>
      </c>
      <c r="J11">
        <v>11</v>
      </c>
      <c r="K11">
        <f>385+55+1110+2595*7</f>
        <v>19715</v>
      </c>
      <c r="L11" t="str">
        <f t="shared" si="0"/>
        <v>INSERT INTO `jugador`( `nombre`, `puntos`, `victorias`, `derrotas`, `ranking`, `seed`, `clay`, `grass`, `hard`, `power`) VALUES('Juan Martín del Potro','0','0','0','10','1','10','10','11','19715');</v>
      </c>
    </row>
    <row r="12" spans="1:12" x14ac:dyDescent="0.3">
      <c r="A12" s="1">
        <v>11</v>
      </c>
      <c r="B12" t="s">
        <v>9</v>
      </c>
      <c r="C12">
        <v>0</v>
      </c>
      <c r="D12">
        <v>0</v>
      </c>
      <c r="E12">
        <v>0</v>
      </c>
      <c r="F12">
        <v>11</v>
      </c>
      <c r="G12">
        <v>1</v>
      </c>
      <c r="H12">
        <v>10</v>
      </c>
      <c r="I12">
        <v>10</v>
      </c>
      <c r="J12">
        <v>10</v>
      </c>
      <c r="K12">
        <f>841+734+1370+2615*5</f>
        <v>16020</v>
      </c>
      <c r="L12" t="str">
        <f t="shared" si="0"/>
        <v>INSERT INTO `jugador`( `nombre`, `puntos`, `victorias`, `derrotas`, `ranking`, `seed`, `clay`, `grass`, `hard`, `power`) VALUES('Pablo Carreño Busta','0','0','0','11','1','10','10','10','16020');</v>
      </c>
    </row>
    <row r="13" spans="1:12" x14ac:dyDescent="0.3">
      <c r="A13" s="1">
        <v>12</v>
      </c>
      <c r="B13" t="s">
        <v>10</v>
      </c>
      <c r="C13">
        <v>0</v>
      </c>
      <c r="D13">
        <v>0</v>
      </c>
      <c r="E13">
        <v>0</v>
      </c>
      <c r="F13">
        <v>12</v>
      </c>
      <c r="G13">
        <v>1</v>
      </c>
      <c r="H13">
        <v>10</v>
      </c>
      <c r="I13">
        <v>10</v>
      </c>
      <c r="J13">
        <v>10</v>
      </c>
      <c r="K13">
        <f>1090+785+1355+2535*4</f>
        <v>13370</v>
      </c>
      <c r="L13" t="str">
        <f t="shared" si="0"/>
        <v>INSERT INTO `jugador`( `nombre`, `puntos`, `victorias`, `derrotas`, `ranking`, `seed`, `clay`, `grass`, `hard`, `power`) VALUES('Sam Querrey','0','0','0','12','1','10','10','10','13370');</v>
      </c>
    </row>
    <row r="14" spans="1:12" x14ac:dyDescent="0.3">
      <c r="A14" s="1">
        <v>13</v>
      </c>
      <c r="B14" t="s">
        <v>11</v>
      </c>
      <c r="C14">
        <v>0</v>
      </c>
      <c r="D14">
        <v>0</v>
      </c>
      <c r="E14">
        <v>0</v>
      </c>
      <c r="F14">
        <v>13</v>
      </c>
      <c r="G14">
        <v>1</v>
      </c>
      <c r="H14">
        <v>11</v>
      </c>
      <c r="I14">
        <v>10</v>
      </c>
      <c r="J14">
        <v>11</v>
      </c>
      <c r="K14">
        <f>5370+6865+5315+3150*4</f>
        <v>30150</v>
      </c>
      <c r="L14" t="str">
        <f t="shared" si="0"/>
        <v>INSERT INTO `jugador`( `nombre`, `puntos`, `victorias`, `derrotas`, `ranking`, `seed`, `clay`, `grass`, `hard`, `power`) VALUES('Stan Wawrinka','0','0','0','13','1','11','10','11','30150');</v>
      </c>
    </row>
    <row r="15" spans="1:12" x14ac:dyDescent="0.3">
      <c r="A15" s="1">
        <v>14</v>
      </c>
      <c r="B15" t="s">
        <v>12</v>
      </c>
      <c r="C15">
        <v>0</v>
      </c>
      <c r="D15">
        <v>0</v>
      </c>
      <c r="E15">
        <v>0</v>
      </c>
      <c r="F15">
        <v>14</v>
      </c>
      <c r="G15">
        <v>1</v>
      </c>
      <c r="H15">
        <v>11</v>
      </c>
      <c r="I15">
        <v>13</v>
      </c>
      <c r="J15">
        <v>16</v>
      </c>
      <c r="K15">
        <f>11360+16585+11780+2585*4</f>
        <v>50065</v>
      </c>
      <c r="L15" t="str">
        <f t="shared" si="0"/>
        <v>INSERT INTO `jugador`( `nombre`, `puntos`, `victorias`, `derrotas`, `ranking`, `seed`, `clay`, `grass`, `hard`, `power`) VALUES('Novak Djokovic','0','0','0','14','1','11','13','16','50065');</v>
      </c>
    </row>
    <row r="16" spans="1:12" x14ac:dyDescent="0.3">
      <c r="A16" s="1">
        <v>15</v>
      </c>
      <c r="B16" t="s">
        <v>13</v>
      </c>
      <c r="C16">
        <v>0</v>
      </c>
      <c r="D16">
        <v>0</v>
      </c>
      <c r="E16">
        <v>0</v>
      </c>
      <c r="F16">
        <v>15</v>
      </c>
      <c r="G16">
        <v>1</v>
      </c>
      <c r="H16">
        <v>10</v>
      </c>
      <c r="I16">
        <v>10</v>
      </c>
      <c r="J16">
        <v>10</v>
      </c>
      <c r="K16">
        <f>830+1260+2460+2010*4</f>
        <v>12590</v>
      </c>
      <c r="L16" t="str">
        <f t="shared" si="0"/>
        <v>INSERT INTO `jugador`( `nombre`, `puntos`, `victorias`, `derrotas`, `ranking`, `seed`, `clay`, `grass`, `hard`, `power`) VALUES('Nick Kyrgios','0','0','0','15','1','10','10','10','12590');</v>
      </c>
    </row>
    <row r="17" spans="1:12" x14ac:dyDescent="0.3">
      <c r="A17" s="1">
        <v>16</v>
      </c>
      <c r="B17" t="s">
        <v>14</v>
      </c>
      <c r="C17">
        <v>0</v>
      </c>
      <c r="D17">
        <v>0</v>
      </c>
      <c r="E17">
        <v>0</v>
      </c>
      <c r="F17">
        <v>16</v>
      </c>
      <c r="G17">
        <v>1</v>
      </c>
      <c r="H17">
        <v>10</v>
      </c>
      <c r="I17">
        <v>10</v>
      </c>
      <c r="J17">
        <v>10</v>
      </c>
      <c r="K17">
        <f>408+672+2156+2235*4</f>
        <v>12176</v>
      </c>
      <c r="L17" t="str">
        <f t="shared" si="0"/>
        <v>INSERT INTO `jugador`( `nombre`, `puntos`, `victorias`, `derrotas`, `ranking`, `seed`, `clay`, `grass`, `hard`, `power`) VALUES('Lucas Pouille','0','0','0','16','1','10','10','10','12176');</v>
      </c>
    </row>
    <row r="18" spans="1:12" x14ac:dyDescent="0.3">
      <c r="A18" s="1">
        <v>17</v>
      </c>
      <c r="B18" t="s">
        <v>15</v>
      </c>
      <c r="C18">
        <v>0</v>
      </c>
      <c r="D18">
        <v>0</v>
      </c>
      <c r="E18">
        <v>0</v>
      </c>
      <c r="F18">
        <v>17</v>
      </c>
      <c r="G18">
        <v>1</v>
      </c>
      <c r="H18">
        <v>10</v>
      </c>
      <c r="I18">
        <v>10</v>
      </c>
      <c r="J18">
        <v>10</v>
      </c>
      <c r="K18">
        <f>4600+4620+3060+2095*3</f>
        <v>18565</v>
      </c>
      <c r="L18" t="str">
        <f t="shared" si="0"/>
        <v>INSERT INTO `jugador`( `nombre`, `puntos`, `victorias`, `derrotas`, `ranking`, `seed`, `clay`, `grass`, `hard`, `power`) VALUES('Tomáš Berdych','0','0','0','17','1','10','10','10','18565');</v>
      </c>
    </row>
    <row r="19" spans="1:12" x14ac:dyDescent="0.3">
      <c r="A19" s="1">
        <v>18</v>
      </c>
      <c r="B19" t="s">
        <v>16</v>
      </c>
      <c r="C19">
        <v>0</v>
      </c>
      <c r="D19">
        <v>0</v>
      </c>
      <c r="E19">
        <v>0</v>
      </c>
      <c r="F19">
        <v>18</v>
      </c>
      <c r="G19">
        <v>1</v>
      </c>
      <c r="H19">
        <v>10</v>
      </c>
      <c r="I19">
        <v>10</v>
      </c>
      <c r="J19">
        <v>10</v>
      </c>
      <c r="K19">
        <f>1890+2495+1850+2265*3</f>
        <v>13030</v>
      </c>
      <c r="L19" t="str">
        <f t="shared" si="0"/>
        <v>INSERT INTO `jugador`( `nombre`, `puntos`, `victorias`, `derrotas`, `ranking`, `seed`, `clay`, `grass`, `hard`, `power`) VALUES('John Isner','0','0','0','18','1','10','10','10','13030');</v>
      </c>
    </row>
    <row r="20" spans="1:12" x14ac:dyDescent="0.3">
      <c r="A20" s="1">
        <v>19</v>
      </c>
      <c r="B20" t="s">
        <v>17</v>
      </c>
      <c r="C20">
        <v>0</v>
      </c>
      <c r="D20">
        <v>0</v>
      </c>
      <c r="E20">
        <v>0</v>
      </c>
      <c r="F20">
        <v>19</v>
      </c>
      <c r="G20">
        <v>1</v>
      </c>
      <c r="H20">
        <v>10</v>
      </c>
      <c r="I20">
        <v>10</v>
      </c>
      <c r="J20">
        <v>10</v>
      </c>
      <c r="K20">
        <f>761+798+1435+1845*3</f>
        <v>8529</v>
      </c>
      <c r="L20" t="str">
        <f t="shared" si="0"/>
        <v>INSERT INTO `jugador`( `nombre`, `puntos`, `victorias`, `derrotas`, `ranking`, `seed`, `clay`, `grass`, `hard`, `power`) VALUES('Albert Ramos Viñolas','0','0','0','19','1','10','10','10','8529');</v>
      </c>
    </row>
    <row r="21" spans="1:12" x14ac:dyDescent="0.3">
      <c r="A21" s="1">
        <v>20</v>
      </c>
      <c r="B21" t="s">
        <v>18</v>
      </c>
      <c r="C21">
        <v>0</v>
      </c>
      <c r="D21">
        <v>0</v>
      </c>
      <c r="E21">
        <v>0</v>
      </c>
      <c r="F21">
        <v>20</v>
      </c>
      <c r="G21">
        <v>1</v>
      </c>
      <c r="H21">
        <v>10</v>
      </c>
      <c r="I21">
        <v>12</v>
      </c>
      <c r="J21">
        <v>11</v>
      </c>
      <c r="K21">
        <f>4675+8945+12410+2290*4</f>
        <v>35190</v>
      </c>
      <c r="L21" t="str">
        <f t="shared" si="0"/>
        <v>INSERT INTO `jugador`( `nombre`, `puntos`, `victorias`, `derrotas`, `ranking`, `seed`, `clay`, `grass`, `hard`, `power`) VALUES('Andy Murray','0','0','0','20','1','10','12','11','35190');</v>
      </c>
    </row>
    <row r="22" spans="1:12" x14ac:dyDescent="0.3">
      <c r="A22" s="1">
        <v>21</v>
      </c>
      <c r="B22" t="s">
        <v>19</v>
      </c>
      <c r="C22">
        <v>0</v>
      </c>
      <c r="D22">
        <v>0</v>
      </c>
      <c r="E22">
        <v>0</v>
      </c>
      <c r="F22">
        <v>21</v>
      </c>
      <c r="G22">
        <v>1</v>
      </c>
      <c r="H22">
        <v>10</v>
      </c>
      <c r="I22">
        <v>10</v>
      </c>
      <c r="J22">
        <v>10</v>
      </c>
      <c r="K22">
        <f>1790+1515+945+1670*3</f>
        <v>9260</v>
      </c>
      <c r="L22" t="str">
        <f t="shared" si="0"/>
        <v>INSERT INTO `jugador`( `nombre`, `puntos`, `victorias`, `derrotas`, `ranking`, `seed`, `clay`, `grass`, `hard`, `power`) VALUES('Fabio Fognini','0','0','0','21','1','10','10','10','9260');</v>
      </c>
    </row>
    <row r="23" spans="1:12" x14ac:dyDescent="0.3">
      <c r="A23" s="1">
        <v>22</v>
      </c>
      <c r="B23" t="s">
        <v>20</v>
      </c>
      <c r="C23">
        <v>0</v>
      </c>
      <c r="D23">
        <v>0</v>
      </c>
      <c r="E23">
        <v>0</v>
      </c>
      <c r="F23">
        <v>22</v>
      </c>
      <c r="G23">
        <v>1</v>
      </c>
      <c r="H23">
        <v>10</v>
      </c>
      <c r="I23">
        <v>10</v>
      </c>
      <c r="J23">
        <v>10</v>
      </c>
      <c r="K23">
        <f>2110+1480+2350+2015*2</f>
        <v>9970</v>
      </c>
      <c r="L23" t="str">
        <f t="shared" si="0"/>
        <v>INSERT INTO `jugador`( `nombre`, `puntos`, `victorias`, `derrotas`, `ranking`, `seed`, `clay`, `grass`, `hard`, `power`) VALUES('Roberto Bautista Agut','0','0','0','22','1','10','10','10','9970');</v>
      </c>
    </row>
    <row r="24" spans="1:12" x14ac:dyDescent="0.3">
      <c r="A24" s="1">
        <v>23</v>
      </c>
      <c r="B24" t="s">
        <v>21</v>
      </c>
      <c r="C24">
        <v>0</v>
      </c>
      <c r="D24">
        <v>0</v>
      </c>
      <c r="E24">
        <v>0</v>
      </c>
      <c r="F24">
        <v>23</v>
      </c>
      <c r="G24">
        <v>1</v>
      </c>
      <c r="H24">
        <v>10</v>
      </c>
      <c r="I24">
        <v>10</v>
      </c>
      <c r="J24">
        <v>10</v>
      </c>
      <c r="K24">
        <f>775+624+864+1675*3</f>
        <v>7288</v>
      </c>
      <c r="L24" t="str">
        <f t="shared" si="0"/>
        <v>INSERT INTO `jugador`( `nombre`, `puntos`, `victorias`, `derrotas`, `ranking`, `seed`, `clay`, `grass`, `hard`, `power`) VALUES('Diego Schwartzman','0','0','0','23','1','10','10','10','7288');</v>
      </c>
    </row>
    <row r="25" spans="1:12" x14ac:dyDescent="0.3">
      <c r="A25" s="1">
        <v>24</v>
      </c>
      <c r="B25" t="s">
        <v>22</v>
      </c>
      <c r="C25">
        <v>0</v>
      </c>
      <c r="D25">
        <v>0</v>
      </c>
      <c r="E25">
        <v>0</v>
      </c>
      <c r="F25">
        <v>24</v>
      </c>
      <c r="G25">
        <v>1</v>
      </c>
      <c r="H25">
        <v>10</v>
      </c>
      <c r="I25">
        <v>10</v>
      </c>
      <c r="J25">
        <v>10</v>
      </c>
      <c r="K25">
        <f>898+930+791+1635*4</f>
        <v>9159</v>
      </c>
      <c r="L25" t="str">
        <f t="shared" si="0"/>
        <v>INSERT INTO `jugador`( `nombre`, `puntos`, `victorias`, `derrotas`, `ranking`, `seed`, `clay`, `grass`, `hard`, `power`) VALUES('Adrian Mannarino','0','0','0','24','1','10','10','10','9159');</v>
      </c>
    </row>
    <row r="26" spans="1:12" x14ac:dyDescent="0.3">
      <c r="A26" s="1">
        <v>25</v>
      </c>
      <c r="B26" t="s">
        <v>23</v>
      </c>
      <c r="C26">
        <v>0</v>
      </c>
      <c r="D26">
        <v>0</v>
      </c>
      <c r="E26">
        <v>0</v>
      </c>
      <c r="F26">
        <v>25</v>
      </c>
      <c r="G26">
        <v>1</v>
      </c>
      <c r="H26">
        <v>10</v>
      </c>
      <c r="I26">
        <v>10</v>
      </c>
      <c r="J26">
        <v>10</v>
      </c>
      <c r="K26">
        <f>260+568+1001+992*6</f>
        <v>7781</v>
      </c>
      <c r="L26" t="str">
        <f t="shared" si="0"/>
        <v>INSERT INTO `jugador`( `nombre`, `puntos`, `victorias`, `derrotas`, `ranking`, `seed`, `clay`, `grass`, `hard`, `power`) VALUES('Kyle Edmund','0','0','0','25','1','10','10','10','7781');</v>
      </c>
    </row>
    <row r="27" spans="1:12" x14ac:dyDescent="0.3">
      <c r="A27" s="1">
        <v>26</v>
      </c>
      <c r="B27" t="s">
        <v>24</v>
      </c>
      <c r="C27">
        <v>0</v>
      </c>
      <c r="D27">
        <v>0</v>
      </c>
      <c r="E27">
        <v>0</v>
      </c>
      <c r="F27">
        <v>26</v>
      </c>
      <c r="G27">
        <v>1</v>
      </c>
      <c r="H27">
        <v>10</v>
      </c>
      <c r="I27">
        <v>10</v>
      </c>
      <c r="J27">
        <v>10</v>
      </c>
      <c r="K27">
        <f>5025+4235+4905+1885*2</f>
        <v>17935</v>
      </c>
      <c r="L27" t="str">
        <f t="shared" si="0"/>
        <v>INSERT INTO `jugador`( `nombre`, `puntos`, `victorias`, `derrotas`, `ranking`, `seed`, `clay`, `grass`, `hard`, `power`) VALUES('Kei Nishikori','0','0','0','26','1','10','10','10','17935');</v>
      </c>
    </row>
    <row r="28" spans="1:12" x14ac:dyDescent="0.3">
      <c r="A28" s="1">
        <v>27</v>
      </c>
      <c r="B28" t="s">
        <v>25</v>
      </c>
      <c r="C28">
        <v>0</v>
      </c>
      <c r="D28">
        <v>0</v>
      </c>
      <c r="E28">
        <v>0</v>
      </c>
      <c r="F28">
        <v>27</v>
      </c>
      <c r="G28">
        <v>1</v>
      </c>
      <c r="H28">
        <v>10</v>
      </c>
      <c r="I28">
        <v>10</v>
      </c>
      <c r="J28">
        <v>10</v>
      </c>
      <c r="K28">
        <f>2740+2635+2550+2320*2</f>
        <v>12565</v>
      </c>
      <c r="L28" t="str">
        <f t="shared" si="0"/>
        <v>INSERT INTO `jugador`( `nombre`, `puntos`, `victorias`, `derrotas`, `ranking`, `seed`, `clay`, `grass`, `hard`, `power`) VALUES('Jo-Wilfried Tsonga','0','0','0','27','1','10','10','10','12565');</v>
      </c>
    </row>
    <row r="29" spans="1:12" x14ac:dyDescent="0.3">
      <c r="A29" s="1">
        <v>28</v>
      </c>
      <c r="B29" t="s">
        <v>26</v>
      </c>
      <c r="C29">
        <v>0</v>
      </c>
      <c r="D29">
        <v>0</v>
      </c>
      <c r="E29">
        <v>0</v>
      </c>
      <c r="F29">
        <v>28</v>
      </c>
      <c r="G29">
        <v>1</v>
      </c>
      <c r="H29">
        <v>10</v>
      </c>
      <c r="I29">
        <v>10</v>
      </c>
      <c r="J29">
        <v>10</v>
      </c>
      <c r="K29">
        <f>855+1105+1255+1695*2</f>
        <v>6605</v>
      </c>
      <c r="L29" t="str">
        <f t="shared" si="0"/>
        <v>INSERT INTO `jugador`( `nombre`, `puntos`, `victorias`, `derrotas`, `ranking`, `seed`, `clay`, `grass`, `hard`, `power`) VALUES('Gilles Müller','0','0','0','28','1','10','10','10','6605');</v>
      </c>
    </row>
    <row r="30" spans="1:12" x14ac:dyDescent="0.3">
      <c r="A30" s="1">
        <v>29</v>
      </c>
      <c r="B30" t="s">
        <v>27</v>
      </c>
      <c r="C30">
        <v>0</v>
      </c>
      <c r="D30">
        <v>0</v>
      </c>
      <c r="E30">
        <v>0</v>
      </c>
      <c r="F30">
        <v>29</v>
      </c>
      <c r="G30">
        <v>1</v>
      </c>
      <c r="H30">
        <v>10</v>
      </c>
      <c r="I30">
        <v>10</v>
      </c>
      <c r="J30">
        <v>10</v>
      </c>
      <c r="K30">
        <f>526+649+699+1391*5</f>
        <v>8829</v>
      </c>
      <c r="L30" t="str">
        <f t="shared" si="0"/>
        <v>INSERT INTO `jugador`( `nombre`, `puntos`, `victorias`, `derrotas`, `ranking`, `seed`, `clay`, `grass`, `hard`, `power`) VALUES('Damir Džumhur','0','0','0','29','1','10','10','10','8829');</v>
      </c>
    </row>
    <row r="31" spans="1:12" x14ac:dyDescent="0.3">
      <c r="A31" s="1">
        <v>30</v>
      </c>
      <c r="B31" t="s">
        <v>28</v>
      </c>
      <c r="C31">
        <v>0</v>
      </c>
      <c r="D31">
        <v>0</v>
      </c>
      <c r="E31">
        <v>0</v>
      </c>
      <c r="F31">
        <v>30</v>
      </c>
      <c r="G31">
        <v>1</v>
      </c>
      <c r="H31">
        <v>10</v>
      </c>
      <c r="I31">
        <v>10</v>
      </c>
      <c r="J31">
        <v>10</v>
      </c>
      <c r="K31">
        <f>299+817+571+844*6</f>
        <v>6751</v>
      </c>
      <c r="L31" t="str">
        <f t="shared" si="0"/>
        <v>INSERT INTO `jugador`( `nombre`, `puntos`, `victorias`, `derrotas`, `ranking`, `seed`, `clay`, `grass`, `hard`, `power`) VALUES('Hyeon Chung','0','0','0','30','1','10','10','10','6751');</v>
      </c>
    </row>
    <row r="32" spans="1:12" x14ac:dyDescent="0.3">
      <c r="A32" s="1">
        <v>31</v>
      </c>
      <c r="B32" t="s">
        <v>29</v>
      </c>
      <c r="C32">
        <v>0</v>
      </c>
      <c r="D32">
        <v>0</v>
      </c>
      <c r="E32">
        <v>0</v>
      </c>
      <c r="F32">
        <v>31</v>
      </c>
      <c r="G32">
        <v>1</v>
      </c>
      <c r="H32">
        <v>10</v>
      </c>
      <c r="I32">
        <v>10</v>
      </c>
      <c r="J32">
        <v>10</v>
      </c>
      <c r="K32">
        <f>92+270+395+1229*5</f>
        <v>6902</v>
      </c>
      <c r="L32" t="str">
        <f t="shared" si="0"/>
        <v>INSERT INTO `jugador`( `nombre`, `puntos`, `victorias`, `derrotas`, `ranking`, `seed`, `clay`, `grass`, `hard`, `power`) VALUES('Andrey Rublev','0','0','0','31','1','10','10','10','6902');</v>
      </c>
    </row>
    <row r="33" spans="1:12" x14ac:dyDescent="0.3">
      <c r="A33" s="1">
        <v>32</v>
      </c>
      <c r="B33" t="s">
        <v>30</v>
      </c>
      <c r="C33">
        <v>0</v>
      </c>
      <c r="D33">
        <v>0</v>
      </c>
      <c r="E33">
        <v>0</v>
      </c>
      <c r="F33">
        <v>32</v>
      </c>
      <c r="G33">
        <v>1</v>
      </c>
      <c r="H33">
        <v>10</v>
      </c>
      <c r="I33">
        <v>10</v>
      </c>
      <c r="J33">
        <v>10</v>
      </c>
      <c r="K33">
        <f>4440+2170+5450+1795*2</f>
        <v>15650</v>
      </c>
      <c r="L33" t="str">
        <f t="shared" si="0"/>
        <v>INSERT INTO `jugador`( `nombre`, `puntos`, `victorias`, `derrotas`, `ranking`, `seed`, `clay`, `grass`, `hard`, `power`) VALUES('Milos Raonic','0','0','0','32','1','10','10','10','15650');</v>
      </c>
    </row>
    <row r="34" spans="1:12" x14ac:dyDescent="0.3">
      <c r="A34" s="1">
        <v>33</v>
      </c>
      <c r="B34" t="s">
        <v>31</v>
      </c>
      <c r="C34">
        <v>0</v>
      </c>
      <c r="D34">
        <v>0</v>
      </c>
      <c r="E34">
        <v>0</v>
      </c>
      <c r="F34">
        <v>33</v>
      </c>
      <c r="G34">
        <v>1</v>
      </c>
      <c r="H34">
        <v>10</v>
      </c>
      <c r="I34">
        <v>10</v>
      </c>
      <c r="J34">
        <v>10</v>
      </c>
      <c r="K34">
        <f>1222+1065+1780+1370*2</f>
        <v>6807</v>
      </c>
      <c r="L34" t="str">
        <f t="shared" si="0"/>
        <v>INSERT INTO `jugador`( `nombre`, `puntos`, `victorias`, `derrotas`, `ranking`, `seed`, `clay`, `grass`, `hard`, `power`) VALUES('Pablo Cuevas','0','0','0','33','1','10','10','10','6807');</v>
      </c>
    </row>
    <row r="35" spans="1:12" x14ac:dyDescent="0.3">
      <c r="A35" s="1">
        <v>34</v>
      </c>
      <c r="B35" t="s">
        <v>32</v>
      </c>
      <c r="C35">
        <v>0</v>
      </c>
      <c r="D35">
        <v>0</v>
      </c>
      <c r="E35">
        <v>0</v>
      </c>
      <c r="F35">
        <v>34</v>
      </c>
      <c r="G35">
        <v>1</v>
      </c>
      <c r="H35">
        <v>10</v>
      </c>
      <c r="I35">
        <v>10</v>
      </c>
      <c r="J35">
        <v>10</v>
      </c>
      <c r="K35">
        <f>1350+2850+1885+1375*2</f>
        <v>8835</v>
      </c>
      <c r="L35" t="str">
        <f t="shared" si="0"/>
        <v>INSERT INTO `jugador`( `nombre`, `puntos`, `victorias`, `derrotas`, `ranking`, `seed`, `clay`, `grass`, `hard`, `power`) VALUES('Richard Gasquet','0','0','0','34','1','10','10','10','8835');</v>
      </c>
    </row>
    <row r="36" spans="1:12" x14ac:dyDescent="0.3">
      <c r="A36" s="1">
        <v>35</v>
      </c>
      <c r="B36" t="s">
        <v>33</v>
      </c>
      <c r="C36">
        <v>0</v>
      </c>
      <c r="D36">
        <v>0</v>
      </c>
      <c r="E36">
        <v>0</v>
      </c>
      <c r="F36">
        <v>35</v>
      </c>
      <c r="G36">
        <v>1</v>
      </c>
      <c r="H36">
        <v>10</v>
      </c>
      <c r="I36">
        <v>10</v>
      </c>
      <c r="J36">
        <v>10</v>
      </c>
      <c r="K36">
        <f>1415+1185+1325+1440*2</f>
        <v>6805</v>
      </c>
      <c r="L36" t="str">
        <f t="shared" si="0"/>
        <v>INSERT INTO `jugador`( `nombre`, `puntos`, `victorias`, `derrotas`, `ranking`, `seed`, `clay`, `grass`, `hard`, `power`) VALUES('Philipp Kohlschreiber','0','0','0','35','1','10','10','10','6805');</v>
      </c>
    </row>
    <row r="37" spans="1:12" x14ac:dyDescent="0.3">
      <c r="A37" s="1">
        <v>36</v>
      </c>
      <c r="B37" t="s">
        <v>118</v>
      </c>
      <c r="C37">
        <v>0</v>
      </c>
      <c r="D37">
        <v>0</v>
      </c>
      <c r="E37">
        <v>0</v>
      </c>
      <c r="F37">
        <v>36</v>
      </c>
      <c r="G37">
        <v>1</v>
      </c>
      <c r="H37">
        <v>10</v>
      </c>
      <c r="I37">
        <v>10</v>
      </c>
      <c r="J37">
        <v>10</v>
      </c>
      <c r="K37">
        <f>558+574+223+1298*3</f>
        <v>5249</v>
      </c>
      <c r="L37" t="str">
        <f t="shared" si="0"/>
        <v>INSERT INTO `jugador`( `nombre`, `puntos`, `victorias`, `derrotas`, `ranking`, `seed`, `clay`, `grass`, `hard`, `power`) VALUES('Filip Krajinovic','0','0','0','36','1','10','10','10','5249');</v>
      </c>
    </row>
    <row r="38" spans="1:12" x14ac:dyDescent="0.3">
      <c r="A38" s="1">
        <v>37</v>
      </c>
      <c r="B38" t="s">
        <v>34</v>
      </c>
      <c r="C38">
        <v>0</v>
      </c>
      <c r="D38">
        <v>0</v>
      </c>
      <c r="E38">
        <v>0</v>
      </c>
      <c r="F38">
        <v>37</v>
      </c>
      <c r="G38">
        <v>1</v>
      </c>
      <c r="H38">
        <v>10</v>
      </c>
      <c r="I38">
        <v>10</v>
      </c>
      <c r="J38">
        <v>10</v>
      </c>
      <c r="K38">
        <f>2130+1690+1410+1295*2</f>
        <v>7820</v>
      </c>
      <c r="L38" t="str">
        <f t="shared" si="0"/>
        <v>INSERT INTO `jugador`( `nombre`, `puntos`, `victorias`, `derrotas`, `ranking`, `seed`, `clay`, `grass`, `hard`, `power`) VALUES('Feliciano López','0','0','0','37','1','10','10','10','7820');</v>
      </c>
    </row>
    <row r="39" spans="1:12" x14ac:dyDescent="0.3">
      <c r="A39" s="1">
        <v>38</v>
      </c>
      <c r="B39" t="s">
        <v>35</v>
      </c>
      <c r="C39">
        <v>0</v>
      </c>
      <c r="D39">
        <v>0</v>
      </c>
      <c r="E39">
        <v>0</v>
      </c>
      <c r="F39">
        <v>38</v>
      </c>
      <c r="G39">
        <v>1</v>
      </c>
      <c r="H39">
        <v>10</v>
      </c>
      <c r="I39">
        <v>10</v>
      </c>
      <c r="J39">
        <v>10</v>
      </c>
      <c r="K39">
        <f>4045+4305+1785+1290*2</f>
        <v>12715</v>
      </c>
      <c r="L39" t="str">
        <f t="shared" si="0"/>
        <v>INSERT INTO `jugador`( `nombre`, `puntos`, `victorias`, `derrotas`, `ranking`, `seed`, `clay`, `grass`, `hard`, `power`) VALUES('David Ferrer','0','0','0','38','1','10','10','10','12715');</v>
      </c>
    </row>
    <row r="40" spans="1:12" x14ac:dyDescent="0.3">
      <c r="A40" s="1">
        <v>39</v>
      </c>
      <c r="B40" t="s">
        <v>36</v>
      </c>
      <c r="C40">
        <v>0</v>
      </c>
      <c r="D40">
        <v>0</v>
      </c>
      <c r="E40">
        <v>0</v>
      </c>
      <c r="F40">
        <v>39</v>
      </c>
      <c r="G40">
        <v>1</v>
      </c>
      <c r="H40">
        <v>10</v>
      </c>
      <c r="I40">
        <v>10</v>
      </c>
      <c r="J40">
        <v>10</v>
      </c>
      <c r="K40">
        <f>1900+1485+3625+1015*2</f>
        <v>9040</v>
      </c>
      <c r="L40" t="str">
        <f t="shared" si="0"/>
        <v>INSERT INTO `jugador`( `nombre`, `puntos`, `victorias`, `derrotas`, `ranking`, `seed`, `clay`, `grass`, `hard`, `power`) VALUES('Gaël Monfils','0','0','0','39','1','10','10','10','9040');</v>
      </c>
    </row>
    <row r="41" spans="1:12" x14ac:dyDescent="0.3">
      <c r="A41" s="1">
        <v>40</v>
      </c>
      <c r="B41" t="s">
        <v>37</v>
      </c>
      <c r="C41">
        <v>0</v>
      </c>
      <c r="D41">
        <v>0</v>
      </c>
      <c r="E41">
        <v>0</v>
      </c>
      <c r="F41">
        <v>40</v>
      </c>
      <c r="G41">
        <v>1</v>
      </c>
      <c r="H41">
        <v>10</v>
      </c>
      <c r="I41">
        <v>10</v>
      </c>
      <c r="J41">
        <v>10</v>
      </c>
      <c r="K41">
        <f>1135+900+1035+1295*2</f>
        <v>5660</v>
      </c>
      <c r="L41" t="str">
        <f t="shared" si="0"/>
        <v>INSERT INTO `jugador`( `nombre`, `puntos`, `victorias`, `derrotas`, `ranking`, `seed`, `clay`, `grass`, `hard`, `power`) VALUES('Fernando Verdasco','0','0','0','40','1','10','10','10','5660');</v>
      </c>
    </row>
    <row r="42" spans="1:12" x14ac:dyDescent="0.3">
      <c r="A42" s="1">
        <v>41</v>
      </c>
      <c r="B42" t="s">
        <v>119</v>
      </c>
      <c r="C42">
        <v>0</v>
      </c>
      <c r="D42">
        <v>0</v>
      </c>
      <c r="E42">
        <v>0</v>
      </c>
      <c r="F42">
        <v>41</v>
      </c>
      <c r="G42">
        <v>1</v>
      </c>
      <c r="H42">
        <v>10</v>
      </c>
      <c r="I42">
        <v>10</v>
      </c>
      <c r="J42">
        <v>10</v>
      </c>
      <c r="K42">
        <f>420+472+527+1219*2</f>
        <v>3857</v>
      </c>
      <c r="L42" t="str">
        <f t="shared" si="0"/>
        <v>INSERT INTO `jugador`( `nombre`, `puntos`, `victorias`, `derrotas`, `ranking`, `seed`, `clay`, `grass`, `hard`, `power`) VALUES('Yuichi Sugita','0','0','0','41','1','10','10','10','3857');</v>
      </c>
    </row>
    <row r="43" spans="1:12" x14ac:dyDescent="0.3">
      <c r="A43" s="1">
        <v>42</v>
      </c>
      <c r="B43" t="s">
        <v>38</v>
      </c>
      <c r="C43">
        <v>0</v>
      </c>
      <c r="D43">
        <v>0</v>
      </c>
      <c r="E43">
        <v>0</v>
      </c>
      <c r="F43">
        <v>42</v>
      </c>
      <c r="G43">
        <v>1</v>
      </c>
      <c r="H43">
        <v>10</v>
      </c>
      <c r="I43">
        <v>10</v>
      </c>
      <c r="J43">
        <v>10</v>
      </c>
      <c r="K43">
        <f>620+740+795+1130*2</f>
        <v>4415</v>
      </c>
      <c r="L43" t="str">
        <f t="shared" si="0"/>
        <v>INSERT INTO `jugador`( `nombre`, `puntos`, `victorias`, `derrotas`, `ranking`, `seed`, `clay`, `grass`, `hard`, `power`) VALUES('Robin Haase','0','0','0','42','1','10','10','10','4415');</v>
      </c>
    </row>
    <row r="44" spans="1:12" x14ac:dyDescent="0.3">
      <c r="A44" s="1">
        <v>43</v>
      </c>
      <c r="B44" t="s">
        <v>39</v>
      </c>
      <c r="C44">
        <v>0</v>
      </c>
      <c r="D44">
        <v>0</v>
      </c>
      <c r="E44">
        <v>0</v>
      </c>
      <c r="F44">
        <v>43</v>
      </c>
      <c r="G44">
        <v>1</v>
      </c>
      <c r="H44">
        <v>10</v>
      </c>
      <c r="I44">
        <v>10</v>
      </c>
      <c r="J44">
        <v>10</v>
      </c>
      <c r="K44">
        <f>370+939+592+993*2</f>
        <v>3887</v>
      </c>
      <c r="L44" t="str">
        <f t="shared" si="0"/>
        <v>INSERT INTO `jugador`( `nombre`, `puntos`, `victorias`, `derrotas`, `ranking`, `seed`, `clay`, `grass`, `hard`, `power`) VALUES('Aljaž Bedene','0','0','0','43','1','10','10','10','3887');</v>
      </c>
    </row>
    <row r="45" spans="1:12" x14ac:dyDescent="0.3">
      <c r="A45" s="1">
        <v>44</v>
      </c>
      <c r="B45" t="s">
        <v>40</v>
      </c>
      <c r="C45">
        <v>0</v>
      </c>
      <c r="D45">
        <v>0</v>
      </c>
      <c r="E45">
        <v>0</v>
      </c>
      <c r="F45">
        <v>44</v>
      </c>
      <c r="G45">
        <v>1</v>
      </c>
      <c r="H45">
        <v>10</v>
      </c>
      <c r="I45">
        <v>10</v>
      </c>
      <c r="J45">
        <v>10</v>
      </c>
      <c r="K45">
        <f>1455+1135+760+1231*2</f>
        <v>5812</v>
      </c>
      <c r="L45" t="str">
        <f t="shared" si="0"/>
        <v>INSERT INTO `jugador`( `nombre`, `puntos`, `victorias`, `derrotas`, `ranking`, `seed`, `clay`, `grass`, `hard`, `power`) VALUES('Alexandr Dolgopolov','0','0','0','44','1','10','10','10','5812');</v>
      </c>
    </row>
    <row r="46" spans="1:12" x14ac:dyDescent="0.3">
      <c r="A46" s="1">
        <v>45</v>
      </c>
      <c r="B46" t="s">
        <v>41</v>
      </c>
      <c r="C46">
        <v>0</v>
      </c>
      <c r="D46">
        <v>0</v>
      </c>
      <c r="E46">
        <v>0</v>
      </c>
      <c r="F46">
        <v>45</v>
      </c>
      <c r="G46">
        <v>1</v>
      </c>
      <c r="H46">
        <v>10</v>
      </c>
      <c r="I46">
        <v>10</v>
      </c>
      <c r="J46">
        <v>10</v>
      </c>
      <c r="K46">
        <f>474+1633+960+1155*2</f>
        <v>5377</v>
      </c>
      <c r="L46" t="str">
        <f t="shared" si="0"/>
        <v>INSERT INTO `jugador`( `nombre`, `puntos`, `victorias`, `derrotas`, `ranking`, `seed`, `clay`, `grass`, `hard`, `power`) VALUES('Benoît Paire','0','0','0','45','1','10','10','10','5377');</v>
      </c>
    </row>
    <row r="47" spans="1:12" x14ac:dyDescent="0.3">
      <c r="A47" s="1">
        <v>46</v>
      </c>
      <c r="B47" t="s">
        <v>42</v>
      </c>
      <c r="C47">
        <v>0</v>
      </c>
      <c r="D47">
        <v>0</v>
      </c>
      <c r="E47">
        <v>0</v>
      </c>
      <c r="F47">
        <v>46</v>
      </c>
      <c r="G47">
        <v>1</v>
      </c>
      <c r="H47">
        <v>10</v>
      </c>
      <c r="I47">
        <v>10</v>
      </c>
      <c r="J47">
        <v>10</v>
      </c>
      <c r="K47">
        <f>0+8+209+981*4</f>
        <v>4141</v>
      </c>
      <c r="L47" t="str">
        <f t="shared" si="0"/>
        <v>INSERT INTO `jugador`( `nombre`, `puntos`, `victorias`, `derrotas`, `ranking`, `seed`, `clay`, `grass`, `hard`, `power`) VALUES('Denis Shapovalov','0','0','0','46','1','10','10','10','4141');</v>
      </c>
    </row>
    <row r="48" spans="1:12" x14ac:dyDescent="0.3">
      <c r="A48" s="1">
        <v>47</v>
      </c>
      <c r="B48" t="s">
        <v>43</v>
      </c>
      <c r="C48">
        <v>0</v>
      </c>
      <c r="D48">
        <v>0</v>
      </c>
      <c r="E48">
        <v>0</v>
      </c>
      <c r="F48">
        <v>47</v>
      </c>
      <c r="G48">
        <v>1</v>
      </c>
      <c r="H48">
        <v>10</v>
      </c>
      <c r="I48">
        <v>10</v>
      </c>
      <c r="J48">
        <v>10</v>
      </c>
      <c r="K48">
        <f>116+379+863+1030*2</f>
        <v>3418</v>
      </c>
      <c r="L48" t="str">
        <f t="shared" si="0"/>
        <v>INSERT INTO `jugador`( `nombre`, `puntos`, `victorias`, `derrotas`, `ranking`, `seed`, `clay`, `grass`, `hard`, `power`) VALUES('Karen Khachanov','0','0','0','47','1','10','10','10','3418');</v>
      </c>
    </row>
    <row r="49" spans="1:12" x14ac:dyDescent="0.3">
      <c r="A49" s="1">
        <v>48</v>
      </c>
      <c r="B49" t="s">
        <v>120</v>
      </c>
      <c r="C49">
        <v>0</v>
      </c>
      <c r="D49">
        <v>0</v>
      </c>
      <c r="E49">
        <v>0</v>
      </c>
      <c r="F49">
        <v>48</v>
      </c>
      <c r="G49">
        <v>1</v>
      </c>
      <c r="H49">
        <v>10</v>
      </c>
      <c r="I49">
        <v>10</v>
      </c>
      <c r="J49">
        <v>10</v>
      </c>
      <c r="K49">
        <f>557+941+945+1001*2</f>
        <v>4445</v>
      </c>
      <c r="L49" t="str">
        <f t="shared" si="0"/>
        <v>INSERT INTO `jugador`( `nombre`, `puntos`, `victorias`, `derrotas`, `ranking`, `seed`, `clay`, `grass`, `hard`, `power`) VALUES('Borna Coric','0','0','0','48','1','10','10','10','4445');</v>
      </c>
    </row>
    <row r="50" spans="1:12" x14ac:dyDescent="0.3">
      <c r="A50" s="1">
        <v>49</v>
      </c>
      <c r="B50" t="s">
        <v>44</v>
      </c>
      <c r="C50">
        <v>0</v>
      </c>
      <c r="D50">
        <v>0</v>
      </c>
      <c r="E50">
        <v>0</v>
      </c>
      <c r="F50">
        <v>49</v>
      </c>
      <c r="G50">
        <v>1</v>
      </c>
      <c r="H50">
        <v>10</v>
      </c>
      <c r="I50">
        <v>10</v>
      </c>
      <c r="J50">
        <v>10</v>
      </c>
      <c r="K50">
        <f>1299+1150+448+909*2</f>
        <v>4715</v>
      </c>
      <c r="L50" t="str">
        <f t="shared" si="0"/>
        <v>INSERT INTO `jugador`( `nombre`, `puntos`, `victorias`, `derrotas`, `ranking`, `seed`, `clay`, `grass`, `hard`, `power`) VALUES('Leonardo Mayer','0','0','0','49','1','10','10','10','4715');</v>
      </c>
    </row>
    <row r="51" spans="1:12" x14ac:dyDescent="0.3">
      <c r="A51" s="1">
        <v>50</v>
      </c>
      <c r="B51" t="s">
        <v>45</v>
      </c>
      <c r="C51">
        <v>0</v>
      </c>
      <c r="D51">
        <v>0</v>
      </c>
      <c r="E51">
        <v>0</v>
      </c>
      <c r="F51">
        <v>50</v>
      </c>
      <c r="G51">
        <v>1</v>
      </c>
      <c r="H51">
        <v>10</v>
      </c>
      <c r="I51">
        <v>10</v>
      </c>
      <c r="J51">
        <v>10</v>
      </c>
      <c r="K51">
        <f>39+144+611+772*3</f>
        <v>3110</v>
      </c>
      <c r="L51" t="str">
        <f t="shared" si="0"/>
        <v>INSERT INTO `jugador`( `nombre`, `puntos`, `victorias`, `derrotas`, `ranking`, `seed`, `clay`, `grass`, `hard`, `power`) VALUES('Daniil Medvedev','0','0','0','50','1','10','10','10','3110');</v>
      </c>
    </row>
    <row r="52" spans="1:12" x14ac:dyDescent="0.3">
      <c r="A52" s="1">
        <v>51</v>
      </c>
      <c r="B52" t="s">
        <v>46</v>
      </c>
      <c r="C52">
        <v>0</v>
      </c>
      <c r="D52">
        <v>0</v>
      </c>
      <c r="E52">
        <v>0</v>
      </c>
      <c r="F52">
        <v>51</v>
      </c>
      <c r="G52">
        <v>1</v>
      </c>
      <c r="H52">
        <v>10</v>
      </c>
      <c r="I52">
        <v>10</v>
      </c>
      <c r="J52">
        <v>10</v>
      </c>
      <c r="K52">
        <f>999+1240+1320+1055*2</f>
        <v>5669</v>
      </c>
      <c r="L52" t="str">
        <f t="shared" si="0"/>
        <v>INSERT INTO `jugador`( `nombre`, `puntos`, `victorias`, `derrotas`, `ranking`, `seed`, `clay`, `grass`, `hard`, `power`) VALUES('Steve Johnson','0','0','0','51','1','10','10','10','5669');</v>
      </c>
    </row>
    <row r="53" spans="1:12" x14ac:dyDescent="0.3">
      <c r="A53" s="1">
        <v>52</v>
      </c>
      <c r="B53" t="s">
        <v>47</v>
      </c>
      <c r="C53">
        <v>0</v>
      </c>
      <c r="D53">
        <v>0</v>
      </c>
      <c r="E53">
        <v>0</v>
      </c>
      <c r="F53">
        <v>52</v>
      </c>
      <c r="G53">
        <v>1</v>
      </c>
      <c r="H53">
        <v>10</v>
      </c>
      <c r="I53">
        <v>10</v>
      </c>
      <c r="J53">
        <v>10</v>
      </c>
      <c r="K53">
        <f>759+725+1090+1095*2</f>
        <v>4764</v>
      </c>
      <c r="L53" t="str">
        <f t="shared" si="0"/>
        <v>INSERT INTO `jugador`( `nombre`, `puntos`, `victorias`, `derrotas`, `ranking`, `seed`, `clay`, `grass`, `hard`, `power`) VALUES('Paolo Lorenzi','0','0','0','52','1','10','10','10','4764');</v>
      </c>
    </row>
    <row r="54" spans="1:12" x14ac:dyDescent="0.3">
      <c r="A54" s="1">
        <v>53</v>
      </c>
      <c r="B54" t="s">
        <v>48</v>
      </c>
      <c r="C54">
        <v>0</v>
      </c>
      <c r="D54">
        <v>0</v>
      </c>
      <c r="E54">
        <v>0</v>
      </c>
      <c r="F54">
        <v>53</v>
      </c>
      <c r="G54">
        <v>1</v>
      </c>
      <c r="H54">
        <v>10</v>
      </c>
      <c r="I54">
        <v>10</v>
      </c>
      <c r="J54">
        <v>10</v>
      </c>
      <c r="K54">
        <f>29+299+874+1302*3</f>
        <v>5108</v>
      </c>
      <c r="L54" t="str">
        <f t="shared" si="0"/>
        <v>INSERT INTO `jugador`( `nombre`, `puntos`, `victorias`, `derrotas`, `ranking`, `seed`, `clay`, `grass`, `hard`, `power`) VALUES('Mischa Zverev','0','0','0','53','1','10','10','10','5108');</v>
      </c>
    </row>
    <row r="55" spans="1:12" x14ac:dyDescent="0.3">
      <c r="A55" s="1">
        <v>54</v>
      </c>
      <c r="B55" t="s">
        <v>49</v>
      </c>
      <c r="C55">
        <v>0</v>
      </c>
      <c r="D55">
        <v>0</v>
      </c>
      <c r="E55">
        <v>0</v>
      </c>
      <c r="F55">
        <v>54</v>
      </c>
      <c r="G55">
        <v>1</v>
      </c>
      <c r="H55">
        <v>10</v>
      </c>
      <c r="I55">
        <v>10</v>
      </c>
      <c r="J55">
        <v>10</v>
      </c>
      <c r="K55">
        <f>781+547+758+898*2</f>
        <v>3882</v>
      </c>
      <c r="L55" t="str">
        <f t="shared" si="0"/>
        <v>INSERT INTO `jugador`( `nombre`, `puntos`, `victorias`, `derrotas`, `ranking`, `seed`, `clay`, `grass`, `hard`, `power`) VALUES('Jan Lennard Struff','0','0','0','54','1','10','10','10','3882');</v>
      </c>
    </row>
    <row r="56" spans="1:12" x14ac:dyDescent="0.3">
      <c r="A56" s="1">
        <v>55</v>
      </c>
      <c r="B56" t="s">
        <v>50</v>
      </c>
      <c r="C56">
        <v>0</v>
      </c>
      <c r="D56">
        <v>0</v>
      </c>
      <c r="E56">
        <v>0</v>
      </c>
      <c r="F56">
        <v>55</v>
      </c>
      <c r="G56">
        <v>1</v>
      </c>
      <c r="H56">
        <v>10</v>
      </c>
      <c r="I56">
        <v>10</v>
      </c>
      <c r="J56">
        <v>10</v>
      </c>
      <c r="K56">
        <f>333+693+685+774*2</f>
        <v>3259</v>
      </c>
      <c r="L56" t="str">
        <f t="shared" si="0"/>
        <v>INSERT INTO `jugador`( `nombre`, `puntos`, `victorias`, `derrotas`, `ranking`, `seed`, `clay`, `grass`, `hard`, `power`) VALUES('Guido Pella','0','0','0','55','1','10','10','10','3259');</v>
      </c>
    </row>
    <row r="57" spans="1:12" x14ac:dyDescent="0.3">
      <c r="A57" s="1">
        <v>56</v>
      </c>
      <c r="B57" t="s">
        <v>51</v>
      </c>
      <c r="C57">
        <v>0</v>
      </c>
      <c r="D57">
        <v>0</v>
      </c>
      <c r="E57">
        <v>0</v>
      </c>
      <c r="F57">
        <v>56</v>
      </c>
      <c r="G57">
        <v>1</v>
      </c>
      <c r="H57">
        <v>10</v>
      </c>
      <c r="I57">
        <v>10</v>
      </c>
      <c r="J57">
        <v>10</v>
      </c>
      <c r="K57">
        <f>1365+65+459+855*2</f>
        <v>3599</v>
      </c>
      <c r="L57" t="str">
        <f t="shared" si="0"/>
        <v>INSERT INTO `jugador`( `nombre`, `puntos`, `victorias`, `derrotas`, `ranking`, `seed`, `clay`, `grass`, `hard`, `power`) VALUES('Julien Benneteau','0','0','0','56','1','10','10','10','3599');</v>
      </c>
    </row>
    <row r="58" spans="1:12" x14ac:dyDescent="0.3">
      <c r="A58" s="1">
        <v>57</v>
      </c>
      <c r="B58" t="s">
        <v>52</v>
      </c>
      <c r="C58">
        <v>0</v>
      </c>
      <c r="D58">
        <v>0</v>
      </c>
      <c r="E58">
        <v>0</v>
      </c>
      <c r="F58">
        <v>57</v>
      </c>
      <c r="G58">
        <v>1</v>
      </c>
      <c r="H58">
        <v>10</v>
      </c>
      <c r="I58">
        <v>10</v>
      </c>
      <c r="J58">
        <v>10</v>
      </c>
      <c r="K58">
        <f>191+439+570+890*2</f>
        <v>2980</v>
      </c>
      <c r="L58" t="str">
        <f t="shared" si="0"/>
        <v>INSERT INTO `jugador`( `nombre`, `puntos`, `victorias`, `derrotas`, `ranking`, `seed`, `clay`, `grass`, `hard`, `power`) VALUES('Jared Donaldson','0','0','0','57','1','10','10','10','2980');</v>
      </c>
    </row>
    <row r="59" spans="1:12" x14ac:dyDescent="0.3">
      <c r="A59" s="1">
        <v>58</v>
      </c>
      <c r="B59" t="s">
        <v>53</v>
      </c>
      <c r="C59">
        <v>0</v>
      </c>
      <c r="D59">
        <v>0</v>
      </c>
      <c r="E59">
        <v>0</v>
      </c>
      <c r="F59">
        <v>58</v>
      </c>
      <c r="G59">
        <v>1</v>
      </c>
      <c r="H59">
        <v>10</v>
      </c>
      <c r="I59">
        <v>10</v>
      </c>
      <c r="J59">
        <v>10</v>
      </c>
      <c r="K59">
        <f>261+528+632+1010*2</f>
        <v>3441</v>
      </c>
      <c r="L59" t="str">
        <f t="shared" si="0"/>
        <v>INSERT INTO `jugador`( `nombre`, `puntos`, `victorias`, `derrotas`, `ranking`, `seed`, `clay`, `grass`, `hard`, `power`) VALUES('Ryan Harrison','0','0','0','58','1','10','10','10','3441');</v>
      </c>
    </row>
    <row r="60" spans="1:12" x14ac:dyDescent="0.3">
      <c r="A60" s="1">
        <v>59</v>
      </c>
      <c r="B60" t="s">
        <v>54</v>
      </c>
      <c r="C60">
        <v>0</v>
      </c>
      <c r="D60">
        <v>0</v>
      </c>
      <c r="E60">
        <v>0</v>
      </c>
      <c r="F60">
        <v>59</v>
      </c>
      <c r="G60">
        <v>1</v>
      </c>
      <c r="H60">
        <v>10</v>
      </c>
      <c r="I60">
        <v>10</v>
      </c>
      <c r="J60">
        <v>10</v>
      </c>
      <c r="K60">
        <f>870+1360+655+616*2</f>
        <v>4117</v>
      </c>
      <c r="L60" t="str">
        <f t="shared" si="0"/>
        <v>INSERT INTO `jugador`( `nombre`, `puntos`, `victorias`, `derrotas`, `ranking`, `seed`, `clay`, `grass`, `hard`, `power`) VALUES('Andreas Seppi','0','0','0','59','1','10','10','10','4117');</v>
      </c>
    </row>
    <row r="61" spans="1:12" x14ac:dyDescent="0.3">
      <c r="A61" s="1">
        <v>60</v>
      </c>
      <c r="B61" t="s">
        <v>55</v>
      </c>
      <c r="C61">
        <v>0</v>
      </c>
      <c r="D61">
        <v>0</v>
      </c>
      <c r="E61">
        <v>0</v>
      </c>
      <c r="F61">
        <v>60</v>
      </c>
      <c r="G61">
        <v>1</v>
      </c>
      <c r="H61">
        <v>10</v>
      </c>
      <c r="I61">
        <v>10</v>
      </c>
      <c r="J61">
        <v>10</v>
      </c>
      <c r="K61">
        <f>38+201+289+583*3</f>
        <v>2277</v>
      </c>
      <c r="L61" t="str">
        <f t="shared" si="0"/>
        <v>INSERT INTO `jugador`( `nombre`, `puntos`, `victorias`, `derrotas`, `ranking`, `seed`, `clay`, `grass`, `hard`, `power`) VALUES('Tennys Sandgren','0','0','0','60','1','10','10','10','2277');</v>
      </c>
    </row>
    <row r="62" spans="1:12" x14ac:dyDescent="0.3">
      <c r="A62" s="1">
        <v>61</v>
      </c>
      <c r="B62" t="s">
        <v>121</v>
      </c>
      <c r="C62">
        <v>0</v>
      </c>
      <c r="D62">
        <v>0</v>
      </c>
      <c r="E62">
        <v>0</v>
      </c>
      <c r="F62">
        <v>61</v>
      </c>
      <c r="G62">
        <v>1</v>
      </c>
      <c r="H62">
        <v>10</v>
      </c>
      <c r="I62">
        <v>10</v>
      </c>
      <c r="J62">
        <v>10</v>
      </c>
      <c r="K62">
        <f>743+1057+848+815*2</f>
        <v>4278</v>
      </c>
      <c r="L62" t="str">
        <f t="shared" si="0"/>
        <v>INSERT INTO `jugador`( `nombre`, `puntos`, `victorias`, `derrotas`, `ranking`, `seed`, `clay`, `grass`, `hard`, `power`) VALUES('Jirí Veselý','0','0','0','61','1','10','10','10','4278');</v>
      </c>
    </row>
    <row r="63" spans="1:12" x14ac:dyDescent="0.3">
      <c r="A63" s="1">
        <v>62</v>
      </c>
      <c r="B63" t="s">
        <v>56</v>
      </c>
      <c r="C63">
        <v>0</v>
      </c>
      <c r="D63">
        <v>0</v>
      </c>
      <c r="E63">
        <v>0</v>
      </c>
      <c r="F63">
        <v>62</v>
      </c>
      <c r="G63">
        <v>1</v>
      </c>
      <c r="H63">
        <v>10</v>
      </c>
      <c r="I63">
        <v>10</v>
      </c>
      <c r="J63">
        <v>10</v>
      </c>
      <c r="K63">
        <f>317+237+379+630*2</f>
        <v>2193</v>
      </c>
      <c r="L63" t="str">
        <f t="shared" si="0"/>
        <v>INSERT INTO `jugador`( `nombre`, `puntos`, `victorias`, `derrotas`, `ranking`, `seed`, `clay`, `grass`, `hard`, `power`) VALUES('Márton Fucsovics','0','0','0','62','1','10','10','10','2193');</v>
      </c>
    </row>
    <row r="64" spans="1:12" x14ac:dyDescent="0.3">
      <c r="A64" s="1">
        <v>63</v>
      </c>
      <c r="B64" t="s">
        <v>57</v>
      </c>
      <c r="C64">
        <v>0</v>
      </c>
      <c r="D64">
        <v>0</v>
      </c>
      <c r="E64">
        <v>0</v>
      </c>
      <c r="F64">
        <v>63</v>
      </c>
      <c r="G64">
        <v>1</v>
      </c>
      <c r="H64">
        <v>10</v>
      </c>
      <c r="I64">
        <v>10</v>
      </c>
      <c r="J64">
        <v>10</v>
      </c>
      <c r="K64">
        <f>775+815+1040+755*2</f>
        <v>4140</v>
      </c>
      <c r="L64" t="str">
        <f t="shared" si="0"/>
        <v>INSERT INTO `jugador`( `nombre`, `puntos`, `victorias`, `derrotas`, `ranking`, `seed`, `clay`, `grass`, `hard`, `power`) VALUES('Federico Delbonis','0','0','0','63','1','10','10','10','4140');</v>
      </c>
    </row>
    <row r="65" spans="1:12" x14ac:dyDescent="0.3">
      <c r="A65" s="1">
        <v>64</v>
      </c>
      <c r="B65" t="s">
        <v>58</v>
      </c>
      <c r="C65">
        <v>0</v>
      </c>
      <c r="D65">
        <v>0</v>
      </c>
      <c r="E65">
        <v>0</v>
      </c>
      <c r="F65">
        <v>64</v>
      </c>
      <c r="G65">
        <v>1</v>
      </c>
      <c r="H65">
        <v>10</v>
      </c>
      <c r="I65">
        <v>10</v>
      </c>
      <c r="J65">
        <v>10</v>
      </c>
      <c r="K65">
        <f>641+254+301+817*2</f>
        <v>2830</v>
      </c>
      <c r="L65" t="str">
        <f t="shared" si="0"/>
        <v>INSERT INTO `jugador`( `nombre`, `puntos`, `victorias`, `derrotas`, `ranking`, `seed`, `clay`, `grass`, `hard`, `power`) VALUES('Peter Gojowczyk','0','0','0','64','1','10','10','10','2830');</v>
      </c>
    </row>
    <row r="66" spans="1:12" x14ac:dyDescent="0.3">
      <c r="A66" s="1">
        <v>65</v>
      </c>
      <c r="B66" t="s">
        <v>59</v>
      </c>
      <c r="C66">
        <v>0</v>
      </c>
      <c r="D66">
        <v>0</v>
      </c>
      <c r="E66">
        <v>0</v>
      </c>
      <c r="F66">
        <v>65</v>
      </c>
      <c r="G66">
        <v>1</v>
      </c>
      <c r="H66">
        <v>10</v>
      </c>
      <c r="I66">
        <v>10</v>
      </c>
      <c r="J66">
        <v>10</v>
      </c>
      <c r="K66">
        <f>558+1487+1385+880*2</f>
        <v>5190</v>
      </c>
      <c r="L66" t="str">
        <f t="shared" si="0"/>
        <v>INSERT INTO `jugador`( `nombre`, `puntos`, `victorias`, `derrotas`, `ranking`, `seed`, `clay`, `grass`, `hard`, `power`) VALUES('Viktor Troicki','0','0','0','65','1','10','10','10','5190');</v>
      </c>
    </row>
    <row r="67" spans="1:12" x14ac:dyDescent="0.3">
      <c r="A67" s="1">
        <v>66</v>
      </c>
      <c r="B67" t="s">
        <v>60</v>
      </c>
      <c r="C67">
        <v>0</v>
      </c>
      <c r="D67">
        <v>0</v>
      </c>
      <c r="E67">
        <v>0</v>
      </c>
      <c r="F67">
        <v>66</v>
      </c>
      <c r="G67">
        <v>1</v>
      </c>
      <c r="H67">
        <v>10</v>
      </c>
      <c r="I67">
        <v>10</v>
      </c>
      <c r="J67">
        <v>10</v>
      </c>
      <c r="K67">
        <f>1730+2145+1585+610*2</f>
        <v>6680</v>
      </c>
      <c r="L67" t="str">
        <f t="shared" ref="L67:L129" si="1">"INSERT INTO `jugador`( `nombre`, `puntos`, `victorias`, `derrotas`, `ranking`, `seed`, `clay`, `grass`, `hard`, `power`) VALUES('"&amp;B67&amp;"','"&amp;C67&amp;"','"&amp;D67&amp;"','"&amp;E67&amp;"','"&amp;F67&amp;"','"&amp;G67&amp;"','"&amp;H67&amp;"','"&amp;I67&amp;"','"&amp;J67&amp;"','"&amp;K67&amp;"');"</f>
        <v>INSERT INTO `jugador`( `nombre`, `puntos`, `victorias`, `derrotas`, `ranking`, `seed`, `clay`, `grass`, `hard`, `power`) VALUES('Gilles Simon','0','0','0','66','1','10','10','10','6680');</v>
      </c>
    </row>
    <row r="68" spans="1:12" x14ac:dyDescent="0.3">
      <c r="A68" s="1">
        <v>67</v>
      </c>
      <c r="B68" t="s">
        <v>61</v>
      </c>
      <c r="C68">
        <v>0</v>
      </c>
      <c r="D68">
        <v>0</v>
      </c>
      <c r="E68">
        <v>0</v>
      </c>
      <c r="F68">
        <v>67</v>
      </c>
      <c r="G68">
        <v>1</v>
      </c>
      <c r="H68">
        <v>10</v>
      </c>
      <c r="I68">
        <v>10</v>
      </c>
      <c r="J68">
        <v>10</v>
      </c>
      <c r="K68">
        <f>1040+1430+725+714*2</f>
        <v>4623</v>
      </c>
      <c r="L68" t="str">
        <f t="shared" si="1"/>
        <v>INSERT INTO `jugador`( `nombre`, `puntos`, `victorias`, `derrotas`, `ranking`, `seed`, `clay`, `grass`, `hard`, `power`) VALUES('Guillermo García López','0','0','0','67','1','10','10','10','4623');</v>
      </c>
    </row>
    <row r="69" spans="1:12" x14ac:dyDescent="0.3">
      <c r="A69" s="1">
        <v>68</v>
      </c>
      <c r="B69" t="s">
        <v>62</v>
      </c>
      <c r="C69">
        <v>0</v>
      </c>
      <c r="D69">
        <v>0</v>
      </c>
      <c r="E69">
        <v>0</v>
      </c>
      <c r="F69">
        <v>68</v>
      </c>
      <c r="G69">
        <v>1</v>
      </c>
      <c r="H69">
        <v>10</v>
      </c>
      <c r="I69">
        <v>10</v>
      </c>
      <c r="J69">
        <v>10</v>
      </c>
      <c r="K69">
        <f>455+475+722+768*2</f>
        <v>3188</v>
      </c>
      <c r="L69" t="str">
        <f t="shared" si="1"/>
        <v>INSERT INTO `jugador`( `nombre`, `puntos`, `victorias`, `derrotas`, `ranking`, `seed`, `clay`, `grass`, `hard`, `power`) VALUES('Horacio Zeballos','0','0','0','68','1','10','10','10','3188');</v>
      </c>
    </row>
    <row r="70" spans="1:12" x14ac:dyDescent="0.3">
      <c r="A70" s="1">
        <v>69</v>
      </c>
      <c r="B70" t="s">
        <v>63</v>
      </c>
      <c r="C70">
        <v>0</v>
      </c>
      <c r="D70">
        <v>0</v>
      </c>
      <c r="E70">
        <v>0</v>
      </c>
      <c r="F70">
        <v>69</v>
      </c>
      <c r="G70">
        <v>1</v>
      </c>
      <c r="H70">
        <v>10</v>
      </c>
      <c r="I70">
        <v>10</v>
      </c>
      <c r="J70">
        <v>10</v>
      </c>
      <c r="K70">
        <f>365+236+903+718*2</f>
        <v>2940</v>
      </c>
      <c r="L70" t="str">
        <f t="shared" si="1"/>
        <v>INSERT INTO `jugador`( `nombre`, `puntos`, `victorias`, `derrotas`, `ranking`, `seed`, `clay`, `grass`, `hard`, `power`) VALUES('Florian Mayer','0','0','0','69','1','10','10','10','2940');</v>
      </c>
    </row>
    <row r="71" spans="1:12" x14ac:dyDescent="0.3">
      <c r="A71" s="1">
        <v>70</v>
      </c>
      <c r="B71" t="s">
        <v>64</v>
      </c>
      <c r="C71">
        <v>0</v>
      </c>
      <c r="D71">
        <v>0</v>
      </c>
      <c r="E71">
        <v>0</v>
      </c>
      <c r="F71">
        <v>70</v>
      </c>
      <c r="G71">
        <v>1</v>
      </c>
      <c r="H71">
        <v>10</v>
      </c>
      <c r="I71">
        <v>10</v>
      </c>
      <c r="J71">
        <v>10</v>
      </c>
      <c r="K71">
        <f>81+198+323+608</f>
        <v>1210</v>
      </c>
      <c r="L71" t="str">
        <f t="shared" si="1"/>
        <v>INSERT INTO `jugador`( `nombre`, `puntos`, `victorias`, `derrotas`, `ranking`, `seed`, `clay`, `grass`, `hard`, `power`) VALUES('Maximilian Marterer','0','0','0','70','1','10','10','10','1210');</v>
      </c>
    </row>
    <row r="72" spans="1:12" x14ac:dyDescent="0.3">
      <c r="A72" s="1">
        <v>71</v>
      </c>
      <c r="B72" t="s">
        <v>65</v>
      </c>
      <c r="C72">
        <v>0</v>
      </c>
      <c r="D72">
        <v>0</v>
      </c>
      <c r="E72">
        <v>0</v>
      </c>
      <c r="F72">
        <v>71</v>
      </c>
      <c r="G72">
        <v>1</v>
      </c>
      <c r="H72">
        <v>10</v>
      </c>
      <c r="I72">
        <v>10</v>
      </c>
      <c r="J72">
        <v>10</v>
      </c>
      <c r="K72">
        <f>822+1191+1030+850*2</f>
        <v>4743</v>
      </c>
      <c r="L72" t="str">
        <f t="shared" si="1"/>
        <v>INSERT INTO `jugador`( `nombre`, `puntos`, `victorias`, `derrotas`, `ranking`, `seed`, `clay`, `grass`, `hard`, `power`) VALUES('João Sousa','0','0','0','71','1','10','10','10','4743');</v>
      </c>
    </row>
    <row r="73" spans="1:12" x14ac:dyDescent="0.3">
      <c r="A73" s="1">
        <v>72</v>
      </c>
      <c r="B73" t="s">
        <v>66</v>
      </c>
      <c r="C73">
        <v>0</v>
      </c>
      <c r="D73">
        <v>0</v>
      </c>
      <c r="E73">
        <v>0</v>
      </c>
      <c r="F73">
        <v>72</v>
      </c>
      <c r="G73">
        <v>1</v>
      </c>
      <c r="H73">
        <v>10</v>
      </c>
      <c r="I73">
        <v>10</v>
      </c>
      <c r="J73">
        <v>10</v>
      </c>
      <c r="K73">
        <f>307+449+419+550*2</f>
        <v>2275</v>
      </c>
      <c r="L73" t="str">
        <f t="shared" si="1"/>
        <v>INSERT INTO `jugador`( `nombre`, `puntos`, `victorias`, `derrotas`, `ranking`, `seed`, `clay`, `grass`, `hard`, `power`) VALUES('Roberto Carballés Baena','0','0','0','72','1','10','10','10','2275');</v>
      </c>
    </row>
    <row r="74" spans="1:12" x14ac:dyDescent="0.3">
      <c r="A74" s="1">
        <v>73</v>
      </c>
      <c r="B74" t="s">
        <v>67</v>
      </c>
      <c r="C74">
        <v>0</v>
      </c>
      <c r="D74">
        <v>0</v>
      </c>
      <c r="E74">
        <v>0</v>
      </c>
      <c r="F74">
        <v>73</v>
      </c>
      <c r="G74">
        <v>1</v>
      </c>
      <c r="H74">
        <v>10</v>
      </c>
      <c r="I74">
        <v>10</v>
      </c>
      <c r="J74">
        <v>10</v>
      </c>
      <c r="K74">
        <f>299+318+457+601*2</f>
        <v>2276</v>
      </c>
      <c r="L74" t="str">
        <f t="shared" si="1"/>
        <v>INSERT INTO `jugador`( `nombre`, `puntos`, `victorias`, `derrotas`, `ranking`, `seed`, `clay`, `grass`, `hard`, `power`) VALUES('Marius Copil','0','0','0','73','1','10','10','10','2276');</v>
      </c>
    </row>
    <row r="75" spans="1:12" x14ac:dyDescent="0.3">
      <c r="A75" s="1">
        <v>74</v>
      </c>
      <c r="B75" t="s">
        <v>122</v>
      </c>
      <c r="C75">
        <v>0</v>
      </c>
      <c r="D75">
        <v>0</v>
      </c>
      <c r="E75">
        <v>0</v>
      </c>
      <c r="F75">
        <v>74</v>
      </c>
      <c r="G75">
        <v>1</v>
      </c>
      <c r="H75">
        <v>10</v>
      </c>
      <c r="I75">
        <v>10</v>
      </c>
      <c r="J75">
        <v>10</v>
      </c>
      <c r="K75">
        <f>184+432+318+399*2</f>
        <v>1732</v>
      </c>
      <c r="L75" t="str">
        <f t="shared" si="1"/>
        <v>INSERT INTO `jugador`( `nombre`, `puntos`, `victorias`, `derrotas`, `ranking`, `seed`, `clay`, `grass`, `hard`, `power`) VALUES('Mirza Bašic','0','0','0','74','1','10','10','10','1732');</v>
      </c>
    </row>
    <row r="76" spans="1:12" x14ac:dyDescent="0.3">
      <c r="A76" s="1">
        <v>75</v>
      </c>
      <c r="B76" t="s">
        <v>68</v>
      </c>
      <c r="C76">
        <v>0</v>
      </c>
      <c r="D76">
        <v>0</v>
      </c>
      <c r="E76">
        <v>0</v>
      </c>
      <c r="F76">
        <v>75</v>
      </c>
      <c r="G76">
        <v>1</v>
      </c>
      <c r="H76">
        <v>10</v>
      </c>
      <c r="I76">
        <v>10</v>
      </c>
      <c r="J76">
        <v>10</v>
      </c>
      <c r="K76">
        <f>796+907+651+816</f>
        <v>3170</v>
      </c>
      <c r="L76" t="str">
        <f t="shared" si="1"/>
        <v>INSERT INTO `jugador`( `nombre`, `puntos`, `victorias`, `derrotas`, `ranking`, `seed`, `clay`, `grass`, `hard`, `power`) VALUES('Donald Young','0','0','0','75','1','10','10','10','3170');</v>
      </c>
    </row>
    <row r="77" spans="1:12" x14ac:dyDescent="0.3">
      <c r="A77" s="1">
        <v>76</v>
      </c>
      <c r="B77" t="s">
        <v>69</v>
      </c>
      <c r="C77">
        <v>0</v>
      </c>
      <c r="D77">
        <v>0</v>
      </c>
      <c r="E77">
        <v>0</v>
      </c>
      <c r="F77">
        <v>76</v>
      </c>
      <c r="G77">
        <v>1</v>
      </c>
      <c r="H77">
        <v>10</v>
      </c>
      <c r="I77">
        <v>10</v>
      </c>
      <c r="J77">
        <v>10</v>
      </c>
      <c r="K77">
        <f>421+615+482+704*2</f>
        <v>2926</v>
      </c>
      <c r="L77" t="str">
        <f t="shared" si="1"/>
        <v>INSERT INTO `jugador`( `nombre`, `puntos`, `victorias`, `derrotas`, `ranking`, `seed`, `clay`, `grass`, `hard`, `power`) VALUES('Evgeny Donskoy','0','0','0','76','1','10','10','10','2926');</v>
      </c>
    </row>
    <row r="78" spans="1:12" x14ac:dyDescent="0.3">
      <c r="A78" s="1">
        <v>77</v>
      </c>
      <c r="B78" t="s">
        <v>70</v>
      </c>
      <c r="C78">
        <v>0</v>
      </c>
      <c r="D78">
        <v>0</v>
      </c>
      <c r="E78">
        <v>0</v>
      </c>
      <c r="F78">
        <v>77</v>
      </c>
      <c r="G78">
        <v>1</v>
      </c>
      <c r="H78">
        <v>10</v>
      </c>
      <c r="I78">
        <v>10</v>
      </c>
      <c r="J78">
        <v>10</v>
      </c>
      <c r="K78">
        <f>293+525+618+826*2</f>
        <v>3088</v>
      </c>
      <c r="L78" t="str">
        <f t="shared" si="1"/>
        <v>INSERT INTO `jugador`( `nombre`, `puntos`, `victorias`, `derrotas`, `ranking`, `seed`, `clay`, `grass`, `hard`, `power`) VALUES('Nikoloz Basilashvili','0','0','0','77','1','10','10','10','3088');</v>
      </c>
    </row>
    <row r="79" spans="1:12" x14ac:dyDescent="0.3">
      <c r="A79" s="1">
        <v>78</v>
      </c>
      <c r="B79" t="s">
        <v>123</v>
      </c>
      <c r="C79">
        <v>0</v>
      </c>
      <c r="D79">
        <v>0</v>
      </c>
      <c r="E79">
        <v>0</v>
      </c>
      <c r="F79">
        <v>78</v>
      </c>
      <c r="G79">
        <v>1</v>
      </c>
      <c r="H79">
        <v>10</v>
      </c>
      <c r="I79">
        <v>10</v>
      </c>
      <c r="J79">
        <v>10</v>
      </c>
      <c r="K79">
        <f>1320+1485+1795+660*2</f>
        <v>5920</v>
      </c>
      <c r="L79" t="str">
        <f t="shared" si="1"/>
        <v>INSERT INTO `jugador`( `nombre`, `puntos`, `victorias`, `derrotas`, `ranking`, `seed`, `clay`, `grass`, `hard`, `power`) VALUES('Ivo Karlovic','0','0','0','78','1','10','10','10','5920');</v>
      </c>
    </row>
    <row r="80" spans="1:12" x14ac:dyDescent="0.3">
      <c r="A80" s="1">
        <v>79</v>
      </c>
      <c r="B80" t="s">
        <v>71</v>
      </c>
      <c r="C80">
        <v>0</v>
      </c>
      <c r="D80">
        <v>0</v>
      </c>
      <c r="E80">
        <v>0</v>
      </c>
      <c r="F80">
        <v>79</v>
      </c>
      <c r="G80">
        <v>1</v>
      </c>
      <c r="H80">
        <v>10</v>
      </c>
      <c r="I80">
        <v>10</v>
      </c>
      <c r="J80">
        <v>10</v>
      </c>
      <c r="K80">
        <f>850+781+492+809*2</f>
        <v>3741</v>
      </c>
      <c r="L80" t="str">
        <f t="shared" si="1"/>
        <v>INSERT INTO `jugador`( `nombre`, `puntos`, `victorias`, `derrotas`, `ranking`, `seed`, `clay`, `grass`, `hard`, `power`) VALUES('Denis Istomin','0','0','0','79','1','10','10','10','3741');</v>
      </c>
    </row>
    <row r="81" spans="1:12" x14ac:dyDescent="0.3">
      <c r="A81" s="1">
        <v>80</v>
      </c>
      <c r="B81" t="s">
        <v>72</v>
      </c>
      <c r="C81">
        <v>0</v>
      </c>
      <c r="D81">
        <v>0</v>
      </c>
      <c r="E81">
        <v>0</v>
      </c>
      <c r="F81">
        <v>80</v>
      </c>
      <c r="G81">
        <v>1</v>
      </c>
      <c r="H81">
        <v>10</v>
      </c>
      <c r="I81">
        <v>10</v>
      </c>
      <c r="J81">
        <v>10</v>
      </c>
      <c r="K81">
        <f>5+57+260+606*3</f>
        <v>2140</v>
      </c>
      <c r="L81" t="str">
        <f t="shared" si="1"/>
        <v>INSERT INTO `jugador`( `nombre`, `puntos`, `victorias`, `derrotas`, `ranking`, `seed`, `clay`, `grass`, `hard`, `power`) VALUES('Stefanos Tsitsipas','0','0','0','80','1','10','10','10','2140');</v>
      </c>
    </row>
    <row r="82" spans="1:12" x14ac:dyDescent="0.3">
      <c r="A82" s="1">
        <v>81</v>
      </c>
      <c r="B82" t="s">
        <v>73</v>
      </c>
      <c r="C82">
        <v>0</v>
      </c>
      <c r="D82">
        <v>0</v>
      </c>
      <c r="E82">
        <v>0</v>
      </c>
      <c r="F82">
        <v>81</v>
      </c>
      <c r="G82">
        <v>1</v>
      </c>
      <c r="H82">
        <v>10</v>
      </c>
      <c r="I82">
        <v>10</v>
      </c>
      <c r="J82">
        <v>10</v>
      </c>
      <c r="K82">
        <f>192+362+484+701*2</f>
        <v>2440</v>
      </c>
      <c r="L82" t="str">
        <f t="shared" si="1"/>
        <v>INSERT INTO `jugador`( `nombre`, `puntos`, `victorias`, `derrotas`, `ranking`, `seed`, `clay`, `grass`, `hard`, `power`) VALUES('Thomas Fabbiano','0','0','0','81','1','10','10','10','2440');</v>
      </c>
    </row>
    <row r="83" spans="1:12" x14ac:dyDescent="0.3">
      <c r="A83" s="1">
        <v>82</v>
      </c>
      <c r="B83" t="s">
        <v>74</v>
      </c>
      <c r="C83">
        <v>0</v>
      </c>
      <c r="D83">
        <v>0</v>
      </c>
      <c r="E83">
        <v>0</v>
      </c>
      <c r="F83">
        <v>82</v>
      </c>
      <c r="G83">
        <v>1</v>
      </c>
      <c r="H83">
        <v>10</v>
      </c>
      <c r="I83">
        <v>10</v>
      </c>
      <c r="J83">
        <v>10</v>
      </c>
      <c r="K83">
        <f>993+674+754+704*2</f>
        <v>3829</v>
      </c>
      <c r="L83" t="str">
        <f t="shared" si="1"/>
        <v>INSERT INTO `jugador`( `nombre`, `puntos`, `victorias`, `derrotas`, `ranking`, `seed`, `clay`, `grass`, `hard`, `power`) VALUES('Yen Hsun Lu','0','0','0','82','1','10','10','10','3829');</v>
      </c>
    </row>
    <row r="84" spans="1:12" x14ac:dyDescent="0.3">
      <c r="A84" s="1">
        <v>83</v>
      </c>
      <c r="B84" t="s">
        <v>75</v>
      </c>
      <c r="C84">
        <v>0</v>
      </c>
      <c r="D84">
        <v>0</v>
      </c>
      <c r="E84">
        <v>0</v>
      </c>
      <c r="F84">
        <v>83</v>
      </c>
      <c r="G84">
        <v>1</v>
      </c>
      <c r="H84">
        <v>10</v>
      </c>
      <c r="I84">
        <v>10</v>
      </c>
      <c r="J84">
        <v>10</v>
      </c>
      <c r="K84">
        <f>830+1075+456+545*2</f>
        <v>3451</v>
      </c>
      <c r="L84" t="str">
        <f t="shared" si="1"/>
        <v>INSERT INTO `jugador`( `nombre`, `puntos`, `victorias`, `derrotas`, `ranking`, `seed`, `clay`, `grass`, `hard`, `power`) VALUES('Vasek Pospisil','0','0','0','83','1','10','10','10','3451');</v>
      </c>
    </row>
    <row r="85" spans="1:12" x14ac:dyDescent="0.3">
      <c r="A85" s="1">
        <v>84</v>
      </c>
      <c r="B85" t="s">
        <v>124</v>
      </c>
      <c r="C85">
        <v>0</v>
      </c>
      <c r="D85">
        <v>0</v>
      </c>
      <c r="E85">
        <v>0</v>
      </c>
      <c r="F85">
        <v>84</v>
      </c>
      <c r="G85">
        <v>1</v>
      </c>
      <c r="H85">
        <v>10</v>
      </c>
      <c r="I85">
        <v>10</v>
      </c>
      <c r="J85">
        <v>10</v>
      </c>
      <c r="K85">
        <f>711+678+627+687*2</f>
        <v>3390</v>
      </c>
      <c r="L85" t="str">
        <f t="shared" si="1"/>
        <v>INSERT INTO `jugador`( `nombre`, `puntos`, `victorias`, `derrotas`, `ranking`, `seed`, `clay`, `grass`, `hard`, `power`) VALUES('Dušan Lajovic','0','0','0','84','1','10','10','10','3390');</v>
      </c>
    </row>
    <row r="86" spans="1:12" x14ac:dyDescent="0.3">
      <c r="A86" s="1">
        <v>85</v>
      </c>
      <c r="B86" t="s">
        <v>76</v>
      </c>
      <c r="C86">
        <v>0</v>
      </c>
      <c r="D86">
        <v>0</v>
      </c>
      <c r="E86">
        <v>0</v>
      </c>
      <c r="F86">
        <v>85</v>
      </c>
      <c r="G86">
        <v>1</v>
      </c>
      <c r="H86">
        <v>10</v>
      </c>
      <c r="I86">
        <v>10</v>
      </c>
      <c r="J86">
        <v>10</v>
      </c>
      <c r="K86">
        <f>7+290+701+556*3</f>
        <v>2666</v>
      </c>
      <c r="L86" t="str">
        <f t="shared" si="1"/>
        <v>INSERT INTO `jugador`( `nombre`, `puntos`, `victorias`, `derrotas`, `ranking`, `seed`, `clay`, `grass`, `hard`, `power`) VALUES('Taylor Fritz','0','0','0','85','1','10','10','10','2666');</v>
      </c>
    </row>
    <row r="87" spans="1:12" x14ac:dyDescent="0.3">
      <c r="A87" s="1">
        <v>86</v>
      </c>
      <c r="B87" t="s">
        <v>77</v>
      </c>
      <c r="C87">
        <v>0</v>
      </c>
      <c r="D87">
        <v>0</v>
      </c>
      <c r="E87">
        <v>0</v>
      </c>
      <c r="F87">
        <v>86</v>
      </c>
      <c r="G87">
        <v>1</v>
      </c>
      <c r="H87">
        <v>10</v>
      </c>
      <c r="I87">
        <v>10</v>
      </c>
      <c r="J87">
        <v>10</v>
      </c>
      <c r="K87">
        <f>144+281+537+590*2</f>
        <v>2142</v>
      </c>
      <c r="L87" t="str">
        <f t="shared" si="1"/>
        <v>INSERT INTO `jugador`( `nombre`, `puntos`, `victorias`, `derrotas`, `ranking`, `seed`, `clay`, `grass`, `hard`, `power`) VALUES('Nicolás Kicker','0','0','0','86','1','10','10','10','2142');</v>
      </c>
    </row>
    <row r="88" spans="1:12" x14ac:dyDescent="0.3">
      <c r="A88" s="1">
        <v>87</v>
      </c>
      <c r="B88" t="s">
        <v>78</v>
      </c>
      <c r="C88">
        <v>0</v>
      </c>
      <c r="D88">
        <v>0</v>
      </c>
      <c r="E88">
        <v>0</v>
      </c>
      <c r="F88">
        <v>87</v>
      </c>
      <c r="G88">
        <v>1</v>
      </c>
      <c r="H88">
        <v>10</v>
      </c>
      <c r="I88">
        <v>10</v>
      </c>
      <c r="J88">
        <v>10</v>
      </c>
      <c r="K88">
        <f>306+485+614+616*2</f>
        <v>2637</v>
      </c>
      <c r="L88" t="str">
        <f t="shared" si="1"/>
        <v>INSERT INTO `jugador`( `nombre`, `puntos`, `victorias`, `derrotas`, `ranking`, `seed`, `clay`, `grass`, `hard`, `power`) VALUES('Radu Albot','0','0','0','87','1','10','10','10','2637');</v>
      </c>
    </row>
    <row r="89" spans="1:12" x14ac:dyDescent="0.3">
      <c r="A89" s="1">
        <v>88</v>
      </c>
      <c r="B89" t="s">
        <v>79</v>
      </c>
      <c r="C89">
        <v>0</v>
      </c>
      <c r="D89">
        <v>0</v>
      </c>
      <c r="E89">
        <v>0</v>
      </c>
      <c r="F89">
        <v>88</v>
      </c>
      <c r="G89">
        <v>1</v>
      </c>
      <c r="H89">
        <v>10</v>
      </c>
      <c r="I89">
        <v>10</v>
      </c>
      <c r="J89">
        <v>10</v>
      </c>
      <c r="K89">
        <f>207+557+34+670*2</f>
        <v>2138</v>
      </c>
      <c r="L89" t="str">
        <f t="shared" si="1"/>
        <v>INSERT INTO `jugador`( `nombre`, `puntos`, `victorias`, `derrotas`, `ranking`, `seed`, `clay`, `grass`, `hard`, `power`) VALUES('Matthew Ebden','0','0','0','88','1','10','10','10','2138');</v>
      </c>
    </row>
    <row r="90" spans="1:12" x14ac:dyDescent="0.3">
      <c r="A90" s="1">
        <v>89</v>
      </c>
      <c r="B90" t="s">
        <v>80</v>
      </c>
      <c r="C90">
        <v>0</v>
      </c>
      <c r="D90">
        <v>0</v>
      </c>
      <c r="E90">
        <v>0</v>
      </c>
      <c r="F90">
        <v>89</v>
      </c>
      <c r="G90">
        <v>1</v>
      </c>
      <c r="H90">
        <v>10</v>
      </c>
      <c r="I90">
        <v>10</v>
      </c>
      <c r="J90">
        <v>10</v>
      </c>
      <c r="K90">
        <f>705+762+634+693*2</f>
        <v>3487</v>
      </c>
      <c r="L90" t="str">
        <f t="shared" si="1"/>
        <v>INSERT INTO `jugador`( `nombre`, `puntos`, `victorias`, `derrotas`, `ranking`, `seed`, `clay`, `grass`, `hard`, `power`) VALUES('Mikhail Kukushkin','0','0','0','89','1','10','10','10','3487');</v>
      </c>
    </row>
    <row r="91" spans="1:12" x14ac:dyDescent="0.3">
      <c r="A91" s="1">
        <v>90</v>
      </c>
      <c r="B91" t="s">
        <v>81</v>
      </c>
      <c r="C91">
        <v>0</v>
      </c>
      <c r="D91">
        <v>0</v>
      </c>
      <c r="E91">
        <v>0</v>
      </c>
      <c r="F91">
        <v>90</v>
      </c>
      <c r="G91">
        <v>1</v>
      </c>
      <c r="H91">
        <v>10</v>
      </c>
      <c r="I91">
        <v>10</v>
      </c>
      <c r="J91">
        <v>10</v>
      </c>
      <c r="K91">
        <f>134+270+309+612*2</f>
        <v>1937</v>
      </c>
      <c r="L91" t="str">
        <f t="shared" si="1"/>
        <v>INSERT INTO `jugador`( `nombre`, `puntos`, `victorias`, `derrotas`, `ranking`, `seed`, `clay`, `grass`, `hard`, `power`) VALUES('Laslo Djere','0','0','0','90','1','10','10','10','1937');</v>
      </c>
    </row>
    <row r="92" spans="1:12" x14ac:dyDescent="0.3">
      <c r="A92" s="1">
        <v>91</v>
      </c>
      <c r="B92" t="s">
        <v>82</v>
      </c>
      <c r="C92">
        <v>0</v>
      </c>
      <c r="D92">
        <v>0</v>
      </c>
      <c r="E92">
        <v>0</v>
      </c>
      <c r="F92">
        <v>91</v>
      </c>
      <c r="G92">
        <v>1</v>
      </c>
      <c r="H92">
        <v>10</v>
      </c>
      <c r="I92">
        <v>10</v>
      </c>
      <c r="J92">
        <v>10</v>
      </c>
      <c r="K92">
        <f>7+286+550+662*3</f>
        <v>2829</v>
      </c>
      <c r="L92" t="str">
        <f t="shared" si="1"/>
        <v>INSERT INTO `jugador`( `nombre`, `puntos`, `victorias`, `derrotas`, `ranking`, `seed`, `clay`, `grass`, `hard`, `power`) VALUES('Frances Tiafoe','0','0','0','91','1','10','10','10','2829');</v>
      </c>
    </row>
    <row r="93" spans="1:12" x14ac:dyDescent="0.3">
      <c r="A93" s="1">
        <v>92</v>
      </c>
      <c r="B93" t="s">
        <v>83</v>
      </c>
      <c r="C93">
        <v>0</v>
      </c>
      <c r="D93">
        <v>0</v>
      </c>
      <c r="E93">
        <v>0</v>
      </c>
      <c r="F93">
        <v>92</v>
      </c>
      <c r="G93">
        <v>1</v>
      </c>
      <c r="H93">
        <v>10</v>
      </c>
      <c r="I93">
        <v>10</v>
      </c>
      <c r="J93">
        <v>10</v>
      </c>
      <c r="K93">
        <f>15+4+84+651*4</f>
        <v>2707</v>
      </c>
      <c r="L93" t="str">
        <f t="shared" si="1"/>
        <v>INSERT INTO `jugador`( `nombre`, `puntos`, `victorias`, `derrotas`, `ranking`, `seed`, `clay`, `grass`, `hard`, `power`) VALUES('Cedrik Marcel Stebe','0','0','0','92','1','10','10','10','2707');</v>
      </c>
    </row>
    <row r="94" spans="1:12" x14ac:dyDescent="0.3">
      <c r="A94" s="1">
        <v>93</v>
      </c>
      <c r="B94" t="s">
        <v>84</v>
      </c>
      <c r="C94">
        <v>0</v>
      </c>
      <c r="D94">
        <v>0</v>
      </c>
      <c r="E94">
        <v>0</v>
      </c>
      <c r="F94">
        <v>93</v>
      </c>
      <c r="G94">
        <v>1</v>
      </c>
      <c r="H94">
        <v>10</v>
      </c>
      <c r="I94">
        <v>10</v>
      </c>
      <c r="J94">
        <v>10</v>
      </c>
      <c r="K94">
        <f>850+465+826+633*2</f>
        <v>3407</v>
      </c>
      <c r="L94" t="str">
        <f t="shared" si="1"/>
        <v>INSERT INTO `jugador`( `nombre`, `puntos`, `victorias`, `derrotas`, `ranking`, `seed`, `clay`, `grass`, `hard`, `power`) VALUES('Mikhail Youzhny','0','0','0','93','1','10','10','10','3407');</v>
      </c>
    </row>
    <row r="95" spans="1:12" x14ac:dyDescent="0.3">
      <c r="A95" s="1">
        <v>94</v>
      </c>
      <c r="B95" t="s">
        <v>85</v>
      </c>
      <c r="C95">
        <v>0</v>
      </c>
      <c r="D95">
        <v>0</v>
      </c>
      <c r="E95">
        <v>0</v>
      </c>
      <c r="F95">
        <v>94</v>
      </c>
      <c r="G95">
        <v>1</v>
      </c>
      <c r="H95">
        <v>10</v>
      </c>
      <c r="I95">
        <v>10</v>
      </c>
      <c r="J95">
        <v>10</v>
      </c>
      <c r="K95">
        <f>220+118+144+541*2</f>
        <v>1564</v>
      </c>
      <c r="L95" t="str">
        <f t="shared" si="1"/>
        <v>INSERT INTO `jugador`( `nombre`, `puntos`, `victorias`, `derrotas`, `ranking`, `seed`, `clay`, `grass`, `hard`, `power`) VALUES('Nicolas Jarry','0','0','0','94','1','10','10','10','1564');</v>
      </c>
    </row>
    <row r="96" spans="1:12" x14ac:dyDescent="0.3">
      <c r="A96" s="1">
        <v>95</v>
      </c>
      <c r="B96" t="s">
        <v>86</v>
      </c>
      <c r="C96">
        <v>0</v>
      </c>
      <c r="D96">
        <v>0</v>
      </c>
      <c r="E96">
        <v>0</v>
      </c>
      <c r="F96">
        <v>95</v>
      </c>
      <c r="G96">
        <v>1</v>
      </c>
      <c r="H96">
        <v>10</v>
      </c>
      <c r="I96">
        <v>10</v>
      </c>
      <c r="J96">
        <v>10</v>
      </c>
      <c r="K96">
        <f>182+375+689+593*2</f>
        <v>2432</v>
      </c>
      <c r="L96" t="str">
        <f t="shared" si="1"/>
        <v>INSERT INTO `jugador`( `nombre`, `puntos`, `victorias`, `derrotas`, `ranking`, `seed`, `clay`, `grass`, `hard`, `power`) VALUES('Jordan Thompson','0','0','0','95','1','10','10','10','2432');</v>
      </c>
    </row>
    <row r="97" spans="1:12" x14ac:dyDescent="0.3">
      <c r="A97" s="1">
        <v>96</v>
      </c>
      <c r="B97" t="s">
        <v>87</v>
      </c>
      <c r="C97">
        <v>0</v>
      </c>
      <c r="D97">
        <v>0</v>
      </c>
      <c r="E97">
        <v>0</v>
      </c>
      <c r="F97">
        <v>96</v>
      </c>
      <c r="G97">
        <v>1</v>
      </c>
      <c r="H97">
        <v>10</v>
      </c>
      <c r="I97">
        <v>10</v>
      </c>
      <c r="J97">
        <v>10</v>
      </c>
      <c r="K97">
        <f>1240+1255+725+665*2</f>
        <v>4550</v>
      </c>
      <c r="L97" t="str">
        <f t="shared" si="1"/>
        <v>INSERT INTO `jugador`( `nombre`, `puntos`, `victorias`, `derrotas`, `ranking`, `seed`, `clay`, `grass`, `hard`, `power`) VALUES('Jérémy Chardy','0','0','0','96','1','10','10','10','4550');</v>
      </c>
    </row>
    <row r="98" spans="1:12" x14ac:dyDescent="0.3">
      <c r="A98" s="1">
        <v>97</v>
      </c>
      <c r="B98" t="s">
        <v>88</v>
      </c>
      <c r="C98">
        <v>0</v>
      </c>
      <c r="D98">
        <v>0</v>
      </c>
      <c r="E98">
        <v>0</v>
      </c>
      <c r="F98">
        <v>97</v>
      </c>
      <c r="G98">
        <v>1</v>
      </c>
      <c r="H98">
        <v>10</v>
      </c>
      <c r="I98">
        <v>10</v>
      </c>
      <c r="J98">
        <v>10</v>
      </c>
      <c r="K98">
        <f>560+578+616+755*2</f>
        <v>3264</v>
      </c>
      <c r="L98" t="str">
        <f t="shared" si="1"/>
        <v>INSERT INTO `jugador`( `nombre`, `puntos`, `victorias`, `derrotas`, `ranking`, `seed`, `clay`, `grass`, `hard`, `power`) VALUES('Dudi Sela','0','0','0','97','1','10','10','10','3264');</v>
      </c>
    </row>
    <row r="99" spans="1:12" x14ac:dyDescent="0.3">
      <c r="A99" s="1">
        <v>98</v>
      </c>
      <c r="B99" t="s">
        <v>89</v>
      </c>
      <c r="C99">
        <v>0</v>
      </c>
      <c r="D99">
        <v>0</v>
      </c>
      <c r="E99">
        <v>0</v>
      </c>
      <c r="F99">
        <v>98</v>
      </c>
      <c r="G99">
        <v>1</v>
      </c>
      <c r="H99">
        <v>10</v>
      </c>
      <c r="I99">
        <v>10</v>
      </c>
      <c r="J99">
        <v>10</v>
      </c>
      <c r="K99">
        <f>576+534+492+605*2</f>
        <v>2812</v>
      </c>
      <c r="L99" t="str">
        <f t="shared" si="1"/>
        <v>INSERT INTO `jugador`( `nombre`, `puntos`, `victorias`, `derrotas`, `ranking`, `seed`, `clay`, `grass`, `hard`, `power`) VALUES('Lukáš Lacko','0','0','0','98','1','10','10','10','2812');</v>
      </c>
    </row>
    <row r="100" spans="1:12" x14ac:dyDescent="0.3">
      <c r="A100" s="1">
        <v>99</v>
      </c>
      <c r="B100" t="s">
        <v>90</v>
      </c>
      <c r="C100">
        <v>0</v>
      </c>
      <c r="D100">
        <v>0</v>
      </c>
      <c r="E100">
        <v>0</v>
      </c>
      <c r="F100">
        <v>99</v>
      </c>
      <c r="G100">
        <v>1</v>
      </c>
      <c r="H100">
        <v>10</v>
      </c>
      <c r="I100">
        <v>10</v>
      </c>
      <c r="J100">
        <v>10</v>
      </c>
      <c r="K100">
        <f>511+313+698+652*2</f>
        <v>2826</v>
      </c>
      <c r="L100" t="str">
        <f t="shared" si="1"/>
        <v>INSERT INTO `jugador`( `nombre`, `puntos`, `victorias`, `derrotas`, `ranking`, `seed`, `clay`, `grass`, `hard`, `power`) VALUES('Pierre Hugues Herbert','0','0','0','99','1','10','10','10','2826');</v>
      </c>
    </row>
    <row r="101" spans="1:12" x14ac:dyDescent="0.3">
      <c r="A101" s="1">
        <v>100</v>
      </c>
      <c r="B101" t="s">
        <v>91</v>
      </c>
      <c r="C101">
        <v>0</v>
      </c>
      <c r="D101">
        <v>0</v>
      </c>
      <c r="E101">
        <v>0</v>
      </c>
      <c r="F101">
        <v>100</v>
      </c>
      <c r="G101">
        <v>1</v>
      </c>
      <c r="H101">
        <v>10</v>
      </c>
      <c r="I101">
        <v>10</v>
      </c>
      <c r="J101">
        <v>10</v>
      </c>
      <c r="K101">
        <f>490+710+1102+561*2</f>
        <v>3424</v>
      </c>
      <c r="L101" t="str">
        <f t="shared" si="1"/>
        <v>INSERT INTO `jugador`( `nombre`, `puntos`, `victorias`, `derrotas`, `ranking`, `seed`, `clay`, `grass`, `hard`, `power`) VALUES('Nicolas Mahut','0','0','0','100','1','10','10','10','3424');</v>
      </c>
    </row>
    <row r="102" spans="1:12" x14ac:dyDescent="0.3">
      <c r="A102" s="1">
        <v>101</v>
      </c>
      <c r="B102" t="s">
        <v>92</v>
      </c>
      <c r="C102">
        <v>0</v>
      </c>
      <c r="D102">
        <v>0</v>
      </c>
      <c r="E102">
        <v>0</v>
      </c>
      <c r="F102">
        <v>101</v>
      </c>
      <c r="G102">
        <v>1</v>
      </c>
      <c r="H102">
        <v>10</v>
      </c>
      <c r="I102">
        <v>10</v>
      </c>
      <c r="J102">
        <v>10</v>
      </c>
      <c r="K102">
        <f>196+610+65+509*2</f>
        <v>1889</v>
      </c>
      <c r="L102" t="str">
        <f t="shared" si="1"/>
        <v>INSERT INTO `jugador`( `nombre`, `puntos`, `victorias`, `derrotas`, `ranking`, `seed`, `clay`, `grass`, `hard`, `power`) VALUES('Yuki Bhambri','0','0','0','101','1','10','10','10','1889');</v>
      </c>
    </row>
    <row r="103" spans="1:12" x14ac:dyDescent="0.3">
      <c r="A103" s="1">
        <v>102</v>
      </c>
      <c r="B103" t="s">
        <v>93</v>
      </c>
      <c r="C103">
        <v>0</v>
      </c>
      <c r="D103">
        <v>0</v>
      </c>
      <c r="E103">
        <v>0</v>
      </c>
      <c r="F103">
        <v>102</v>
      </c>
      <c r="G103">
        <v>1</v>
      </c>
      <c r="H103">
        <v>10</v>
      </c>
      <c r="I103">
        <v>10</v>
      </c>
      <c r="J103">
        <v>10</v>
      </c>
      <c r="K103">
        <f>324+618+304+543*2</f>
        <v>2332</v>
      </c>
      <c r="L103" t="str">
        <f t="shared" si="1"/>
        <v>INSERT INTO `jugador`( `nombre`, `puntos`, `victorias`, `derrotas`, `ranking`, `seed`, `clay`, `grass`, `hard`, `power`) VALUES('Marco Cecchinato','0','0','0','102','1','10','10','10','2332');</v>
      </c>
    </row>
    <row r="104" spans="1:12" x14ac:dyDescent="0.3">
      <c r="A104" s="1">
        <v>103</v>
      </c>
      <c r="B104" t="s">
        <v>94</v>
      </c>
      <c r="C104">
        <v>0</v>
      </c>
      <c r="D104">
        <v>0</v>
      </c>
      <c r="E104">
        <v>0</v>
      </c>
      <c r="F104">
        <v>103</v>
      </c>
      <c r="G104">
        <v>1</v>
      </c>
      <c r="H104">
        <v>10</v>
      </c>
      <c r="I104">
        <v>10</v>
      </c>
      <c r="J104">
        <v>10</v>
      </c>
      <c r="K104">
        <f>328+611+665+436*2</f>
        <v>2476</v>
      </c>
      <c r="L104" t="str">
        <f t="shared" si="1"/>
        <v>INSERT INTO `jugador`( `nombre`, `puntos`, `victorias`, `derrotas`, `ranking`, `seed`, `clay`, `grass`, `hard`, `power`) VALUES('John Millman','0','0','0','103','1','10','10','10','2476');</v>
      </c>
    </row>
    <row r="105" spans="1:12" x14ac:dyDescent="0.3">
      <c r="A105" s="1">
        <v>104</v>
      </c>
      <c r="B105" t="s">
        <v>95</v>
      </c>
      <c r="C105">
        <v>0</v>
      </c>
      <c r="D105">
        <v>0</v>
      </c>
      <c r="E105">
        <v>0</v>
      </c>
      <c r="F105">
        <v>104</v>
      </c>
      <c r="G105">
        <v>1</v>
      </c>
      <c r="H105">
        <v>10</v>
      </c>
      <c r="I105">
        <v>10</v>
      </c>
      <c r="J105">
        <v>10</v>
      </c>
      <c r="K105">
        <f>79+85+674+475*2</f>
        <v>1788</v>
      </c>
      <c r="L105" t="str">
        <f t="shared" si="1"/>
        <v>INSERT INTO `jugador`( `nombre`, `puntos`, `victorias`, `derrotas`, `ranking`, `seed`, `clay`, `grass`, `hard`, `power`) VALUES('Thiago Monteiro','0','0','0','104','1','10','10','10','1788');</v>
      </c>
    </row>
    <row r="106" spans="1:12" x14ac:dyDescent="0.3">
      <c r="A106" s="1">
        <v>105</v>
      </c>
      <c r="B106" t="s">
        <v>96</v>
      </c>
      <c r="C106">
        <v>0</v>
      </c>
      <c r="D106">
        <v>0</v>
      </c>
      <c r="E106">
        <v>0</v>
      </c>
      <c r="F106">
        <v>105</v>
      </c>
      <c r="G106">
        <v>1</v>
      </c>
      <c r="H106">
        <v>10</v>
      </c>
      <c r="I106">
        <v>10</v>
      </c>
      <c r="J106">
        <v>10</v>
      </c>
      <c r="K106">
        <f>293+603+476+579*2</f>
        <v>2530</v>
      </c>
      <c r="L106" t="str">
        <f t="shared" si="1"/>
        <v>INSERT INTO `jugador`( `nombre`, `puntos`, `victorias`, `derrotas`, `ranking`, `seed`, `clay`, `grass`, `hard`, `power`) VALUES('Taro Daniel','0','0','0','105','1','10','10','10','2530');</v>
      </c>
    </row>
    <row r="107" spans="1:12" x14ac:dyDescent="0.3">
      <c r="A107" s="1">
        <v>106</v>
      </c>
      <c r="B107" t="s">
        <v>97</v>
      </c>
      <c r="C107">
        <v>0</v>
      </c>
      <c r="D107">
        <v>0</v>
      </c>
      <c r="E107">
        <v>0</v>
      </c>
      <c r="F107">
        <v>106</v>
      </c>
      <c r="G107">
        <v>1</v>
      </c>
      <c r="H107">
        <v>10</v>
      </c>
      <c r="I107">
        <v>10</v>
      </c>
      <c r="J107">
        <v>10</v>
      </c>
      <c r="K107">
        <f>175+473+613+571*2</f>
        <v>2403</v>
      </c>
      <c r="L107" t="str">
        <f t="shared" si="1"/>
        <v>INSERT INTO `jugador`( `nombre`, `puntos`, `victorias`, `derrotas`, `ranking`, `seed`, `clay`, `grass`, `hard`, `power`) VALUES('Rogério Dutra Silva','0','0','0','106','1','10','10','10','2403');</v>
      </c>
    </row>
    <row r="108" spans="1:12" x14ac:dyDescent="0.3">
      <c r="A108" s="1">
        <v>107</v>
      </c>
      <c r="B108" t="s">
        <v>98</v>
      </c>
      <c r="C108">
        <v>0</v>
      </c>
      <c r="D108">
        <v>0</v>
      </c>
      <c r="E108">
        <v>0</v>
      </c>
      <c r="F108">
        <v>107</v>
      </c>
      <c r="G108">
        <v>1</v>
      </c>
      <c r="H108">
        <v>10</v>
      </c>
      <c r="I108">
        <v>10</v>
      </c>
      <c r="J108">
        <v>10</v>
      </c>
      <c r="K108">
        <f>42+244+399+436*3</f>
        <v>1993</v>
      </c>
      <c r="L108" t="str">
        <f t="shared" si="1"/>
        <v>INSERT INTO `jugador`( `nombre`, `puntos`, `victorias`, `derrotas`, `ranking`, `seed`, `clay`, `grass`, `hard`, `power`) VALUES('Quentin Halys','0','0','0','107','1','10','10','10','1993');</v>
      </c>
    </row>
    <row r="109" spans="1:12" x14ac:dyDescent="0.3">
      <c r="A109" s="1">
        <v>108</v>
      </c>
      <c r="B109" t="s">
        <v>125</v>
      </c>
      <c r="C109">
        <v>0</v>
      </c>
      <c r="D109">
        <v>0</v>
      </c>
      <c r="E109">
        <v>0</v>
      </c>
      <c r="F109">
        <v>108</v>
      </c>
      <c r="G109">
        <v>1</v>
      </c>
      <c r="H109">
        <v>10</v>
      </c>
      <c r="I109">
        <v>10</v>
      </c>
      <c r="J109">
        <v>10</v>
      </c>
      <c r="K109">
        <f>605+641+630+407*2</f>
        <v>2690</v>
      </c>
      <c r="L109" t="str">
        <f t="shared" si="1"/>
        <v>INSERT INTO `jugador`( `nombre`, `puntos`, `victorias`, `derrotas`, `ranking`, `seed`, `clay`, `grass`, `hard`, `power`) VALUES('Ricardas Berankis','0','0','0','108','1','10','10','10','2690');</v>
      </c>
    </row>
    <row r="110" spans="1:12" x14ac:dyDescent="0.3">
      <c r="A110" s="1">
        <v>109</v>
      </c>
      <c r="B110" t="s">
        <v>126</v>
      </c>
      <c r="C110">
        <v>0</v>
      </c>
      <c r="D110">
        <v>0</v>
      </c>
      <c r="E110">
        <v>0</v>
      </c>
      <c r="F110">
        <v>109</v>
      </c>
      <c r="G110">
        <v>1</v>
      </c>
      <c r="H110">
        <v>10</v>
      </c>
      <c r="I110">
        <v>10</v>
      </c>
      <c r="J110">
        <v>10</v>
      </c>
      <c r="K110">
        <f>551+382+243+581*2</f>
        <v>2338</v>
      </c>
      <c r="L110" t="str">
        <f t="shared" si="1"/>
        <v>INSERT INTO `jugador`( `nombre`, `puntos`, `victorias`, `derrotas`, `ranking`, `seed`, `clay`, `grass`, `hard`, `power`) VALUES('Blaž Kavcic','0','0','0','109','1','10','10','10','2338');</v>
      </c>
    </row>
    <row r="111" spans="1:12" x14ac:dyDescent="0.3">
      <c r="A111" s="1">
        <v>110</v>
      </c>
      <c r="B111" t="s">
        <v>99</v>
      </c>
      <c r="C111">
        <v>0</v>
      </c>
      <c r="D111">
        <v>0</v>
      </c>
      <c r="E111">
        <v>0</v>
      </c>
      <c r="F111">
        <v>110</v>
      </c>
      <c r="G111">
        <v>1</v>
      </c>
      <c r="H111">
        <v>10</v>
      </c>
      <c r="I111">
        <v>10</v>
      </c>
      <c r="J111">
        <v>10</v>
      </c>
      <c r="K111">
        <f>316+318+728+572*2</f>
        <v>2506</v>
      </c>
      <c r="L111" t="str">
        <f t="shared" si="1"/>
        <v>INSERT INTO `jugador`( `nombre`, `puntos`, `victorias`, `derrotas`, `ranking`, `seed`, `clay`, `grass`, `hard`, `power`) VALUES('Gerald Melzer','0','0','0','110','1','10','10','10','2506');</v>
      </c>
    </row>
    <row r="112" spans="1:12" x14ac:dyDescent="0.3">
      <c r="A112" s="1">
        <v>111</v>
      </c>
      <c r="B112" t="s">
        <v>100</v>
      </c>
      <c r="C112">
        <v>0</v>
      </c>
      <c r="D112">
        <v>0</v>
      </c>
      <c r="E112">
        <v>0</v>
      </c>
      <c r="F112">
        <v>111</v>
      </c>
      <c r="G112">
        <v>1</v>
      </c>
      <c r="H112">
        <v>10</v>
      </c>
      <c r="I112">
        <v>10</v>
      </c>
      <c r="J112">
        <v>10</v>
      </c>
      <c r="K112">
        <f>189+463+519+542*2</f>
        <v>2255</v>
      </c>
      <c r="L112" t="str">
        <f t="shared" si="1"/>
        <v>INSERT INTO `jugador`( `nombre`, `puntos`, `victorias`, `derrotas`, `ranking`, `seed`, `clay`, `grass`, `hard`, `power`) VALUES('Bjorn Fratangelo','0','0','0','111','1','10','10','10','2255');</v>
      </c>
    </row>
    <row r="113" spans="1:12" x14ac:dyDescent="0.3">
      <c r="A113" s="1">
        <v>112</v>
      </c>
      <c r="B113" t="s">
        <v>101</v>
      </c>
      <c r="C113">
        <v>0</v>
      </c>
      <c r="D113">
        <v>0</v>
      </c>
      <c r="E113">
        <v>0</v>
      </c>
      <c r="F113">
        <v>112</v>
      </c>
      <c r="G113">
        <v>1</v>
      </c>
      <c r="H113">
        <v>10</v>
      </c>
      <c r="I113">
        <v>10</v>
      </c>
      <c r="J113">
        <v>10</v>
      </c>
      <c r="K113">
        <f>610+933+1140+564*2</f>
        <v>3811</v>
      </c>
      <c r="L113" t="str">
        <f t="shared" si="1"/>
        <v>INSERT INTO `jugador`( `nombre`, `puntos`, `victorias`, `derrotas`, `ranking`, `seed`, `clay`, `grass`, `hard`, `power`) VALUES('Marcos Baghdatis','0','0','0','112','1','10','10','10','3811');</v>
      </c>
    </row>
    <row r="114" spans="1:12" x14ac:dyDescent="0.3">
      <c r="A114" s="1">
        <v>113</v>
      </c>
      <c r="B114" t="s">
        <v>102</v>
      </c>
      <c r="C114">
        <v>0</v>
      </c>
      <c r="D114">
        <v>0</v>
      </c>
      <c r="E114">
        <v>0</v>
      </c>
      <c r="F114">
        <v>113</v>
      </c>
      <c r="G114">
        <v>1</v>
      </c>
      <c r="H114">
        <v>10</v>
      </c>
      <c r="I114">
        <v>10</v>
      </c>
      <c r="J114">
        <v>10</v>
      </c>
      <c r="K114">
        <f>295+543+350+503*2</f>
        <v>2194</v>
      </c>
      <c r="L114" t="str">
        <f t="shared" si="1"/>
        <v>INSERT INTO `jugador`( `nombre`, `puntos`, `victorias`, `derrotas`, `ranking`, `seed`, `clay`, `grass`, `hard`, `power`) VALUES('Ruben Bemelmans','0','0','0','113','1','10','10','10','2194');</v>
      </c>
    </row>
    <row r="115" spans="1:12" x14ac:dyDescent="0.3">
      <c r="A115" s="1">
        <v>114</v>
      </c>
      <c r="B115" t="s">
        <v>103</v>
      </c>
      <c r="C115">
        <v>0</v>
      </c>
      <c r="D115">
        <v>0</v>
      </c>
      <c r="E115">
        <v>0</v>
      </c>
      <c r="F115">
        <v>114</v>
      </c>
      <c r="G115">
        <v>1</v>
      </c>
      <c r="H115">
        <v>10</v>
      </c>
      <c r="I115">
        <v>10</v>
      </c>
      <c r="J115">
        <v>10</v>
      </c>
      <c r="K115">
        <f>416+441+675+519*2</f>
        <v>2570</v>
      </c>
      <c r="L115" t="str">
        <f t="shared" si="1"/>
        <v>INSERT INTO `jugador`( `nombre`, `puntos`, `victorias`, `derrotas`, `ranking`, `seed`, `clay`, `grass`, `hard`, `power`) VALUES('Gastão Elias','0','0','0','114','1','10','10','10','2570');</v>
      </c>
    </row>
    <row r="116" spans="1:12" x14ac:dyDescent="0.3">
      <c r="A116" s="1">
        <v>115</v>
      </c>
      <c r="B116" t="s">
        <v>104</v>
      </c>
      <c r="C116">
        <v>0</v>
      </c>
      <c r="D116">
        <v>0</v>
      </c>
      <c r="E116">
        <v>0</v>
      </c>
      <c r="F116">
        <v>115</v>
      </c>
      <c r="G116">
        <v>1</v>
      </c>
      <c r="H116">
        <v>10</v>
      </c>
      <c r="I116">
        <v>10</v>
      </c>
      <c r="J116">
        <v>10</v>
      </c>
      <c r="K116">
        <f>37+35+183+521*4</f>
        <v>2339</v>
      </c>
      <c r="L116" t="str">
        <f t="shared" si="1"/>
        <v>INSERT INTO `jugador`( `nombre`, `puntos`, `victorias`, `derrotas`, `ranking`, `seed`, `clay`, `grass`, `hard`, `power`) VALUES('Cameron Norrie','0','0','0','115','1','10','10','10','2339');</v>
      </c>
    </row>
    <row r="117" spans="1:12" x14ac:dyDescent="0.3">
      <c r="A117" s="1">
        <v>116</v>
      </c>
      <c r="B117" t="s">
        <v>105</v>
      </c>
      <c r="C117">
        <v>0</v>
      </c>
      <c r="D117">
        <v>0</v>
      </c>
      <c r="E117">
        <v>0</v>
      </c>
      <c r="F117">
        <v>116</v>
      </c>
      <c r="G117">
        <v>1</v>
      </c>
      <c r="H117">
        <v>10</v>
      </c>
      <c r="I117">
        <v>10</v>
      </c>
      <c r="J117">
        <v>10</v>
      </c>
      <c r="K117">
        <f>676+566+814+580*2</f>
        <v>3216</v>
      </c>
      <c r="L117" t="str">
        <f t="shared" si="1"/>
        <v>INSERT INTO `jugador`( `nombre`, `puntos`, `victorias`, `derrotas`, `ranking`, `seed`, `clay`, `grass`, `hard`, `power`) VALUES('Malek Jaziri','0','0','0','116','1','10','10','10','3216');</v>
      </c>
    </row>
    <row r="118" spans="1:12" x14ac:dyDescent="0.3">
      <c r="A118" s="1">
        <v>117</v>
      </c>
      <c r="B118" t="s">
        <v>106</v>
      </c>
      <c r="C118">
        <v>0</v>
      </c>
      <c r="D118">
        <v>0</v>
      </c>
      <c r="E118">
        <v>0</v>
      </c>
      <c r="F118">
        <v>117</v>
      </c>
      <c r="G118">
        <v>1</v>
      </c>
      <c r="H118">
        <v>10</v>
      </c>
      <c r="I118">
        <v>10</v>
      </c>
      <c r="J118">
        <v>10</v>
      </c>
      <c r="K118">
        <f>18+43+152+499*4</f>
        <v>2209</v>
      </c>
      <c r="L118" t="str">
        <f t="shared" si="1"/>
        <v>INSERT INTO `jugador`( `nombre`, `puntos`, `victorias`, `derrotas`, `ranking`, `seed`, `clay`, `grass`, `hard`, `power`) VALUES('Yannick Hanfmann','0','0','0','117','1','10','10','10','2209');</v>
      </c>
    </row>
    <row r="119" spans="1:12" x14ac:dyDescent="0.3">
      <c r="A119" s="1">
        <v>118</v>
      </c>
      <c r="B119" t="s">
        <v>107</v>
      </c>
      <c r="C119">
        <v>0</v>
      </c>
      <c r="D119">
        <v>0</v>
      </c>
      <c r="E119">
        <v>0</v>
      </c>
      <c r="F119">
        <v>118</v>
      </c>
      <c r="G119">
        <v>1</v>
      </c>
      <c r="H119">
        <v>10</v>
      </c>
      <c r="I119">
        <v>10</v>
      </c>
      <c r="J119">
        <v>10</v>
      </c>
      <c r="K119">
        <f>781+780+542+484*2</f>
        <v>3071</v>
      </c>
      <c r="L119" t="str">
        <f t="shared" si="1"/>
        <v>INSERT INTO `jugador`( `nombre`, `puntos`, `victorias`, `derrotas`, `ranking`, `seed`, `clay`, `grass`, `hard`, `power`) VALUES('Sergiy Stakhovsky','0','0','0','118','1','10','10','10','3071');</v>
      </c>
    </row>
    <row r="120" spans="1:12" x14ac:dyDescent="0.3">
      <c r="A120" s="1">
        <v>119</v>
      </c>
      <c r="B120" t="s">
        <v>108</v>
      </c>
      <c r="C120">
        <v>0</v>
      </c>
      <c r="D120">
        <v>0</v>
      </c>
      <c r="E120">
        <v>0</v>
      </c>
      <c r="F120">
        <v>119</v>
      </c>
      <c r="G120">
        <v>1</v>
      </c>
      <c r="H120">
        <v>10</v>
      </c>
      <c r="I120">
        <v>10</v>
      </c>
      <c r="J120">
        <v>10</v>
      </c>
      <c r="K120">
        <f>397+415+218+465*2</f>
        <v>1960</v>
      </c>
      <c r="L120" t="str">
        <f t="shared" si="1"/>
        <v>INSERT INTO `jugador`( `nombre`, `puntos`, `victorias`, `derrotas`, `ranking`, `seed`, `clay`, `grass`, `hard`, `power`) VALUES('Adrián Menéndez-Maceiras','0','0','0','119','1','10','10','10','1960');</v>
      </c>
    </row>
    <row r="121" spans="1:12" x14ac:dyDescent="0.3">
      <c r="A121" s="1">
        <v>120</v>
      </c>
      <c r="B121" t="s">
        <v>109</v>
      </c>
      <c r="C121">
        <v>0</v>
      </c>
      <c r="D121">
        <v>0</v>
      </c>
      <c r="E121">
        <v>0</v>
      </c>
      <c r="F121">
        <v>120</v>
      </c>
      <c r="G121">
        <v>1</v>
      </c>
      <c r="H121">
        <v>10</v>
      </c>
      <c r="I121">
        <v>10</v>
      </c>
      <c r="J121">
        <v>10</v>
      </c>
      <c r="K121">
        <f>0+8+231+399*4</f>
        <v>1835</v>
      </c>
      <c r="L121" t="str">
        <f t="shared" si="1"/>
        <v>INSERT INTO `jugador`( `nombre`, `puntos`, `victorias`, `derrotas`, `ranking`, `seed`, `clay`, `grass`, `hard`, `power`) VALUES('Casper Ruud','0','0','0','120','1','10','10','10','1835');</v>
      </c>
    </row>
    <row r="122" spans="1:12" x14ac:dyDescent="0.3">
      <c r="A122" s="1">
        <v>121</v>
      </c>
      <c r="B122" t="s">
        <v>110</v>
      </c>
      <c r="C122">
        <v>0</v>
      </c>
      <c r="D122">
        <v>0</v>
      </c>
      <c r="E122">
        <v>0</v>
      </c>
      <c r="F122">
        <v>121</v>
      </c>
      <c r="G122">
        <v>1</v>
      </c>
      <c r="H122">
        <v>10</v>
      </c>
      <c r="I122">
        <v>10</v>
      </c>
      <c r="J122">
        <v>10</v>
      </c>
      <c r="K122">
        <f>0+66+92+410*3</f>
        <v>1388</v>
      </c>
      <c r="L122" t="str">
        <f t="shared" si="1"/>
        <v>INSERT INTO `jugador`( `nombre`, `puntos`, `victorias`, `derrotas`, `ranking`, `seed`, `clay`, `grass`, `hard`, `power`) VALUES('Matteo Berrettini','0','0','0','121','1','10','10','10','1388');</v>
      </c>
    </row>
    <row r="123" spans="1:12" x14ac:dyDescent="0.3">
      <c r="A123" s="1">
        <v>122</v>
      </c>
      <c r="B123" t="s">
        <v>111</v>
      </c>
      <c r="C123">
        <v>0</v>
      </c>
      <c r="D123">
        <v>0</v>
      </c>
      <c r="E123">
        <v>0</v>
      </c>
      <c r="F123">
        <v>122</v>
      </c>
      <c r="G123">
        <v>1</v>
      </c>
      <c r="H123">
        <v>10</v>
      </c>
      <c r="I123">
        <v>10</v>
      </c>
      <c r="J123">
        <v>10</v>
      </c>
      <c r="K123">
        <f>10+27+304+469*4</f>
        <v>2217</v>
      </c>
      <c r="L123" t="str">
        <f t="shared" si="1"/>
        <v>INSERT INTO `jugador`( `nombre`, `puntos`, `victorias`, `derrotas`, `ranking`, `seed`, `clay`, `grass`, `hard`, `power`) VALUES('Pedro Sousa','0','0','0','122','1','10','10','10','2217');</v>
      </c>
    </row>
    <row r="124" spans="1:12" x14ac:dyDescent="0.3">
      <c r="A124" s="1">
        <v>123</v>
      </c>
      <c r="B124" t="s">
        <v>112</v>
      </c>
      <c r="C124">
        <v>0</v>
      </c>
      <c r="D124">
        <v>0</v>
      </c>
      <c r="E124">
        <v>0</v>
      </c>
      <c r="F124">
        <v>123</v>
      </c>
      <c r="G124">
        <v>1</v>
      </c>
      <c r="H124">
        <v>10</v>
      </c>
      <c r="I124">
        <v>10</v>
      </c>
      <c r="J124">
        <v>10</v>
      </c>
      <c r="K124">
        <f>753+1105+771+531*2</f>
        <v>3691</v>
      </c>
      <c r="L124" t="str">
        <f t="shared" si="1"/>
        <v>INSERT INTO `jugador`( `nombre`, `puntos`, `victorias`, `derrotas`, `ranking`, `seed`, `clay`, `grass`, `hard`, `power`) VALUES('Thomaz Bellucci','0','0','0','123','1','10','10','10','3691');</v>
      </c>
    </row>
    <row r="125" spans="1:12" x14ac:dyDescent="0.3">
      <c r="A125" s="1">
        <v>124</v>
      </c>
      <c r="B125" t="s">
        <v>113</v>
      </c>
      <c r="C125">
        <v>0</v>
      </c>
      <c r="D125">
        <v>0</v>
      </c>
      <c r="E125">
        <v>0</v>
      </c>
      <c r="F125">
        <v>124</v>
      </c>
      <c r="G125">
        <v>1</v>
      </c>
      <c r="H125">
        <v>10</v>
      </c>
      <c r="I125">
        <v>10</v>
      </c>
      <c r="J125">
        <v>10</v>
      </c>
      <c r="K125">
        <f>317+638+658+667*2</f>
        <v>2947</v>
      </c>
      <c r="L125" t="str">
        <f t="shared" si="1"/>
        <v>INSERT INTO `jugador`( `nombre`, `puntos`, `victorias`, `derrotas`, `ranking`, `seed`, `clay`, `grass`, `hard`, `power`) VALUES('Steve Darcis','0','0','0','124','1','10','10','10','2947');</v>
      </c>
    </row>
    <row r="126" spans="1:12" x14ac:dyDescent="0.3">
      <c r="A126" s="1">
        <v>125</v>
      </c>
      <c r="B126" t="s">
        <v>114</v>
      </c>
      <c r="C126">
        <v>0</v>
      </c>
      <c r="D126">
        <v>0</v>
      </c>
      <c r="E126">
        <v>0</v>
      </c>
      <c r="F126">
        <v>125</v>
      </c>
      <c r="G126">
        <v>1</v>
      </c>
      <c r="H126">
        <v>10</v>
      </c>
      <c r="I126">
        <v>10</v>
      </c>
      <c r="J126">
        <v>10</v>
      </c>
      <c r="K126">
        <f>502+543+447+435*2</f>
        <v>2362</v>
      </c>
      <c r="L126" t="str">
        <f t="shared" si="1"/>
        <v>INSERT INTO `jugador`( `nombre`, `puntos`, `victorias`, `derrotas`, `ranking`, `seed`, `clay`, `grass`, `hard`, `power`) VALUES('Tim Smyczek','0','0','0','125','1','10','10','10','2362');</v>
      </c>
    </row>
    <row r="127" spans="1:12" x14ac:dyDescent="0.3">
      <c r="A127" s="1">
        <v>126</v>
      </c>
      <c r="B127" t="s">
        <v>115</v>
      </c>
      <c r="C127">
        <v>0</v>
      </c>
      <c r="D127">
        <v>0</v>
      </c>
      <c r="E127">
        <v>0</v>
      </c>
      <c r="F127">
        <v>126</v>
      </c>
      <c r="G127">
        <v>1</v>
      </c>
      <c r="H127">
        <v>10</v>
      </c>
      <c r="I127">
        <v>10</v>
      </c>
      <c r="J127">
        <v>10</v>
      </c>
      <c r="K127">
        <f>860+645+1136+298*2</f>
        <v>3237</v>
      </c>
      <c r="L127" t="str">
        <f t="shared" si="1"/>
        <v>INSERT INTO `jugador`( `nombre`, `puntos`, `victorias`, `derrotas`, `ranking`, `seed`, `clay`, `grass`, `hard`, `power`) VALUES('Marcel Granollers','0','0','0','126','1','10','10','10','3237');</v>
      </c>
    </row>
    <row r="128" spans="1:12" x14ac:dyDescent="0.3">
      <c r="A128" s="1">
        <v>127</v>
      </c>
      <c r="B128" t="s">
        <v>116</v>
      </c>
      <c r="C128">
        <v>0</v>
      </c>
      <c r="D128">
        <v>0</v>
      </c>
      <c r="E128">
        <v>0</v>
      </c>
      <c r="F128">
        <v>127</v>
      </c>
      <c r="G128">
        <v>1</v>
      </c>
      <c r="H128">
        <v>10</v>
      </c>
      <c r="I128">
        <v>10</v>
      </c>
      <c r="J128">
        <v>10</v>
      </c>
      <c r="K128">
        <f>60+111+443+498*2</f>
        <v>1610</v>
      </c>
      <c r="L128" t="str">
        <f t="shared" si="1"/>
        <v>INSERT INTO `jugador`( `nombre`, `puntos`, `victorias`, `derrotas`, `ranking`, `seed`, `clay`, `grass`, `hard`, `power`) VALUES('Ernesto Escobedo','0','0','0','127','1','10','10','10','1610');</v>
      </c>
    </row>
    <row r="129" spans="1:12" x14ac:dyDescent="0.3">
      <c r="A129" s="1">
        <v>128</v>
      </c>
      <c r="B129" t="s">
        <v>117</v>
      </c>
      <c r="C129">
        <v>0</v>
      </c>
      <c r="D129">
        <v>0</v>
      </c>
      <c r="E129">
        <v>0</v>
      </c>
      <c r="F129">
        <v>128</v>
      </c>
      <c r="G129">
        <v>1</v>
      </c>
      <c r="H129">
        <v>10</v>
      </c>
      <c r="I129">
        <v>10</v>
      </c>
      <c r="J129">
        <v>10</v>
      </c>
      <c r="K129">
        <f>151+279+452+488*2</f>
        <v>1858</v>
      </c>
      <c r="L129" t="str">
        <f t="shared" si="1"/>
        <v>INSERT INTO `jugador`( `nombre`, `puntos`, `victorias`, `derrotas`, `ranking`, `seed`, `clay`, `grass`, `hard`, `power`) VALUES('Henri Laaksonen','0','0','0','128','1','10','10','10','1858');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9"/>
  <sheetViews>
    <sheetView topLeftCell="A118" workbookViewId="0">
      <selection activeCell="H1" sqref="H1:H129"/>
    </sheetView>
  </sheetViews>
  <sheetFormatPr baseColWidth="10" defaultRowHeight="14.4" x14ac:dyDescent="0.3"/>
  <cols>
    <col min="3" max="3" width="13.33203125" style="1" customWidth="1"/>
    <col min="4" max="4" width="21.6640625" customWidth="1"/>
  </cols>
  <sheetData>
    <row r="1" spans="1:9" x14ac:dyDescent="0.3">
      <c r="A1" t="s">
        <v>133</v>
      </c>
      <c r="B1" t="s">
        <v>134</v>
      </c>
      <c r="C1" s="1" t="s">
        <v>132</v>
      </c>
      <c r="D1" t="s">
        <v>135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</row>
    <row r="2" spans="1:9" x14ac:dyDescent="0.3">
      <c r="A2">
        <v>1</v>
      </c>
      <c r="B2">
        <v>1</v>
      </c>
      <c r="C2" s="1">
        <v>1</v>
      </c>
      <c r="D2" t="s">
        <v>0</v>
      </c>
      <c r="E2">
        <v>11</v>
      </c>
      <c r="F2">
        <v>18</v>
      </c>
      <c r="G2">
        <v>16</v>
      </c>
      <c r="H2">
        <f>9775+8265+2130+9605*3</f>
        <v>48985</v>
      </c>
      <c r="I2">
        <v>0</v>
      </c>
    </row>
    <row r="3" spans="1:9" x14ac:dyDescent="0.3">
      <c r="A3">
        <v>2</v>
      </c>
      <c r="B3">
        <v>1</v>
      </c>
      <c r="C3" s="1">
        <v>2</v>
      </c>
      <c r="D3" t="s">
        <v>1</v>
      </c>
      <c r="E3">
        <v>20</v>
      </c>
      <c r="F3">
        <v>12</v>
      </c>
      <c r="G3">
        <v>12</v>
      </c>
      <c r="H3">
        <f>6835+5230+3300+10645*3</f>
        <v>47300</v>
      </c>
      <c r="I3">
        <v>0</v>
      </c>
    </row>
    <row r="4" spans="1:9" x14ac:dyDescent="0.3">
      <c r="A4">
        <v>3</v>
      </c>
      <c r="B4">
        <v>1</v>
      </c>
      <c r="C4" s="1">
        <v>3</v>
      </c>
      <c r="D4" t="s">
        <v>136</v>
      </c>
      <c r="E4">
        <v>10</v>
      </c>
      <c r="F4">
        <v>10</v>
      </c>
      <c r="G4">
        <v>11</v>
      </c>
      <c r="H4">
        <f>4150+2405+3650+3805*5</f>
        <v>29230</v>
      </c>
      <c r="I4">
        <v>0</v>
      </c>
    </row>
    <row r="5" spans="1:9" x14ac:dyDescent="0.3">
      <c r="A5">
        <v>4</v>
      </c>
      <c r="B5">
        <v>1</v>
      </c>
      <c r="C5" s="1">
        <v>4</v>
      </c>
      <c r="D5" t="s">
        <v>2</v>
      </c>
      <c r="E5">
        <v>10</v>
      </c>
      <c r="F5">
        <v>10</v>
      </c>
      <c r="G5">
        <v>11</v>
      </c>
      <c r="H5">
        <f>3645+1360+2035+5150*5</f>
        <v>32790</v>
      </c>
      <c r="I5">
        <v>0</v>
      </c>
    </row>
    <row r="6" spans="1:9" x14ac:dyDescent="0.3">
      <c r="A6">
        <v>5</v>
      </c>
      <c r="B6">
        <v>1</v>
      </c>
      <c r="C6" s="1">
        <v>5</v>
      </c>
      <c r="D6" t="s">
        <v>3</v>
      </c>
      <c r="E6">
        <v>10</v>
      </c>
      <c r="F6">
        <v>10</v>
      </c>
      <c r="G6">
        <v>10</v>
      </c>
      <c r="H6">
        <f>389+647+1655+4610*5</f>
        <v>25741</v>
      </c>
      <c r="I6">
        <v>0</v>
      </c>
    </row>
    <row r="7" spans="1:9" x14ac:dyDescent="0.3">
      <c r="A7">
        <v>6</v>
      </c>
      <c r="B7">
        <v>1</v>
      </c>
      <c r="C7" s="1">
        <v>6</v>
      </c>
      <c r="D7" t="s">
        <v>4</v>
      </c>
      <c r="E7">
        <v>10</v>
      </c>
      <c r="F7">
        <v>10</v>
      </c>
      <c r="G7">
        <v>10</v>
      </c>
      <c r="H7">
        <f>989+1600+3415+4015*4</f>
        <v>22064</v>
      </c>
      <c r="I7">
        <v>0</v>
      </c>
    </row>
    <row r="8" spans="1:9" x14ac:dyDescent="0.3">
      <c r="A8">
        <v>7</v>
      </c>
      <c r="B8">
        <v>1</v>
      </c>
      <c r="C8" s="1">
        <v>7</v>
      </c>
      <c r="D8" t="s">
        <v>5</v>
      </c>
      <c r="E8">
        <v>10</v>
      </c>
      <c r="F8">
        <v>10</v>
      </c>
      <c r="G8">
        <v>10</v>
      </c>
      <c r="H8">
        <f>1599+1880+2750+3775*4</f>
        <v>21329</v>
      </c>
      <c r="I8">
        <v>0</v>
      </c>
    </row>
    <row r="9" spans="1:9" x14ac:dyDescent="0.3">
      <c r="A9">
        <v>8</v>
      </c>
      <c r="B9">
        <v>1</v>
      </c>
      <c r="C9" s="1">
        <v>8</v>
      </c>
      <c r="D9" t="s">
        <v>6</v>
      </c>
      <c r="E9">
        <v>10</v>
      </c>
      <c r="F9">
        <v>10</v>
      </c>
      <c r="G9">
        <v>10</v>
      </c>
      <c r="H9">
        <f>934+1465+1710+3165*4</f>
        <v>16769</v>
      </c>
      <c r="I9">
        <v>0</v>
      </c>
    </row>
    <row r="10" spans="1:9" x14ac:dyDescent="0.3">
      <c r="A10">
        <v>9</v>
      </c>
      <c r="B10">
        <v>1</v>
      </c>
      <c r="C10" s="1">
        <v>9</v>
      </c>
      <c r="D10" t="s">
        <v>7</v>
      </c>
      <c r="E10">
        <v>10</v>
      </c>
      <c r="F10">
        <v>10</v>
      </c>
      <c r="G10">
        <v>10</v>
      </c>
      <c r="H10">
        <f>2080+2475+735+2480*4</f>
        <v>15210</v>
      </c>
      <c r="I10">
        <v>0</v>
      </c>
    </row>
    <row r="11" spans="1:9" x14ac:dyDescent="0.3">
      <c r="A11">
        <v>10</v>
      </c>
      <c r="B11">
        <v>1</v>
      </c>
      <c r="C11" s="1">
        <v>10</v>
      </c>
      <c r="D11" t="s">
        <v>8</v>
      </c>
      <c r="E11">
        <v>10</v>
      </c>
      <c r="F11">
        <v>10</v>
      </c>
      <c r="G11">
        <v>11</v>
      </c>
      <c r="H11">
        <f>385+55+1110+2595*7</f>
        <v>19715</v>
      </c>
      <c r="I11">
        <v>0</v>
      </c>
    </row>
    <row r="12" spans="1:9" x14ac:dyDescent="0.3">
      <c r="A12">
        <v>11</v>
      </c>
      <c r="B12">
        <v>1</v>
      </c>
      <c r="C12" s="1">
        <v>11</v>
      </c>
      <c r="D12" t="s">
        <v>9</v>
      </c>
      <c r="E12">
        <v>10</v>
      </c>
      <c r="F12">
        <v>10</v>
      </c>
      <c r="G12">
        <v>10</v>
      </c>
      <c r="H12">
        <f>841+734+1370+2615*5</f>
        <v>16020</v>
      </c>
      <c r="I12">
        <v>0</v>
      </c>
    </row>
    <row r="13" spans="1:9" x14ac:dyDescent="0.3">
      <c r="A13">
        <v>12</v>
      </c>
      <c r="B13">
        <v>1</v>
      </c>
      <c r="C13" s="1">
        <v>12</v>
      </c>
      <c r="D13" t="s">
        <v>10</v>
      </c>
      <c r="E13">
        <v>10</v>
      </c>
      <c r="F13">
        <v>10</v>
      </c>
      <c r="G13">
        <v>10</v>
      </c>
      <c r="H13">
        <f>1090+785+1355+2535*4</f>
        <v>13370</v>
      </c>
      <c r="I13">
        <v>0</v>
      </c>
    </row>
    <row r="14" spans="1:9" x14ac:dyDescent="0.3">
      <c r="A14">
        <v>13</v>
      </c>
      <c r="B14">
        <v>1</v>
      </c>
      <c r="C14" s="1">
        <v>13</v>
      </c>
      <c r="D14" t="s">
        <v>11</v>
      </c>
      <c r="E14">
        <v>11</v>
      </c>
      <c r="F14">
        <v>10</v>
      </c>
      <c r="G14">
        <v>11</v>
      </c>
      <c r="H14">
        <f>5370+6865+5315+3150*4</f>
        <v>30150</v>
      </c>
      <c r="I14">
        <v>0</v>
      </c>
    </row>
    <row r="15" spans="1:9" x14ac:dyDescent="0.3">
      <c r="A15">
        <v>14</v>
      </c>
      <c r="B15">
        <v>1</v>
      </c>
      <c r="C15" s="1">
        <v>14</v>
      </c>
      <c r="D15" t="s">
        <v>12</v>
      </c>
      <c r="E15">
        <v>11</v>
      </c>
      <c r="F15">
        <v>13</v>
      </c>
      <c r="G15">
        <v>16</v>
      </c>
      <c r="H15">
        <f>11360+16585+11780+2585*4</f>
        <v>50065</v>
      </c>
      <c r="I15">
        <v>0</v>
      </c>
    </row>
    <row r="16" spans="1:9" x14ac:dyDescent="0.3">
      <c r="A16">
        <v>15</v>
      </c>
      <c r="B16">
        <v>1</v>
      </c>
      <c r="C16" s="1">
        <v>15</v>
      </c>
      <c r="D16" t="s">
        <v>13</v>
      </c>
      <c r="E16">
        <v>10</v>
      </c>
      <c r="F16">
        <v>10</v>
      </c>
      <c r="G16">
        <v>10</v>
      </c>
      <c r="H16">
        <f>830+1260+2460+2010*4</f>
        <v>12590</v>
      </c>
      <c r="I16">
        <v>0</v>
      </c>
    </row>
    <row r="17" spans="1:9" x14ac:dyDescent="0.3">
      <c r="A17">
        <v>16</v>
      </c>
      <c r="B17">
        <v>1</v>
      </c>
      <c r="C17" s="1">
        <v>16</v>
      </c>
      <c r="D17" t="s">
        <v>14</v>
      </c>
      <c r="E17">
        <v>10</v>
      </c>
      <c r="F17">
        <v>10</v>
      </c>
      <c r="G17">
        <v>10</v>
      </c>
      <c r="H17">
        <f>408+672+2156+2235*4</f>
        <v>12176</v>
      </c>
      <c r="I17">
        <v>0</v>
      </c>
    </row>
    <row r="18" spans="1:9" x14ac:dyDescent="0.3">
      <c r="A18">
        <v>17</v>
      </c>
      <c r="B18">
        <v>1</v>
      </c>
      <c r="C18" s="1">
        <v>17</v>
      </c>
      <c r="D18" t="s">
        <v>15</v>
      </c>
      <c r="E18">
        <v>10</v>
      </c>
      <c r="F18">
        <v>10</v>
      </c>
      <c r="G18">
        <v>10</v>
      </c>
      <c r="H18">
        <f>4600+4620+3060+2095*3</f>
        <v>18565</v>
      </c>
      <c r="I18">
        <v>0</v>
      </c>
    </row>
    <row r="19" spans="1:9" x14ac:dyDescent="0.3">
      <c r="A19">
        <v>18</v>
      </c>
      <c r="B19">
        <v>1</v>
      </c>
      <c r="C19" s="1">
        <v>18</v>
      </c>
      <c r="D19" t="s">
        <v>16</v>
      </c>
      <c r="E19">
        <v>10</v>
      </c>
      <c r="F19">
        <v>10</v>
      </c>
      <c r="G19">
        <v>10</v>
      </c>
      <c r="H19">
        <f>1890+2495+1850+2265*3</f>
        <v>13030</v>
      </c>
      <c r="I19">
        <v>0</v>
      </c>
    </row>
    <row r="20" spans="1:9" x14ac:dyDescent="0.3">
      <c r="A20">
        <v>19</v>
      </c>
      <c r="B20">
        <v>1</v>
      </c>
      <c r="C20" s="1">
        <v>19</v>
      </c>
      <c r="D20" t="s">
        <v>17</v>
      </c>
      <c r="E20">
        <v>10</v>
      </c>
      <c r="F20">
        <v>10</v>
      </c>
      <c r="G20">
        <v>10</v>
      </c>
      <c r="H20">
        <f>761+798+1435+1845*3</f>
        <v>8529</v>
      </c>
      <c r="I20">
        <v>0</v>
      </c>
    </row>
    <row r="21" spans="1:9" x14ac:dyDescent="0.3">
      <c r="A21">
        <v>20</v>
      </c>
      <c r="B21">
        <v>1</v>
      </c>
      <c r="C21" s="1">
        <v>20</v>
      </c>
      <c r="D21" t="s">
        <v>18</v>
      </c>
      <c r="E21">
        <v>10</v>
      </c>
      <c r="F21">
        <v>12</v>
      </c>
      <c r="G21">
        <v>11</v>
      </c>
      <c r="H21">
        <f>4675+8945+12410+2290*4</f>
        <v>35190</v>
      </c>
      <c r="I21">
        <v>0</v>
      </c>
    </row>
    <row r="22" spans="1:9" x14ac:dyDescent="0.3">
      <c r="A22">
        <v>21</v>
      </c>
      <c r="B22">
        <v>1</v>
      </c>
      <c r="C22" s="1">
        <v>21</v>
      </c>
      <c r="D22" t="s">
        <v>19</v>
      </c>
      <c r="E22">
        <v>10</v>
      </c>
      <c r="F22">
        <v>10</v>
      </c>
      <c r="G22">
        <v>10</v>
      </c>
      <c r="H22">
        <f>1790+1515+945+1670*3</f>
        <v>9260</v>
      </c>
      <c r="I22">
        <v>0</v>
      </c>
    </row>
    <row r="23" spans="1:9" x14ac:dyDescent="0.3">
      <c r="A23">
        <v>22</v>
      </c>
      <c r="B23">
        <v>1</v>
      </c>
      <c r="C23" s="1">
        <v>22</v>
      </c>
      <c r="D23" t="s">
        <v>20</v>
      </c>
      <c r="E23">
        <v>10</v>
      </c>
      <c r="F23">
        <v>10</v>
      </c>
      <c r="G23">
        <v>10</v>
      </c>
      <c r="H23">
        <f>2110+1480+2350+2015*2</f>
        <v>9970</v>
      </c>
      <c r="I23">
        <v>0</v>
      </c>
    </row>
    <row r="24" spans="1:9" x14ac:dyDescent="0.3">
      <c r="A24">
        <v>23</v>
      </c>
      <c r="B24">
        <v>1</v>
      </c>
      <c r="C24" s="1">
        <v>23</v>
      </c>
      <c r="D24" t="s">
        <v>21</v>
      </c>
      <c r="E24">
        <v>10</v>
      </c>
      <c r="F24">
        <v>10</v>
      </c>
      <c r="G24">
        <v>10</v>
      </c>
      <c r="H24">
        <f>775+624+864+1675*3</f>
        <v>7288</v>
      </c>
      <c r="I24">
        <v>0</v>
      </c>
    </row>
    <row r="25" spans="1:9" x14ac:dyDescent="0.3">
      <c r="A25">
        <v>24</v>
      </c>
      <c r="B25">
        <v>1</v>
      </c>
      <c r="C25" s="1">
        <v>24</v>
      </c>
      <c r="D25" t="s">
        <v>22</v>
      </c>
      <c r="E25">
        <v>10</v>
      </c>
      <c r="F25">
        <v>10</v>
      </c>
      <c r="G25">
        <v>10</v>
      </c>
      <c r="H25">
        <f>898+930+791+1635*4</f>
        <v>9159</v>
      </c>
      <c r="I25">
        <v>0</v>
      </c>
    </row>
    <row r="26" spans="1:9" x14ac:dyDescent="0.3">
      <c r="A26">
        <v>25</v>
      </c>
      <c r="B26">
        <v>1</v>
      </c>
      <c r="C26" s="1">
        <v>25</v>
      </c>
      <c r="D26" t="s">
        <v>23</v>
      </c>
      <c r="E26">
        <v>10</v>
      </c>
      <c r="F26">
        <v>10</v>
      </c>
      <c r="G26">
        <v>10</v>
      </c>
      <c r="H26">
        <f>260+568+1001+992*6</f>
        <v>7781</v>
      </c>
      <c r="I26">
        <v>0</v>
      </c>
    </row>
    <row r="27" spans="1:9" x14ac:dyDescent="0.3">
      <c r="A27">
        <v>26</v>
      </c>
      <c r="B27">
        <v>1</v>
      </c>
      <c r="C27" s="1">
        <v>26</v>
      </c>
      <c r="D27" t="s">
        <v>24</v>
      </c>
      <c r="E27">
        <v>10</v>
      </c>
      <c r="F27">
        <v>10</v>
      </c>
      <c r="G27">
        <v>10</v>
      </c>
      <c r="H27">
        <f>5025+4235+4905+1885*2</f>
        <v>17935</v>
      </c>
      <c r="I27">
        <v>0</v>
      </c>
    </row>
    <row r="28" spans="1:9" x14ac:dyDescent="0.3">
      <c r="A28">
        <v>27</v>
      </c>
      <c r="B28">
        <v>1</v>
      </c>
      <c r="C28" s="1">
        <v>27</v>
      </c>
      <c r="D28" t="s">
        <v>25</v>
      </c>
      <c r="E28">
        <v>10</v>
      </c>
      <c r="F28">
        <v>10</v>
      </c>
      <c r="G28">
        <v>10</v>
      </c>
      <c r="H28">
        <f>2740+2635+2550+2320*2</f>
        <v>12565</v>
      </c>
      <c r="I28">
        <v>0</v>
      </c>
    </row>
    <row r="29" spans="1:9" x14ac:dyDescent="0.3">
      <c r="A29">
        <v>28</v>
      </c>
      <c r="B29">
        <v>1</v>
      </c>
      <c r="C29" s="1">
        <v>28</v>
      </c>
      <c r="D29" t="s">
        <v>26</v>
      </c>
      <c r="E29">
        <v>10</v>
      </c>
      <c r="F29">
        <v>10</v>
      </c>
      <c r="G29">
        <v>10</v>
      </c>
      <c r="H29">
        <f>855+1105+1255+1695*2</f>
        <v>6605</v>
      </c>
      <c r="I29">
        <v>0</v>
      </c>
    </row>
    <row r="30" spans="1:9" x14ac:dyDescent="0.3">
      <c r="A30">
        <v>29</v>
      </c>
      <c r="B30">
        <v>1</v>
      </c>
      <c r="C30" s="1">
        <v>29</v>
      </c>
      <c r="D30" t="s">
        <v>27</v>
      </c>
      <c r="E30">
        <v>10</v>
      </c>
      <c r="F30">
        <v>10</v>
      </c>
      <c r="G30">
        <v>10</v>
      </c>
      <c r="H30">
        <f>526+649+699+1391*5</f>
        <v>8829</v>
      </c>
      <c r="I30">
        <v>0</v>
      </c>
    </row>
    <row r="31" spans="1:9" x14ac:dyDescent="0.3">
      <c r="A31">
        <v>30</v>
      </c>
      <c r="B31">
        <v>1</v>
      </c>
      <c r="C31" s="1">
        <v>30</v>
      </c>
      <c r="D31" t="s">
        <v>28</v>
      </c>
      <c r="E31">
        <v>10</v>
      </c>
      <c r="F31">
        <v>10</v>
      </c>
      <c r="G31">
        <v>10</v>
      </c>
      <c r="H31">
        <f>299+817+571+844*6</f>
        <v>6751</v>
      </c>
      <c r="I31">
        <v>0</v>
      </c>
    </row>
    <row r="32" spans="1:9" x14ac:dyDescent="0.3">
      <c r="A32">
        <v>31</v>
      </c>
      <c r="B32">
        <v>1</v>
      </c>
      <c r="C32" s="1">
        <v>31</v>
      </c>
      <c r="D32" t="s">
        <v>29</v>
      </c>
      <c r="E32">
        <v>10</v>
      </c>
      <c r="F32">
        <v>10</v>
      </c>
      <c r="G32">
        <v>10</v>
      </c>
      <c r="H32">
        <f>92+270+395+1229*5</f>
        <v>6902</v>
      </c>
      <c r="I32">
        <v>0</v>
      </c>
    </row>
    <row r="33" spans="1:9" x14ac:dyDescent="0.3">
      <c r="A33">
        <v>32</v>
      </c>
      <c r="B33">
        <v>1</v>
      </c>
      <c r="C33" s="1">
        <v>32</v>
      </c>
      <c r="D33" t="s">
        <v>30</v>
      </c>
      <c r="E33">
        <v>10</v>
      </c>
      <c r="F33">
        <v>10</v>
      </c>
      <c r="G33">
        <v>10</v>
      </c>
      <c r="H33">
        <f>4440+2170+5450+1795*2</f>
        <v>15650</v>
      </c>
      <c r="I33">
        <v>0</v>
      </c>
    </row>
    <row r="34" spans="1:9" x14ac:dyDescent="0.3">
      <c r="A34">
        <v>33</v>
      </c>
      <c r="B34">
        <v>1</v>
      </c>
      <c r="C34" s="1">
        <v>33</v>
      </c>
      <c r="D34" t="s">
        <v>31</v>
      </c>
      <c r="E34">
        <v>10</v>
      </c>
      <c r="F34">
        <v>10</v>
      </c>
      <c r="G34">
        <v>10</v>
      </c>
      <c r="H34">
        <f>1222+1065+1780+1370*2</f>
        <v>6807</v>
      </c>
      <c r="I34">
        <v>0</v>
      </c>
    </row>
    <row r="35" spans="1:9" x14ac:dyDescent="0.3">
      <c r="A35">
        <v>34</v>
      </c>
      <c r="B35">
        <v>1</v>
      </c>
      <c r="C35" s="1">
        <v>34</v>
      </c>
      <c r="D35" t="s">
        <v>32</v>
      </c>
      <c r="E35">
        <v>10</v>
      </c>
      <c r="F35">
        <v>10</v>
      </c>
      <c r="G35">
        <v>10</v>
      </c>
      <c r="H35">
        <f>1350+2850+1885+1375*2</f>
        <v>8835</v>
      </c>
      <c r="I35">
        <v>0</v>
      </c>
    </row>
    <row r="36" spans="1:9" x14ac:dyDescent="0.3">
      <c r="A36">
        <v>35</v>
      </c>
      <c r="B36">
        <v>1</v>
      </c>
      <c r="C36" s="1">
        <v>35</v>
      </c>
      <c r="D36" t="s">
        <v>33</v>
      </c>
      <c r="E36">
        <v>10</v>
      </c>
      <c r="F36">
        <v>10</v>
      </c>
      <c r="G36">
        <v>10</v>
      </c>
      <c r="H36">
        <f>1415+1185+1325+1440*2</f>
        <v>6805</v>
      </c>
      <c r="I36">
        <v>0</v>
      </c>
    </row>
    <row r="37" spans="1:9" x14ac:dyDescent="0.3">
      <c r="A37">
        <v>36</v>
      </c>
      <c r="B37">
        <v>1</v>
      </c>
      <c r="C37" s="1">
        <v>36</v>
      </c>
      <c r="D37" t="s">
        <v>118</v>
      </c>
      <c r="E37">
        <v>10</v>
      </c>
      <c r="F37">
        <v>10</v>
      </c>
      <c r="G37">
        <v>10</v>
      </c>
      <c r="H37">
        <f>558+574+223+1298*3</f>
        <v>5249</v>
      </c>
      <c r="I37">
        <v>0</v>
      </c>
    </row>
    <row r="38" spans="1:9" x14ac:dyDescent="0.3">
      <c r="A38">
        <v>37</v>
      </c>
      <c r="B38">
        <v>1</v>
      </c>
      <c r="C38" s="1">
        <v>37</v>
      </c>
      <c r="D38" t="s">
        <v>34</v>
      </c>
      <c r="E38">
        <v>10</v>
      </c>
      <c r="F38">
        <v>10</v>
      </c>
      <c r="G38">
        <v>10</v>
      </c>
      <c r="H38">
        <f>2130+1690+1410+1295*2</f>
        <v>7820</v>
      </c>
      <c r="I38">
        <v>0</v>
      </c>
    </row>
    <row r="39" spans="1:9" x14ac:dyDescent="0.3">
      <c r="A39">
        <v>38</v>
      </c>
      <c r="B39">
        <v>1</v>
      </c>
      <c r="C39" s="1">
        <v>38</v>
      </c>
      <c r="D39" t="s">
        <v>35</v>
      </c>
      <c r="E39">
        <v>10</v>
      </c>
      <c r="F39">
        <v>10</v>
      </c>
      <c r="G39">
        <v>10</v>
      </c>
      <c r="H39">
        <f>4045+4305+1785+1290*2</f>
        <v>12715</v>
      </c>
      <c r="I39">
        <v>0</v>
      </c>
    </row>
    <row r="40" spans="1:9" x14ac:dyDescent="0.3">
      <c r="A40">
        <v>39</v>
      </c>
      <c r="B40">
        <v>1</v>
      </c>
      <c r="C40" s="1">
        <v>39</v>
      </c>
      <c r="D40" t="s">
        <v>36</v>
      </c>
      <c r="E40">
        <v>10</v>
      </c>
      <c r="F40">
        <v>10</v>
      </c>
      <c r="G40">
        <v>10</v>
      </c>
      <c r="H40">
        <f>1900+1485+3625+1015*2</f>
        <v>9040</v>
      </c>
      <c r="I40">
        <v>0</v>
      </c>
    </row>
    <row r="41" spans="1:9" x14ac:dyDescent="0.3">
      <c r="A41">
        <v>40</v>
      </c>
      <c r="B41">
        <v>1</v>
      </c>
      <c r="C41" s="1">
        <v>40</v>
      </c>
      <c r="D41" t="s">
        <v>37</v>
      </c>
      <c r="E41">
        <v>10</v>
      </c>
      <c r="F41">
        <v>10</v>
      </c>
      <c r="G41">
        <v>10</v>
      </c>
      <c r="H41">
        <f>1135+900+1035+1295*2</f>
        <v>5660</v>
      </c>
      <c r="I41">
        <v>0</v>
      </c>
    </row>
    <row r="42" spans="1:9" x14ac:dyDescent="0.3">
      <c r="A42">
        <v>41</v>
      </c>
      <c r="B42">
        <v>1</v>
      </c>
      <c r="C42" s="1">
        <v>41</v>
      </c>
      <c r="D42" t="s">
        <v>119</v>
      </c>
      <c r="E42">
        <v>10</v>
      </c>
      <c r="F42">
        <v>10</v>
      </c>
      <c r="G42">
        <v>10</v>
      </c>
      <c r="H42">
        <f>420+472+527+1219*2</f>
        <v>3857</v>
      </c>
      <c r="I42">
        <v>0</v>
      </c>
    </row>
    <row r="43" spans="1:9" x14ac:dyDescent="0.3">
      <c r="A43">
        <v>42</v>
      </c>
      <c r="B43">
        <v>1</v>
      </c>
      <c r="C43" s="1">
        <v>42</v>
      </c>
      <c r="D43" t="s">
        <v>38</v>
      </c>
      <c r="E43">
        <v>10</v>
      </c>
      <c r="F43">
        <v>10</v>
      </c>
      <c r="G43">
        <v>10</v>
      </c>
      <c r="H43">
        <f>620+740+795+1130*2</f>
        <v>4415</v>
      </c>
      <c r="I43">
        <v>0</v>
      </c>
    </row>
    <row r="44" spans="1:9" x14ac:dyDescent="0.3">
      <c r="A44">
        <v>43</v>
      </c>
      <c r="B44">
        <v>1</v>
      </c>
      <c r="C44" s="1">
        <v>43</v>
      </c>
      <c r="D44" t="s">
        <v>39</v>
      </c>
      <c r="E44">
        <v>10</v>
      </c>
      <c r="F44">
        <v>10</v>
      </c>
      <c r="G44">
        <v>10</v>
      </c>
      <c r="H44">
        <f>370+939+592+993*2</f>
        <v>3887</v>
      </c>
      <c r="I44">
        <v>0</v>
      </c>
    </row>
    <row r="45" spans="1:9" x14ac:dyDescent="0.3">
      <c r="A45">
        <v>44</v>
      </c>
      <c r="B45">
        <v>1</v>
      </c>
      <c r="C45" s="1">
        <v>44</v>
      </c>
      <c r="D45" t="s">
        <v>40</v>
      </c>
      <c r="E45">
        <v>10</v>
      </c>
      <c r="F45">
        <v>10</v>
      </c>
      <c r="G45">
        <v>10</v>
      </c>
      <c r="H45">
        <f>1455+1135+760+1231*2</f>
        <v>5812</v>
      </c>
      <c r="I45">
        <v>0</v>
      </c>
    </row>
    <row r="46" spans="1:9" x14ac:dyDescent="0.3">
      <c r="A46">
        <v>45</v>
      </c>
      <c r="B46">
        <v>1</v>
      </c>
      <c r="C46" s="1">
        <v>45</v>
      </c>
      <c r="D46" t="s">
        <v>41</v>
      </c>
      <c r="E46">
        <v>10</v>
      </c>
      <c r="F46">
        <v>10</v>
      </c>
      <c r="G46">
        <v>10</v>
      </c>
      <c r="H46">
        <f>474+1633+960+1155*2</f>
        <v>5377</v>
      </c>
      <c r="I46">
        <v>0</v>
      </c>
    </row>
    <row r="47" spans="1:9" x14ac:dyDescent="0.3">
      <c r="A47">
        <v>46</v>
      </c>
      <c r="B47">
        <v>1</v>
      </c>
      <c r="C47" s="1">
        <v>46</v>
      </c>
      <c r="D47" t="s">
        <v>42</v>
      </c>
      <c r="E47">
        <v>10</v>
      </c>
      <c r="F47">
        <v>10</v>
      </c>
      <c r="G47">
        <v>10</v>
      </c>
      <c r="H47">
        <f>0+8+209+981*4</f>
        <v>4141</v>
      </c>
      <c r="I47">
        <v>0</v>
      </c>
    </row>
    <row r="48" spans="1:9" x14ac:dyDescent="0.3">
      <c r="A48">
        <v>47</v>
      </c>
      <c r="B48">
        <v>1</v>
      </c>
      <c r="C48" s="1">
        <v>47</v>
      </c>
      <c r="D48" t="s">
        <v>43</v>
      </c>
      <c r="E48">
        <v>10</v>
      </c>
      <c r="F48">
        <v>10</v>
      </c>
      <c r="G48">
        <v>10</v>
      </c>
      <c r="H48">
        <f>116+379+863+1030*2</f>
        <v>3418</v>
      </c>
      <c r="I48">
        <v>0</v>
      </c>
    </row>
    <row r="49" spans="1:9" x14ac:dyDescent="0.3">
      <c r="A49">
        <v>48</v>
      </c>
      <c r="B49">
        <v>1</v>
      </c>
      <c r="C49" s="1">
        <v>48</v>
      </c>
      <c r="D49" t="s">
        <v>120</v>
      </c>
      <c r="E49">
        <v>10</v>
      </c>
      <c r="F49">
        <v>10</v>
      </c>
      <c r="G49">
        <v>10</v>
      </c>
      <c r="H49">
        <f>557+941+945+1001*2</f>
        <v>4445</v>
      </c>
      <c r="I49">
        <v>0</v>
      </c>
    </row>
    <row r="50" spans="1:9" x14ac:dyDescent="0.3">
      <c r="A50">
        <v>49</v>
      </c>
      <c r="B50">
        <v>1</v>
      </c>
      <c r="C50" s="1">
        <v>49</v>
      </c>
      <c r="D50" t="s">
        <v>44</v>
      </c>
      <c r="E50">
        <v>10</v>
      </c>
      <c r="F50">
        <v>10</v>
      </c>
      <c r="G50">
        <v>10</v>
      </c>
      <c r="H50">
        <f>1299+1150+448+909*2</f>
        <v>4715</v>
      </c>
      <c r="I50">
        <v>0</v>
      </c>
    </row>
    <row r="51" spans="1:9" x14ac:dyDescent="0.3">
      <c r="A51">
        <v>50</v>
      </c>
      <c r="B51">
        <v>1</v>
      </c>
      <c r="C51" s="1">
        <v>50</v>
      </c>
      <c r="D51" t="s">
        <v>45</v>
      </c>
      <c r="E51">
        <v>10</v>
      </c>
      <c r="F51">
        <v>10</v>
      </c>
      <c r="G51">
        <v>10</v>
      </c>
      <c r="H51">
        <f>39+144+611+772*3</f>
        <v>3110</v>
      </c>
      <c r="I51">
        <v>0</v>
      </c>
    </row>
    <row r="52" spans="1:9" x14ac:dyDescent="0.3">
      <c r="A52">
        <v>51</v>
      </c>
      <c r="B52">
        <v>1</v>
      </c>
      <c r="C52" s="1">
        <v>51</v>
      </c>
      <c r="D52" t="s">
        <v>46</v>
      </c>
      <c r="E52">
        <v>10</v>
      </c>
      <c r="F52">
        <v>10</v>
      </c>
      <c r="G52">
        <v>10</v>
      </c>
      <c r="H52">
        <f>999+1240+1320+1055*2</f>
        <v>5669</v>
      </c>
      <c r="I52">
        <v>0</v>
      </c>
    </row>
    <row r="53" spans="1:9" x14ac:dyDescent="0.3">
      <c r="A53">
        <v>52</v>
      </c>
      <c r="B53">
        <v>1</v>
      </c>
      <c r="C53" s="1">
        <v>52</v>
      </c>
      <c r="D53" t="s">
        <v>47</v>
      </c>
      <c r="E53">
        <v>10</v>
      </c>
      <c r="F53">
        <v>10</v>
      </c>
      <c r="G53">
        <v>10</v>
      </c>
      <c r="H53">
        <f>759+725+1090+1095*2</f>
        <v>4764</v>
      </c>
      <c r="I53">
        <v>0</v>
      </c>
    </row>
    <row r="54" spans="1:9" x14ac:dyDescent="0.3">
      <c r="A54">
        <v>53</v>
      </c>
      <c r="B54">
        <v>1</v>
      </c>
      <c r="C54" s="1">
        <v>53</v>
      </c>
      <c r="D54" t="s">
        <v>48</v>
      </c>
      <c r="E54">
        <v>10</v>
      </c>
      <c r="F54">
        <v>10</v>
      </c>
      <c r="G54">
        <v>10</v>
      </c>
      <c r="H54">
        <f>29+299+874+1302*3</f>
        <v>5108</v>
      </c>
      <c r="I54">
        <v>0</v>
      </c>
    </row>
    <row r="55" spans="1:9" x14ac:dyDescent="0.3">
      <c r="A55">
        <v>54</v>
      </c>
      <c r="B55">
        <v>1</v>
      </c>
      <c r="C55" s="1">
        <v>54</v>
      </c>
      <c r="D55" t="s">
        <v>49</v>
      </c>
      <c r="E55">
        <v>10</v>
      </c>
      <c r="F55">
        <v>10</v>
      </c>
      <c r="G55">
        <v>10</v>
      </c>
      <c r="H55">
        <f>781+547+758+898*2</f>
        <v>3882</v>
      </c>
      <c r="I55">
        <v>0</v>
      </c>
    </row>
    <row r="56" spans="1:9" x14ac:dyDescent="0.3">
      <c r="A56">
        <v>55</v>
      </c>
      <c r="B56">
        <v>1</v>
      </c>
      <c r="C56" s="1">
        <v>55</v>
      </c>
      <c r="D56" t="s">
        <v>50</v>
      </c>
      <c r="E56">
        <v>10</v>
      </c>
      <c r="F56">
        <v>10</v>
      </c>
      <c r="G56">
        <v>10</v>
      </c>
      <c r="H56">
        <f>333+693+685+774*2</f>
        <v>3259</v>
      </c>
      <c r="I56">
        <v>0</v>
      </c>
    </row>
    <row r="57" spans="1:9" x14ac:dyDescent="0.3">
      <c r="A57">
        <v>56</v>
      </c>
      <c r="B57">
        <v>1</v>
      </c>
      <c r="C57" s="1">
        <v>56</v>
      </c>
      <c r="D57" t="s">
        <v>51</v>
      </c>
      <c r="E57">
        <v>10</v>
      </c>
      <c r="F57">
        <v>10</v>
      </c>
      <c r="G57">
        <v>10</v>
      </c>
      <c r="H57">
        <f>1365+65+459+855*2</f>
        <v>3599</v>
      </c>
      <c r="I57">
        <v>0</v>
      </c>
    </row>
    <row r="58" spans="1:9" x14ac:dyDescent="0.3">
      <c r="A58">
        <v>57</v>
      </c>
      <c r="B58">
        <v>1</v>
      </c>
      <c r="C58" s="1">
        <v>57</v>
      </c>
      <c r="D58" t="s">
        <v>52</v>
      </c>
      <c r="E58">
        <v>10</v>
      </c>
      <c r="F58">
        <v>10</v>
      </c>
      <c r="G58">
        <v>10</v>
      </c>
      <c r="H58">
        <f>191+439+570+890*2</f>
        <v>2980</v>
      </c>
      <c r="I58">
        <v>0</v>
      </c>
    </row>
    <row r="59" spans="1:9" x14ac:dyDescent="0.3">
      <c r="A59">
        <v>58</v>
      </c>
      <c r="B59">
        <v>1</v>
      </c>
      <c r="C59" s="1">
        <v>58</v>
      </c>
      <c r="D59" t="s">
        <v>53</v>
      </c>
      <c r="E59">
        <v>10</v>
      </c>
      <c r="F59">
        <v>10</v>
      </c>
      <c r="G59">
        <v>10</v>
      </c>
      <c r="H59">
        <f>261+528+632+1010*2</f>
        <v>3441</v>
      </c>
      <c r="I59">
        <v>0</v>
      </c>
    </row>
    <row r="60" spans="1:9" x14ac:dyDescent="0.3">
      <c r="A60">
        <v>59</v>
      </c>
      <c r="B60">
        <v>1</v>
      </c>
      <c r="C60" s="1">
        <v>59</v>
      </c>
      <c r="D60" t="s">
        <v>54</v>
      </c>
      <c r="E60">
        <v>10</v>
      </c>
      <c r="F60">
        <v>10</v>
      </c>
      <c r="G60">
        <v>10</v>
      </c>
      <c r="H60">
        <f>870+1360+655+616*2</f>
        <v>4117</v>
      </c>
      <c r="I60">
        <v>0</v>
      </c>
    </row>
    <row r="61" spans="1:9" x14ac:dyDescent="0.3">
      <c r="A61">
        <v>60</v>
      </c>
      <c r="B61">
        <v>1</v>
      </c>
      <c r="C61" s="1">
        <v>60</v>
      </c>
      <c r="D61" t="s">
        <v>55</v>
      </c>
      <c r="E61">
        <v>10</v>
      </c>
      <c r="F61">
        <v>10</v>
      </c>
      <c r="G61">
        <v>10</v>
      </c>
      <c r="H61">
        <f>38+201+289+583*3</f>
        <v>2277</v>
      </c>
      <c r="I61">
        <v>0</v>
      </c>
    </row>
    <row r="62" spans="1:9" x14ac:dyDescent="0.3">
      <c r="A62">
        <v>61</v>
      </c>
      <c r="B62">
        <v>1</v>
      </c>
      <c r="C62" s="1">
        <v>61</v>
      </c>
      <c r="D62" t="s">
        <v>121</v>
      </c>
      <c r="E62">
        <v>10</v>
      </c>
      <c r="F62">
        <v>10</v>
      </c>
      <c r="G62">
        <v>10</v>
      </c>
      <c r="H62">
        <f>743+1057+848+815*2</f>
        <v>4278</v>
      </c>
      <c r="I62">
        <v>0</v>
      </c>
    </row>
    <row r="63" spans="1:9" x14ac:dyDescent="0.3">
      <c r="A63">
        <v>62</v>
      </c>
      <c r="B63">
        <v>1</v>
      </c>
      <c r="C63" s="1">
        <v>62</v>
      </c>
      <c r="D63" t="s">
        <v>56</v>
      </c>
      <c r="E63">
        <v>10</v>
      </c>
      <c r="F63">
        <v>10</v>
      </c>
      <c r="G63">
        <v>10</v>
      </c>
      <c r="H63">
        <f>317+237+379+630*2</f>
        <v>2193</v>
      </c>
      <c r="I63">
        <v>0</v>
      </c>
    </row>
    <row r="64" spans="1:9" x14ac:dyDescent="0.3">
      <c r="A64">
        <v>63</v>
      </c>
      <c r="B64">
        <v>1</v>
      </c>
      <c r="C64" s="1">
        <v>63</v>
      </c>
      <c r="D64" t="s">
        <v>57</v>
      </c>
      <c r="E64">
        <v>10</v>
      </c>
      <c r="F64">
        <v>10</v>
      </c>
      <c r="G64">
        <v>10</v>
      </c>
      <c r="H64">
        <f>775+815+1040+755*2</f>
        <v>4140</v>
      </c>
      <c r="I64">
        <v>0</v>
      </c>
    </row>
    <row r="65" spans="1:9" x14ac:dyDescent="0.3">
      <c r="A65">
        <v>64</v>
      </c>
      <c r="B65">
        <v>1</v>
      </c>
      <c r="C65" s="1">
        <v>64</v>
      </c>
      <c r="D65" t="s">
        <v>58</v>
      </c>
      <c r="E65">
        <v>10</v>
      </c>
      <c r="F65">
        <v>10</v>
      </c>
      <c r="G65">
        <v>10</v>
      </c>
      <c r="H65">
        <f>641+254+301+817*2</f>
        <v>2830</v>
      </c>
      <c r="I65">
        <v>0</v>
      </c>
    </row>
    <row r="66" spans="1:9" x14ac:dyDescent="0.3">
      <c r="A66">
        <v>65</v>
      </c>
      <c r="B66">
        <v>1</v>
      </c>
      <c r="C66" s="1">
        <v>65</v>
      </c>
      <c r="D66" t="s">
        <v>59</v>
      </c>
      <c r="E66">
        <v>10</v>
      </c>
      <c r="F66">
        <v>10</v>
      </c>
      <c r="G66">
        <v>10</v>
      </c>
      <c r="H66">
        <f>558+1487+1385+880*2</f>
        <v>5190</v>
      </c>
      <c r="I66">
        <v>0</v>
      </c>
    </row>
    <row r="67" spans="1:9" x14ac:dyDescent="0.3">
      <c r="A67">
        <v>66</v>
      </c>
      <c r="B67">
        <v>1</v>
      </c>
      <c r="C67" s="1">
        <v>66</v>
      </c>
      <c r="D67" t="s">
        <v>60</v>
      </c>
      <c r="E67">
        <v>10</v>
      </c>
      <c r="F67">
        <v>10</v>
      </c>
      <c r="G67">
        <v>10</v>
      </c>
      <c r="H67">
        <f>1730+2145+1585+610*2</f>
        <v>6680</v>
      </c>
      <c r="I67">
        <v>0</v>
      </c>
    </row>
    <row r="68" spans="1:9" x14ac:dyDescent="0.3">
      <c r="A68">
        <v>67</v>
      </c>
      <c r="B68">
        <v>1</v>
      </c>
      <c r="C68" s="1">
        <v>67</v>
      </c>
      <c r="D68" t="s">
        <v>61</v>
      </c>
      <c r="E68">
        <v>10</v>
      </c>
      <c r="F68">
        <v>10</v>
      </c>
      <c r="G68">
        <v>10</v>
      </c>
      <c r="H68">
        <f>1040+1430+725+714*2</f>
        <v>4623</v>
      </c>
      <c r="I68">
        <v>0</v>
      </c>
    </row>
    <row r="69" spans="1:9" x14ac:dyDescent="0.3">
      <c r="A69">
        <v>68</v>
      </c>
      <c r="B69">
        <v>1</v>
      </c>
      <c r="C69" s="1">
        <v>68</v>
      </c>
      <c r="D69" t="s">
        <v>62</v>
      </c>
      <c r="E69">
        <v>10</v>
      </c>
      <c r="F69">
        <v>10</v>
      </c>
      <c r="G69">
        <v>10</v>
      </c>
      <c r="H69">
        <f>455+475+722+768*2</f>
        <v>3188</v>
      </c>
      <c r="I69">
        <v>0</v>
      </c>
    </row>
    <row r="70" spans="1:9" x14ac:dyDescent="0.3">
      <c r="A70">
        <v>69</v>
      </c>
      <c r="B70">
        <v>1</v>
      </c>
      <c r="C70" s="1">
        <v>69</v>
      </c>
      <c r="D70" t="s">
        <v>63</v>
      </c>
      <c r="E70">
        <v>10</v>
      </c>
      <c r="F70">
        <v>10</v>
      </c>
      <c r="G70">
        <v>10</v>
      </c>
      <c r="H70">
        <f>365+236+903+718*2</f>
        <v>2940</v>
      </c>
      <c r="I70">
        <v>0</v>
      </c>
    </row>
    <row r="71" spans="1:9" x14ac:dyDescent="0.3">
      <c r="A71">
        <v>70</v>
      </c>
      <c r="B71">
        <v>1</v>
      </c>
      <c r="C71" s="1">
        <v>70</v>
      </c>
      <c r="D71" t="s">
        <v>64</v>
      </c>
      <c r="E71">
        <v>10</v>
      </c>
      <c r="F71">
        <v>10</v>
      </c>
      <c r="G71">
        <v>10</v>
      </c>
      <c r="H71">
        <f>81+198+323+608</f>
        <v>1210</v>
      </c>
      <c r="I71">
        <v>0</v>
      </c>
    </row>
    <row r="72" spans="1:9" x14ac:dyDescent="0.3">
      <c r="A72">
        <v>71</v>
      </c>
      <c r="B72">
        <v>1</v>
      </c>
      <c r="C72" s="1">
        <v>71</v>
      </c>
      <c r="D72" t="s">
        <v>65</v>
      </c>
      <c r="E72">
        <v>10</v>
      </c>
      <c r="F72">
        <v>10</v>
      </c>
      <c r="G72">
        <v>10</v>
      </c>
      <c r="H72">
        <f>822+1191+1030+850*2</f>
        <v>4743</v>
      </c>
      <c r="I72">
        <v>0</v>
      </c>
    </row>
    <row r="73" spans="1:9" x14ac:dyDescent="0.3">
      <c r="A73">
        <v>72</v>
      </c>
      <c r="B73">
        <v>1</v>
      </c>
      <c r="C73" s="1">
        <v>72</v>
      </c>
      <c r="D73" t="s">
        <v>66</v>
      </c>
      <c r="E73">
        <v>10</v>
      </c>
      <c r="F73">
        <v>10</v>
      </c>
      <c r="G73">
        <v>10</v>
      </c>
      <c r="H73">
        <f>307+449+419+550*2</f>
        <v>2275</v>
      </c>
      <c r="I73">
        <v>0</v>
      </c>
    </row>
    <row r="74" spans="1:9" x14ac:dyDescent="0.3">
      <c r="A74">
        <v>73</v>
      </c>
      <c r="B74">
        <v>1</v>
      </c>
      <c r="C74" s="1">
        <v>73</v>
      </c>
      <c r="D74" t="s">
        <v>67</v>
      </c>
      <c r="E74">
        <v>10</v>
      </c>
      <c r="F74">
        <v>10</v>
      </c>
      <c r="G74">
        <v>10</v>
      </c>
      <c r="H74">
        <f>299+318+457+601*2</f>
        <v>2276</v>
      </c>
      <c r="I74">
        <v>0</v>
      </c>
    </row>
    <row r="75" spans="1:9" x14ac:dyDescent="0.3">
      <c r="A75">
        <v>74</v>
      </c>
      <c r="B75">
        <v>1</v>
      </c>
      <c r="C75" s="1">
        <v>74</v>
      </c>
      <c r="D75" t="s">
        <v>122</v>
      </c>
      <c r="E75">
        <v>10</v>
      </c>
      <c r="F75">
        <v>10</v>
      </c>
      <c r="G75">
        <v>10</v>
      </c>
      <c r="H75">
        <f>184+432+318+399*2</f>
        <v>1732</v>
      </c>
      <c r="I75">
        <v>0</v>
      </c>
    </row>
    <row r="76" spans="1:9" x14ac:dyDescent="0.3">
      <c r="A76">
        <v>75</v>
      </c>
      <c r="B76">
        <v>1</v>
      </c>
      <c r="C76" s="1">
        <v>75</v>
      </c>
      <c r="D76" t="s">
        <v>68</v>
      </c>
      <c r="E76">
        <v>10</v>
      </c>
      <c r="F76">
        <v>10</v>
      </c>
      <c r="G76">
        <v>10</v>
      </c>
      <c r="H76">
        <f>796+907+651+816</f>
        <v>3170</v>
      </c>
      <c r="I76">
        <v>0</v>
      </c>
    </row>
    <row r="77" spans="1:9" x14ac:dyDescent="0.3">
      <c r="A77">
        <v>76</v>
      </c>
      <c r="B77">
        <v>1</v>
      </c>
      <c r="C77" s="1">
        <v>76</v>
      </c>
      <c r="D77" t="s">
        <v>69</v>
      </c>
      <c r="E77">
        <v>10</v>
      </c>
      <c r="F77">
        <v>10</v>
      </c>
      <c r="G77">
        <v>10</v>
      </c>
      <c r="H77">
        <f>421+615+482+704*2</f>
        <v>2926</v>
      </c>
      <c r="I77">
        <v>0</v>
      </c>
    </row>
    <row r="78" spans="1:9" x14ac:dyDescent="0.3">
      <c r="A78">
        <v>77</v>
      </c>
      <c r="B78">
        <v>1</v>
      </c>
      <c r="C78" s="1">
        <v>77</v>
      </c>
      <c r="D78" t="s">
        <v>70</v>
      </c>
      <c r="E78">
        <v>10</v>
      </c>
      <c r="F78">
        <v>10</v>
      </c>
      <c r="G78">
        <v>10</v>
      </c>
      <c r="H78">
        <f>293+525+618+826*2</f>
        <v>3088</v>
      </c>
      <c r="I78">
        <v>0</v>
      </c>
    </row>
    <row r="79" spans="1:9" x14ac:dyDescent="0.3">
      <c r="A79">
        <v>78</v>
      </c>
      <c r="B79">
        <v>1</v>
      </c>
      <c r="C79" s="1">
        <v>78</v>
      </c>
      <c r="D79" t="s">
        <v>123</v>
      </c>
      <c r="E79">
        <v>10</v>
      </c>
      <c r="F79">
        <v>10</v>
      </c>
      <c r="G79">
        <v>10</v>
      </c>
      <c r="H79">
        <f>1320+1485+1795+660*2</f>
        <v>5920</v>
      </c>
      <c r="I79">
        <v>0</v>
      </c>
    </row>
    <row r="80" spans="1:9" x14ac:dyDescent="0.3">
      <c r="A80">
        <v>79</v>
      </c>
      <c r="B80">
        <v>1</v>
      </c>
      <c r="C80" s="1">
        <v>79</v>
      </c>
      <c r="D80" t="s">
        <v>71</v>
      </c>
      <c r="E80">
        <v>10</v>
      </c>
      <c r="F80">
        <v>10</v>
      </c>
      <c r="G80">
        <v>10</v>
      </c>
      <c r="H80">
        <f>850+781+492+809*2</f>
        <v>3741</v>
      </c>
      <c r="I80">
        <v>0</v>
      </c>
    </row>
    <row r="81" spans="1:9" x14ac:dyDescent="0.3">
      <c r="A81">
        <v>80</v>
      </c>
      <c r="B81">
        <v>1</v>
      </c>
      <c r="C81" s="1">
        <v>80</v>
      </c>
      <c r="D81" t="s">
        <v>72</v>
      </c>
      <c r="E81">
        <v>10</v>
      </c>
      <c r="F81">
        <v>10</v>
      </c>
      <c r="G81">
        <v>10</v>
      </c>
      <c r="H81">
        <f>5+57+260+606*3</f>
        <v>2140</v>
      </c>
      <c r="I81">
        <v>0</v>
      </c>
    </row>
    <row r="82" spans="1:9" x14ac:dyDescent="0.3">
      <c r="A82">
        <v>81</v>
      </c>
      <c r="B82">
        <v>1</v>
      </c>
      <c r="C82" s="1">
        <v>81</v>
      </c>
      <c r="D82" t="s">
        <v>73</v>
      </c>
      <c r="E82">
        <v>10</v>
      </c>
      <c r="F82">
        <v>10</v>
      </c>
      <c r="G82">
        <v>10</v>
      </c>
      <c r="H82">
        <f>192+362+484+701*2</f>
        <v>2440</v>
      </c>
      <c r="I82">
        <v>0</v>
      </c>
    </row>
    <row r="83" spans="1:9" x14ac:dyDescent="0.3">
      <c r="A83">
        <v>82</v>
      </c>
      <c r="B83">
        <v>1</v>
      </c>
      <c r="C83" s="1">
        <v>82</v>
      </c>
      <c r="D83" t="s">
        <v>74</v>
      </c>
      <c r="E83">
        <v>10</v>
      </c>
      <c r="F83">
        <v>10</v>
      </c>
      <c r="G83">
        <v>10</v>
      </c>
      <c r="H83">
        <f>993+674+754+704*2</f>
        <v>3829</v>
      </c>
      <c r="I83">
        <v>0</v>
      </c>
    </row>
    <row r="84" spans="1:9" x14ac:dyDescent="0.3">
      <c r="A84">
        <v>83</v>
      </c>
      <c r="B84">
        <v>1</v>
      </c>
      <c r="C84" s="1">
        <v>83</v>
      </c>
      <c r="D84" t="s">
        <v>75</v>
      </c>
      <c r="E84">
        <v>10</v>
      </c>
      <c r="F84">
        <v>10</v>
      </c>
      <c r="G84">
        <v>10</v>
      </c>
      <c r="H84">
        <f>830+1075+456+545*2</f>
        <v>3451</v>
      </c>
      <c r="I84">
        <v>0</v>
      </c>
    </row>
    <row r="85" spans="1:9" x14ac:dyDescent="0.3">
      <c r="A85">
        <v>84</v>
      </c>
      <c r="B85">
        <v>1</v>
      </c>
      <c r="C85" s="1">
        <v>84</v>
      </c>
      <c r="D85" t="s">
        <v>124</v>
      </c>
      <c r="E85">
        <v>10</v>
      </c>
      <c r="F85">
        <v>10</v>
      </c>
      <c r="G85">
        <v>10</v>
      </c>
      <c r="H85">
        <f>711+678+627+687*2</f>
        <v>3390</v>
      </c>
      <c r="I85">
        <v>0</v>
      </c>
    </row>
    <row r="86" spans="1:9" x14ac:dyDescent="0.3">
      <c r="A86">
        <v>85</v>
      </c>
      <c r="B86">
        <v>1</v>
      </c>
      <c r="C86" s="1">
        <v>85</v>
      </c>
      <c r="D86" t="s">
        <v>76</v>
      </c>
      <c r="E86">
        <v>10</v>
      </c>
      <c r="F86">
        <v>10</v>
      </c>
      <c r="G86">
        <v>10</v>
      </c>
      <c r="H86">
        <f>7+290+701+556*3</f>
        <v>2666</v>
      </c>
      <c r="I86">
        <v>0</v>
      </c>
    </row>
    <row r="87" spans="1:9" x14ac:dyDescent="0.3">
      <c r="A87">
        <v>86</v>
      </c>
      <c r="B87">
        <v>1</v>
      </c>
      <c r="C87" s="1">
        <v>86</v>
      </c>
      <c r="D87" t="s">
        <v>77</v>
      </c>
      <c r="E87">
        <v>10</v>
      </c>
      <c r="F87">
        <v>10</v>
      </c>
      <c r="G87">
        <v>10</v>
      </c>
      <c r="H87">
        <f>144+281+537+590*2</f>
        <v>2142</v>
      </c>
      <c r="I87">
        <v>0</v>
      </c>
    </row>
    <row r="88" spans="1:9" x14ac:dyDescent="0.3">
      <c r="A88">
        <v>87</v>
      </c>
      <c r="B88">
        <v>1</v>
      </c>
      <c r="C88" s="1">
        <v>87</v>
      </c>
      <c r="D88" t="s">
        <v>78</v>
      </c>
      <c r="E88">
        <v>10</v>
      </c>
      <c r="F88">
        <v>10</v>
      </c>
      <c r="G88">
        <v>10</v>
      </c>
      <c r="H88">
        <f>306+485+614+616*2</f>
        <v>2637</v>
      </c>
      <c r="I88">
        <v>0</v>
      </c>
    </row>
    <row r="89" spans="1:9" x14ac:dyDescent="0.3">
      <c r="A89">
        <v>88</v>
      </c>
      <c r="B89">
        <v>1</v>
      </c>
      <c r="C89" s="1">
        <v>88</v>
      </c>
      <c r="D89" t="s">
        <v>79</v>
      </c>
      <c r="E89">
        <v>10</v>
      </c>
      <c r="F89">
        <v>10</v>
      </c>
      <c r="G89">
        <v>10</v>
      </c>
      <c r="H89">
        <f>207+557+34+670*2</f>
        <v>2138</v>
      </c>
      <c r="I89">
        <v>0</v>
      </c>
    </row>
    <row r="90" spans="1:9" x14ac:dyDescent="0.3">
      <c r="A90">
        <v>89</v>
      </c>
      <c r="B90">
        <v>1</v>
      </c>
      <c r="C90" s="1">
        <v>89</v>
      </c>
      <c r="D90" t="s">
        <v>80</v>
      </c>
      <c r="E90">
        <v>10</v>
      </c>
      <c r="F90">
        <v>10</v>
      </c>
      <c r="G90">
        <v>10</v>
      </c>
      <c r="H90">
        <f>705+762+634+693*2</f>
        <v>3487</v>
      </c>
      <c r="I90">
        <v>0</v>
      </c>
    </row>
    <row r="91" spans="1:9" x14ac:dyDescent="0.3">
      <c r="A91">
        <v>90</v>
      </c>
      <c r="B91">
        <v>1</v>
      </c>
      <c r="C91" s="1">
        <v>90</v>
      </c>
      <c r="D91" t="s">
        <v>81</v>
      </c>
      <c r="E91">
        <v>10</v>
      </c>
      <c r="F91">
        <v>10</v>
      </c>
      <c r="G91">
        <v>10</v>
      </c>
      <c r="H91">
        <f>134+270+309+612*2</f>
        <v>1937</v>
      </c>
      <c r="I91">
        <v>0</v>
      </c>
    </row>
    <row r="92" spans="1:9" x14ac:dyDescent="0.3">
      <c r="A92">
        <v>91</v>
      </c>
      <c r="B92">
        <v>1</v>
      </c>
      <c r="C92" s="1">
        <v>91</v>
      </c>
      <c r="D92" t="s">
        <v>82</v>
      </c>
      <c r="E92">
        <v>10</v>
      </c>
      <c r="F92">
        <v>10</v>
      </c>
      <c r="G92">
        <v>10</v>
      </c>
      <c r="H92">
        <f>7+286+550+662*3</f>
        <v>2829</v>
      </c>
      <c r="I92">
        <v>0</v>
      </c>
    </row>
    <row r="93" spans="1:9" x14ac:dyDescent="0.3">
      <c r="A93">
        <v>92</v>
      </c>
      <c r="B93">
        <v>1</v>
      </c>
      <c r="C93" s="1">
        <v>92</v>
      </c>
      <c r="D93" t="s">
        <v>83</v>
      </c>
      <c r="E93">
        <v>10</v>
      </c>
      <c r="F93">
        <v>10</v>
      </c>
      <c r="G93">
        <v>10</v>
      </c>
      <c r="H93">
        <f>15+4+84+651*4</f>
        <v>2707</v>
      </c>
      <c r="I93">
        <v>0</v>
      </c>
    </row>
    <row r="94" spans="1:9" x14ac:dyDescent="0.3">
      <c r="A94">
        <v>93</v>
      </c>
      <c r="B94">
        <v>1</v>
      </c>
      <c r="C94" s="1">
        <v>93</v>
      </c>
      <c r="D94" t="s">
        <v>84</v>
      </c>
      <c r="E94">
        <v>10</v>
      </c>
      <c r="F94">
        <v>10</v>
      </c>
      <c r="G94">
        <v>10</v>
      </c>
      <c r="H94">
        <f>850+465+826+633*2</f>
        <v>3407</v>
      </c>
      <c r="I94">
        <v>0</v>
      </c>
    </row>
    <row r="95" spans="1:9" x14ac:dyDescent="0.3">
      <c r="A95">
        <v>94</v>
      </c>
      <c r="B95">
        <v>1</v>
      </c>
      <c r="C95" s="1">
        <v>94</v>
      </c>
      <c r="D95" t="s">
        <v>85</v>
      </c>
      <c r="E95">
        <v>10</v>
      </c>
      <c r="F95">
        <v>10</v>
      </c>
      <c r="G95">
        <v>10</v>
      </c>
      <c r="H95">
        <f>220+118+144+541*2</f>
        <v>1564</v>
      </c>
      <c r="I95">
        <v>0</v>
      </c>
    </row>
    <row r="96" spans="1:9" x14ac:dyDescent="0.3">
      <c r="A96">
        <v>95</v>
      </c>
      <c r="B96">
        <v>1</v>
      </c>
      <c r="C96" s="1">
        <v>95</v>
      </c>
      <c r="D96" t="s">
        <v>86</v>
      </c>
      <c r="E96">
        <v>10</v>
      </c>
      <c r="F96">
        <v>10</v>
      </c>
      <c r="G96">
        <v>10</v>
      </c>
      <c r="H96">
        <f>182+375+689+593*2</f>
        <v>2432</v>
      </c>
      <c r="I96">
        <v>0</v>
      </c>
    </row>
    <row r="97" spans="1:9" x14ac:dyDescent="0.3">
      <c r="A97">
        <v>96</v>
      </c>
      <c r="B97">
        <v>1</v>
      </c>
      <c r="C97" s="1">
        <v>96</v>
      </c>
      <c r="D97" t="s">
        <v>87</v>
      </c>
      <c r="E97">
        <v>10</v>
      </c>
      <c r="F97">
        <v>10</v>
      </c>
      <c r="G97">
        <v>10</v>
      </c>
      <c r="H97">
        <f>1240+1255+725+665*2</f>
        <v>4550</v>
      </c>
      <c r="I97">
        <v>0</v>
      </c>
    </row>
    <row r="98" spans="1:9" x14ac:dyDescent="0.3">
      <c r="A98">
        <v>97</v>
      </c>
      <c r="B98">
        <v>1</v>
      </c>
      <c r="C98" s="1">
        <v>97</v>
      </c>
      <c r="D98" t="s">
        <v>88</v>
      </c>
      <c r="E98">
        <v>10</v>
      </c>
      <c r="F98">
        <v>10</v>
      </c>
      <c r="G98">
        <v>10</v>
      </c>
      <c r="H98">
        <f>560+578+616+755*2</f>
        <v>3264</v>
      </c>
      <c r="I98">
        <v>0</v>
      </c>
    </row>
    <row r="99" spans="1:9" x14ac:dyDescent="0.3">
      <c r="A99">
        <v>98</v>
      </c>
      <c r="B99">
        <v>1</v>
      </c>
      <c r="C99" s="1">
        <v>98</v>
      </c>
      <c r="D99" t="s">
        <v>89</v>
      </c>
      <c r="E99">
        <v>10</v>
      </c>
      <c r="F99">
        <v>10</v>
      </c>
      <c r="G99">
        <v>10</v>
      </c>
      <c r="H99">
        <f>576+534+492+605*2</f>
        <v>2812</v>
      </c>
      <c r="I99">
        <v>0</v>
      </c>
    </row>
    <row r="100" spans="1:9" x14ac:dyDescent="0.3">
      <c r="A100">
        <v>99</v>
      </c>
      <c r="B100">
        <v>1</v>
      </c>
      <c r="C100" s="1">
        <v>99</v>
      </c>
      <c r="D100" t="s">
        <v>90</v>
      </c>
      <c r="E100">
        <v>10</v>
      </c>
      <c r="F100">
        <v>10</v>
      </c>
      <c r="G100">
        <v>10</v>
      </c>
      <c r="H100">
        <f>511+313+698+652*2</f>
        <v>2826</v>
      </c>
      <c r="I100">
        <v>0</v>
      </c>
    </row>
    <row r="101" spans="1:9" x14ac:dyDescent="0.3">
      <c r="A101">
        <v>100</v>
      </c>
      <c r="B101">
        <v>1</v>
      </c>
      <c r="C101" s="1">
        <v>100</v>
      </c>
      <c r="D101" t="s">
        <v>91</v>
      </c>
      <c r="E101">
        <v>10</v>
      </c>
      <c r="F101">
        <v>10</v>
      </c>
      <c r="G101">
        <v>10</v>
      </c>
      <c r="H101">
        <f>490+710+1102+561*2</f>
        <v>3424</v>
      </c>
      <c r="I101">
        <v>0</v>
      </c>
    </row>
    <row r="102" spans="1:9" x14ac:dyDescent="0.3">
      <c r="A102">
        <v>101</v>
      </c>
      <c r="B102">
        <v>1</v>
      </c>
      <c r="C102" s="1">
        <v>101</v>
      </c>
      <c r="D102" t="s">
        <v>92</v>
      </c>
      <c r="E102">
        <v>10</v>
      </c>
      <c r="F102">
        <v>10</v>
      </c>
      <c r="G102">
        <v>10</v>
      </c>
      <c r="H102">
        <f>196+610+65+509*2</f>
        <v>1889</v>
      </c>
      <c r="I102">
        <v>0</v>
      </c>
    </row>
    <row r="103" spans="1:9" x14ac:dyDescent="0.3">
      <c r="A103">
        <v>102</v>
      </c>
      <c r="B103">
        <v>1</v>
      </c>
      <c r="C103" s="1">
        <v>102</v>
      </c>
      <c r="D103" t="s">
        <v>93</v>
      </c>
      <c r="E103">
        <v>10</v>
      </c>
      <c r="F103">
        <v>10</v>
      </c>
      <c r="G103">
        <v>10</v>
      </c>
      <c r="H103">
        <f>324+618+304+543*2</f>
        <v>2332</v>
      </c>
      <c r="I103">
        <v>0</v>
      </c>
    </row>
    <row r="104" spans="1:9" x14ac:dyDescent="0.3">
      <c r="A104">
        <v>103</v>
      </c>
      <c r="B104">
        <v>1</v>
      </c>
      <c r="C104" s="1">
        <v>103</v>
      </c>
      <c r="D104" t="s">
        <v>94</v>
      </c>
      <c r="E104">
        <v>10</v>
      </c>
      <c r="F104">
        <v>10</v>
      </c>
      <c r="G104">
        <v>10</v>
      </c>
      <c r="H104">
        <f>328+611+665+436*2</f>
        <v>2476</v>
      </c>
      <c r="I104">
        <v>0</v>
      </c>
    </row>
    <row r="105" spans="1:9" x14ac:dyDescent="0.3">
      <c r="A105">
        <v>104</v>
      </c>
      <c r="B105">
        <v>1</v>
      </c>
      <c r="C105" s="1">
        <v>104</v>
      </c>
      <c r="D105" t="s">
        <v>95</v>
      </c>
      <c r="E105">
        <v>10</v>
      </c>
      <c r="F105">
        <v>10</v>
      </c>
      <c r="G105">
        <v>10</v>
      </c>
      <c r="H105">
        <f>79+85+674+475*2</f>
        <v>1788</v>
      </c>
      <c r="I105">
        <v>0</v>
      </c>
    </row>
    <row r="106" spans="1:9" x14ac:dyDescent="0.3">
      <c r="A106">
        <v>105</v>
      </c>
      <c r="B106">
        <v>1</v>
      </c>
      <c r="C106" s="1">
        <v>105</v>
      </c>
      <c r="D106" t="s">
        <v>96</v>
      </c>
      <c r="E106">
        <v>10</v>
      </c>
      <c r="F106">
        <v>10</v>
      </c>
      <c r="G106">
        <v>10</v>
      </c>
      <c r="H106">
        <f>293+603+476+579*2</f>
        <v>2530</v>
      </c>
      <c r="I106">
        <v>0</v>
      </c>
    </row>
    <row r="107" spans="1:9" x14ac:dyDescent="0.3">
      <c r="A107">
        <v>106</v>
      </c>
      <c r="B107">
        <v>1</v>
      </c>
      <c r="C107" s="1">
        <v>106</v>
      </c>
      <c r="D107" t="s">
        <v>97</v>
      </c>
      <c r="E107">
        <v>10</v>
      </c>
      <c r="F107">
        <v>10</v>
      </c>
      <c r="G107">
        <v>10</v>
      </c>
      <c r="H107">
        <f>175+473+613+571*2</f>
        <v>2403</v>
      </c>
      <c r="I107">
        <v>0</v>
      </c>
    </row>
    <row r="108" spans="1:9" x14ac:dyDescent="0.3">
      <c r="A108">
        <v>107</v>
      </c>
      <c r="B108">
        <v>1</v>
      </c>
      <c r="C108" s="1">
        <v>107</v>
      </c>
      <c r="D108" t="s">
        <v>98</v>
      </c>
      <c r="E108">
        <v>10</v>
      </c>
      <c r="F108">
        <v>10</v>
      </c>
      <c r="G108">
        <v>10</v>
      </c>
      <c r="H108">
        <f>42+244+399+436*3</f>
        <v>1993</v>
      </c>
      <c r="I108">
        <v>0</v>
      </c>
    </row>
    <row r="109" spans="1:9" x14ac:dyDescent="0.3">
      <c r="A109">
        <v>108</v>
      </c>
      <c r="B109">
        <v>1</v>
      </c>
      <c r="C109" s="1">
        <v>108</v>
      </c>
      <c r="D109" t="s">
        <v>125</v>
      </c>
      <c r="E109">
        <v>10</v>
      </c>
      <c r="F109">
        <v>10</v>
      </c>
      <c r="G109">
        <v>10</v>
      </c>
      <c r="H109">
        <f>605+641+630+407*2</f>
        <v>2690</v>
      </c>
      <c r="I109">
        <v>0</v>
      </c>
    </row>
    <row r="110" spans="1:9" x14ac:dyDescent="0.3">
      <c r="A110">
        <v>109</v>
      </c>
      <c r="B110">
        <v>1</v>
      </c>
      <c r="C110" s="1">
        <v>109</v>
      </c>
      <c r="D110" t="s">
        <v>126</v>
      </c>
      <c r="E110">
        <v>10</v>
      </c>
      <c r="F110">
        <v>10</v>
      </c>
      <c r="G110">
        <v>10</v>
      </c>
      <c r="H110">
        <f>551+382+243+581*2</f>
        <v>2338</v>
      </c>
      <c r="I110">
        <v>0</v>
      </c>
    </row>
    <row r="111" spans="1:9" x14ac:dyDescent="0.3">
      <c r="A111">
        <v>110</v>
      </c>
      <c r="B111">
        <v>1</v>
      </c>
      <c r="C111" s="1">
        <v>110</v>
      </c>
      <c r="D111" t="s">
        <v>99</v>
      </c>
      <c r="E111">
        <v>10</v>
      </c>
      <c r="F111">
        <v>10</v>
      </c>
      <c r="G111">
        <v>10</v>
      </c>
      <c r="H111">
        <f>316+318+728+572*2</f>
        <v>2506</v>
      </c>
      <c r="I111">
        <v>0</v>
      </c>
    </row>
    <row r="112" spans="1:9" x14ac:dyDescent="0.3">
      <c r="A112">
        <v>111</v>
      </c>
      <c r="B112">
        <v>1</v>
      </c>
      <c r="C112" s="1">
        <v>111</v>
      </c>
      <c r="D112" t="s">
        <v>100</v>
      </c>
      <c r="E112">
        <v>10</v>
      </c>
      <c r="F112">
        <v>10</v>
      </c>
      <c r="G112">
        <v>10</v>
      </c>
      <c r="H112">
        <f>189+463+519+542*2</f>
        <v>2255</v>
      </c>
      <c r="I112">
        <v>0</v>
      </c>
    </row>
    <row r="113" spans="1:9" x14ac:dyDescent="0.3">
      <c r="A113">
        <v>112</v>
      </c>
      <c r="B113">
        <v>1</v>
      </c>
      <c r="C113" s="1">
        <v>112</v>
      </c>
      <c r="D113" t="s">
        <v>101</v>
      </c>
      <c r="E113">
        <v>10</v>
      </c>
      <c r="F113">
        <v>10</v>
      </c>
      <c r="G113">
        <v>10</v>
      </c>
      <c r="H113">
        <f>610+933+1140+564*2</f>
        <v>3811</v>
      </c>
      <c r="I113">
        <v>0</v>
      </c>
    </row>
    <row r="114" spans="1:9" x14ac:dyDescent="0.3">
      <c r="A114">
        <v>113</v>
      </c>
      <c r="B114">
        <v>1</v>
      </c>
      <c r="C114" s="1">
        <v>113</v>
      </c>
      <c r="D114" t="s">
        <v>102</v>
      </c>
      <c r="E114">
        <v>10</v>
      </c>
      <c r="F114">
        <v>10</v>
      </c>
      <c r="G114">
        <v>10</v>
      </c>
      <c r="H114">
        <f>295+543+350+503*2</f>
        <v>2194</v>
      </c>
      <c r="I114">
        <v>0</v>
      </c>
    </row>
    <row r="115" spans="1:9" x14ac:dyDescent="0.3">
      <c r="A115">
        <v>114</v>
      </c>
      <c r="B115">
        <v>1</v>
      </c>
      <c r="C115" s="1">
        <v>114</v>
      </c>
      <c r="D115" t="s">
        <v>103</v>
      </c>
      <c r="E115">
        <v>10</v>
      </c>
      <c r="F115">
        <v>10</v>
      </c>
      <c r="G115">
        <v>10</v>
      </c>
      <c r="H115">
        <f>416+441+675+519*2</f>
        <v>2570</v>
      </c>
      <c r="I115">
        <v>0</v>
      </c>
    </row>
    <row r="116" spans="1:9" x14ac:dyDescent="0.3">
      <c r="A116">
        <v>115</v>
      </c>
      <c r="B116">
        <v>1</v>
      </c>
      <c r="C116" s="1">
        <v>115</v>
      </c>
      <c r="D116" t="s">
        <v>104</v>
      </c>
      <c r="E116">
        <v>10</v>
      </c>
      <c r="F116">
        <v>10</v>
      </c>
      <c r="G116">
        <v>10</v>
      </c>
      <c r="H116">
        <f>37+35+183+521*4</f>
        <v>2339</v>
      </c>
      <c r="I116">
        <v>0</v>
      </c>
    </row>
    <row r="117" spans="1:9" x14ac:dyDescent="0.3">
      <c r="A117">
        <v>116</v>
      </c>
      <c r="B117">
        <v>1</v>
      </c>
      <c r="C117" s="1">
        <v>116</v>
      </c>
      <c r="D117" t="s">
        <v>105</v>
      </c>
      <c r="E117">
        <v>10</v>
      </c>
      <c r="F117">
        <v>10</v>
      </c>
      <c r="G117">
        <v>10</v>
      </c>
      <c r="H117">
        <f>676+566+814+580*2</f>
        <v>3216</v>
      </c>
      <c r="I117">
        <v>0</v>
      </c>
    </row>
    <row r="118" spans="1:9" x14ac:dyDescent="0.3">
      <c r="A118">
        <v>117</v>
      </c>
      <c r="B118">
        <v>1</v>
      </c>
      <c r="C118" s="1">
        <v>117</v>
      </c>
      <c r="D118" t="s">
        <v>106</v>
      </c>
      <c r="E118">
        <v>10</v>
      </c>
      <c r="F118">
        <v>10</v>
      </c>
      <c r="G118">
        <v>10</v>
      </c>
      <c r="H118">
        <f>18+43+152+499*4</f>
        <v>2209</v>
      </c>
      <c r="I118">
        <v>0</v>
      </c>
    </row>
    <row r="119" spans="1:9" x14ac:dyDescent="0.3">
      <c r="A119">
        <v>118</v>
      </c>
      <c r="B119">
        <v>1</v>
      </c>
      <c r="C119" s="1">
        <v>118</v>
      </c>
      <c r="D119" t="s">
        <v>107</v>
      </c>
      <c r="E119">
        <v>10</v>
      </c>
      <c r="F119">
        <v>10</v>
      </c>
      <c r="G119">
        <v>10</v>
      </c>
      <c r="H119">
        <f>781+780+542+484*2</f>
        <v>3071</v>
      </c>
      <c r="I119">
        <v>0</v>
      </c>
    </row>
    <row r="120" spans="1:9" x14ac:dyDescent="0.3">
      <c r="A120">
        <v>119</v>
      </c>
      <c r="B120">
        <v>1</v>
      </c>
      <c r="C120" s="1">
        <v>119</v>
      </c>
      <c r="D120" t="s">
        <v>108</v>
      </c>
      <c r="E120">
        <v>10</v>
      </c>
      <c r="F120">
        <v>10</v>
      </c>
      <c r="G120">
        <v>10</v>
      </c>
      <c r="H120">
        <f>397+415+218+465*2</f>
        <v>1960</v>
      </c>
      <c r="I120">
        <v>0</v>
      </c>
    </row>
    <row r="121" spans="1:9" x14ac:dyDescent="0.3">
      <c r="A121">
        <v>120</v>
      </c>
      <c r="B121">
        <v>1</v>
      </c>
      <c r="C121" s="1">
        <v>120</v>
      </c>
      <c r="D121" t="s">
        <v>109</v>
      </c>
      <c r="E121">
        <v>10</v>
      </c>
      <c r="F121">
        <v>10</v>
      </c>
      <c r="G121">
        <v>10</v>
      </c>
      <c r="H121">
        <f>0+8+231+399*4</f>
        <v>1835</v>
      </c>
      <c r="I121">
        <v>0</v>
      </c>
    </row>
    <row r="122" spans="1:9" x14ac:dyDescent="0.3">
      <c r="A122">
        <v>121</v>
      </c>
      <c r="B122">
        <v>1</v>
      </c>
      <c r="C122" s="1">
        <v>121</v>
      </c>
      <c r="D122" t="s">
        <v>110</v>
      </c>
      <c r="E122">
        <v>10</v>
      </c>
      <c r="F122">
        <v>10</v>
      </c>
      <c r="G122">
        <v>10</v>
      </c>
      <c r="H122">
        <f>0+66+92+410*3</f>
        <v>1388</v>
      </c>
      <c r="I122">
        <v>0</v>
      </c>
    </row>
    <row r="123" spans="1:9" x14ac:dyDescent="0.3">
      <c r="A123">
        <v>122</v>
      </c>
      <c r="B123">
        <v>1</v>
      </c>
      <c r="C123" s="1">
        <v>122</v>
      </c>
      <c r="D123" t="s">
        <v>111</v>
      </c>
      <c r="E123">
        <v>10</v>
      </c>
      <c r="F123">
        <v>10</v>
      </c>
      <c r="G123">
        <v>10</v>
      </c>
      <c r="H123">
        <f>10+27+304+469*4</f>
        <v>2217</v>
      </c>
      <c r="I123">
        <v>0</v>
      </c>
    </row>
    <row r="124" spans="1:9" x14ac:dyDescent="0.3">
      <c r="A124">
        <v>123</v>
      </c>
      <c r="B124">
        <v>1</v>
      </c>
      <c r="C124" s="1">
        <v>123</v>
      </c>
      <c r="D124" t="s">
        <v>112</v>
      </c>
      <c r="E124">
        <v>10</v>
      </c>
      <c r="F124">
        <v>10</v>
      </c>
      <c r="G124">
        <v>10</v>
      </c>
      <c r="H124">
        <f>753+1105+771+531*2</f>
        <v>3691</v>
      </c>
      <c r="I124">
        <v>0</v>
      </c>
    </row>
    <row r="125" spans="1:9" x14ac:dyDescent="0.3">
      <c r="A125">
        <v>124</v>
      </c>
      <c r="B125">
        <v>1</v>
      </c>
      <c r="C125" s="1">
        <v>124</v>
      </c>
      <c r="D125" t="s">
        <v>113</v>
      </c>
      <c r="E125">
        <v>10</v>
      </c>
      <c r="F125">
        <v>10</v>
      </c>
      <c r="G125">
        <v>10</v>
      </c>
      <c r="H125">
        <f>317+638+658+667*2</f>
        <v>2947</v>
      </c>
      <c r="I125">
        <v>0</v>
      </c>
    </row>
    <row r="126" spans="1:9" x14ac:dyDescent="0.3">
      <c r="A126">
        <v>125</v>
      </c>
      <c r="B126">
        <v>1</v>
      </c>
      <c r="C126" s="1">
        <v>125</v>
      </c>
      <c r="D126" t="s">
        <v>114</v>
      </c>
      <c r="E126">
        <v>10</v>
      </c>
      <c r="F126">
        <v>10</v>
      </c>
      <c r="G126">
        <v>10</v>
      </c>
      <c r="H126">
        <f>502+543+447+435*2</f>
        <v>2362</v>
      </c>
      <c r="I126">
        <v>0</v>
      </c>
    </row>
    <row r="127" spans="1:9" x14ac:dyDescent="0.3">
      <c r="A127">
        <v>126</v>
      </c>
      <c r="B127">
        <v>1</v>
      </c>
      <c r="C127" s="1">
        <v>126</v>
      </c>
      <c r="D127" t="s">
        <v>115</v>
      </c>
      <c r="E127">
        <v>10</v>
      </c>
      <c r="F127">
        <v>10</v>
      </c>
      <c r="G127">
        <v>10</v>
      </c>
      <c r="H127">
        <f>860+645+1136+298*2</f>
        <v>3237</v>
      </c>
      <c r="I127">
        <v>0</v>
      </c>
    </row>
    <row r="128" spans="1:9" x14ac:dyDescent="0.3">
      <c r="A128">
        <v>127</v>
      </c>
      <c r="B128">
        <v>1</v>
      </c>
      <c r="C128" s="1">
        <v>127</v>
      </c>
      <c r="D128" t="s">
        <v>116</v>
      </c>
      <c r="E128">
        <v>10</v>
      </c>
      <c r="F128">
        <v>10</v>
      </c>
      <c r="G128">
        <v>10</v>
      </c>
      <c r="H128">
        <f>60+111+443+498*2</f>
        <v>1610</v>
      </c>
      <c r="I128">
        <v>0</v>
      </c>
    </row>
    <row r="129" spans="1:9" x14ac:dyDescent="0.3">
      <c r="A129">
        <v>128</v>
      </c>
      <c r="B129">
        <v>1</v>
      </c>
      <c r="C129" s="1">
        <v>128</v>
      </c>
      <c r="D129" t="s">
        <v>117</v>
      </c>
      <c r="E129">
        <v>10</v>
      </c>
      <c r="F129">
        <v>10</v>
      </c>
      <c r="G129">
        <v>10</v>
      </c>
      <c r="H129">
        <f>151+279+452+488*2</f>
        <v>1858</v>
      </c>
      <c r="I129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9"/>
  <sheetViews>
    <sheetView workbookViewId="0">
      <selection activeCell="L11" sqref="L11"/>
    </sheetView>
  </sheetViews>
  <sheetFormatPr baseColWidth="10" defaultRowHeight="14.4" x14ac:dyDescent="0.3"/>
  <cols>
    <col min="1" max="1" width="19.109375" customWidth="1"/>
  </cols>
  <sheetData>
    <row r="1" spans="1:10" x14ac:dyDescent="0.3">
      <c r="A1" t="s">
        <v>135</v>
      </c>
      <c r="B1" t="s">
        <v>130</v>
      </c>
      <c r="C1" t="s">
        <v>135</v>
      </c>
      <c r="D1" t="s">
        <v>127</v>
      </c>
      <c r="E1" t="s">
        <v>128</v>
      </c>
      <c r="F1" t="s">
        <v>129</v>
      </c>
      <c r="G1" t="s">
        <v>130</v>
      </c>
      <c r="H1" t="s">
        <v>138</v>
      </c>
      <c r="I1" t="s">
        <v>137</v>
      </c>
      <c r="J1" t="s">
        <v>139</v>
      </c>
    </row>
    <row r="2" spans="1:10" x14ac:dyDescent="0.3">
      <c r="A2" t="s">
        <v>12</v>
      </c>
      <c r="B2">
        <f>11360+16585+11780+2585*4</f>
        <v>50065</v>
      </c>
      <c r="C2" t="s">
        <v>0</v>
      </c>
      <c r="D2">
        <v>11</v>
      </c>
      <c r="E2">
        <v>18</v>
      </c>
      <c r="F2">
        <v>16</v>
      </c>
      <c r="G2">
        <f>9775+8265+2130+9605*3</f>
        <v>48985</v>
      </c>
      <c r="H2">
        <f>G2*D2</f>
        <v>538835</v>
      </c>
      <c r="I2">
        <f>G2*E2</f>
        <v>881730</v>
      </c>
      <c r="J2">
        <f>G2*F2</f>
        <v>783760</v>
      </c>
    </row>
    <row r="3" spans="1:10" x14ac:dyDescent="0.3">
      <c r="A3" t="s">
        <v>0</v>
      </c>
      <c r="B3">
        <f>9775+8265+2130+9605*3</f>
        <v>48985</v>
      </c>
      <c r="C3" t="s">
        <v>1</v>
      </c>
      <c r="D3">
        <v>20</v>
      </c>
      <c r="E3">
        <v>12</v>
      </c>
      <c r="F3">
        <v>12</v>
      </c>
      <c r="G3">
        <f>6835+5230+3300+10645*3</f>
        <v>47300</v>
      </c>
      <c r="H3">
        <f t="shared" ref="H3:H66" si="0">G3*D3</f>
        <v>946000</v>
      </c>
      <c r="I3">
        <f t="shared" ref="I3:I66" si="1">G3*E3</f>
        <v>567600</v>
      </c>
      <c r="J3">
        <f t="shared" ref="J3:J66" si="2">G3*F3</f>
        <v>567600</v>
      </c>
    </row>
    <row r="4" spans="1:10" x14ac:dyDescent="0.3">
      <c r="A4" t="s">
        <v>1</v>
      </c>
      <c r="B4">
        <f>6835+5230+3300+10645*3</f>
        <v>47300</v>
      </c>
      <c r="C4" t="s">
        <v>136</v>
      </c>
      <c r="D4">
        <v>10</v>
      </c>
      <c r="E4">
        <v>10</v>
      </c>
      <c r="F4">
        <v>11</v>
      </c>
      <c r="G4">
        <f>4150+2405+3650+3805*5</f>
        <v>29230</v>
      </c>
      <c r="H4">
        <f t="shared" si="0"/>
        <v>292300</v>
      </c>
      <c r="I4">
        <f t="shared" si="1"/>
        <v>292300</v>
      </c>
      <c r="J4">
        <f t="shared" si="2"/>
        <v>321530</v>
      </c>
    </row>
    <row r="5" spans="1:10" x14ac:dyDescent="0.3">
      <c r="A5" t="s">
        <v>18</v>
      </c>
      <c r="B5">
        <f>4675+8945+12410+2290*4</f>
        <v>35190</v>
      </c>
      <c r="C5" t="s">
        <v>2</v>
      </c>
      <c r="D5">
        <v>10</v>
      </c>
      <c r="E5">
        <v>10</v>
      </c>
      <c r="F5">
        <v>11</v>
      </c>
      <c r="G5">
        <f>3645+1360+2035+5150*5</f>
        <v>32790</v>
      </c>
      <c r="H5">
        <f t="shared" si="0"/>
        <v>327900</v>
      </c>
      <c r="I5">
        <f t="shared" si="1"/>
        <v>327900</v>
      </c>
      <c r="J5">
        <f t="shared" si="2"/>
        <v>360690</v>
      </c>
    </row>
    <row r="6" spans="1:10" x14ac:dyDescent="0.3">
      <c r="A6" t="s">
        <v>2</v>
      </c>
      <c r="B6">
        <f>3645+1360+2035+5150*5</f>
        <v>32790</v>
      </c>
      <c r="C6" t="s">
        <v>3</v>
      </c>
      <c r="D6">
        <v>10</v>
      </c>
      <c r="E6">
        <v>10</v>
      </c>
      <c r="F6">
        <v>10</v>
      </c>
      <c r="G6">
        <f>389+647+1655+4610*5</f>
        <v>25741</v>
      </c>
      <c r="H6">
        <f t="shared" si="0"/>
        <v>257410</v>
      </c>
      <c r="I6">
        <f t="shared" si="1"/>
        <v>257410</v>
      </c>
      <c r="J6">
        <f t="shared" si="2"/>
        <v>257410</v>
      </c>
    </row>
    <row r="7" spans="1:10" x14ac:dyDescent="0.3">
      <c r="A7" t="s">
        <v>11</v>
      </c>
      <c r="B7">
        <f>5370+6865+5315+3150*4</f>
        <v>30150</v>
      </c>
      <c r="C7" t="s">
        <v>4</v>
      </c>
      <c r="D7">
        <v>10</v>
      </c>
      <c r="E7">
        <v>10</v>
      </c>
      <c r="F7">
        <v>10</v>
      </c>
      <c r="G7">
        <f>989+1600+3415+4015*4</f>
        <v>22064</v>
      </c>
      <c r="H7">
        <f t="shared" si="0"/>
        <v>220640</v>
      </c>
      <c r="I7">
        <f t="shared" si="1"/>
        <v>220640</v>
      </c>
      <c r="J7">
        <f t="shared" si="2"/>
        <v>220640</v>
      </c>
    </row>
    <row r="8" spans="1:10" x14ac:dyDescent="0.3">
      <c r="A8" t="s">
        <v>136</v>
      </c>
      <c r="B8">
        <f>4150+2405+3650+3805*5</f>
        <v>29230</v>
      </c>
      <c r="C8" t="s">
        <v>5</v>
      </c>
      <c r="D8">
        <v>10</v>
      </c>
      <c r="E8">
        <v>10</v>
      </c>
      <c r="F8">
        <v>10</v>
      </c>
      <c r="G8">
        <f>1599+1880+2750+3775*4</f>
        <v>21329</v>
      </c>
      <c r="H8">
        <f t="shared" si="0"/>
        <v>213290</v>
      </c>
      <c r="I8">
        <f t="shared" si="1"/>
        <v>213290</v>
      </c>
      <c r="J8">
        <f t="shared" si="2"/>
        <v>213290</v>
      </c>
    </row>
    <row r="9" spans="1:10" x14ac:dyDescent="0.3">
      <c r="A9" t="s">
        <v>3</v>
      </c>
      <c r="B9">
        <f>389+647+1655+4610*5</f>
        <v>25741</v>
      </c>
      <c r="C9" t="s">
        <v>6</v>
      </c>
      <c r="D9">
        <v>10</v>
      </c>
      <c r="E9">
        <v>10</v>
      </c>
      <c r="F9">
        <v>10</v>
      </c>
      <c r="G9">
        <f>934+1465+1710+3165*4</f>
        <v>16769</v>
      </c>
      <c r="H9">
        <f t="shared" si="0"/>
        <v>167690</v>
      </c>
      <c r="I9">
        <f t="shared" si="1"/>
        <v>167690</v>
      </c>
      <c r="J9">
        <f t="shared" si="2"/>
        <v>167690</v>
      </c>
    </row>
    <row r="10" spans="1:10" x14ac:dyDescent="0.3">
      <c r="A10" t="s">
        <v>4</v>
      </c>
      <c r="B10">
        <f>989+1600+3415+4015*4</f>
        <v>22064</v>
      </c>
      <c r="C10" t="s">
        <v>7</v>
      </c>
      <c r="D10">
        <v>10</v>
      </c>
      <c r="E10">
        <v>10</v>
      </c>
      <c r="F10">
        <v>10</v>
      </c>
      <c r="G10">
        <f>2080+2475+735+2480*4</f>
        <v>15210</v>
      </c>
      <c r="H10">
        <f t="shared" si="0"/>
        <v>152100</v>
      </c>
      <c r="I10">
        <f t="shared" si="1"/>
        <v>152100</v>
      </c>
      <c r="J10">
        <f t="shared" si="2"/>
        <v>152100</v>
      </c>
    </row>
    <row r="11" spans="1:10" x14ac:dyDescent="0.3">
      <c r="A11" t="s">
        <v>5</v>
      </c>
      <c r="B11">
        <f>1599+1880+2750+3775*4</f>
        <v>21329</v>
      </c>
      <c r="C11" t="s">
        <v>8</v>
      </c>
      <c r="D11">
        <v>10</v>
      </c>
      <c r="E11">
        <v>10</v>
      </c>
      <c r="F11">
        <v>11</v>
      </c>
      <c r="G11">
        <f>385+55+1110+2595*7</f>
        <v>19715</v>
      </c>
      <c r="H11">
        <f t="shared" si="0"/>
        <v>197150</v>
      </c>
      <c r="I11">
        <f t="shared" si="1"/>
        <v>197150</v>
      </c>
      <c r="J11">
        <f t="shared" si="2"/>
        <v>216865</v>
      </c>
    </row>
    <row r="12" spans="1:10" x14ac:dyDescent="0.3">
      <c r="A12" t="s">
        <v>8</v>
      </c>
      <c r="B12">
        <f>385+55+1110+2595*7</f>
        <v>19715</v>
      </c>
      <c r="C12" t="s">
        <v>9</v>
      </c>
      <c r="D12">
        <v>10</v>
      </c>
      <c r="E12">
        <v>10</v>
      </c>
      <c r="F12">
        <v>10</v>
      </c>
      <c r="G12">
        <f>841+734+1370+2615*5</f>
        <v>16020</v>
      </c>
      <c r="H12">
        <f t="shared" si="0"/>
        <v>160200</v>
      </c>
      <c r="I12">
        <f t="shared" si="1"/>
        <v>160200</v>
      </c>
      <c r="J12">
        <f t="shared" si="2"/>
        <v>160200</v>
      </c>
    </row>
    <row r="13" spans="1:10" x14ac:dyDescent="0.3">
      <c r="A13" t="s">
        <v>15</v>
      </c>
      <c r="B13">
        <f>4600+4620+3060+2095*3</f>
        <v>18565</v>
      </c>
      <c r="C13" t="s">
        <v>10</v>
      </c>
      <c r="D13">
        <v>10</v>
      </c>
      <c r="E13">
        <v>10</v>
      </c>
      <c r="F13">
        <v>10</v>
      </c>
      <c r="G13">
        <f>1090+785+1355+2535*4</f>
        <v>13370</v>
      </c>
      <c r="H13">
        <f t="shared" si="0"/>
        <v>133700</v>
      </c>
      <c r="I13">
        <f t="shared" si="1"/>
        <v>133700</v>
      </c>
      <c r="J13">
        <f t="shared" si="2"/>
        <v>133700</v>
      </c>
    </row>
    <row r="14" spans="1:10" x14ac:dyDescent="0.3">
      <c r="A14" t="s">
        <v>24</v>
      </c>
      <c r="B14">
        <f>5025+4235+4905+1885*2</f>
        <v>17935</v>
      </c>
      <c r="C14" t="s">
        <v>11</v>
      </c>
      <c r="D14">
        <v>11</v>
      </c>
      <c r="E14">
        <v>10</v>
      </c>
      <c r="F14">
        <v>11</v>
      </c>
      <c r="G14">
        <f>5370+6865+5315+3150*4</f>
        <v>30150</v>
      </c>
      <c r="H14">
        <f t="shared" si="0"/>
        <v>331650</v>
      </c>
      <c r="I14">
        <f t="shared" si="1"/>
        <v>301500</v>
      </c>
      <c r="J14">
        <f t="shared" si="2"/>
        <v>331650</v>
      </c>
    </row>
    <row r="15" spans="1:10" x14ac:dyDescent="0.3">
      <c r="A15" t="s">
        <v>6</v>
      </c>
      <c r="B15">
        <f>934+1465+1710+3165*4</f>
        <v>16769</v>
      </c>
      <c r="C15" t="s">
        <v>12</v>
      </c>
      <c r="D15">
        <v>11</v>
      </c>
      <c r="E15">
        <v>13</v>
      </c>
      <c r="F15">
        <v>16</v>
      </c>
      <c r="G15">
        <f>11360+16585+11780+2585*4</f>
        <v>50065</v>
      </c>
      <c r="H15">
        <f t="shared" si="0"/>
        <v>550715</v>
      </c>
      <c r="I15">
        <f t="shared" si="1"/>
        <v>650845</v>
      </c>
      <c r="J15">
        <f t="shared" si="2"/>
        <v>801040</v>
      </c>
    </row>
    <row r="16" spans="1:10" x14ac:dyDescent="0.3">
      <c r="A16" t="s">
        <v>9</v>
      </c>
      <c r="B16">
        <f>841+734+1370+2615*5</f>
        <v>16020</v>
      </c>
      <c r="C16" t="s">
        <v>13</v>
      </c>
      <c r="D16">
        <v>10</v>
      </c>
      <c r="E16">
        <v>10</v>
      </c>
      <c r="F16">
        <v>10</v>
      </c>
      <c r="G16">
        <f>830+1260+2460+2010*4</f>
        <v>12590</v>
      </c>
      <c r="H16">
        <f t="shared" si="0"/>
        <v>125900</v>
      </c>
      <c r="I16">
        <f t="shared" si="1"/>
        <v>125900</v>
      </c>
      <c r="J16">
        <f t="shared" si="2"/>
        <v>125900</v>
      </c>
    </row>
    <row r="17" spans="1:10" x14ac:dyDescent="0.3">
      <c r="A17" t="s">
        <v>30</v>
      </c>
      <c r="B17">
        <f>4440+2170+5450+1795*2</f>
        <v>15650</v>
      </c>
      <c r="C17" t="s">
        <v>14</v>
      </c>
      <c r="D17">
        <v>10</v>
      </c>
      <c r="E17">
        <v>10</v>
      </c>
      <c r="F17">
        <v>10</v>
      </c>
      <c r="G17">
        <f>408+672+2156+2235*4</f>
        <v>12176</v>
      </c>
      <c r="H17">
        <f t="shared" si="0"/>
        <v>121760</v>
      </c>
      <c r="I17">
        <f t="shared" si="1"/>
        <v>121760</v>
      </c>
      <c r="J17">
        <f t="shared" si="2"/>
        <v>121760</v>
      </c>
    </row>
    <row r="18" spans="1:10" x14ac:dyDescent="0.3">
      <c r="A18" t="s">
        <v>7</v>
      </c>
      <c r="B18">
        <f>2080+2475+735+2480*4</f>
        <v>15210</v>
      </c>
      <c r="C18" t="s">
        <v>15</v>
      </c>
      <c r="D18">
        <v>10</v>
      </c>
      <c r="E18">
        <v>10</v>
      </c>
      <c r="F18">
        <v>10</v>
      </c>
      <c r="G18">
        <f>4600+4620+3060+2095*3</f>
        <v>18565</v>
      </c>
      <c r="H18">
        <f t="shared" si="0"/>
        <v>185650</v>
      </c>
      <c r="I18">
        <f t="shared" si="1"/>
        <v>185650</v>
      </c>
      <c r="J18">
        <f t="shared" si="2"/>
        <v>185650</v>
      </c>
    </row>
    <row r="19" spans="1:10" x14ac:dyDescent="0.3">
      <c r="A19" t="s">
        <v>10</v>
      </c>
      <c r="B19">
        <f>1090+785+1355+2535*4</f>
        <v>13370</v>
      </c>
      <c r="C19" t="s">
        <v>16</v>
      </c>
      <c r="D19">
        <v>10</v>
      </c>
      <c r="E19">
        <v>10</v>
      </c>
      <c r="F19">
        <v>10</v>
      </c>
      <c r="G19">
        <f>1890+2495+1850+2265*3</f>
        <v>13030</v>
      </c>
      <c r="H19">
        <f t="shared" si="0"/>
        <v>130300</v>
      </c>
      <c r="I19">
        <f t="shared" si="1"/>
        <v>130300</v>
      </c>
      <c r="J19">
        <f t="shared" si="2"/>
        <v>130300</v>
      </c>
    </row>
    <row r="20" spans="1:10" x14ac:dyDescent="0.3">
      <c r="A20" t="s">
        <v>16</v>
      </c>
      <c r="B20">
        <f>1890+2495+1850+2265*3</f>
        <v>13030</v>
      </c>
      <c r="C20" t="s">
        <v>17</v>
      </c>
      <c r="D20">
        <v>10</v>
      </c>
      <c r="E20">
        <v>10</v>
      </c>
      <c r="F20">
        <v>10</v>
      </c>
      <c r="G20">
        <f>761+798+1435+1845*3</f>
        <v>8529</v>
      </c>
      <c r="H20">
        <f t="shared" si="0"/>
        <v>85290</v>
      </c>
      <c r="I20">
        <f t="shared" si="1"/>
        <v>85290</v>
      </c>
      <c r="J20">
        <f t="shared" si="2"/>
        <v>85290</v>
      </c>
    </row>
    <row r="21" spans="1:10" x14ac:dyDescent="0.3">
      <c r="A21" t="s">
        <v>35</v>
      </c>
      <c r="B21">
        <f>4045+4305+1785+1290*2</f>
        <v>12715</v>
      </c>
      <c r="C21" t="s">
        <v>18</v>
      </c>
      <c r="D21">
        <v>10</v>
      </c>
      <c r="E21">
        <v>12</v>
      </c>
      <c r="F21">
        <v>11</v>
      </c>
      <c r="G21">
        <f>4675+8945+12410+2290*4</f>
        <v>35190</v>
      </c>
      <c r="H21">
        <f t="shared" si="0"/>
        <v>351900</v>
      </c>
      <c r="I21">
        <f t="shared" si="1"/>
        <v>422280</v>
      </c>
      <c r="J21">
        <f t="shared" si="2"/>
        <v>387090</v>
      </c>
    </row>
    <row r="22" spans="1:10" x14ac:dyDescent="0.3">
      <c r="A22" t="s">
        <v>13</v>
      </c>
      <c r="B22">
        <f>830+1260+2460+2010*4</f>
        <v>12590</v>
      </c>
      <c r="C22" t="s">
        <v>19</v>
      </c>
      <c r="D22">
        <v>10</v>
      </c>
      <c r="E22">
        <v>10</v>
      </c>
      <c r="F22">
        <v>10</v>
      </c>
      <c r="G22">
        <f>1790+1515+945+1670*3</f>
        <v>9260</v>
      </c>
      <c r="H22">
        <f t="shared" si="0"/>
        <v>92600</v>
      </c>
      <c r="I22">
        <f t="shared" si="1"/>
        <v>92600</v>
      </c>
      <c r="J22">
        <f t="shared" si="2"/>
        <v>92600</v>
      </c>
    </row>
    <row r="23" spans="1:10" x14ac:dyDescent="0.3">
      <c r="A23" t="s">
        <v>25</v>
      </c>
      <c r="B23">
        <f>2740+2635+2550+2320*2</f>
        <v>12565</v>
      </c>
      <c r="C23" t="s">
        <v>20</v>
      </c>
      <c r="D23">
        <v>10</v>
      </c>
      <c r="E23">
        <v>10</v>
      </c>
      <c r="F23">
        <v>10</v>
      </c>
      <c r="G23">
        <f>2110+1480+2350+2015*2</f>
        <v>9970</v>
      </c>
      <c r="H23">
        <f t="shared" si="0"/>
        <v>99700</v>
      </c>
      <c r="I23">
        <f t="shared" si="1"/>
        <v>99700</v>
      </c>
      <c r="J23">
        <f t="shared" si="2"/>
        <v>99700</v>
      </c>
    </row>
    <row r="24" spans="1:10" x14ac:dyDescent="0.3">
      <c r="A24" t="s">
        <v>14</v>
      </c>
      <c r="B24">
        <f>408+672+2156+2235*4</f>
        <v>12176</v>
      </c>
      <c r="C24" t="s">
        <v>21</v>
      </c>
      <c r="D24">
        <v>10</v>
      </c>
      <c r="E24">
        <v>10</v>
      </c>
      <c r="F24">
        <v>10</v>
      </c>
      <c r="G24">
        <f>775+624+864+1675*3</f>
        <v>7288</v>
      </c>
      <c r="H24">
        <f t="shared" si="0"/>
        <v>72880</v>
      </c>
      <c r="I24">
        <f t="shared" si="1"/>
        <v>72880</v>
      </c>
      <c r="J24">
        <f t="shared" si="2"/>
        <v>72880</v>
      </c>
    </row>
    <row r="25" spans="1:10" x14ac:dyDescent="0.3">
      <c r="A25" t="s">
        <v>20</v>
      </c>
      <c r="B25">
        <f>2110+1480+2350+2015*2</f>
        <v>9970</v>
      </c>
      <c r="C25" t="s">
        <v>22</v>
      </c>
      <c r="D25">
        <v>10</v>
      </c>
      <c r="E25">
        <v>10</v>
      </c>
      <c r="F25">
        <v>10</v>
      </c>
      <c r="G25">
        <f>898+930+791+1635*4</f>
        <v>9159</v>
      </c>
      <c r="H25">
        <f t="shared" si="0"/>
        <v>91590</v>
      </c>
      <c r="I25">
        <f t="shared" si="1"/>
        <v>91590</v>
      </c>
      <c r="J25">
        <f t="shared" si="2"/>
        <v>91590</v>
      </c>
    </row>
    <row r="26" spans="1:10" x14ac:dyDescent="0.3">
      <c r="A26" t="s">
        <v>19</v>
      </c>
      <c r="B26">
        <f>1790+1515+945+1670*3</f>
        <v>9260</v>
      </c>
      <c r="C26" t="s">
        <v>23</v>
      </c>
      <c r="D26">
        <v>10</v>
      </c>
      <c r="E26">
        <v>10</v>
      </c>
      <c r="F26">
        <v>10</v>
      </c>
      <c r="G26">
        <f>260+568+1001+992*6</f>
        <v>7781</v>
      </c>
      <c r="H26">
        <f t="shared" si="0"/>
        <v>77810</v>
      </c>
      <c r="I26">
        <f t="shared" si="1"/>
        <v>77810</v>
      </c>
      <c r="J26">
        <f t="shared" si="2"/>
        <v>77810</v>
      </c>
    </row>
    <row r="27" spans="1:10" x14ac:dyDescent="0.3">
      <c r="A27" t="s">
        <v>22</v>
      </c>
      <c r="B27">
        <f>898+930+791+1635*4</f>
        <v>9159</v>
      </c>
      <c r="C27" t="s">
        <v>24</v>
      </c>
      <c r="D27">
        <v>10</v>
      </c>
      <c r="E27">
        <v>10</v>
      </c>
      <c r="F27">
        <v>10</v>
      </c>
      <c r="G27">
        <f>5025+4235+4905+1885*2</f>
        <v>17935</v>
      </c>
      <c r="H27">
        <f t="shared" si="0"/>
        <v>179350</v>
      </c>
      <c r="I27">
        <f t="shared" si="1"/>
        <v>179350</v>
      </c>
      <c r="J27">
        <f t="shared" si="2"/>
        <v>179350</v>
      </c>
    </row>
    <row r="28" spans="1:10" x14ac:dyDescent="0.3">
      <c r="A28" t="s">
        <v>36</v>
      </c>
      <c r="B28">
        <f>1900+1485+3625+1015*2</f>
        <v>9040</v>
      </c>
      <c r="C28" t="s">
        <v>25</v>
      </c>
      <c r="D28">
        <v>10</v>
      </c>
      <c r="E28">
        <v>10</v>
      </c>
      <c r="F28">
        <v>10</v>
      </c>
      <c r="G28">
        <f>2740+2635+2550+2320*2</f>
        <v>12565</v>
      </c>
      <c r="H28">
        <f t="shared" si="0"/>
        <v>125650</v>
      </c>
      <c r="I28">
        <f t="shared" si="1"/>
        <v>125650</v>
      </c>
      <c r="J28">
        <f t="shared" si="2"/>
        <v>125650</v>
      </c>
    </row>
    <row r="29" spans="1:10" x14ac:dyDescent="0.3">
      <c r="A29" t="s">
        <v>32</v>
      </c>
      <c r="B29">
        <f>1350+2850+1885+1375*2</f>
        <v>8835</v>
      </c>
      <c r="C29" t="s">
        <v>26</v>
      </c>
      <c r="D29">
        <v>10</v>
      </c>
      <c r="E29">
        <v>10</v>
      </c>
      <c r="F29">
        <v>10</v>
      </c>
      <c r="G29">
        <f>855+1105+1255+1695*2</f>
        <v>6605</v>
      </c>
      <c r="H29">
        <f t="shared" si="0"/>
        <v>66050</v>
      </c>
      <c r="I29">
        <f t="shared" si="1"/>
        <v>66050</v>
      </c>
      <c r="J29">
        <f t="shared" si="2"/>
        <v>66050</v>
      </c>
    </row>
    <row r="30" spans="1:10" x14ac:dyDescent="0.3">
      <c r="A30" t="s">
        <v>27</v>
      </c>
      <c r="B30">
        <f>526+649+699+1391*5</f>
        <v>8829</v>
      </c>
      <c r="C30" t="s">
        <v>27</v>
      </c>
      <c r="D30">
        <v>10</v>
      </c>
      <c r="E30">
        <v>10</v>
      </c>
      <c r="F30">
        <v>10</v>
      </c>
      <c r="G30">
        <f>526+649+699+1391*5</f>
        <v>8829</v>
      </c>
      <c r="H30">
        <f t="shared" si="0"/>
        <v>88290</v>
      </c>
      <c r="I30">
        <f t="shared" si="1"/>
        <v>88290</v>
      </c>
      <c r="J30">
        <f t="shared" si="2"/>
        <v>88290</v>
      </c>
    </row>
    <row r="31" spans="1:10" x14ac:dyDescent="0.3">
      <c r="A31" t="s">
        <v>17</v>
      </c>
      <c r="B31">
        <f>761+798+1435+1845*3</f>
        <v>8529</v>
      </c>
      <c r="C31" t="s">
        <v>28</v>
      </c>
      <c r="D31">
        <v>10</v>
      </c>
      <c r="E31">
        <v>10</v>
      </c>
      <c r="F31">
        <v>10</v>
      </c>
      <c r="G31">
        <f>299+817+571+844*6</f>
        <v>6751</v>
      </c>
      <c r="H31">
        <f t="shared" si="0"/>
        <v>67510</v>
      </c>
      <c r="I31">
        <f t="shared" si="1"/>
        <v>67510</v>
      </c>
      <c r="J31">
        <f t="shared" si="2"/>
        <v>67510</v>
      </c>
    </row>
    <row r="32" spans="1:10" x14ac:dyDescent="0.3">
      <c r="A32" t="s">
        <v>34</v>
      </c>
      <c r="B32">
        <f>2130+1690+1410+1295*2</f>
        <v>7820</v>
      </c>
      <c r="C32" t="s">
        <v>29</v>
      </c>
      <c r="D32">
        <v>10</v>
      </c>
      <c r="E32">
        <v>10</v>
      </c>
      <c r="F32">
        <v>10</v>
      </c>
      <c r="G32">
        <f>92+270+395+1229*5</f>
        <v>6902</v>
      </c>
      <c r="H32">
        <f t="shared" si="0"/>
        <v>69020</v>
      </c>
      <c r="I32">
        <f t="shared" si="1"/>
        <v>69020</v>
      </c>
      <c r="J32">
        <f t="shared" si="2"/>
        <v>69020</v>
      </c>
    </row>
    <row r="33" spans="1:10" x14ac:dyDescent="0.3">
      <c r="A33" t="s">
        <v>23</v>
      </c>
      <c r="B33">
        <f>260+568+1001+992*6</f>
        <v>7781</v>
      </c>
      <c r="C33" t="s">
        <v>30</v>
      </c>
      <c r="D33">
        <v>10</v>
      </c>
      <c r="E33">
        <v>10</v>
      </c>
      <c r="F33">
        <v>10</v>
      </c>
      <c r="G33">
        <f>4440+2170+5450+1795*2</f>
        <v>15650</v>
      </c>
      <c r="H33">
        <f t="shared" si="0"/>
        <v>156500</v>
      </c>
      <c r="I33">
        <f t="shared" si="1"/>
        <v>156500</v>
      </c>
      <c r="J33">
        <f t="shared" si="2"/>
        <v>156500</v>
      </c>
    </row>
    <row r="34" spans="1:10" x14ac:dyDescent="0.3">
      <c r="A34" t="s">
        <v>21</v>
      </c>
      <c r="B34">
        <f>775+624+864+1675*3</f>
        <v>7288</v>
      </c>
      <c r="C34" t="s">
        <v>31</v>
      </c>
      <c r="D34">
        <v>10</v>
      </c>
      <c r="E34">
        <v>10</v>
      </c>
      <c r="F34">
        <v>10</v>
      </c>
      <c r="G34">
        <f>1222+1065+1780+1370*2</f>
        <v>6807</v>
      </c>
      <c r="H34">
        <f t="shared" si="0"/>
        <v>68070</v>
      </c>
      <c r="I34">
        <f t="shared" si="1"/>
        <v>68070</v>
      </c>
      <c r="J34">
        <f t="shared" si="2"/>
        <v>68070</v>
      </c>
    </row>
    <row r="35" spans="1:10" x14ac:dyDescent="0.3">
      <c r="A35" t="s">
        <v>29</v>
      </c>
      <c r="B35">
        <f>92+270+395+1229*5</f>
        <v>6902</v>
      </c>
      <c r="C35" t="s">
        <v>32</v>
      </c>
      <c r="D35">
        <v>10</v>
      </c>
      <c r="E35">
        <v>10</v>
      </c>
      <c r="F35">
        <v>10</v>
      </c>
      <c r="G35">
        <f>1350+2850+1885+1375*2</f>
        <v>8835</v>
      </c>
      <c r="H35">
        <f t="shared" si="0"/>
        <v>88350</v>
      </c>
      <c r="I35">
        <f t="shared" si="1"/>
        <v>88350</v>
      </c>
      <c r="J35">
        <f t="shared" si="2"/>
        <v>88350</v>
      </c>
    </row>
    <row r="36" spans="1:10" x14ac:dyDescent="0.3">
      <c r="A36" t="s">
        <v>31</v>
      </c>
      <c r="B36">
        <f>1222+1065+1780+1370*2</f>
        <v>6807</v>
      </c>
      <c r="C36" t="s">
        <v>33</v>
      </c>
      <c r="D36">
        <v>10</v>
      </c>
      <c r="E36">
        <v>10</v>
      </c>
      <c r="F36">
        <v>10</v>
      </c>
      <c r="G36">
        <f>1415+1185+1325+1440*2</f>
        <v>6805</v>
      </c>
      <c r="H36">
        <f t="shared" si="0"/>
        <v>68050</v>
      </c>
      <c r="I36">
        <f t="shared" si="1"/>
        <v>68050</v>
      </c>
      <c r="J36">
        <f t="shared" si="2"/>
        <v>68050</v>
      </c>
    </row>
    <row r="37" spans="1:10" x14ac:dyDescent="0.3">
      <c r="A37" t="s">
        <v>33</v>
      </c>
      <c r="B37">
        <f>1415+1185+1325+1440*2</f>
        <v>6805</v>
      </c>
      <c r="C37" t="s">
        <v>118</v>
      </c>
      <c r="D37">
        <v>10</v>
      </c>
      <c r="E37">
        <v>10</v>
      </c>
      <c r="F37">
        <v>10</v>
      </c>
      <c r="G37">
        <f>558+574+223+1298*3</f>
        <v>5249</v>
      </c>
      <c r="H37">
        <f t="shared" si="0"/>
        <v>52490</v>
      </c>
      <c r="I37">
        <f t="shared" si="1"/>
        <v>52490</v>
      </c>
      <c r="J37">
        <f t="shared" si="2"/>
        <v>52490</v>
      </c>
    </row>
    <row r="38" spans="1:10" x14ac:dyDescent="0.3">
      <c r="A38" t="s">
        <v>28</v>
      </c>
      <c r="B38">
        <f>299+817+571+844*6</f>
        <v>6751</v>
      </c>
      <c r="C38" t="s">
        <v>34</v>
      </c>
      <c r="D38">
        <v>10</v>
      </c>
      <c r="E38">
        <v>10</v>
      </c>
      <c r="F38">
        <v>10</v>
      </c>
      <c r="G38">
        <f>2130+1690+1410+1295*2</f>
        <v>7820</v>
      </c>
      <c r="H38">
        <f t="shared" si="0"/>
        <v>78200</v>
      </c>
      <c r="I38">
        <f t="shared" si="1"/>
        <v>78200</v>
      </c>
      <c r="J38">
        <f t="shared" si="2"/>
        <v>78200</v>
      </c>
    </row>
    <row r="39" spans="1:10" x14ac:dyDescent="0.3">
      <c r="A39" t="s">
        <v>60</v>
      </c>
      <c r="B39">
        <f>1730+2145+1585+610*2</f>
        <v>6680</v>
      </c>
      <c r="C39" t="s">
        <v>35</v>
      </c>
      <c r="D39">
        <v>10</v>
      </c>
      <c r="E39">
        <v>10</v>
      </c>
      <c r="F39">
        <v>10</v>
      </c>
      <c r="G39">
        <f>4045+4305+1785+1290*2</f>
        <v>12715</v>
      </c>
      <c r="H39">
        <f t="shared" si="0"/>
        <v>127150</v>
      </c>
      <c r="I39">
        <f t="shared" si="1"/>
        <v>127150</v>
      </c>
      <c r="J39">
        <f t="shared" si="2"/>
        <v>127150</v>
      </c>
    </row>
    <row r="40" spans="1:10" x14ac:dyDescent="0.3">
      <c r="A40" t="s">
        <v>26</v>
      </c>
      <c r="B40">
        <f>855+1105+1255+1695*2</f>
        <v>6605</v>
      </c>
      <c r="C40" t="s">
        <v>36</v>
      </c>
      <c r="D40">
        <v>10</v>
      </c>
      <c r="E40">
        <v>10</v>
      </c>
      <c r="F40">
        <v>10</v>
      </c>
      <c r="G40">
        <f>1900+1485+3625+1015*2</f>
        <v>9040</v>
      </c>
      <c r="H40">
        <f t="shared" si="0"/>
        <v>90400</v>
      </c>
      <c r="I40">
        <f t="shared" si="1"/>
        <v>90400</v>
      </c>
      <c r="J40">
        <f t="shared" si="2"/>
        <v>90400</v>
      </c>
    </row>
    <row r="41" spans="1:10" x14ac:dyDescent="0.3">
      <c r="A41" t="s">
        <v>123</v>
      </c>
      <c r="B41">
        <f>1320+1485+1795+660*2</f>
        <v>5920</v>
      </c>
      <c r="C41" t="s">
        <v>37</v>
      </c>
      <c r="D41">
        <v>10</v>
      </c>
      <c r="E41">
        <v>10</v>
      </c>
      <c r="F41">
        <v>10</v>
      </c>
      <c r="G41">
        <f>1135+900+1035+1295*2</f>
        <v>5660</v>
      </c>
      <c r="H41">
        <f t="shared" si="0"/>
        <v>56600</v>
      </c>
      <c r="I41">
        <f t="shared" si="1"/>
        <v>56600</v>
      </c>
      <c r="J41">
        <f t="shared" si="2"/>
        <v>56600</v>
      </c>
    </row>
    <row r="42" spans="1:10" x14ac:dyDescent="0.3">
      <c r="A42" t="s">
        <v>40</v>
      </c>
      <c r="B42">
        <f>1455+1135+760+1231*2</f>
        <v>5812</v>
      </c>
      <c r="C42" t="s">
        <v>119</v>
      </c>
      <c r="D42">
        <v>10</v>
      </c>
      <c r="E42">
        <v>10</v>
      </c>
      <c r="F42">
        <v>10</v>
      </c>
      <c r="G42">
        <f>420+472+527+1219*2</f>
        <v>3857</v>
      </c>
      <c r="H42">
        <f t="shared" si="0"/>
        <v>38570</v>
      </c>
      <c r="I42">
        <f t="shared" si="1"/>
        <v>38570</v>
      </c>
      <c r="J42">
        <f t="shared" si="2"/>
        <v>38570</v>
      </c>
    </row>
    <row r="43" spans="1:10" x14ac:dyDescent="0.3">
      <c r="A43" t="s">
        <v>46</v>
      </c>
      <c r="B43">
        <f>999+1240+1320+1055*2</f>
        <v>5669</v>
      </c>
      <c r="C43" t="s">
        <v>38</v>
      </c>
      <c r="D43">
        <v>10</v>
      </c>
      <c r="E43">
        <v>10</v>
      </c>
      <c r="F43">
        <v>10</v>
      </c>
      <c r="G43">
        <f>620+740+795+1130*2</f>
        <v>4415</v>
      </c>
      <c r="H43">
        <f t="shared" si="0"/>
        <v>44150</v>
      </c>
      <c r="I43">
        <f t="shared" si="1"/>
        <v>44150</v>
      </c>
      <c r="J43">
        <f t="shared" si="2"/>
        <v>44150</v>
      </c>
    </row>
    <row r="44" spans="1:10" x14ac:dyDescent="0.3">
      <c r="A44" t="s">
        <v>37</v>
      </c>
      <c r="B44">
        <f>1135+900+1035+1295*2</f>
        <v>5660</v>
      </c>
      <c r="C44" t="s">
        <v>39</v>
      </c>
      <c r="D44">
        <v>10</v>
      </c>
      <c r="E44">
        <v>10</v>
      </c>
      <c r="F44">
        <v>10</v>
      </c>
      <c r="G44">
        <f>370+939+592+993*2</f>
        <v>3887</v>
      </c>
      <c r="H44">
        <f t="shared" si="0"/>
        <v>38870</v>
      </c>
      <c r="I44">
        <f t="shared" si="1"/>
        <v>38870</v>
      </c>
      <c r="J44">
        <f t="shared" si="2"/>
        <v>38870</v>
      </c>
    </row>
    <row r="45" spans="1:10" x14ac:dyDescent="0.3">
      <c r="A45" t="s">
        <v>41</v>
      </c>
      <c r="B45">
        <f>474+1633+960+1155*2</f>
        <v>5377</v>
      </c>
      <c r="C45" t="s">
        <v>40</v>
      </c>
      <c r="D45">
        <v>10</v>
      </c>
      <c r="E45">
        <v>10</v>
      </c>
      <c r="F45">
        <v>10</v>
      </c>
      <c r="G45">
        <f>1455+1135+760+1231*2</f>
        <v>5812</v>
      </c>
      <c r="H45">
        <f t="shared" si="0"/>
        <v>58120</v>
      </c>
      <c r="I45">
        <f t="shared" si="1"/>
        <v>58120</v>
      </c>
      <c r="J45">
        <f t="shared" si="2"/>
        <v>58120</v>
      </c>
    </row>
    <row r="46" spans="1:10" x14ac:dyDescent="0.3">
      <c r="A46" t="s">
        <v>118</v>
      </c>
      <c r="B46">
        <f>558+574+223+1298*3</f>
        <v>5249</v>
      </c>
      <c r="C46" t="s">
        <v>41</v>
      </c>
      <c r="D46">
        <v>10</v>
      </c>
      <c r="E46">
        <v>10</v>
      </c>
      <c r="F46">
        <v>10</v>
      </c>
      <c r="G46">
        <f>474+1633+960+1155*2</f>
        <v>5377</v>
      </c>
      <c r="H46">
        <f t="shared" si="0"/>
        <v>53770</v>
      </c>
      <c r="I46">
        <f t="shared" si="1"/>
        <v>53770</v>
      </c>
      <c r="J46">
        <f t="shared" si="2"/>
        <v>53770</v>
      </c>
    </row>
    <row r="47" spans="1:10" x14ac:dyDescent="0.3">
      <c r="A47" t="s">
        <v>59</v>
      </c>
      <c r="B47">
        <f>558+1487+1385+880*2</f>
        <v>5190</v>
      </c>
      <c r="C47" t="s">
        <v>42</v>
      </c>
      <c r="D47">
        <v>10</v>
      </c>
      <c r="E47">
        <v>10</v>
      </c>
      <c r="F47">
        <v>10</v>
      </c>
      <c r="G47">
        <f>0+8+209+981*4</f>
        <v>4141</v>
      </c>
      <c r="H47">
        <f t="shared" si="0"/>
        <v>41410</v>
      </c>
      <c r="I47">
        <f t="shared" si="1"/>
        <v>41410</v>
      </c>
      <c r="J47">
        <f t="shared" si="2"/>
        <v>41410</v>
      </c>
    </row>
    <row r="48" spans="1:10" x14ac:dyDescent="0.3">
      <c r="A48" t="s">
        <v>48</v>
      </c>
      <c r="B48">
        <f>29+299+874+1302*3</f>
        <v>5108</v>
      </c>
      <c r="C48" t="s">
        <v>43</v>
      </c>
      <c r="D48">
        <v>10</v>
      </c>
      <c r="E48">
        <v>10</v>
      </c>
      <c r="F48">
        <v>10</v>
      </c>
      <c r="G48">
        <f>116+379+863+1030*2</f>
        <v>3418</v>
      </c>
      <c r="H48">
        <f t="shared" si="0"/>
        <v>34180</v>
      </c>
      <c r="I48">
        <f t="shared" si="1"/>
        <v>34180</v>
      </c>
      <c r="J48">
        <f t="shared" si="2"/>
        <v>34180</v>
      </c>
    </row>
    <row r="49" spans="1:10" x14ac:dyDescent="0.3">
      <c r="A49" t="s">
        <v>47</v>
      </c>
      <c r="B49">
        <f>759+725+1090+1095*2</f>
        <v>4764</v>
      </c>
      <c r="C49" t="s">
        <v>120</v>
      </c>
      <c r="D49">
        <v>10</v>
      </c>
      <c r="E49">
        <v>10</v>
      </c>
      <c r="F49">
        <v>10</v>
      </c>
      <c r="G49">
        <f>557+941+945+1001*2</f>
        <v>4445</v>
      </c>
      <c r="H49">
        <f t="shared" si="0"/>
        <v>44450</v>
      </c>
      <c r="I49">
        <f t="shared" si="1"/>
        <v>44450</v>
      </c>
      <c r="J49">
        <f t="shared" si="2"/>
        <v>44450</v>
      </c>
    </row>
    <row r="50" spans="1:10" x14ac:dyDescent="0.3">
      <c r="A50" t="s">
        <v>65</v>
      </c>
      <c r="B50">
        <f>822+1191+1030+850*2</f>
        <v>4743</v>
      </c>
      <c r="C50" t="s">
        <v>44</v>
      </c>
      <c r="D50">
        <v>10</v>
      </c>
      <c r="E50">
        <v>10</v>
      </c>
      <c r="F50">
        <v>10</v>
      </c>
      <c r="G50">
        <f>1299+1150+448+909*2</f>
        <v>4715</v>
      </c>
      <c r="H50">
        <f t="shared" si="0"/>
        <v>47150</v>
      </c>
      <c r="I50">
        <f t="shared" si="1"/>
        <v>47150</v>
      </c>
      <c r="J50">
        <f t="shared" si="2"/>
        <v>47150</v>
      </c>
    </row>
    <row r="51" spans="1:10" x14ac:dyDescent="0.3">
      <c r="A51" t="s">
        <v>44</v>
      </c>
      <c r="B51">
        <f>1299+1150+448+909*2</f>
        <v>4715</v>
      </c>
      <c r="C51" t="s">
        <v>45</v>
      </c>
      <c r="D51">
        <v>10</v>
      </c>
      <c r="E51">
        <v>10</v>
      </c>
      <c r="F51">
        <v>10</v>
      </c>
      <c r="G51">
        <f>39+144+611+772*3</f>
        <v>3110</v>
      </c>
      <c r="H51">
        <f t="shared" si="0"/>
        <v>31100</v>
      </c>
      <c r="I51">
        <f t="shared" si="1"/>
        <v>31100</v>
      </c>
      <c r="J51">
        <f t="shared" si="2"/>
        <v>31100</v>
      </c>
    </row>
    <row r="52" spans="1:10" x14ac:dyDescent="0.3">
      <c r="A52" t="s">
        <v>61</v>
      </c>
      <c r="B52">
        <f>1040+1430+725+714*2</f>
        <v>4623</v>
      </c>
      <c r="C52" t="s">
        <v>46</v>
      </c>
      <c r="D52">
        <v>10</v>
      </c>
      <c r="E52">
        <v>10</v>
      </c>
      <c r="F52">
        <v>10</v>
      </c>
      <c r="G52">
        <f>999+1240+1320+1055*2</f>
        <v>5669</v>
      </c>
      <c r="H52">
        <f t="shared" si="0"/>
        <v>56690</v>
      </c>
      <c r="I52">
        <f t="shared" si="1"/>
        <v>56690</v>
      </c>
      <c r="J52">
        <f t="shared" si="2"/>
        <v>56690</v>
      </c>
    </row>
    <row r="53" spans="1:10" x14ac:dyDescent="0.3">
      <c r="A53" t="s">
        <v>87</v>
      </c>
      <c r="B53">
        <f>1240+1255+725+665*2</f>
        <v>4550</v>
      </c>
      <c r="C53" t="s">
        <v>47</v>
      </c>
      <c r="D53">
        <v>10</v>
      </c>
      <c r="E53">
        <v>10</v>
      </c>
      <c r="F53">
        <v>10</v>
      </c>
      <c r="G53">
        <f>759+725+1090+1095*2</f>
        <v>4764</v>
      </c>
      <c r="H53">
        <f t="shared" si="0"/>
        <v>47640</v>
      </c>
      <c r="I53">
        <f t="shared" si="1"/>
        <v>47640</v>
      </c>
      <c r="J53">
        <f t="shared" si="2"/>
        <v>47640</v>
      </c>
    </row>
    <row r="54" spans="1:10" x14ac:dyDescent="0.3">
      <c r="A54" t="s">
        <v>120</v>
      </c>
      <c r="B54">
        <f>557+941+945+1001*2</f>
        <v>4445</v>
      </c>
      <c r="C54" t="s">
        <v>48</v>
      </c>
      <c r="D54">
        <v>10</v>
      </c>
      <c r="E54">
        <v>10</v>
      </c>
      <c r="F54">
        <v>10</v>
      </c>
      <c r="G54">
        <f>29+299+874+1302*3</f>
        <v>5108</v>
      </c>
      <c r="H54">
        <f t="shared" si="0"/>
        <v>51080</v>
      </c>
      <c r="I54">
        <f t="shared" si="1"/>
        <v>51080</v>
      </c>
      <c r="J54">
        <f t="shared" si="2"/>
        <v>51080</v>
      </c>
    </row>
    <row r="55" spans="1:10" x14ac:dyDescent="0.3">
      <c r="A55" t="s">
        <v>38</v>
      </c>
      <c r="B55">
        <f>620+740+795+1130*2</f>
        <v>4415</v>
      </c>
      <c r="C55" t="s">
        <v>49</v>
      </c>
      <c r="D55">
        <v>10</v>
      </c>
      <c r="E55">
        <v>10</v>
      </c>
      <c r="F55">
        <v>10</v>
      </c>
      <c r="G55">
        <f>781+547+758+898*2</f>
        <v>3882</v>
      </c>
      <c r="H55">
        <f t="shared" si="0"/>
        <v>38820</v>
      </c>
      <c r="I55">
        <f t="shared" si="1"/>
        <v>38820</v>
      </c>
      <c r="J55">
        <f t="shared" si="2"/>
        <v>38820</v>
      </c>
    </row>
    <row r="56" spans="1:10" x14ac:dyDescent="0.3">
      <c r="A56" t="s">
        <v>121</v>
      </c>
      <c r="B56">
        <f>743+1057+848+815*2</f>
        <v>4278</v>
      </c>
      <c r="C56" t="s">
        <v>50</v>
      </c>
      <c r="D56">
        <v>10</v>
      </c>
      <c r="E56">
        <v>10</v>
      </c>
      <c r="F56">
        <v>10</v>
      </c>
      <c r="G56">
        <f>333+693+685+774*2</f>
        <v>3259</v>
      </c>
      <c r="H56">
        <f t="shared" si="0"/>
        <v>32590</v>
      </c>
      <c r="I56">
        <f t="shared" si="1"/>
        <v>32590</v>
      </c>
      <c r="J56">
        <f t="shared" si="2"/>
        <v>32590</v>
      </c>
    </row>
    <row r="57" spans="1:10" x14ac:dyDescent="0.3">
      <c r="A57" t="s">
        <v>42</v>
      </c>
      <c r="B57">
        <f>0+8+209+981*4</f>
        <v>4141</v>
      </c>
      <c r="C57" t="s">
        <v>51</v>
      </c>
      <c r="D57">
        <v>10</v>
      </c>
      <c r="E57">
        <v>10</v>
      </c>
      <c r="F57">
        <v>10</v>
      </c>
      <c r="G57">
        <f>1365+65+459+855*2</f>
        <v>3599</v>
      </c>
      <c r="H57">
        <f t="shared" si="0"/>
        <v>35990</v>
      </c>
      <c r="I57">
        <f t="shared" si="1"/>
        <v>35990</v>
      </c>
      <c r="J57">
        <f t="shared" si="2"/>
        <v>35990</v>
      </c>
    </row>
    <row r="58" spans="1:10" x14ac:dyDescent="0.3">
      <c r="A58" t="s">
        <v>57</v>
      </c>
      <c r="B58">
        <f>775+815+1040+755*2</f>
        <v>4140</v>
      </c>
      <c r="C58" t="s">
        <v>52</v>
      </c>
      <c r="D58">
        <v>10</v>
      </c>
      <c r="E58">
        <v>10</v>
      </c>
      <c r="F58">
        <v>10</v>
      </c>
      <c r="G58">
        <f>191+439+570+890*2</f>
        <v>2980</v>
      </c>
      <c r="H58">
        <f t="shared" si="0"/>
        <v>29800</v>
      </c>
      <c r="I58">
        <f t="shared" si="1"/>
        <v>29800</v>
      </c>
      <c r="J58">
        <f t="shared" si="2"/>
        <v>29800</v>
      </c>
    </row>
    <row r="59" spans="1:10" x14ac:dyDescent="0.3">
      <c r="A59" t="s">
        <v>54</v>
      </c>
      <c r="B59">
        <f>870+1360+655+616*2</f>
        <v>4117</v>
      </c>
      <c r="C59" t="s">
        <v>53</v>
      </c>
      <c r="D59">
        <v>10</v>
      </c>
      <c r="E59">
        <v>10</v>
      </c>
      <c r="F59">
        <v>10</v>
      </c>
      <c r="G59">
        <f>261+528+632+1010*2</f>
        <v>3441</v>
      </c>
      <c r="H59">
        <f t="shared" si="0"/>
        <v>34410</v>
      </c>
      <c r="I59">
        <f t="shared" si="1"/>
        <v>34410</v>
      </c>
      <c r="J59">
        <f t="shared" si="2"/>
        <v>34410</v>
      </c>
    </row>
    <row r="60" spans="1:10" x14ac:dyDescent="0.3">
      <c r="A60" t="s">
        <v>39</v>
      </c>
      <c r="B60">
        <f>370+939+592+993*2</f>
        <v>3887</v>
      </c>
      <c r="C60" t="s">
        <v>54</v>
      </c>
      <c r="D60">
        <v>10</v>
      </c>
      <c r="E60">
        <v>10</v>
      </c>
      <c r="F60">
        <v>10</v>
      </c>
      <c r="G60">
        <f>870+1360+655+616*2</f>
        <v>4117</v>
      </c>
      <c r="H60">
        <f t="shared" si="0"/>
        <v>41170</v>
      </c>
      <c r="I60">
        <f t="shared" si="1"/>
        <v>41170</v>
      </c>
      <c r="J60">
        <f t="shared" si="2"/>
        <v>41170</v>
      </c>
    </row>
    <row r="61" spans="1:10" x14ac:dyDescent="0.3">
      <c r="A61" t="s">
        <v>49</v>
      </c>
      <c r="B61">
        <f>781+547+758+898*2</f>
        <v>3882</v>
      </c>
      <c r="C61" t="s">
        <v>55</v>
      </c>
      <c r="D61">
        <v>10</v>
      </c>
      <c r="E61">
        <v>10</v>
      </c>
      <c r="F61">
        <v>10</v>
      </c>
      <c r="G61">
        <f>38+201+289+583*3</f>
        <v>2277</v>
      </c>
      <c r="H61">
        <f t="shared" si="0"/>
        <v>22770</v>
      </c>
      <c r="I61">
        <f t="shared" si="1"/>
        <v>22770</v>
      </c>
      <c r="J61">
        <f t="shared" si="2"/>
        <v>22770</v>
      </c>
    </row>
    <row r="62" spans="1:10" x14ac:dyDescent="0.3">
      <c r="A62" t="s">
        <v>119</v>
      </c>
      <c r="B62">
        <f>420+472+527+1219*2</f>
        <v>3857</v>
      </c>
      <c r="C62" t="s">
        <v>121</v>
      </c>
      <c r="D62">
        <v>10</v>
      </c>
      <c r="E62">
        <v>10</v>
      </c>
      <c r="F62">
        <v>10</v>
      </c>
      <c r="G62">
        <f>743+1057+848+815*2</f>
        <v>4278</v>
      </c>
      <c r="H62">
        <f t="shared" si="0"/>
        <v>42780</v>
      </c>
      <c r="I62">
        <f t="shared" si="1"/>
        <v>42780</v>
      </c>
      <c r="J62">
        <f t="shared" si="2"/>
        <v>42780</v>
      </c>
    </row>
    <row r="63" spans="1:10" x14ac:dyDescent="0.3">
      <c r="A63" t="s">
        <v>74</v>
      </c>
      <c r="B63">
        <f>993+674+754+704*2</f>
        <v>3829</v>
      </c>
      <c r="C63" t="s">
        <v>56</v>
      </c>
      <c r="D63">
        <v>10</v>
      </c>
      <c r="E63">
        <v>10</v>
      </c>
      <c r="F63">
        <v>10</v>
      </c>
      <c r="G63">
        <f>317+237+379+630*2</f>
        <v>2193</v>
      </c>
      <c r="H63">
        <f t="shared" si="0"/>
        <v>21930</v>
      </c>
      <c r="I63">
        <f t="shared" si="1"/>
        <v>21930</v>
      </c>
      <c r="J63">
        <f t="shared" si="2"/>
        <v>21930</v>
      </c>
    </row>
    <row r="64" spans="1:10" x14ac:dyDescent="0.3">
      <c r="A64" t="s">
        <v>101</v>
      </c>
      <c r="B64">
        <f>610+933+1140+564*2</f>
        <v>3811</v>
      </c>
      <c r="C64" t="s">
        <v>57</v>
      </c>
      <c r="D64">
        <v>10</v>
      </c>
      <c r="E64">
        <v>10</v>
      </c>
      <c r="F64">
        <v>10</v>
      </c>
      <c r="G64">
        <f>775+815+1040+755*2</f>
        <v>4140</v>
      </c>
      <c r="H64">
        <f t="shared" si="0"/>
        <v>41400</v>
      </c>
      <c r="I64">
        <f t="shared" si="1"/>
        <v>41400</v>
      </c>
      <c r="J64">
        <f t="shared" si="2"/>
        <v>41400</v>
      </c>
    </row>
    <row r="65" spans="1:10" x14ac:dyDescent="0.3">
      <c r="A65" t="s">
        <v>71</v>
      </c>
      <c r="B65">
        <f>850+781+492+809*2</f>
        <v>3741</v>
      </c>
      <c r="C65" t="s">
        <v>58</v>
      </c>
      <c r="D65">
        <v>10</v>
      </c>
      <c r="E65">
        <v>10</v>
      </c>
      <c r="F65">
        <v>10</v>
      </c>
      <c r="G65">
        <f>641+254+301+817*2</f>
        <v>2830</v>
      </c>
      <c r="H65">
        <f t="shared" si="0"/>
        <v>28300</v>
      </c>
      <c r="I65">
        <f t="shared" si="1"/>
        <v>28300</v>
      </c>
      <c r="J65">
        <f t="shared" si="2"/>
        <v>28300</v>
      </c>
    </row>
    <row r="66" spans="1:10" x14ac:dyDescent="0.3">
      <c r="A66" t="s">
        <v>112</v>
      </c>
      <c r="B66">
        <f>753+1105+771+531*2</f>
        <v>3691</v>
      </c>
      <c r="C66" t="s">
        <v>59</v>
      </c>
      <c r="D66">
        <v>10</v>
      </c>
      <c r="E66">
        <v>10</v>
      </c>
      <c r="F66">
        <v>10</v>
      </c>
      <c r="G66">
        <f>558+1487+1385+880*2</f>
        <v>5190</v>
      </c>
      <c r="H66">
        <f t="shared" si="0"/>
        <v>51900</v>
      </c>
      <c r="I66">
        <f t="shared" si="1"/>
        <v>51900</v>
      </c>
      <c r="J66">
        <f t="shared" si="2"/>
        <v>51900</v>
      </c>
    </row>
    <row r="67" spans="1:10" x14ac:dyDescent="0.3">
      <c r="A67" t="s">
        <v>51</v>
      </c>
      <c r="B67">
        <f>1365+65+459+855*2</f>
        <v>3599</v>
      </c>
      <c r="C67" t="s">
        <v>60</v>
      </c>
      <c r="D67">
        <v>10</v>
      </c>
      <c r="E67">
        <v>10</v>
      </c>
      <c r="F67">
        <v>10</v>
      </c>
      <c r="G67">
        <f>1730+2145+1585+610*2</f>
        <v>6680</v>
      </c>
      <c r="H67">
        <f t="shared" ref="H67:H129" si="3">G67*D67</f>
        <v>66800</v>
      </c>
      <c r="I67">
        <f t="shared" ref="I67:I129" si="4">G67*E67</f>
        <v>66800</v>
      </c>
      <c r="J67">
        <f t="shared" ref="J67:J129" si="5">G67*F67</f>
        <v>66800</v>
      </c>
    </row>
    <row r="68" spans="1:10" x14ac:dyDescent="0.3">
      <c r="A68" t="s">
        <v>80</v>
      </c>
      <c r="B68">
        <f>705+762+634+693*2</f>
        <v>3487</v>
      </c>
      <c r="C68" t="s">
        <v>61</v>
      </c>
      <c r="D68">
        <v>10</v>
      </c>
      <c r="E68">
        <v>10</v>
      </c>
      <c r="F68">
        <v>10</v>
      </c>
      <c r="G68">
        <f>1040+1430+725+714*2</f>
        <v>4623</v>
      </c>
      <c r="H68">
        <f t="shared" si="3"/>
        <v>46230</v>
      </c>
      <c r="I68">
        <f t="shared" si="4"/>
        <v>46230</v>
      </c>
      <c r="J68">
        <f t="shared" si="5"/>
        <v>46230</v>
      </c>
    </row>
    <row r="69" spans="1:10" x14ac:dyDescent="0.3">
      <c r="A69" t="s">
        <v>75</v>
      </c>
      <c r="B69">
        <f>830+1075+456+545*2</f>
        <v>3451</v>
      </c>
      <c r="C69" t="s">
        <v>62</v>
      </c>
      <c r="D69">
        <v>10</v>
      </c>
      <c r="E69">
        <v>10</v>
      </c>
      <c r="F69">
        <v>10</v>
      </c>
      <c r="G69">
        <f>455+475+722+768*2</f>
        <v>3188</v>
      </c>
      <c r="H69">
        <f t="shared" si="3"/>
        <v>31880</v>
      </c>
      <c r="I69">
        <f t="shared" si="4"/>
        <v>31880</v>
      </c>
      <c r="J69">
        <f t="shared" si="5"/>
        <v>31880</v>
      </c>
    </row>
    <row r="70" spans="1:10" x14ac:dyDescent="0.3">
      <c r="A70" t="s">
        <v>53</v>
      </c>
      <c r="B70">
        <f>261+528+632+1010*2</f>
        <v>3441</v>
      </c>
      <c r="C70" t="s">
        <v>63</v>
      </c>
      <c r="D70">
        <v>10</v>
      </c>
      <c r="E70">
        <v>10</v>
      </c>
      <c r="F70">
        <v>10</v>
      </c>
      <c r="G70">
        <f>365+236+903+718*2</f>
        <v>2940</v>
      </c>
      <c r="H70">
        <f t="shared" si="3"/>
        <v>29400</v>
      </c>
      <c r="I70">
        <f t="shared" si="4"/>
        <v>29400</v>
      </c>
      <c r="J70">
        <f t="shared" si="5"/>
        <v>29400</v>
      </c>
    </row>
    <row r="71" spans="1:10" x14ac:dyDescent="0.3">
      <c r="A71" t="s">
        <v>91</v>
      </c>
      <c r="B71">
        <f>490+710+1102+561*2</f>
        <v>3424</v>
      </c>
      <c r="C71" t="s">
        <v>64</v>
      </c>
      <c r="D71">
        <v>10</v>
      </c>
      <c r="E71">
        <v>10</v>
      </c>
      <c r="F71">
        <v>10</v>
      </c>
      <c r="G71">
        <f>81+198+323+608</f>
        <v>1210</v>
      </c>
      <c r="H71">
        <f t="shared" si="3"/>
        <v>12100</v>
      </c>
      <c r="I71">
        <f t="shared" si="4"/>
        <v>12100</v>
      </c>
      <c r="J71">
        <f t="shared" si="5"/>
        <v>12100</v>
      </c>
    </row>
    <row r="72" spans="1:10" x14ac:dyDescent="0.3">
      <c r="A72" t="s">
        <v>43</v>
      </c>
      <c r="B72">
        <f>116+379+863+1030*2</f>
        <v>3418</v>
      </c>
      <c r="C72" t="s">
        <v>65</v>
      </c>
      <c r="D72">
        <v>10</v>
      </c>
      <c r="E72">
        <v>10</v>
      </c>
      <c r="F72">
        <v>10</v>
      </c>
      <c r="G72">
        <f>822+1191+1030+850*2</f>
        <v>4743</v>
      </c>
      <c r="H72">
        <f t="shared" si="3"/>
        <v>47430</v>
      </c>
      <c r="I72">
        <f t="shared" si="4"/>
        <v>47430</v>
      </c>
      <c r="J72">
        <f t="shared" si="5"/>
        <v>47430</v>
      </c>
    </row>
    <row r="73" spans="1:10" x14ac:dyDescent="0.3">
      <c r="A73" t="s">
        <v>84</v>
      </c>
      <c r="B73">
        <f>850+465+826+633*2</f>
        <v>3407</v>
      </c>
      <c r="C73" t="s">
        <v>66</v>
      </c>
      <c r="D73">
        <v>10</v>
      </c>
      <c r="E73">
        <v>10</v>
      </c>
      <c r="F73">
        <v>10</v>
      </c>
      <c r="G73">
        <f>307+449+419+550*2</f>
        <v>2275</v>
      </c>
      <c r="H73">
        <f t="shared" si="3"/>
        <v>22750</v>
      </c>
      <c r="I73">
        <f t="shared" si="4"/>
        <v>22750</v>
      </c>
      <c r="J73">
        <f t="shared" si="5"/>
        <v>22750</v>
      </c>
    </row>
    <row r="74" spans="1:10" x14ac:dyDescent="0.3">
      <c r="A74" t="s">
        <v>124</v>
      </c>
      <c r="B74">
        <f>711+678+627+687*2</f>
        <v>3390</v>
      </c>
      <c r="C74" t="s">
        <v>67</v>
      </c>
      <c r="D74">
        <v>10</v>
      </c>
      <c r="E74">
        <v>10</v>
      </c>
      <c r="F74">
        <v>10</v>
      </c>
      <c r="G74">
        <f>299+318+457+601*2</f>
        <v>2276</v>
      </c>
      <c r="H74">
        <f t="shared" si="3"/>
        <v>22760</v>
      </c>
      <c r="I74">
        <f t="shared" si="4"/>
        <v>22760</v>
      </c>
      <c r="J74">
        <f t="shared" si="5"/>
        <v>22760</v>
      </c>
    </row>
    <row r="75" spans="1:10" x14ac:dyDescent="0.3">
      <c r="A75" t="s">
        <v>88</v>
      </c>
      <c r="B75">
        <f>560+578+616+755*2</f>
        <v>3264</v>
      </c>
      <c r="C75" t="s">
        <v>122</v>
      </c>
      <c r="D75">
        <v>10</v>
      </c>
      <c r="E75">
        <v>10</v>
      </c>
      <c r="F75">
        <v>10</v>
      </c>
      <c r="G75">
        <f>184+432+318+399*2</f>
        <v>1732</v>
      </c>
      <c r="H75">
        <f t="shared" si="3"/>
        <v>17320</v>
      </c>
      <c r="I75">
        <f t="shared" si="4"/>
        <v>17320</v>
      </c>
      <c r="J75">
        <f t="shared" si="5"/>
        <v>17320</v>
      </c>
    </row>
    <row r="76" spans="1:10" x14ac:dyDescent="0.3">
      <c r="A76" t="s">
        <v>50</v>
      </c>
      <c r="B76">
        <f>333+693+685+774*2</f>
        <v>3259</v>
      </c>
      <c r="C76" t="s">
        <v>68</v>
      </c>
      <c r="D76">
        <v>10</v>
      </c>
      <c r="E76">
        <v>10</v>
      </c>
      <c r="F76">
        <v>10</v>
      </c>
      <c r="G76">
        <f>796+907+651+816</f>
        <v>3170</v>
      </c>
      <c r="H76">
        <f t="shared" si="3"/>
        <v>31700</v>
      </c>
      <c r="I76">
        <f t="shared" si="4"/>
        <v>31700</v>
      </c>
      <c r="J76">
        <f t="shared" si="5"/>
        <v>31700</v>
      </c>
    </row>
    <row r="77" spans="1:10" x14ac:dyDescent="0.3">
      <c r="A77" t="s">
        <v>115</v>
      </c>
      <c r="B77">
        <f>860+645+1136+298*2</f>
        <v>3237</v>
      </c>
      <c r="C77" t="s">
        <v>69</v>
      </c>
      <c r="D77">
        <v>10</v>
      </c>
      <c r="E77">
        <v>10</v>
      </c>
      <c r="F77">
        <v>10</v>
      </c>
      <c r="G77">
        <f>421+615+482+704*2</f>
        <v>2926</v>
      </c>
      <c r="H77">
        <f t="shared" si="3"/>
        <v>29260</v>
      </c>
      <c r="I77">
        <f t="shared" si="4"/>
        <v>29260</v>
      </c>
      <c r="J77">
        <f t="shared" si="5"/>
        <v>29260</v>
      </c>
    </row>
    <row r="78" spans="1:10" x14ac:dyDescent="0.3">
      <c r="A78" t="s">
        <v>105</v>
      </c>
      <c r="B78">
        <f>676+566+814+580*2</f>
        <v>3216</v>
      </c>
      <c r="C78" t="s">
        <v>70</v>
      </c>
      <c r="D78">
        <v>10</v>
      </c>
      <c r="E78">
        <v>10</v>
      </c>
      <c r="F78">
        <v>10</v>
      </c>
      <c r="G78">
        <f>293+525+618+826*2</f>
        <v>3088</v>
      </c>
      <c r="H78">
        <f t="shared" si="3"/>
        <v>30880</v>
      </c>
      <c r="I78">
        <f t="shared" si="4"/>
        <v>30880</v>
      </c>
      <c r="J78">
        <f t="shared" si="5"/>
        <v>30880</v>
      </c>
    </row>
    <row r="79" spans="1:10" x14ac:dyDescent="0.3">
      <c r="A79" t="s">
        <v>62</v>
      </c>
      <c r="B79">
        <f>455+475+722+768*2</f>
        <v>3188</v>
      </c>
      <c r="C79" t="s">
        <v>123</v>
      </c>
      <c r="D79">
        <v>10</v>
      </c>
      <c r="E79">
        <v>10</v>
      </c>
      <c r="F79">
        <v>10</v>
      </c>
      <c r="G79">
        <f>1320+1485+1795+660*2</f>
        <v>5920</v>
      </c>
      <c r="H79">
        <f t="shared" si="3"/>
        <v>59200</v>
      </c>
      <c r="I79">
        <f t="shared" si="4"/>
        <v>59200</v>
      </c>
      <c r="J79">
        <f t="shared" si="5"/>
        <v>59200</v>
      </c>
    </row>
    <row r="80" spans="1:10" x14ac:dyDescent="0.3">
      <c r="A80" t="s">
        <v>68</v>
      </c>
      <c r="B80">
        <f>796+907+651+816</f>
        <v>3170</v>
      </c>
      <c r="C80" t="s">
        <v>71</v>
      </c>
      <c r="D80">
        <v>10</v>
      </c>
      <c r="E80">
        <v>10</v>
      </c>
      <c r="F80">
        <v>10</v>
      </c>
      <c r="G80">
        <f>850+781+492+809*2</f>
        <v>3741</v>
      </c>
      <c r="H80">
        <f t="shared" si="3"/>
        <v>37410</v>
      </c>
      <c r="I80">
        <f t="shared" si="4"/>
        <v>37410</v>
      </c>
      <c r="J80">
        <f t="shared" si="5"/>
        <v>37410</v>
      </c>
    </row>
    <row r="81" spans="1:10" x14ac:dyDescent="0.3">
      <c r="A81" t="s">
        <v>45</v>
      </c>
      <c r="B81">
        <f>39+144+611+772*3</f>
        <v>3110</v>
      </c>
      <c r="C81" t="s">
        <v>72</v>
      </c>
      <c r="D81">
        <v>10</v>
      </c>
      <c r="E81">
        <v>10</v>
      </c>
      <c r="F81">
        <v>10</v>
      </c>
      <c r="G81">
        <f>5+57+260+606*3</f>
        <v>2140</v>
      </c>
      <c r="H81">
        <f t="shared" si="3"/>
        <v>21400</v>
      </c>
      <c r="I81">
        <f t="shared" si="4"/>
        <v>21400</v>
      </c>
      <c r="J81">
        <f t="shared" si="5"/>
        <v>21400</v>
      </c>
    </row>
    <row r="82" spans="1:10" x14ac:dyDescent="0.3">
      <c r="A82" t="s">
        <v>70</v>
      </c>
      <c r="B82">
        <f>293+525+618+826*2</f>
        <v>3088</v>
      </c>
      <c r="C82" t="s">
        <v>73</v>
      </c>
      <c r="D82">
        <v>10</v>
      </c>
      <c r="E82">
        <v>10</v>
      </c>
      <c r="F82">
        <v>10</v>
      </c>
      <c r="G82">
        <f>192+362+484+701*2</f>
        <v>2440</v>
      </c>
      <c r="H82">
        <f t="shared" si="3"/>
        <v>24400</v>
      </c>
      <c r="I82">
        <f t="shared" si="4"/>
        <v>24400</v>
      </c>
      <c r="J82">
        <f t="shared" si="5"/>
        <v>24400</v>
      </c>
    </row>
    <row r="83" spans="1:10" x14ac:dyDescent="0.3">
      <c r="A83" t="s">
        <v>107</v>
      </c>
      <c r="B83">
        <f>781+780+542+484*2</f>
        <v>3071</v>
      </c>
      <c r="C83" t="s">
        <v>74</v>
      </c>
      <c r="D83">
        <v>10</v>
      </c>
      <c r="E83">
        <v>10</v>
      </c>
      <c r="F83">
        <v>10</v>
      </c>
      <c r="G83">
        <f>993+674+754+704*2</f>
        <v>3829</v>
      </c>
      <c r="H83">
        <f t="shared" si="3"/>
        <v>38290</v>
      </c>
      <c r="I83">
        <f t="shared" si="4"/>
        <v>38290</v>
      </c>
      <c r="J83">
        <f t="shared" si="5"/>
        <v>38290</v>
      </c>
    </row>
    <row r="84" spans="1:10" x14ac:dyDescent="0.3">
      <c r="A84" t="s">
        <v>52</v>
      </c>
      <c r="B84">
        <f>191+439+570+890*2</f>
        <v>2980</v>
      </c>
      <c r="C84" t="s">
        <v>75</v>
      </c>
      <c r="D84">
        <v>10</v>
      </c>
      <c r="E84">
        <v>10</v>
      </c>
      <c r="F84">
        <v>10</v>
      </c>
      <c r="G84">
        <f>830+1075+456+545*2</f>
        <v>3451</v>
      </c>
      <c r="H84">
        <f t="shared" si="3"/>
        <v>34510</v>
      </c>
      <c r="I84">
        <f t="shared" si="4"/>
        <v>34510</v>
      </c>
      <c r="J84">
        <f t="shared" si="5"/>
        <v>34510</v>
      </c>
    </row>
    <row r="85" spans="1:10" x14ac:dyDescent="0.3">
      <c r="A85" t="s">
        <v>113</v>
      </c>
      <c r="B85">
        <f>317+638+658+667*2</f>
        <v>2947</v>
      </c>
      <c r="C85" t="s">
        <v>124</v>
      </c>
      <c r="D85">
        <v>10</v>
      </c>
      <c r="E85">
        <v>10</v>
      </c>
      <c r="F85">
        <v>10</v>
      </c>
      <c r="G85">
        <f>711+678+627+687*2</f>
        <v>3390</v>
      </c>
      <c r="H85">
        <f t="shared" si="3"/>
        <v>33900</v>
      </c>
      <c r="I85">
        <f t="shared" si="4"/>
        <v>33900</v>
      </c>
      <c r="J85">
        <f t="shared" si="5"/>
        <v>33900</v>
      </c>
    </row>
    <row r="86" spans="1:10" x14ac:dyDescent="0.3">
      <c r="A86" t="s">
        <v>63</v>
      </c>
      <c r="B86">
        <f>365+236+903+718*2</f>
        <v>2940</v>
      </c>
      <c r="C86" t="s">
        <v>76</v>
      </c>
      <c r="D86">
        <v>10</v>
      </c>
      <c r="E86">
        <v>10</v>
      </c>
      <c r="F86">
        <v>10</v>
      </c>
      <c r="G86">
        <f>7+290+701+556*3</f>
        <v>2666</v>
      </c>
      <c r="H86">
        <f t="shared" si="3"/>
        <v>26660</v>
      </c>
      <c r="I86">
        <f t="shared" si="4"/>
        <v>26660</v>
      </c>
      <c r="J86">
        <f t="shared" si="5"/>
        <v>26660</v>
      </c>
    </row>
    <row r="87" spans="1:10" x14ac:dyDescent="0.3">
      <c r="A87" t="s">
        <v>69</v>
      </c>
      <c r="B87">
        <f>421+615+482+704*2</f>
        <v>2926</v>
      </c>
      <c r="C87" t="s">
        <v>77</v>
      </c>
      <c r="D87">
        <v>10</v>
      </c>
      <c r="E87">
        <v>10</v>
      </c>
      <c r="F87">
        <v>10</v>
      </c>
      <c r="G87">
        <f>144+281+537+590*2</f>
        <v>2142</v>
      </c>
      <c r="H87">
        <f t="shared" si="3"/>
        <v>21420</v>
      </c>
      <c r="I87">
        <f t="shared" si="4"/>
        <v>21420</v>
      </c>
      <c r="J87">
        <f t="shared" si="5"/>
        <v>21420</v>
      </c>
    </row>
    <row r="88" spans="1:10" x14ac:dyDescent="0.3">
      <c r="A88" t="s">
        <v>58</v>
      </c>
      <c r="B88">
        <f>641+254+301+817*2</f>
        <v>2830</v>
      </c>
      <c r="C88" t="s">
        <v>78</v>
      </c>
      <c r="D88">
        <v>10</v>
      </c>
      <c r="E88">
        <v>10</v>
      </c>
      <c r="F88">
        <v>10</v>
      </c>
      <c r="G88">
        <f>306+485+614+616*2</f>
        <v>2637</v>
      </c>
      <c r="H88">
        <f t="shared" si="3"/>
        <v>26370</v>
      </c>
      <c r="I88">
        <f t="shared" si="4"/>
        <v>26370</v>
      </c>
      <c r="J88">
        <f t="shared" si="5"/>
        <v>26370</v>
      </c>
    </row>
    <row r="89" spans="1:10" x14ac:dyDescent="0.3">
      <c r="A89" t="s">
        <v>82</v>
      </c>
      <c r="B89">
        <f>7+286+550+662*3</f>
        <v>2829</v>
      </c>
      <c r="C89" t="s">
        <v>79</v>
      </c>
      <c r="D89">
        <v>10</v>
      </c>
      <c r="E89">
        <v>10</v>
      </c>
      <c r="F89">
        <v>10</v>
      </c>
      <c r="G89">
        <f>207+557+34+670*2</f>
        <v>2138</v>
      </c>
      <c r="H89">
        <f t="shared" si="3"/>
        <v>21380</v>
      </c>
      <c r="I89">
        <f t="shared" si="4"/>
        <v>21380</v>
      </c>
      <c r="J89">
        <f t="shared" si="5"/>
        <v>21380</v>
      </c>
    </row>
    <row r="90" spans="1:10" x14ac:dyDescent="0.3">
      <c r="A90" t="s">
        <v>90</v>
      </c>
      <c r="B90">
        <f>511+313+698+652*2</f>
        <v>2826</v>
      </c>
      <c r="C90" t="s">
        <v>80</v>
      </c>
      <c r="D90">
        <v>10</v>
      </c>
      <c r="E90">
        <v>10</v>
      </c>
      <c r="F90">
        <v>10</v>
      </c>
      <c r="G90">
        <f>705+762+634+693*2</f>
        <v>3487</v>
      </c>
      <c r="H90">
        <f t="shared" si="3"/>
        <v>34870</v>
      </c>
      <c r="I90">
        <f t="shared" si="4"/>
        <v>34870</v>
      </c>
      <c r="J90">
        <f t="shared" si="5"/>
        <v>34870</v>
      </c>
    </row>
    <row r="91" spans="1:10" x14ac:dyDescent="0.3">
      <c r="A91" t="s">
        <v>89</v>
      </c>
      <c r="B91">
        <f>576+534+492+605*2</f>
        <v>2812</v>
      </c>
      <c r="C91" t="s">
        <v>81</v>
      </c>
      <c r="D91">
        <v>10</v>
      </c>
      <c r="E91">
        <v>10</v>
      </c>
      <c r="F91">
        <v>10</v>
      </c>
      <c r="G91">
        <f>134+270+309+612*2</f>
        <v>1937</v>
      </c>
      <c r="H91">
        <f t="shared" si="3"/>
        <v>19370</v>
      </c>
      <c r="I91">
        <f t="shared" si="4"/>
        <v>19370</v>
      </c>
      <c r="J91">
        <f t="shared" si="5"/>
        <v>19370</v>
      </c>
    </row>
    <row r="92" spans="1:10" x14ac:dyDescent="0.3">
      <c r="A92" t="s">
        <v>83</v>
      </c>
      <c r="B92">
        <f>15+4+84+651*4</f>
        <v>2707</v>
      </c>
      <c r="C92" t="s">
        <v>82</v>
      </c>
      <c r="D92">
        <v>10</v>
      </c>
      <c r="E92">
        <v>10</v>
      </c>
      <c r="F92">
        <v>10</v>
      </c>
      <c r="G92">
        <f>7+286+550+662*3</f>
        <v>2829</v>
      </c>
      <c r="H92">
        <f t="shared" si="3"/>
        <v>28290</v>
      </c>
      <c r="I92">
        <f t="shared" si="4"/>
        <v>28290</v>
      </c>
      <c r="J92">
        <f t="shared" si="5"/>
        <v>28290</v>
      </c>
    </row>
    <row r="93" spans="1:10" x14ac:dyDescent="0.3">
      <c r="A93" t="s">
        <v>125</v>
      </c>
      <c r="B93">
        <f>605+641+630+407*2</f>
        <v>2690</v>
      </c>
      <c r="C93" t="s">
        <v>83</v>
      </c>
      <c r="D93">
        <v>10</v>
      </c>
      <c r="E93">
        <v>10</v>
      </c>
      <c r="F93">
        <v>10</v>
      </c>
      <c r="G93">
        <f>15+4+84+651*4</f>
        <v>2707</v>
      </c>
      <c r="H93">
        <f t="shared" si="3"/>
        <v>27070</v>
      </c>
      <c r="I93">
        <f t="shared" si="4"/>
        <v>27070</v>
      </c>
      <c r="J93">
        <f t="shared" si="5"/>
        <v>27070</v>
      </c>
    </row>
    <row r="94" spans="1:10" x14ac:dyDescent="0.3">
      <c r="A94" t="s">
        <v>76</v>
      </c>
      <c r="B94">
        <f>7+290+701+556*3</f>
        <v>2666</v>
      </c>
      <c r="C94" t="s">
        <v>84</v>
      </c>
      <c r="D94">
        <v>10</v>
      </c>
      <c r="E94">
        <v>10</v>
      </c>
      <c r="F94">
        <v>10</v>
      </c>
      <c r="G94">
        <f>850+465+826+633*2</f>
        <v>3407</v>
      </c>
      <c r="H94">
        <f t="shared" si="3"/>
        <v>34070</v>
      </c>
      <c r="I94">
        <f t="shared" si="4"/>
        <v>34070</v>
      </c>
      <c r="J94">
        <f t="shared" si="5"/>
        <v>34070</v>
      </c>
    </row>
    <row r="95" spans="1:10" x14ac:dyDescent="0.3">
      <c r="A95" t="s">
        <v>78</v>
      </c>
      <c r="B95">
        <f>306+485+614+616*2</f>
        <v>2637</v>
      </c>
      <c r="C95" t="s">
        <v>85</v>
      </c>
      <c r="D95">
        <v>10</v>
      </c>
      <c r="E95">
        <v>10</v>
      </c>
      <c r="F95">
        <v>10</v>
      </c>
      <c r="G95">
        <f>220+118+144+541*2</f>
        <v>1564</v>
      </c>
      <c r="H95">
        <f t="shared" si="3"/>
        <v>15640</v>
      </c>
      <c r="I95">
        <f t="shared" si="4"/>
        <v>15640</v>
      </c>
      <c r="J95">
        <f t="shared" si="5"/>
        <v>15640</v>
      </c>
    </row>
    <row r="96" spans="1:10" x14ac:dyDescent="0.3">
      <c r="A96" t="s">
        <v>103</v>
      </c>
      <c r="B96">
        <f>416+441+675+519*2</f>
        <v>2570</v>
      </c>
      <c r="C96" t="s">
        <v>86</v>
      </c>
      <c r="D96">
        <v>10</v>
      </c>
      <c r="E96">
        <v>10</v>
      </c>
      <c r="F96">
        <v>10</v>
      </c>
      <c r="G96">
        <f>182+375+689+593*2</f>
        <v>2432</v>
      </c>
      <c r="H96">
        <f t="shared" si="3"/>
        <v>24320</v>
      </c>
      <c r="I96">
        <f t="shared" si="4"/>
        <v>24320</v>
      </c>
      <c r="J96">
        <f t="shared" si="5"/>
        <v>24320</v>
      </c>
    </row>
    <row r="97" spans="1:10" x14ac:dyDescent="0.3">
      <c r="A97" t="s">
        <v>96</v>
      </c>
      <c r="B97">
        <f>293+603+476+579*2</f>
        <v>2530</v>
      </c>
      <c r="C97" t="s">
        <v>87</v>
      </c>
      <c r="D97">
        <v>10</v>
      </c>
      <c r="E97">
        <v>10</v>
      </c>
      <c r="F97">
        <v>10</v>
      </c>
      <c r="G97">
        <f>1240+1255+725+665*2</f>
        <v>4550</v>
      </c>
      <c r="H97">
        <f t="shared" si="3"/>
        <v>45500</v>
      </c>
      <c r="I97">
        <f t="shared" si="4"/>
        <v>45500</v>
      </c>
      <c r="J97">
        <f t="shared" si="5"/>
        <v>45500</v>
      </c>
    </row>
    <row r="98" spans="1:10" x14ac:dyDescent="0.3">
      <c r="A98" t="s">
        <v>99</v>
      </c>
      <c r="B98">
        <f>316+318+728+572*2</f>
        <v>2506</v>
      </c>
      <c r="C98" t="s">
        <v>88</v>
      </c>
      <c r="D98">
        <v>10</v>
      </c>
      <c r="E98">
        <v>10</v>
      </c>
      <c r="F98">
        <v>10</v>
      </c>
      <c r="G98">
        <f>560+578+616+755*2</f>
        <v>3264</v>
      </c>
      <c r="H98">
        <f t="shared" si="3"/>
        <v>32640</v>
      </c>
      <c r="I98">
        <f t="shared" si="4"/>
        <v>32640</v>
      </c>
      <c r="J98">
        <f t="shared" si="5"/>
        <v>32640</v>
      </c>
    </row>
    <row r="99" spans="1:10" x14ac:dyDescent="0.3">
      <c r="A99" t="s">
        <v>94</v>
      </c>
      <c r="B99">
        <f>328+611+665+436*2</f>
        <v>2476</v>
      </c>
      <c r="C99" t="s">
        <v>89</v>
      </c>
      <c r="D99">
        <v>10</v>
      </c>
      <c r="E99">
        <v>10</v>
      </c>
      <c r="F99">
        <v>10</v>
      </c>
      <c r="G99">
        <f>576+534+492+605*2</f>
        <v>2812</v>
      </c>
      <c r="H99">
        <f t="shared" si="3"/>
        <v>28120</v>
      </c>
      <c r="I99">
        <f t="shared" si="4"/>
        <v>28120</v>
      </c>
      <c r="J99">
        <f t="shared" si="5"/>
        <v>28120</v>
      </c>
    </row>
    <row r="100" spans="1:10" x14ac:dyDescent="0.3">
      <c r="A100" t="s">
        <v>73</v>
      </c>
      <c r="B100">
        <f>192+362+484+701*2</f>
        <v>2440</v>
      </c>
      <c r="C100" t="s">
        <v>90</v>
      </c>
      <c r="D100">
        <v>10</v>
      </c>
      <c r="E100">
        <v>10</v>
      </c>
      <c r="F100">
        <v>10</v>
      </c>
      <c r="G100">
        <f>511+313+698+652*2</f>
        <v>2826</v>
      </c>
      <c r="H100">
        <f t="shared" si="3"/>
        <v>28260</v>
      </c>
      <c r="I100">
        <f t="shared" si="4"/>
        <v>28260</v>
      </c>
      <c r="J100">
        <f t="shared" si="5"/>
        <v>28260</v>
      </c>
    </row>
    <row r="101" spans="1:10" x14ac:dyDescent="0.3">
      <c r="A101" t="s">
        <v>86</v>
      </c>
      <c r="B101">
        <f>182+375+689+593*2</f>
        <v>2432</v>
      </c>
      <c r="C101" t="s">
        <v>91</v>
      </c>
      <c r="D101">
        <v>10</v>
      </c>
      <c r="E101">
        <v>10</v>
      </c>
      <c r="F101">
        <v>10</v>
      </c>
      <c r="G101">
        <f>490+710+1102+561*2</f>
        <v>3424</v>
      </c>
      <c r="H101">
        <f t="shared" si="3"/>
        <v>34240</v>
      </c>
      <c r="I101">
        <f t="shared" si="4"/>
        <v>34240</v>
      </c>
      <c r="J101">
        <f t="shared" si="5"/>
        <v>34240</v>
      </c>
    </row>
    <row r="102" spans="1:10" x14ac:dyDescent="0.3">
      <c r="A102" t="s">
        <v>97</v>
      </c>
      <c r="B102">
        <f>175+473+613+571*2</f>
        <v>2403</v>
      </c>
      <c r="C102" t="s">
        <v>92</v>
      </c>
      <c r="D102">
        <v>10</v>
      </c>
      <c r="E102">
        <v>10</v>
      </c>
      <c r="F102">
        <v>10</v>
      </c>
      <c r="G102">
        <f>196+610+65+509*2</f>
        <v>1889</v>
      </c>
      <c r="H102">
        <f t="shared" si="3"/>
        <v>18890</v>
      </c>
      <c r="I102">
        <f t="shared" si="4"/>
        <v>18890</v>
      </c>
      <c r="J102">
        <f t="shared" si="5"/>
        <v>18890</v>
      </c>
    </row>
    <row r="103" spans="1:10" x14ac:dyDescent="0.3">
      <c r="A103" t="s">
        <v>114</v>
      </c>
      <c r="B103">
        <f>502+543+447+435*2</f>
        <v>2362</v>
      </c>
      <c r="C103" t="s">
        <v>93</v>
      </c>
      <c r="D103">
        <v>10</v>
      </c>
      <c r="E103">
        <v>10</v>
      </c>
      <c r="F103">
        <v>10</v>
      </c>
      <c r="G103">
        <f>324+618+304+543*2</f>
        <v>2332</v>
      </c>
      <c r="H103">
        <f t="shared" si="3"/>
        <v>23320</v>
      </c>
      <c r="I103">
        <f t="shared" si="4"/>
        <v>23320</v>
      </c>
      <c r="J103">
        <f t="shared" si="5"/>
        <v>23320</v>
      </c>
    </row>
    <row r="104" spans="1:10" x14ac:dyDescent="0.3">
      <c r="A104" t="s">
        <v>104</v>
      </c>
      <c r="B104">
        <f>37+35+183+521*4</f>
        <v>2339</v>
      </c>
      <c r="C104" t="s">
        <v>94</v>
      </c>
      <c r="D104">
        <v>10</v>
      </c>
      <c r="E104">
        <v>10</v>
      </c>
      <c r="F104">
        <v>10</v>
      </c>
      <c r="G104">
        <f>328+611+665+436*2</f>
        <v>2476</v>
      </c>
      <c r="H104">
        <f t="shared" si="3"/>
        <v>24760</v>
      </c>
      <c r="I104">
        <f t="shared" si="4"/>
        <v>24760</v>
      </c>
      <c r="J104">
        <f t="shared" si="5"/>
        <v>24760</v>
      </c>
    </row>
    <row r="105" spans="1:10" x14ac:dyDescent="0.3">
      <c r="A105" t="s">
        <v>126</v>
      </c>
      <c r="B105">
        <f>551+382+243+581*2</f>
        <v>2338</v>
      </c>
      <c r="C105" t="s">
        <v>95</v>
      </c>
      <c r="D105">
        <v>10</v>
      </c>
      <c r="E105">
        <v>10</v>
      </c>
      <c r="F105">
        <v>10</v>
      </c>
      <c r="G105">
        <f>79+85+674+475*2</f>
        <v>1788</v>
      </c>
      <c r="H105">
        <f t="shared" si="3"/>
        <v>17880</v>
      </c>
      <c r="I105">
        <f t="shared" si="4"/>
        <v>17880</v>
      </c>
      <c r="J105">
        <f t="shared" si="5"/>
        <v>17880</v>
      </c>
    </row>
    <row r="106" spans="1:10" x14ac:dyDescent="0.3">
      <c r="A106" t="s">
        <v>93</v>
      </c>
      <c r="B106">
        <f>324+618+304+543*2</f>
        <v>2332</v>
      </c>
      <c r="C106" t="s">
        <v>96</v>
      </c>
      <c r="D106">
        <v>10</v>
      </c>
      <c r="E106">
        <v>10</v>
      </c>
      <c r="F106">
        <v>10</v>
      </c>
      <c r="G106">
        <f>293+603+476+579*2</f>
        <v>2530</v>
      </c>
      <c r="H106">
        <f t="shared" si="3"/>
        <v>25300</v>
      </c>
      <c r="I106">
        <f t="shared" si="4"/>
        <v>25300</v>
      </c>
      <c r="J106">
        <f t="shared" si="5"/>
        <v>25300</v>
      </c>
    </row>
    <row r="107" spans="1:10" x14ac:dyDescent="0.3">
      <c r="A107" t="s">
        <v>55</v>
      </c>
      <c r="B107">
        <f>38+201+289+583*3</f>
        <v>2277</v>
      </c>
      <c r="C107" t="s">
        <v>97</v>
      </c>
      <c r="D107">
        <v>10</v>
      </c>
      <c r="E107">
        <v>10</v>
      </c>
      <c r="F107">
        <v>10</v>
      </c>
      <c r="G107">
        <f>175+473+613+571*2</f>
        <v>2403</v>
      </c>
      <c r="H107">
        <f t="shared" si="3"/>
        <v>24030</v>
      </c>
      <c r="I107">
        <f t="shared" si="4"/>
        <v>24030</v>
      </c>
      <c r="J107">
        <f t="shared" si="5"/>
        <v>24030</v>
      </c>
    </row>
    <row r="108" spans="1:10" x14ac:dyDescent="0.3">
      <c r="A108" t="s">
        <v>67</v>
      </c>
      <c r="B108">
        <f>299+318+457+601*2</f>
        <v>2276</v>
      </c>
      <c r="C108" t="s">
        <v>98</v>
      </c>
      <c r="D108">
        <v>10</v>
      </c>
      <c r="E108">
        <v>10</v>
      </c>
      <c r="F108">
        <v>10</v>
      </c>
      <c r="G108">
        <f>42+244+399+436*3</f>
        <v>1993</v>
      </c>
      <c r="H108">
        <f t="shared" si="3"/>
        <v>19930</v>
      </c>
      <c r="I108">
        <f t="shared" si="4"/>
        <v>19930</v>
      </c>
      <c r="J108">
        <f t="shared" si="5"/>
        <v>19930</v>
      </c>
    </row>
    <row r="109" spans="1:10" x14ac:dyDescent="0.3">
      <c r="A109" t="s">
        <v>66</v>
      </c>
      <c r="B109">
        <f>307+449+419+550*2</f>
        <v>2275</v>
      </c>
      <c r="C109" t="s">
        <v>125</v>
      </c>
      <c r="D109">
        <v>10</v>
      </c>
      <c r="E109">
        <v>10</v>
      </c>
      <c r="F109">
        <v>10</v>
      </c>
      <c r="G109">
        <f>605+641+630+407*2</f>
        <v>2690</v>
      </c>
      <c r="H109">
        <f t="shared" si="3"/>
        <v>26900</v>
      </c>
      <c r="I109">
        <f t="shared" si="4"/>
        <v>26900</v>
      </c>
      <c r="J109">
        <f t="shared" si="5"/>
        <v>26900</v>
      </c>
    </row>
    <row r="110" spans="1:10" x14ac:dyDescent="0.3">
      <c r="A110" t="s">
        <v>100</v>
      </c>
      <c r="B110">
        <f>189+463+519+542*2</f>
        <v>2255</v>
      </c>
      <c r="C110" t="s">
        <v>126</v>
      </c>
      <c r="D110">
        <v>10</v>
      </c>
      <c r="E110">
        <v>10</v>
      </c>
      <c r="F110">
        <v>10</v>
      </c>
      <c r="G110">
        <f>551+382+243+581*2</f>
        <v>2338</v>
      </c>
      <c r="H110">
        <f t="shared" si="3"/>
        <v>23380</v>
      </c>
      <c r="I110">
        <f t="shared" si="4"/>
        <v>23380</v>
      </c>
      <c r="J110">
        <f t="shared" si="5"/>
        <v>23380</v>
      </c>
    </row>
    <row r="111" spans="1:10" x14ac:dyDescent="0.3">
      <c r="A111" t="s">
        <v>111</v>
      </c>
      <c r="B111">
        <f>10+27+304+469*4</f>
        <v>2217</v>
      </c>
      <c r="C111" t="s">
        <v>99</v>
      </c>
      <c r="D111">
        <v>10</v>
      </c>
      <c r="E111">
        <v>10</v>
      </c>
      <c r="F111">
        <v>10</v>
      </c>
      <c r="G111">
        <f>316+318+728+572*2</f>
        <v>2506</v>
      </c>
      <c r="H111">
        <f t="shared" si="3"/>
        <v>25060</v>
      </c>
      <c r="I111">
        <f t="shared" si="4"/>
        <v>25060</v>
      </c>
      <c r="J111">
        <f t="shared" si="5"/>
        <v>25060</v>
      </c>
    </row>
    <row r="112" spans="1:10" x14ac:dyDescent="0.3">
      <c r="A112" t="s">
        <v>106</v>
      </c>
      <c r="B112">
        <f>18+43+152+499*4</f>
        <v>2209</v>
      </c>
      <c r="C112" t="s">
        <v>100</v>
      </c>
      <c r="D112">
        <v>10</v>
      </c>
      <c r="E112">
        <v>10</v>
      </c>
      <c r="F112">
        <v>10</v>
      </c>
      <c r="G112">
        <f>189+463+519+542*2</f>
        <v>2255</v>
      </c>
      <c r="H112">
        <f t="shared" si="3"/>
        <v>22550</v>
      </c>
      <c r="I112">
        <f t="shared" si="4"/>
        <v>22550</v>
      </c>
      <c r="J112">
        <f t="shared" si="5"/>
        <v>22550</v>
      </c>
    </row>
    <row r="113" spans="1:10" x14ac:dyDescent="0.3">
      <c r="A113" t="s">
        <v>102</v>
      </c>
      <c r="B113">
        <f>295+543+350+503*2</f>
        <v>2194</v>
      </c>
      <c r="C113" t="s">
        <v>101</v>
      </c>
      <c r="D113">
        <v>10</v>
      </c>
      <c r="E113">
        <v>10</v>
      </c>
      <c r="F113">
        <v>10</v>
      </c>
      <c r="G113">
        <f>610+933+1140+564*2</f>
        <v>3811</v>
      </c>
      <c r="H113">
        <f t="shared" si="3"/>
        <v>38110</v>
      </c>
      <c r="I113">
        <f t="shared" si="4"/>
        <v>38110</v>
      </c>
      <c r="J113">
        <f t="shared" si="5"/>
        <v>38110</v>
      </c>
    </row>
    <row r="114" spans="1:10" x14ac:dyDescent="0.3">
      <c r="A114" t="s">
        <v>56</v>
      </c>
      <c r="B114">
        <f>317+237+379+630*2</f>
        <v>2193</v>
      </c>
      <c r="C114" t="s">
        <v>102</v>
      </c>
      <c r="D114">
        <v>10</v>
      </c>
      <c r="E114">
        <v>10</v>
      </c>
      <c r="F114">
        <v>10</v>
      </c>
      <c r="G114">
        <f>295+543+350+503*2</f>
        <v>2194</v>
      </c>
      <c r="H114">
        <f t="shared" si="3"/>
        <v>21940</v>
      </c>
      <c r="I114">
        <f t="shared" si="4"/>
        <v>21940</v>
      </c>
      <c r="J114">
        <f t="shared" si="5"/>
        <v>21940</v>
      </c>
    </row>
    <row r="115" spans="1:10" x14ac:dyDescent="0.3">
      <c r="A115" t="s">
        <v>77</v>
      </c>
      <c r="B115">
        <f>144+281+537+590*2</f>
        <v>2142</v>
      </c>
      <c r="C115" t="s">
        <v>103</v>
      </c>
      <c r="D115">
        <v>10</v>
      </c>
      <c r="E115">
        <v>10</v>
      </c>
      <c r="F115">
        <v>10</v>
      </c>
      <c r="G115">
        <f>416+441+675+519*2</f>
        <v>2570</v>
      </c>
      <c r="H115">
        <f t="shared" si="3"/>
        <v>25700</v>
      </c>
      <c r="I115">
        <f t="shared" si="4"/>
        <v>25700</v>
      </c>
      <c r="J115">
        <f t="shared" si="5"/>
        <v>25700</v>
      </c>
    </row>
    <row r="116" spans="1:10" x14ac:dyDescent="0.3">
      <c r="A116" t="s">
        <v>72</v>
      </c>
      <c r="B116">
        <f>5+57+260+606*3</f>
        <v>2140</v>
      </c>
      <c r="C116" t="s">
        <v>104</v>
      </c>
      <c r="D116">
        <v>10</v>
      </c>
      <c r="E116">
        <v>10</v>
      </c>
      <c r="F116">
        <v>10</v>
      </c>
      <c r="G116">
        <f>37+35+183+521*4</f>
        <v>2339</v>
      </c>
      <c r="H116">
        <f t="shared" si="3"/>
        <v>23390</v>
      </c>
      <c r="I116">
        <f t="shared" si="4"/>
        <v>23390</v>
      </c>
      <c r="J116">
        <f t="shared" si="5"/>
        <v>23390</v>
      </c>
    </row>
    <row r="117" spans="1:10" x14ac:dyDescent="0.3">
      <c r="A117" t="s">
        <v>79</v>
      </c>
      <c r="B117">
        <f>207+557+34+670*2</f>
        <v>2138</v>
      </c>
      <c r="C117" t="s">
        <v>105</v>
      </c>
      <c r="D117">
        <v>10</v>
      </c>
      <c r="E117">
        <v>10</v>
      </c>
      <c r="F117">
        <v>10</v>
      </c>
      <c r="G117">
        <f>676+566+814+580*2</f>
        <v>3216</v>
      </c>
      <c r="H117">
        <f t="shared" si="3"/>
        <v>32160</v>
      </c>
      <c r="I117">
        <f t="shared" si="4"/>
        <v>32160</v>
      </c>
      <c r="J117">
        <f t="shared" si="5"/>
        <v>32160</v>
      </c>
    </row>
    <row r="118" spans="1:10" x14ac:dyDescent="0.3">
      <c r="A118" t="s">
        <v>98</v>
      </c>
      <c r="B118">
        <f>42+244+399+436*3</f>
        <v>1993</v>
      </c>
      <c r="C118" t="s">
        <v>106</v>
      </c>
      <c r="D118">
        <v>10</v>
      </c>
      <c r="E118">
        <v>10</v>
      </c>
      <c r="F118">
        <v>10</v>
      </c>
      <c r="G118">
        <f>18+43+152+499*4</f>
        <v>2209</v>
      </c>
      <c r="H118">
        <f t="shared" si="3"/>
        <v>22090</v>
      </c>
      <c r="I118">
        <f t="shared" si="4"/>
        <v>22090</v>
      </c>
      <c r="J118">
        <f t="shared" si="5"/>
        <v>22090</v>
      </c>
    </row>
    <row r="119" spans="1:10" x14ac:dyDescent="0.3">
      <c r="A119" t="s">
        <v>108</v>
      </c>
      <c r="B119">
        <f>397+415+218+465*2</f>
        <v>1960</v>
      </c>
      <c r="C119" t="s">
        <v>107</v>
      </c>
      <c r="D119">
        <v>10</v>
      </c>
      <c r="E119">
        <v>10</v>
      </c>
      <c r="F119">
        <v>10</v>
      </c>
      <c r="G119">
        <f>781+780+542+484*2</f>
        <v>3071</v>
      </c>
      <c r="H119">
        <f t="shared" si="3"/>
        <v>30710</v>
      </c>
      <c r="I119">
        <f t="shared" si="4"/>
        <v>30710</v>
      </c>
      <c r="J119">
        <f t="shared" si="5"/>
        <v>30710</v>
      </c>
    </row>
    <row r="120" spans="1:10" x14ac:dyDescent="0.3">
      <c r="A120" t="s">
        <v>81</v>
      </c>
      <c r="B120">
        <f>134+270+309+612*2</f>
        <v>1937</v>
      </c>
      <c r="C120" t="s">
        <v>108</v>
      </c>
      <c r="D120">
        <v>10</v>
      </c>
      <c r="E120">
        <v>10</v>
      </c>
      <c r="F120">
        <v>10</v>
      </c>
      <c r="G120">
        <f>397+415+218+465*2</f>
        <v>1960</v>
      </c>
      <c r="H120">
        <f t="shared" si="3"/>
        <v>19600</v>
      </c>
      <c r="I120">
        <f t="shared" si="4"/>
        <v>19600</v>
      </c>
      <c r="J120">
        <f t="shared" si="5"/>
        <v>19600</v>
      </c>
    </row>
    <row r="121" spans="1:10" x14ac:dyDescent="0.3">
      <c r="A121" t="s">
        <v>92</v>
      </c>
      <c r="B121">
        <f>196+610+65+509*2</f>
        <v>1889</v>
      </c>
      <c r="C121" t="s">
        <v>109</v>
      </c>
      <c r="D121">
        <v>10</v>
      </c>
      <c r="E121">
        <v>10</v>
      </c>
      <c r="F121">
        <v>10</v>
      </c>
      <c r="G121">
        <f>0+8+231+399*4</f>
        <v>1835</v>
      </c>
      <c r="H121">
        <f t="shared" si="3"/>
        <v>18350</v>
      </c>
      <c r="I121">
        <f t="shared" si="4"/>
        <v>18350</v>
      </c>
      <c r="J121">
        <f t="shared" si="5"/>
        <v>18350</v>
      </c>
    </row>
    <row r="122" spans="1:10" x14ac:dyDescent="0.3">
      <c r="A122" t="s">
        <v>117</v>
      </c>
      <c r="B122">
        <f>151+279+452+488*2</f>
        <v>1858</v>
      </c>
      <c r="C122" t="s">
        <v>110</v>
      </c>
      <c r="D122">
        <v>10</v>
      </c>
      <c r="E122">
        <v>10</v>
      </c>
      <c r="F122">
        <v>10</v>
      </c>
      <c r="G122">
        <f>0+66+92+410*3</f>
        <v>1388</v>
      </c>
      <c r="H122">
        <f t="shared" si="3"/>
        <v>13880</v>
      </c>
      <c r="I122">
        <f t="shared" si="4"/>
        <v>13880</v>
      </c>
      <c r="J122">
        <f t="shared" si="5"/>
        <v>13880</v>
      </c>
    </row>
    <row r="123" spans="1:10" x14ac:dyDescent="0.3">
      <c r="A123" t="s">
        <v>109</v>
      </c>
      <c r="B123">
        <f>0+8+231+399*4</f>
        <v>1835</v>
      </c>
      <c r="C123" t="s">
        <v>111</v>
      </c>
      <c r="D123">
        <v>10</v>
      </c>
      <c r="E123">
        <v>10</v>
      </c>
      <c r="F123">
        <v>10</v>
      </c>
      <c r="G123">
        <f>10+27+304+469*4</f>
        <v>2217</v>
      </c>
      <c r="H123">
        <f t="shared" si="3"/>
        <v>22170</v>
      </c>
      <c r="I123">
        <f t="shared" si="4"/>
        <v>22170</v>
      </c>
      <c r="J123">
        <f t="shared" si="5"/>
        <v>22170</v>
      </c>
    </row>
    <row r="124" spans="1:10" x14ac:dyDescent="0.3">
      <c r="A124" t="s">
        <v>95</v>
      </c>
      <c r="B124">
        <f>79+85+674+475*2</f>
        <v>1788</v>
      </c>
      <c r="C124" t="s">
        <v>112</v>
      </c>
      <c r="D124">
        <v>10</v>
      </c>
      <c r="E124">
        <v>10</v>
      </c>
      <c r="F124">
        <v>10</v>
      </c>
      <c r="G124">
        <f>753+1105+771+531*2</f>
        <v>3691</v>
      </c>
      <c r="H124">
        <f t="shared" si="3"/>
        <v>36910</v>
      </c>
      <c r="I124">
        <f t="shared" si="4"/>
        <v>36910</v>
      </c>
      <c r="J124">
        <f t="shared" si="5"/>
        <v>36910</v>
      </c>
    </row>
    <row r="125" spans="1:10" x14ac:dyDescent="0.3">
      <c r="A125" t="s">
        <v>122</v>
      </c>
      <c r="B125">
        <f>184+432+318+399*2</f>
        <v>1732</v>
      </c>
      <c r="C125" t="s">
        <v>113</v>
      </c>
      <c r="D125">
        <v>10</v>
      </c>
      <c r="E125">
        <v>10</v>
      </c>
      <c r="F125">
        <v>10</v>
      </c>
      <c r="G125">
        <f>317+638+658+667*2</f>
        <v>2947</v>
      </c>
      <c r="H125">
        <f t="shared" si="3"/>
        <v>29470</v>
      </c>
      <c r="I125">
        <f t="shared" si="4"/>
        <v>29470</v>
      </c>
      <c r="J125">
        <f t="shared" si="5"/>
        <v>29470</v>
      </c>
    </row>
    <row r="126" spans="1:10" x14ac:dyDescent="0.3">
      <c r="A126" t="s">
        <v>116</v>
      </c>
      <c r="B126">
        <f>60+111+443+498*2</f>
        <v>1610</v>
      </c>
      <c r="C126" t="s">
        <v>114</v>
      </c>
      <c r="D126">
        <v>10</v>
      </c>
      <c r="E126">
        <v>10</v>
      </c>
      <c r="F126">
        <v>10</v>
      </c>
      <c r="G126">
        <f>502+543+447+435*2</f>
        <v>2362</v>
      </c>
      <c r="H126">
        <f t="shared" si="3"/>
        <v>23620</v>
      </c>
      <c r="I126">
        <f t="shared" si="4"/>
        <v>23620</v>
      </c>
      <c r="J126">
        <f t="shared" si="5"/>
        <v>23620</v>
      </c>
    </row>
    <row r="127" spans="1:10" x14ac:dyDescent="0.3">
      <c r="A127" t="s">
        <v>85</v>
      </c>
      <c r="B127">
        <f>220+118+144+541*2</f>
        <v>1564</v>
      </c>
      <c r="C127" t="s">
        <v>115</v>
      </c>
      <c r="D127">
        <v>10</v>
      </c>
      <c r="E127">
        <v>10</v>
      </c>
      <c r="F127">
        <v>10</v>
      </c>
      <c r="G127">
        <f>860+645+1136+298*2</f>
        <v>3237</v>
      </c>
      <c r="H127">
        <f t="shared" si="3"/>
        <v>32370</v>
      </c>
      <c r="I127">
        <f t="shared" si="4"/>
        <v>32370</v>
      </c>
      <c r="J127">
        <f t="shared" si="5"/>
        <v>32370</v>
      </c>
    </row>
    <row r="128" spans="1:10" x14ac:dyDescent="0.3">
      <c r="A128" t="s">
        <v>110</v>
      </c>
      <c r="B128">
        <f>0+66+92+410*3</f>
        <v>1388</v>
      </c>
      <c r="C128" t="s">
        <v>116</v>
      </c>
      <c r="D128">
        <v>10</v>
      </c>
      <c r="E128">
        <v>10</v>
      </c>
      <c r="F128">
        <v>10</v>
      </c>
      <c r="G128">
        <f>60+111+443+498*2</f>
        <v>1610</v>
      </c>
      <c r="H128">
        <f t="shared" si="3"/>
        <v>16100</v>
      </c>
      <c r="I128">
        <f t="shared" si="4"/>
        <v>16100</v>
      </c>
      <c r="J128">
        <f t="shared" si="5"/>
        <v>16100</v>
      </c>
    </row>
    <row r="129" spans="1:10" x14ac:dyDescent="0.3">
      <c r="A129" t="s">
        <v>64</v>
      </c>
      <c r="B129">
        <f>81+198+323+608</f>
        <v>1210</v>
      </c>
      <c r="C129" t="s">
        <v>117</v>
      </c>
      <c r="D129">
        <v>10</v>
      </c>
      <c r="E129">
        <v>10</v>
      </c>
      <c r="F129">
        <v>10</v>
      </c>
      <c r="G129">
        <f>151+279+452+488*2</f>
        <v>1858</v>
      </c>
      <c r="H129">
        <f t="shared" si="3"/>
        <v>18580</v>
      </c>
      <c r="I129">
        <f t="shared" si="4"/>
        <v>18580</v>
      </c>
      <c r="J129">
        <f t="shared" si="5"/>
        <v>18580</v>
      </c>
    </row>
  </sheetData>
  <sortState ref="A2:B129">
    <sortCondition descending="1" ref="B2:B1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Hoja3</vt:lpstr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marem</cp:lastModifiedBy>
  <dcterms:created xsi:type="dcterms:W3CDTF">2018-02-22T19:53:26Z</dcterms:created>
  <dcterms:modified xsi:type="dcterms:W3CDTF">2018-03-08T11:33:24Z</dcterms:modified>
</cp:coreProperties>
</file>